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comments5.xml" ContentType="application/vnd.openxmlformats-officedocument.spreadsheetml.comments+xml"/>
  <Override PartName="/xl/drawings/drawing6.xml" ContentType="application/vnd.openxmlformats-officedocument.drawing+xml"/>
  <Override PartName="/xl/comments6.xml" ContentType="application/vnd.openxmlformats-officedocument.spreadsheetml.comments+xml"/>
  <Override PartName="/xl/drawings/drawing7.xml" ContentType="application/vnd.openxmlformats-officedocument.drawing+xml"/>
  <Override PartName="/xl/comments7.xml" ContentType="application/vnd.openxmlformats-officedocument.spreadsheetml.comments+xml"/>
  <Override PartName="/xl/drawings/drawing8.xml" ContentType="application/vnd.openxmlformats-officedocument.drawing+xml"/>
  <Override PartName="/xl/comments8.xml" ContentType="application/vnd.openxmlformats-officedocument.spreadsheetml.comments+xml"/>
  <Override PartName="/xl/drawings/drawing9.xml" ContentType="application/vnd.openxmlformats-officedocument.drawing+xml"/>
  <Override PartName="/xl/comments9.xml" ContentType="application/vnd.openxmlformats-officedocument.spreadsheetml.comments+xml"/>
  <Override PartName="/xl/drawings/drawing10.xml" ContentType="application/vnd.openxmlformats-officedocument.drawing+xml"/>
  <Override PartName="/xl/comments10.xml" ContentType="application/vnd.openxmlformats-officedocument.spreadsheetml.comments+xml"/>
  <Override PartName="/xl/drawings/drawing11.xml" ContentType="application/vnd.openxmlformats-officedocument.drawing+xml"/>
  <Override PartName="/xl/comments11.xml" ContentType="application/vnd.openxmlformats-officedocument.spreadsheetml.comments+xml"/>
  <Override PartName="/xl/drawings/drawing12.xml" ContentType="application/vnd.openxmlformats-officedocument.drawing+xml"/>
  <Override PartName="/xl/comments12.xml" ContentType="application/vnd.openxmlformats-officedocument.spreadsheetml.comments+xml"/>
  <Override PartName="/xl/drawings/drawing13.xml" ContentType="application/vnd.openxmlformats-officedocument.drawing+xml"/>
  <Override PartName="/xl/comments13.xml" ContentType="application/vnd.openxmlformats-officedocument.spreadsheetml.comments+xml"/>
  <Override PartName="/xl/drawings/drawing14.xml" ContentType="application/vnd.openxmlformats-officedocument.drawing+xml"/>
  <Override PartName="/xl/comments14.xml" ContentType="application/vnd.openxmlformats-officedocument.spreadsheetml.comments+xml"/>
  <Override PartName="/xl/drawings/drawing15.xml" ContentType="application/vnd.openxmlformats-officedocument.drawing+xml"/>
  <Override PartName="/xl/comments15.xml" ContentType="application/vnd.openxmlformats-officedocument.spreadsheetml.comments+xml"/>
  <Override PartName="/xl/drawings/drawing16.xml" ContentType="application/vnd.openxmlformats-officedocument.drawing+xml"/>
  <Override PartName="/xl/comments16.xml" ContentType="application/vnd.openxmlformats-officedocument.spreadsheetml.comments+xml"/>
  <Override PartName="/xl/drawings/drawing17.xml" ContentType="application/vnd.openxmlformats-officedocument.drawing+xml"/>
  <Override PartName="/xl/comments17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273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\\Mac\Home\Desktop\Desktop\safety sheets\safety sheets\"/>
    </mc:Choice>
  </mc:AlternateContent>
  <xr:revisionPtr revIDLastSave="0" documentId="8_{F9DED485-377C-4CE5-BCC3-F9EEC44BCDF6}" xr6:coauthVersionLast="45" xr6:coauthVersionMax="45" xr10:uidLastSave="{00000000-0000-0000-0000-000000000000}"/>
  <bookViews>
    <workbookView xWindow="-108" yWindow="-108" windowWidth="20376" windowHeight="12216" tabRatio="843" xr2:uid="{00000000-000D-0000-FFFF-FFFF00000000}"/>
  </bookViews>
  <sheets>
    <sheet name="ViRAY+FR VR" sheetId="1" r:id="rId1"/>
    <sheet name="ViRAY+FRT-VR" sheetId="10" r:id="rId2"/>
    <sheet name="ViRAY+FR-AR" sheetId="22" r:id="rId3"/>
    <sheet name="ViRAY+FRT-AR" sheetId="23" r:id="rId4"/>
    <sheet name="SCV F" sheetId="2" r:id="rId5"/>
    <sheet name="SCV F+ViRAY" sheetId="3" r:id="rId6"/>
    <sheet name="SCV F+ViRAY+FR AR" sheetId="24" r:id="rId7"/>
    <sheet name="SC2-F+ViRAY+FR AR" sheetId="25" r:id="rId8"/>
    <sheet name="ViRAY+SCV F+ViRAY +FR AR" sheetId="26" r:id="rId9"/>
    <sheet name="ViRAY+SC2-F+ViRAY +FR AR" sheetId="27" r:id="rId10"/>
    <sheet name="ViRAY+SCV F+ViRAY" sheetId="7" r:id="rId11"/>
    <sheet name="SC2-F" sheetId="15" r:id="rId12"/>
    <sheet name="SC2-F+ViRAY" sheetId="16" r:id="rId13"/>
    <sheet name="SC2-F+ViRAY+VR-Link" sheetId="28" r:id="rId14"/>
    <sheet name="ViRAY+SC2-F+ViRAY" sheetId="17" r:id="rId15"/>
    <sheet name=" LA 12+ViRAY with FR 120" sheetId="20" r:id="rId16"/>
    <sheet name="SC8 F+ LA 12+ViRAY" sheetId="21" r:id="rId17"/>
  </sheets>
  <definedNames>
    <definedName name="_xlnm._FilterDatabase" localSheetId="11" hidden="1">'SC2-F'!#REF!</definedName>
    <definedName name="_xlnm._FilterDatabase" localSheetId="4" hidden="1">'SCV F'!#REF!</definedName>
    <definedName name="_xlnm._FilterDatabase" localSheetId="0" hidden="1">'ViRAY+FR VR'!$AR$125:$AR$126</definedName>
    <definedName name="_xlnm._FilterDatabase" localSheetId="2" hidden="1">'ViRAY+FR-AR'!#REF!</definedName>
    <definedName name="_xlnm._FilterDatabase" localSheetId="3" hidden="1">'ViRAY+FRT-AR'!#REF!</definedName>
    <definedName name="_xlnm._FilterDatabase" localSheetId="1" hidden="1">'ViRAY+FRT-VR'!$AR$125:$AR$126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AP151" i="28" l="1"/>
  <c r="J151" i="28"/>
  <c r="K151" i="28" s="1"/>
  <c r="L151" i="28" s="1"/>
  <c r="M151" i="28" s="1"/>
  <c r="N151" i="28" s="1"/>
  <c r="AP150" i="28"/>
  <c r="J150" i="28"/>
  <c r="K150" i="28" s="1"/>
  <c r="L150" i="28" s="1"/>
  <c r="M150" i="28" s="1"/>
  <c r="N150" i="28" s="1"/>
  <c r="AP149" i="28"/>
  <c r="J149" i="28"/>
  <c r="K149" i="28" s="1"/>
  <c r="L149" i="28" s="1"/>
  <c r="M149" i="28" s="1"/>
  <c r="N149" i="28" s="1"/>
  <c r="AP148" i="28"/>
  <c r="J148" i="28"/>
  <c r="K148" i="28" s="1"/>
  <c r="L148" i="28" s="1"/>
  <c r="M148" i="28" s="1"/>
  <c r="N148" i="28" s="1"/>
  <c r="AP147" i="28"/>
  <c r="J147" i="28"/>
  <c r="K147" i="28" s="1"/>
  <c r="L147" i="28" s="1"/>
  <c r="M147" i="28" s="1"/>
  <c r="N147" i="28" s="1"/>
  <c r="AP146" i="28"/>
  <c r="J146" i="28"/>
  <c r="K146" i="28" s="1"/>
  <c r="L146" i="28" s="1"/>
  <c r="M146" i="28" s="1"/>
  <c r="N146" i="28" s="1"/>
  <c r="AP145" i="28"/>
  <c r="J145" i="28"/>
  <c r="K145" i="28" s="1"/>
  <c r="L145" i="28" s="1"/>
  <c r="M145" i="28" s="1"/>
  <c r="N145" i="28" s="1"/>
  <c r="AP144" i="28"/>
  <c r="J144" i="28"/>
  <c r="K144" i="28" s="1"/>
  <c r="L144" i="28" s="1"/>
  <c r="M144" i="28" s="1"/>
  <c r="N144" i="28" s="1"/>
  <c r="AP143" i="28"/>
  <c r="J143" i="28"/>
  <c r="K143" i="28" s="1"/>
  <c r="L143" i="28" s="1"/>
  <c r="M143" i="28" s="1"/>
  <c r="N143" i="28" s="1"/>
  <c r="AP142" i="28"/>
  <c r="J142" i="28"/>
  <c r="K142" i="28" s="1"/>
  <c r="L142" i="28" s="1"/>
  <c r="M142" i="28" s="1"/>
  <c r="N142" i="28" s="1"/>
  <c r="AP141" i="28"/>
  <c r="J141" i="28"/>
  <c r="K141" i="28" s="1"/>
  <c r="L141" i="28" s="1"/>
  <c r="M141" i="28" s="1"/>
  <c r="N141" i="28" s="1"/>
  <c r="AP140" i="28"/>
  <c r="J140" i="28"/>
  <c r="K140" i="28" s="1"/>
  <c r="L140" i="28" s="1"/>
  <c r="M140" i="28" s="1"/>
  <c r="N140" i="28" s="1"/>
  <c r="AP139" i="28"/>
  <c r="J139" i="28"/>
  <c r="K139" i="28" s="1"/>
  <c r="L139" i="28" s="1"/>
  <c r="M139" i="28" s="1"/>
  <c r="N139" i="28" s="1"/>
  <c r="AP138" i="28"/>
  <c r="J138" i="28"/>
  <c r="K138" i="28" s="1"/>
  <c r="L138" i="28" s="1"/>
  <c r="M138" i="28" s="1"/>
  <c r="N138" i="28" s="1"/>
  <c r="AP137" i="28"/>
  <c r="J137" i="28"/>
  <c r="K137" i="28" s="1"/>
  <c r="L137" i="28" s="1"/>
  <c r="M137" i="28" s="1"/>
  <c r="N137" i="28" s="1"/>
  <c r="AP136" i="28"/>
  <c r="J136" i="28"/>
  <c r="K136" i="28" s="1"/>
  <c r="L136" i="28" s="1"/>
  <c r="M136" i="28" s="1"/>
  <c r="N136" i="28" s="1"/>
  <c r="AP135" i="28"/>
  <c r="J135" i="28"/>
  <c r="K135" i="28" s="1"/>
  <c r="L135" i="28" s="1"/>
  <c r="M135" i="28" s="1"/>
  <c r="N135" i="28" s="1"/>
  <c r="AP134" i="28"/>
  <c r="J134" i="28"/>
  <c r="K134" i="28" s="1"/>
  <c r="L134" i="28" s="1"/>
  <c r="M134" i="28" s="1"/>
  <c r="N134" i="28" s="1"/>
  <c r="AP133" i="28"/>
  <c r="J133" i="28"/>
  <c r="K133" i="28" s="1"/>
  <c r="L133" i="28" s="1"/>
  <c r="M133" i="28" s="1"/>
  <c r="N133" i="28" s="1"/>
  <c r="AP132" i="28"/>
  <c r="J132" i="28"/>
  <c r="K132" i="28" s="1"/>
  <c r="L132" i="28" s="1"/>
  <c r="M132" i="28" s="1"/>
  <c r="N132" i="28" s="1"/>
  <c r="AP131" i="28"/>
  <c r="J131" i="28"/>
  <c r="K131" i="28" s="1"/>
  <c r="L131" i="28" s="1"/>
  <c r="M131" i="28" s="1"/>
  <c r="N131" i="28" s="1"/>
  <c r="AP130" i="28"/>
  <c r="J130" i="28"/>
  <c r="K130" i="28" s="1"/>
  <c r="L130" i="28" s="1"/>
  <c r="M130" i="28" s="1"/>
  <c r="N130" i="28" s="1"/>
  <c r="AP129" i="28"/>
  <c r="J129" i="28"/>
  <c r="K129" i="28" s="1"/>
  <c r="L129" i="28" s="1"/>
  <c r="M129" i="28" s="1"/>
  <c r="N129" i="28" s="1"/>
  <c r="AP128" i="28"/>
  <c r="G128" i="28"/>
  <c r="F128" i="28" s="1"/>
  <c r="AP118" i="28"/>
  <c r="AH118" i="28"/>
  <c r="AL118" i="28" s="1"/>
  <c r="AM118" i="28" s="1"/>
  <c r="AN118" i="28" s="1"/>
  <c r="V118" i="28"/>
  <c r="AF118" i="28" s="1"/>
  <c r="J118" i="28"/>
  <c r="K118" i="28" s="1"/>
  <c r="L118" i="28" s="1"/>
  <c r="M118" i="28" s="1"/>
  <c r="N118" i="28" s="1"/>
  <c r="AP117" i="28"/>
  <c r="AH117" i="28"/>
  <c r="V117" i="28"/>
  <c r="AE117" i="28" s="1"/>
  <c r="J117" i="28"/>
  <c r="K117" i="28" s="1"/>
  <c r="L117" i="28" s="1"/>
  <c r="M117" i="28" s="1"/>
  <c r="N117" i="28" s="1"/>
  <c r="AP116" i="28"/>
  <c r="J116" i="28"/>
  <c r="K116" i="28" s="1"/>
  <c r="L116" i="28" s="1"/>
  <c r="M116" i="28" s="1"/>
  <c r="N116" i="28" s="1"/>
  <c r="AP115" i="28"/>
  <c r="J115" i="28"/>
  <c r="K115" i="28" s="1"/>
  <c r="L115" i="28" s="1"/>
  <c r="M115" i="28" s="1"/>
  <c r="N115" i="28" s="1"/>
  <c r="AP114" i="28"/>
  <c r="J114" i="28"/>
  <c r="K114" i="28" s="1"/>
  <c r="L114" i="28" s="1"/>
  <c r="M114" i="28" s="1"/>
  <c r="N114" i="28" s="1"/>
  <c r="AP113" i="28"/>
  <c r="J113" i="28"/>
  <c r="K113" i="28" s="1"/>
  <c r="L113" i="28" s="1"/>
  <c r="M113" i="28" s="1"/>
  <c r="N113" i="28" s="1"/>
  <c r="AP112" i="28"/>
  <c r="J112" i="28"/>
  <c r="K112" i="28" s="1"/>
  <c r="L112" i="28" s="1"/>
  <c r="M112" i="28" s="1"/>
  <c r="N112" i="28" s="1"/>
  <c r="AP111" i="28"/>
  <c r="J111" i="28"/>
  <c r="K111" i="28" s="1"/>
  <c r="L111" i="28" s="1"/>
  <c r="M111" i="28" s="1"/>
  <c r="N111" i="28" s="1"/>
  <c r="AP110" i="28"/>
  <c r="J110" i="28"/>
  <c r="K110" i="28" s="1"/>
  <c r="L110" i="28" s="1"/>
  <c r="M110" i="28" s="1"/>
  <c r="N110" i="28" s="1"/>
  <c r="AP109" i="28"/>
  <c r="J109" i="28"/>
  <c r="K109" i="28" s="1"/>
  <c r="L109" i="28" s="1"/>
  <c r="M109" i="28" s="1"/>
  <c r="N109" i="28" s="1"/>
  <c r="AP108" i="28"/>
  <c r="J108" i="28"/>
  <c r="K108" i="28" s="1"/>
  <c r="L108" i="28" s="1"/>
  <c r="M108" i="28" s="1"/>
  <c r="N108" i="28" s="1"/>
  <c r="AP107" i="28"/>
  <c r="C107" i="28"/>
  <c r="BI101" i="28"/>
  <c r="BI102" i="28" s="1"/>
  <c r="BI103" i="28" s="1"/>
  <c r="BI104" i="28" s="1"/>
  <c r="BI105" i="28" s="1"/>
  <c r="BI106" i="28" s="1"/>
  <c r="BI107" i="28" s="1"/>
  <c r="BI108" i="28" s="1"/>
  <c r="BI109" i="28" s="1"/>
  <c r="BI110" i="28" s="1"/>
  <c r="BI111" i="28" s="1"/>
  <c r="BI112" i="28" s="1"/>
  <c r="BI113" i="28" s="1"/>
  <c r="BI114" i="28" s="1"/>
  <c r="BI115" i="28" s="1"/>
  <c r="BI116" i="28" s="1"/>
  <c r="BI117" i="28" s="1"/>
  <c r="BI118" i="28" s="1"/>
  <c r="BI119" i="28" s="1"/>
  <c r="BI120" i="28" s="1"/>
  <c r="BI121" i="28" s="1"/>
  <c r="BI122" i="28" s="1"/>
  <c r="BI123" i="28" s="1"/>
  <c r="BI124" i="28" s="1"/>
  <c r="BI125" i="28" s="1"/>
  <c r="BI126" i="28" s="1"/>
  <c r="BI127" i="28" s="1"/>
  <c r="BI128" i="28" s="1"/>
  <c r="BI129" i="28" s="1"/>
  <c r="BJ100" i="28"/>
  <c r="CD83" i="28"/>
  <c r="CC83" i="28"/>
  <c r="CD64" i="28"/>
  <c r="CC64" i="28"/>
  <c r="CD63" i="28"/>
  <c r="CC63" i="28"/>
  <c r="C14" i="28"/>
  <c r="C11" i="28"/>
  <c r="D4" i="28"/>
  <c r="F2" i="28"/>
  <c r="E2" i="28"/>
  <c r="D2" i="28"/>
  <c r="AQ111" i="28" l="1"/>
  <c r="AQ115" i="28"/>
  <c r="AQ108" i="28"/>
  <c r="AQ116" i="28"/>
  <c r="AQ118" i="28"/>
  <c r="AQ114" i="28"/>
  <c r="BJ101" i="28"/>
  <c r="BJ102" i="28" s="1"/>
  <c r="AQ112" i="28"/>
  <c r="AQ109" i="28"/>
  <c r="AQ110" i="28"/>
  <c r="AQ117" i="28"/>
  <c r="AQ107" i="28"/>
  <c r="AQ113" i="28"/>
  <c r="AI118" i="28"/>
  <c r="AJ118" i="28" s="1"/>
  <c r="AK118" i="28" s="1"/>
  <c r="AR118" i="28" s="1"/>
  <c r="AF117" i="28"/>
  <c r="AS118" i="28"/>
  <c r="AU118" i="28" s="1"/>
  <c r="O118" i="28"/>
  <c r="P118" i="28" s="1"/>
  <c r="Q118" i="28" s="1"/>
  <c r="AG118" i="28"/>
  <c r="O112" i="28"/>
  <c r="P112" i="28" s="1"/>
  <c r="Q112" i="28" s="1"/>
  <c r="AG111" i="28"/>
  <c r="AH111" i="28" s="1"/>
  <c r="O117" i="28"/>
  <c r="P117" i="28" s="1"/>
  <c r="Q117" i="28" s="1"/>
  <c r="AG116" i="28"/>
  <c r="AH116" i="28" s="1"/>
  <c r="AL116" i="28" s="1"/>
  <c r="AM116" i="28" s="1"/>
  <c r="AN116" i="28" s="1"/>
  <c r="O114" i="28"/>
  <c r="P114" i="28" s="1"/>
  <c r="Q114" i="28" s="1"/>
  <c r="AG113" i="28"/>
  <c r="AH113" i="28" s="1"/>
  <c r="AL113" i="28" s="1"/>
  <c r="AM113" i="28" s="1"/>
  <c r="AN113" i="28" s="1"/>
  <c r="O116" i="28"/>
  <c r="P116" i="28" s="1"/>
  <c r="Q116" i="28" s="1"/>
  <c r="AG115" i="28"/>
  <c r="AH115" i="28" s="1"/>
  <c r="AI115" i="28" s="1"/>
  <c r="AJ115" i="28" s="1"/>
  <c r="AK115" i="28" s="1"/>
  <c r="O115" i="28"/>
  <c r="P115" i="28" s="1"/>
  <c r="Q115" i="28" s="1"/>
  <c r="AG114" i="28"/>
  <c r="AH114" i="28" s="1"/>
  <c r="AL114" i="28" s="1"/>
  <c r="AM114" i="28" s="1"/>
  <c r="AN114" i="28" s="1"/>
  <c r="O111" i="28"/>
  <c r="P111" i="28" s="1"/>
  <c r="Q111" i="28" s="1"/>
  <c r="AG110" i="28"/>
  <c r="AH110" i="28" s="1"/>
  <c r="O113" i="28"/>
  <c r="P113" i="28" s="1"/>
  <c r="Q113" i="28" s="1"/>
  <c r="O108" i="28"/>
  <c r="P108" i="28" s="1"/>
  <c r="Q108" i="28" s="1"/>
  <c r="AG107" i="28"/>
  <c r="AH107" i="28" s="1"/>
  <c r="AG112" i="28"/>
  <c r="AH112" i="28" s="1"/>
  <c r="O110" i="28"/>
  <c r="P110" i="28" s="1"/>
  <c r="Q110" i="28" s="1"/>
  <c r="AG109" i="28"/>
  <c r="AH109" i="28" s="1"/>
  <c r="AG117" i="28"/>
  <c r="O109" i="28"/>
  <c r="P109" i="28" s="1"/>
  <c r="Q109" i="28" s="1"/>
  <c r="AG108" i="28"/>
  <c r="AH108" i="28" s="1"/>
  <c r="J107" i="28"/>
  <c r="P107" i="28" s="1"/>
  <c r="Q107" i="28" s="1"/>
  <c r="S107" i="28" s="1"/>
  <c r="T107" i="28" s="1"/>
  <c r="C7" i="28"/>
  <c r="BP26" i="28" s="1"/>
  <c r="E85" i="28" s="1"/>
  <c r="AL117" i="28"/>
  <c r="AM117" i="28" s="1"/>
  <c r="AN117" i="28" s="1"/>
  <c r="AI117" i="28"/>
  <c r="AJ117" i="28" s="1"/>
  <c r="AK117" i="28" s="1"/>
  <c r="AE118" i="28"/>
  <c r="AQ154" i="27"/>
  <c r="AQ153" i="27"/>
  <c r="AQ152" i="27"/>
  <c r="AQ151" i="27"/>
  <c r="AQ150" i="27"/>
  <c r="AQ149" i="27"/>
  <c r="AQ148" i="27"/>
  <c r="AQ147" i="27"/>
  <c r="AQ146" i="27"/>
  <c r="AQ145" i="27"/>
  <c r="AQ144" i="27"/>
  <c r="AQ143" i="27"/>
  <c r="AL115" i="28" l="1"/>
  <c r="AM115" i="28" s="1"/>
  <c r="AN115" i="28" s="1"/>
  <c r="AR115" i="28" s="1"/>
  <c r="AI113" i="28"/>
  <c r="AJ113" i="28" s="1"/>
  <c r="AK113" i="28" s="1"/>
  <c r="AR113" i="28" s="1"/>
  <c r="AI114" i="28"/>
  <c r="AJ114" i="28" s="1"/>
  <c r="AK114" i="28" s="1"/>
  <c r="AR114" i="28" s="1"/>
  <c r="AI116" i="28"/>
  <c r="AJ116" i="28" s="1"/>
  <c r="AK116" i="28" s="1"/>
  <c r="AR116" i="28" s="1"/>
  <c r="AI109" i="28"/>
  <c r="AJ109" i="28" s="1"/>
  <c r="AK109" i="28" s="1"/>
  <c r="AL109" i="28"/>
  <c r="AM109" i="28" s="1"/>
  <c r="AN109" i="28" s="1"/>
  <c r="AL111" i="28"/>
  <c r="AM111" i="28" s="1"/>
  <c r="AN111" i="28" s="1"/>
  <c r="AI111" i="28"/>
  <c r="AJ111" i="28" s="1"/>
  <c r="AK111" i="28" s="1"/>
  <c r="AL112" i="28"/>
  <c r="AM112" i="28" s="1"/>
  <c r="AN112" i="28" s="1"/>
  <c r="AI112" i="28"/>
  <c r="AJ112" i="28" s="1"/>
  <c r="AK112" i="28" s="1"/>
  <c r="V107" i="28"/>
  <c r="R108" i="28"/>
  <c r="S108" i="28" s="1"/>
  <c r="AR117" i="28"/>
  <c r="AL108" i="28"/>
  <c r="AM108" i="28" s="1"/>
  <c r="AN108" i="28" s="1"/>
  <c r="AI108" i="28"/>
  <c r="AJ108" i="28" s="1"/>
  <c r="AK108" i="28" s="1"/>
  <c r="BJ103" i="28"/>
  <c r="AH119" i="28"/>
  <c r="AI107" i="28"/>
  <c r="AJ107" i="28" s="1"/>
  <c r="AK107" i="28" s="1"/>
  <c r="AL107" i="28"/>
  <c r="AM107" i="28" s="1"/>
  <c r="AN107" i="28" s="1"/>
  <c r="AS117" i="28"/>
  <c r="AU117" i="28" s="1"/>
  <c r="AL110" i="28"/>
  <c r="AM110" i="28" s="1"/>
  <c r="AN110" i="28" s="1"/>
  <c r="AI110" i="28"/>
  <c r="AJ110" i="28" s="1"/>
  <c r="AK110" i="28" s="1"/>
  <c r="C11" i="27"/>
  <c r="AQ187" i="27"/>
  <c r="V187" i="27"/>
  <c r="J187" i="27"/>
  <c r="K187" i="27" s="1"/>
  <c r="L187" i="27" s="1"/>
  <c r="M187" i="27" s="1"/>
  <c r="N187" i="27" s="1"/>
  <c r="AQ186" i="27"/>
  <c r="V186" i="27"/>
  <c r="J186" i="27"/>
  <c r="K186" i="27" s="1"/>
  <c r="L186" i="27" s="1"/>
  <c r="M186" i="27" s="1"/>
  <c r="N186" i="27" s="1"/>
  <c r="AQ185" i="27"/>
  <c r="V185" i="27"/>
  <c r="J185" i="27"/>
  <c r="K185" i="27" s="1"/>
  <c r="L185" i="27" s="1"/>
  <c r="M185" i="27" s="1"/>
  <c r="N185" i="27" s="1"/>
  <c r="AQ184" i="27"/>
  <c r="V184" i="27"/>
  <c r="J184" i="27"/>
  <c r="K184" i="27" s="1"/>
  <c r="L184" i="27" s="1"/>
  <c r="M184" i="27" s="1"/>
  <c r="N184" i="27" s="1"/>
  <c r="AQ183" i="27"/>
  <c r="J183" i="27"/>
  <c r="K183" i="27" s="1"/>
  <c r="L183" i="27" s="1"/>
  <c r="M183" i="27" s="1"/>
  <c r="N183" i="27" s="1"/>
  <c r="AQ182" i="27"/>
  <c r="K182" i="27"/>
  <c r="L182" i="27" s="1"/>
  <c r="M182" i="27" s="1"/>
  <c r="N182" i="27" s="1"/>
  <c r="J182" i="27"/>
  <c r="AQ181" i="27"/>
  <c r="J181" i="27"/>
  <c r="K181" i="27" s="1"/>
  <c r="L181" i="27" s="1"/>
  <c r="M181" i="27" s="1"/>
  <c r="N181" i="27" s="1"/>
  <c r="AQ180" i="27"/>
  <c r="J180" i="27"/>
  <c r="K180" i="27" s="1"/>
  <c r="L180" i="27" s="1"/>
  <c r="M180" i="27" s="1"/>
  <c r="N180" i="27" s="1"/>
  <c r="AQ179" i="27"/>
  <c r="J179" i="27"/>
  <c r="K179" i="27" s="1"/>
  <c r="L179" i="27" s="1"/>
  <c r="M179" i="27" s="1"/>
  <c r="N179" i="27" s="1"/>
  <c r="AQ178" i="27"/>
  <c r="J178" i="27"/>
  <c r="K178" i="27" s="1"/>
  <c r="L178" i="27" s="1"/>
  <c r="M178" i="27" s="1"/>
  <c r="N178" i="27" s="1"/>
  <c r="AQ177" i="27"/>
  <c r="J177" i="27"/>
  <c r="K177" i="27" s="1"/>
  <c r="L177" i="27" s="1"/>
  <c r="M177" i="27" s="1"/>
  <c r="N177" i="27" s="1"/>
  <c r="AQ176" i="27"/>
  <c r="J176" i="27"/>
  <c r="K176" i="27" s="1"/>
  <c r="L176" i="27" s="1"/>
  <c r="M176" i="27" s="1"/>
  <c r="N176" i="27" s="1"/>
  <c r="AQ175" i="27"/>
  <c r="J175" i="27"/>
  <c r="K175" i="27" s="1"/>
  <c r="L175" i="27" s="1"/>
  <c r="M175" i="27" s="1"/>
  <c r="N175" i="27" s="1"/>
  <c r="AQ174" i="27"/>
  <c r="J174" i="27"/>
  <c r="K174" i="27" s="1"/>
  <c r="L174" i="27" s="1"/>
  <c r="M174" i="27" s="1"/>
  <c r="N174" i="27" s="1"/>
  <c r="AQ173" i="27"/>
  <c r="J173" i="27"/>
  <c r="K173" i="27" s="1"/>
  <c r="L173" i="27" s="1"/>
  <c r="M173" i="27" s="1"/>
  <c r="N173" i="27" s="1"/>
  <c r="AQ172" i="27"/>
  <c r="J172" i="27"/>
  <c r="K172" i="27" s="1"/>
  <c r="L172" i="27" s="1"/>
  <c r="M172" i="27" s="1"/>
  <c r="N172" i="27" s="1"/>
  <c r="AQ171" i="27"/>
  <c r="J171" i="27"/>
  <c r="K171" i="27" s="1"/>
  <c r="L171" i="27" s="1"/>
  <c r="M171" i="27" s="1"/>
  <c r="N171" i="27" s="1"/>
  <c r="AQ170" i="27"/>
  <c r="J170" i="27"/>
  <c r="K170" i="27" s="1"/>
  <c r="L170" i="27" s="1"/>
  <c r="M170" i="27" s="1"/>
  <c r="N170" i="27" s="1"/>
  <c r="AQ169" i="27"/>
  <c r="J169" i="27"/>
  <c r="K169" i="27" s="1"/>
  <c r="L169" i="27" s="1"/>
  <c r="M169" i="27" s="1"/>
  <c r="N169" i="27" s="1"/>
  <c r="AQ168" i="27"/>
  <c r="J168" i="27"/>
  <c r="K168" i="27" s="1"/>
  <c r="L168" i="27" s="1"/>
  <c r="M168" i="27" s="1"/>
  <c r="N168" i="27" s="1"/>
  <c r="AQ167" i="27"/>
  <c r="J167" i="27"/>
  <c r="K167" i="27" s="1"/>
  <c r="L167" i="27" s="1"/>
  <c r="M167" i="27" s="1"/>
  <c r="N167" i="27" s="1"/>
  <c r="AQ166" i="27"/>
  <c r="J166" i="27"/>
  <c r="K166" i="27" s="1"/>
  <c r="L166" i="27" s="1"/>
  <c r="M166" i="27" s="1"/>
  <c r="N166" i="27" s="1"/>
  <c r="AQ165" i="27"/>
  <c r="J165" i="27"/>
  <c r="K165" i="27" s="1"/>
  <c r="L165" i="27" s="1"/>
  <c r="M165" i="27" s="1"/>
  <c r="N165" i="27" s="1"/>
  <c r="AQ164" i="27"/>
  <c r="AR148" i="27" s="1"/>
  <c r="G164" i="27"/>
  <c r="F164" i="27" s="1"/>
  <c r="J154" i="27"/>
  <c r="K154" i="27" s="1"/>
  <c r="L154" i="27" s="1"/>
  <c r="M154" i="27" s="1"/>
  <c r="N154" i="27" s="1"/>
  <c r="J153" i="27"/>
  <c r="K153" i="27" s="1"/>
  <c r="L153" i="27" s="1"/>
  <c r="M153" i="27" s="1"/>
  <c r="N153" i="27" s="1"/>
  <c r="J152" i="27"/>
  <c r="K152" i="27" s="1"/>
  <c r="L152" i="27" s="1"/>
  <c r="M152" i="27" s="1"/>
  <c r="N152" i="27" s="1"/>
  <c r="J151" i="27"/>
  <c r="K151" i="27" s="1"/>
  <c r="L151" i="27" s="1"/>
  <c r="M151" i="27" s="1"/>
  <c r="N151" i="27" s="1"/>
  <c r="J150" i="27"/>
  <c r="K150" i="27" s="1"/>
  <c r="L150" i="27" s="1"/>
  <c r="M150" i="27" s="1"/>
  <c r="N150" i="27" s="1"/>
  <c r="J149" i="27"/>
  <c r="K149" i="27" s="1"/>
  <c r="L149" i="27" s="1"/>
  <c r="M149" i="27" s="1"/>
  <c r="N149" i="27" s="1"/>
  <c r="J148" i="27"/>
  <c r="K148" i="27" s="1"/>
  <c r="L148" i="27" s="1"/>
  <c r="M148" i="27" s="1"/>
  <c r="N148" i="27" s="1"/>
  <c r="J147" i="27"/>
  <c r="K147" i="27" s="1"/>
  <c r="L147" i="27" s="1"/>
  <c r="M147" i="27" s="1"/>
  <c r="N147" i="27" s="1"/>
  <c r="J146" i="27"/>
  <c r="K146" i="27" s="1"/>
  <c r="L146" i="27" s="1"/>
  <c r="M146" i="27" s="1"/>
  <c r="N146" i="27" s="1"/>
  <c r="J145" i="27"/>
  <c r="K145" i="27" s="1"/>
  <c r="L145" i="27" s="1"/>
  <c r="M145" i="27" s="1"/>
  <c r="N145" i="27" s="1"/>
  <c r="J144" i="27"/>
  <c r="K144" i="27" s="1"/>
  <c r="L144" i="27" s="1"/>
  <c r="M144" i="27" s="1"/>
  <c r="N144" i="27" s="1"/>
  <c r="BJ201" i="27"/>
  <c r="BJ202" i="27" s="1"/>
  <c r="BJ203" i="27" s="1"/>
  <c r="BJ204" i="27" s="1"/>
  <c r="BJ205" i="27" s="1"/>
  <c r="BJ206" i="27" s="1"/>
  <c r="BJ207" i="27" s="1"/>
  <c r="BJ208" i="27" s="1"/>
  <c r="BJ209" i="27" s="1"/>
  <c r="BJ210" i="27" s="1"/>
  <c r="BJ211" i="27" s="1"/>
  <c r="BJ212" i="27" s="1"/>
  <c r="BJ213" i="27" s="1"/>
  <c r="BJ214" i="27" s="1"/>
  <c r="BJ215" i="27" s="1"/>
  <c r="BJ216" i="27" s="1"/>
  <c r="BJ217" i="27" s="1"/>
  <c r="BJ218" i="27" s="1"/>
  <c r="BJ219" i="27" s="1"/>
  <c r="BJ220" i="27" s="1"/>
  <c r="BJ221" i="27" s="1"/>
  <c r="BJ222" i="27" s="1"/>
  <c r="BJ223" i="27" s="1"/>
  <c r="BJ224" i="27" s="1"/>
  <c r="BJ225" i="27" s="1"/>
  <c r="BJ226" i="27" s="1"/>
  <c r="BJ227" i="27" s="1"/>
  <c r="BJ228" i="27" s="1"/>
  <c r="BJ229" i="27" s="1"/>
  <c r="BJ230" i="27" s="1"/>
  <c r="BJ231" i="27" s="1"/>
  <c r="BJ232" i="27" s="1"/>
  <c r="BJ233" i="27" s="1"/>
  <c r="BJ234" i="27" s="1"/>
  <c r="BJ235" i="27" s="1"/>
  <c r="BJ236" i="27" s="1"/>
  <c r="BK200" i="27"/>
  <c r="AQ133" i="27"/>
  <c r="L133" i="27"/>
  <c r="M133" i="27" s="1"/>
  <c r="N133" i="27" s="1"/>
  <c r="J133" i="27"/>
  <c r="K133" i="27" s="1"/>
  <c r="AQ132" i="27"/>
  <c r="J132" i="27"/>
  <c r="K132" i="27" s="1"/>
  <c r="L132" i="27" s="1"/>
  <c r="M132" i="27" s="1"/>
  <c r="N132" i="27" s="1"/>
  <c r="AQ131" i="27"/>
  <c r="J131" i="27"/>
  <c r="K131" i="27" s="1"/>
  <c r="L131" i="27" s="1"/>
  <c r="M131" i="27" s="1"/>
  <c r="N131" i="27" s="1"/>
  <c r="AQ130" i="27"/>
  <c r="J130" i="27"/>
  <c r="K130" i="27" s="1"/>
  <c r="L130" i="27" s="1"/>
  <c r="M130" i="27" s="1"/>
  <c r="N130" i="27" s="1"/>
  <c r="AQ129" i="27"/>
  <c r="L129" i="27"/>
  <c r="M129" i="27" s="1"/>
  <c r="N129" i="27" s="1"/>
  <c r="J129" i="27"/>
  <c r="K129" i="27" s="1"/>
  <c r="AQ128" i="27"/>
  <c r="J128" i="27"/>
  <c r="K128" i="27" s="1"/>
  <c r="L128" i="27" s="1"/>
  <c r="M128" i="27" s="1"/>
  <c r="N128" i="27" s="1"/>
  <c r="AQ127" i="27"/>
  <c r="J127" i="27"/>
  <c r="K127" i="27" s="1"/>
  <c r="L127" i="27" s="1"/>
  <c r="M127" i="27" s="1"/>
  <c r="N127" i="27" s="1"/>
  <c r="AQ126" i="27"/>
  <c r="J126" i="27"/>
  <c r="K126" i="27" s="1"/>
  <c r="L126" i="27" s="1"/>
  <c r="M126" i="27" s="1"/>
  <c r="N126" i="27" s="1"/>
  <c r="AQ125" i="27"/>
  <c r="K125" i="27"/>
  <c r="L125" i="27" s="1"/>
  <c r="M125" i="27" s="1"/>
  <c r="N125" i="27" s="1"/>
  <c r="J125" i="27"/>
  <c r="AQ124" i="27"/>
  <c r="J124" i="27"/>
  <c r="K124" i="27" s="1"/>
  <c r="L124" i="27" s="1"/>
  <c r="M124" i="27" s="1"/>
  <c r="N124" i="27" s="1"/>
  <c r="AQ123" i="27"/>
  <c r="J123" i="27"/>
  <c r="K123" i="27" s="1"/>
  <c r="L123" i="27" s="1"/>
  <c r="M123" i="27" s="1"/>
  <c r="N123" i="27" s="1"/>
  <c r="AQ122" i="27"/>
  <c r="J122" i="27"/>
  <c r="K122" i="27" s="1"/>
  <c r="L122" i="27" s="1"/>
  <c r="M122" i="27" s="1"/>
  <c r="N122" i="27" s="1"/>
  <c r="AQ121" i="27"/>
  <c r="K121" i="27"/>
  <c r="L121" i="27" s="1"/>
  <c r="M121" i="27" s="1"/>
  <c r="N121" i="27" s="1"/>
  <c r="J121" i="27"/>
  <c r="AQ120" i="27"/>
  <c r="J120" i="27"/>
  <c r="K120" i="27" s="1"/>
  <c r="L120" i="27" s="1"/>
  <c r="M120" i="27" s="1"/>
  <c r="N120" i="27" s="1"/>
  <c r="AQ119" i="27"/>
  <c r="J119" i="27"/>
  <c r="K119" i="27" s="1"/>
  <c r="L119" i="27" s="1"/>
  <c r="M119" i="27" s="1"/>
  <c r="N119" i="27" s="1"/>
  <c r="AQ118" i="27"/>
  <c r="J118" i="27"/>
  <c r="K118" i="27" s="1"/>
  <c r="L118" i="27" s="1"/>
  <c r="M118" i="27" s="1"/>
  <c r="N118" i="27" s="1"/>
  <c r="AQ117" i="27"/>
  <c r="K117" i="27"/>
  <c r="L117" i="27" s="1"/>
  <c r="M117" i="27" s="1"/>
  <c r="N117" i="27" s="1"/>
  <c r="J117" i="27"/>
  <c r="AQ116" i="27"/>
  <c r="K116" i="27"/>
  <c r="L116" i="27" s="1"/>
  <c r="M116" i="27" s="1"/>
  <c r="N116" i="27" s="1"/>
  <c r="J116" i="27"/>
  <c r="AQ115" i="27"/>
  <c r="J115" i="27"/>
  <c r="K115" i="27" s="1"/>
  <c r="L115" i="27" s="1"/>
  <c r="M115" i="27" s="1"/>
  <c r="N115" i="27" s="1"/>
  <c r="AQ114" i="27"/>
  <c r="J114" i="27"/>
  <c r="K114" i="27" s="1"/>
  <c r="L114" i="27" s="1"/>
  <c r="M114" i="27" s="1"/>
  <c r="N114" i="27" s="1"/>
  <c r="AQ113" i="27"/>
  <c r="J113" i="27"/>
  <c r="K113" i="27" s="1"/>
  <c r="L113" i="27" s="1"/>
  <c r="M113" i="27" s="1"/>
  <c r="N113" i="27" s="1"/>
  <c r="AQ112" i="27"/>
  <c r="J112" i="27"/>
  <c r="K112" i="27" s="1"/>
  <c r="L112" i="27" s="1"/>
  <c r="M112" i="27" s="1"/>
  <c r="N112" i="27" s="1"/>
  <c r="AQ111" i="27"/>
  <c r="J111" i="27"/>
  <c r="K111" i="27" s="1"/>
  <c r="L111" i="27" s="1"/>
  <c r="M111" i="27" s="1"/>
  <c r="N111" i="27" s="1"/>
  <c r="AQ110" i="27"/>
  <c r="G110" i="27"/>
  <c r="F110" i="27" s="1"/>
  <c r="C110" i="27"/>
  <c r="AH117" i="27" s="1"/>
  <c r="CL99" i="27"/>
  <c r="CL104" i="27" s="1"/>
  <c r="CJ99" i="27"/>
  <c r="CJ104" i="27" s="1"/>
  <c r="CD99" i="27"/>
  <c r="CD104" i="27" s="1"/>
  <c r="CB99" i="27"/>
  <c r="CB104" i="27" s="1"/>
  <c r="CO55" i="27"/>
  <c r="CM55" i="27"/>
  <c r="CK55" i="27"/>
  <c r="CI55" i="27"/>
  <c r="CG55" i="27"/>
  <c r="CE55" i="27"/>
  <c r="CC55" i="27"/>
  <c r="CA55" i="27"/>
  <c r="C14" i="27"/>
  <c r="D4" i="27"/>
  <c r="F2" i="27"/>
  <c r="E2" i="27"/>
  <c r="D2" i="27"/>
  <c r="BK194" i="26"/>
  <c r="BJ195" i="26"/>
  <c r="BJ196" i="26" s="1"/>
  <c r="BJ197" i="26" s="1"/>
  <c r="BJ198" i="26" s="1"/>
  <c r="BJ199" i="26" s="1"/>
  <c r="BJ200" i="26" s="1"/>
  <c r="BJ201" i="26" s="1"/>
  <c r="BJ202" i="26" s="1"/>
  <c r="BJ203" i="26" s="1"/>
  <c r="BJ204" i="26" s="1"/>
  <c r="BJ205" i="26" s="1"/>
  <c r="BJ206" i="26" s="1"/>
  <c r="BJ207" i="26" s="1"/>
  <c r="BJ208" i="26" s="1"/>
  <c r="BJ209" i="26" s="1"/>
  <c r="BJ210" i="26" s="1"/>
  <c r="BJ211" i="26" s="1"/>
  <c r="BJ212" i="26" s="1"/>
  <c r="BJ213" i="26" s="1"/>
  <c r="BJ214" i="26" s="1"/>
  <c r="BJ215" i="26" s="1"/>
  <c r="BJ216" i="26" s="1"/>
  <c r="BJ217" i="26" s="1"/>
  <c r="BJ218" i="26" s="1"/>
  <c r="BJ219" i="26" s="1"/>
  <c r="BJ220" i="26" s="1"/>
  <c r="BJ221" i="26" s="1"/>
  <c r="BJ222" i="26" s="1"/>
  <c r="BJ223" i="26" s="1"/>
  <c r="BJ224" i="26" s="1"/>
  <c r="BJ225" i="26" s="1"/>
  <c r="BJ226" i="26" s="1"/>
  <c r="BJ227" i="26" s="1"/>
  <c r="BJ228" i="26" s="1"/>
  <c r="BJ229" i="26" s="1"/>
  <c r="BJ230" i="26" s="1"/>
  <c r="CL100" i="26"/>
  <c r="CL104" i="26" s="1"/>
  <c r="CJ100" i="26"/>
  <c r="CJ104" i="26" s="1"/>
  <c r="CD100" i="26"/>
  <c r="CD104" i="26" s="1"/>
  <c r="CB100" i="26"/>
  <c r="CB104" i="26" s="1"/>
  <c r="CO55" i="26"/>
  <c r="CM55" i="26"/>
  <c r="CK55" i="26"/>
  <c r="CI55" i="26"/>
  <c r="CG55" i="26"/>
  <c r="CE55" i="26"/>
  <c r="CC55" i="26"/>
  <c r="CA55" i="26"/>
  <c r="C14" i="26"/>
  <c r="C14" i="25"/>
  <c r="C11" i="25"/>
  <c r="C11" i="26"/>
  <c r="D4" i="26"/>
  <c r="F2" i="26"/>
  <c r="F2" i="25"/>
  <c r="F2" i="24"/>
  <c r="E2" i="26"/>
  <c r="D2" i="26"/>
  <c r="AQ187" i="26"/>
  <c r="V187" i="26"/>
  <c r="AF187" i="26" s="1"/>
  <c r="J187" i="26"/>
  <c r="K187" i="26" s="1"/>
  <c r="L187" i="26" s="1"/>
  <c r="M187" i="26" s="1"/>
  <c r="N187" i="26" s="1"/>
  <c r="AQ186" i="26"/>
  <c r="V186" i="26"/>
  <c r="J186" i="26"/>
  <c r="K186" i="26" s="1"/>
  <c r="L186" i="26" s="1"/>
  <c r="M186" i="26" s="1"/>
  <c r="N186" i="26" s="1"/>
  <c r="AQ185" i="26"/>
  <c r="V185" i="26"/>
  <c r="J185" i="26"/>
  <c r="K185" i="26" s="1"/>
  <c r="L185" i="26" s="1"/>
  <c r="M185" i="26" s="1"/>
  <c r="N185" i="26" s="1"/>
  <c r="AQ184" i="26"/>
  <c r="V184" i="26"/>
  <c r="J184" i="26"/>
  <c r="K184" i="26" s="1"/>
  <c r="L184" i="26" s="1"/>
  <c r="M184" i="26" s="1"/>
  <c r="N184" i="26" s="1"/>
  <c r="AQ183" i="26"/>
  <c r="V183" i="26"/>
  <c r="J183" i="26"/>
  <c r="K183" i="26" s="1"/>
  <c r="L183" i="26" s="1"/>
  <c r="M183" i="26" s="1"/>
  <c r="N183" i="26" s="1"/>
  <c r="AQ182" i="26"/>
  <c r="V182" i="26"/>
  <c r="J182" i="26"/>
  <c r="K182" i="26" s="1"/>
  <c r="L182" i="26" s="1"/>
  <c r="M182" i="26" s="1"/>
  <c r="N182" i="26" s="1"/>
  <c r="AQ181" i="26"/>
  <c r="V181" i="26"/>
  <c r="J181" i="26"/>
  <c r="K181" i="26" s="1"/>
  <c r="L181" i="26" s="1"/>
  <c r="M181" i="26" s="1"/>
  <c r="N181" i="26" s="1"/>
  <c r="AQ180" i="26"/>
  <c r="V180" i="26"/>
  <c r="J180" i="26"/>
  <c r="K180" i="26" s="1"/>
  <c r="L180" i="26" s="1"/>
  <c r="M180" i="26" s="1"/>
  <c r="N180" i="26" s="1"/>
  <c r="AQ179" i="26"/>
  <c r="J179" i="26"/>
  <c r="K179" i="26" s="1"/>
  <c r="L179" i="26" s="1"/>
  <c r="M179" i="26" s="1"/>
  <c r="N179" i="26" s="1"/>
  <c r="AQ178" i="26"/>
  <c r="J178" i="26"/>
  <c r="K178" i="26" s="1"/>
  <c r="L178" i="26" s="1"/>
  <c r="M178" i="26" s="1"/>
  <c r="N178" i="26" s="1"/>
  <c r="AQ177" i="26"/>
  <c r="J177" i="26"/>
  <c r="K177" i="26" s="1"/>
  <c r="L177" i="26" s="1"/>
  <c r="M177" i="26" s="1"/>
  <c r="N177" i="26" s="1"/>
  <c r="AQ176" i="26"/>
  <c r="J176" i="26"/>
  <c r="K176" i="26" s="1"/>
  <c r="L176" i="26" s="1"/>
  <c r="M176" i="26" s="1"/>
  <c r="N176" i="26" s="1"/>
  <c r="AQ175" i="26"/>
  <c r="J175" i="26"/>
  <c r="K175" i="26" s="1"/>
  <c r="L175" i="26" s="1"/>
  <c r="M175" i="26" s="1"/>
  <c r="N175" i="26" s="1"/>
  <c r="AQ174" i="26"/>
  <c r="J174" i="26"/>
  <c r="K174" i="26" s="1"/>
  <c r="L174" i="26" s="1"/>
  <c r="M174" i="26" s="1"/>
  <c r="N174" i="26" s="1"/>
  <c r="AQ173" i="26"/>
  <c r="J173" i="26"/>
  <c r="K173" i="26" s="1"/>
  <c r="L173" i="26" s="1"/>
  <c r="M173" i="26" s="1"/>
  <c r="N173" i="26" s="1"/>
  <c r="AQ172" i="26"/>
  <c r="J172" i="26"/>
  <c r="K172" i="26" s="1"/>
  <c r="L172" i="26" s="1"/>
  <c r="M172" i="26" s="1"/>
  <c r="N172" i="26" s="1"/>
  <c r="AQ171" i="26"/>
  <c r="J171" i="26"/>
  <c r="K171" i="26" s="1"/>
  <c r="L171" i="26" s="1"/>
  <c r="M171" i="26" s="1"/>
  <c r="N171" i="26" s="1"/>
  <c r="AQ170" i="26"/>
  <c r="J170" i="26"/>
  <c r="K170" i="26" s="1"/>
  <c r="L170" i="26" s="1"/>
  <c r="M170" i="26" s="1"/>
  <c r="N170" i="26" s="1"/>
  <c r="AQ169" i="26"/>
  <c r="J169" i="26"/>
  <c r="K169" i="26" s="1"/>
  <c r="L169" i="26" s="1"/>
  <c r="M169" i="26" s="1"/>
  <c r="N169" i="26" s="1"/>
  <c r="AQ168" i="26"/>
  <c r="J168" i="26"/>
  <c r="K168" i="26" s="1"/>
  <c r="L168" i="26" s="1"/>
  <c r="M168" i="26" s="1"/>
  <c r="N168" i="26" s="1"/>
  <c r="AQ167" i="26"/>
  <c r="K167" i="26"/>
  <c r="L167" i="26" s="1"/>
  <c r="M167" i="26" s="1"/>
  <c r="N167" i="26" s="1"/>
  <c r="J167" i="26"/>
  <c r="AQ166" i="26"/>
  <c r="J166" i="26"/>
  <c r="K166" i="26" s="1"/>
  <c r="L166" i="26" s="1"/>
  <c r="M166" i="26" s="1"/>
  <c r="N166" i="26" s="1"/>
  <c r="AQ165" i="26"/>
  <c r="J165" i="26"/>
  <c r="K165" i="26" s="1"/>
  <c r="L165" i="26" s="1"/>
  <c r="M165" i="26" s="1"/>
  <c r="N165" i="26" s="1"/>
  <c r="AQ164" i="26"/>
  <c r="G164" i="26"/>
  <c r="F164" i="26" s="1"/>
  <c r="AQ154" i="26"/>
  <c r="AI154" i="26"/>
  <c r="V154" i="26"/>
  <c r="AF154" i="26" s="1"/>
  <c r="J154" i="26"/>
  <c r="K154" i="26" s="1"/>
  <c r="L154" i="26" s="1"/>
  <c r="M154" i="26" s="1"/>
  <c r="N154" i="26" s="1"/>
  <c r="AQ153" i="26"/>
  <c r="AI153" i="26"/>
  <c r="V153" i="26"/>
  <c r="AE153" i="26" s="1"/>
  <c r="J153" i="26"/>
  <c r="K153" i="26" s="1"/>
  <c r="L153" i="26" s="1"/>
  <c r="M153" i="26" s="1"/>
  <c r="N153" i="26" s="1"/>
  <c r="AQ152" i="26"/>
  <c r="J152" i="26"/>
  <c r="K152" i="26" s="1"/>
  <c r="L152" i="26" s="1"/>
  <c r="M152" i="26" s="1"/>
  <c r="N152" i="26" s="1"/>
  <c r="AQ151" i="26"/>
  <c r="J151" i="26"/>
  <c r="K151" i="26" s="1"/>
  <c r="L151" i="26" s="1"/>
  <c r="M151" i="26" s="1"/>
  <c r="N151" i="26" s="1"/>
  <c r="AQ150" i="26"/>
  <c r="J150" i="26"/>
  <c r="K150" i="26" s="1"/>
  <c r="L150" i="26" s="1"/>
  <c r="M150" i="26" s="1"/>
  <c r="N150" i="26" s="1"/>
  <c r="AQ149" i="26"/>
  <c r="J149" i="26"/>
  <c r="K149" i="26" s="1"/>
  <c r="L149" i="26" s="1"/>
  <c r="M149" i="26" s="1"/>
  <c r="N149" i="26" s="1"/>
  <c r="AQ148" i="26"/>
  <c r="J148" i="26"/>
  <c r="K148" i="26" s="1"/>
  <c r="L148" i="26" s="1"/>
  <c r="M148" i="26" s="1"/>
  <c r="N148" i="26" s="1"/>
  <c r="AQ147" i="26"/>
  <c r="J147" i="26"/>
  <c r="K147" i="26" s="1"/>
  <c r="L147" i="26" s="1"/>
  <c r="M147" i="26" s="1"/>
  <c r="N147" i="26" s="1"/>
  <c r="AQ146" i="26"/>
  <c r="J146" i="26"/>
  <c r="K146" i="26" s="1"/>
  <c r="L146" i="26" s="1"/>
  <c r="M146" i="26" s="1"/>
  <c r="N146" i="26" s="1"/>
  <c r="AQ145" i="26"/>
  <c r="J145" i="26"/>
  <c r="K145" i="26" s="1"/>
  <c r="L145" i="26" s="1"/>
  <c r="M145" i="26" s="1"/>
  <c r="N145" i="26" s="1"/>
  <c r="AQ144" i="26"/>
  <c r="J144" i="26"/>
  <c r="K144" i="26" s="1"/>
  <c r="L144" i="26" s="1"/>
  <c r="M144" i="26" s="1"/>
  <c r="N144" i="26" s="1"/>
  <c r="AQ143" i="26"/>
  <c r="AQ133" i="26"/>
  <c r="AI133" i="26"/>
  <c r="V133" i="26"/>
  <c r="AF133" i="26" s="1"/>
  <c r="J133" i="26"/>
  <c r="K133" i="26" s="1"/>
  <c r="L133" i="26" s="1"/>
  <c r="M133" i="26" s="1"/>
  <c r="N133" i="26" s="1"/>
  <c r="AQ132" i="26"/>
  <c r="AI132" i="26"/>
  <c r="V132" i="26"/>
  <c r="J132" i="26"/>
  <c r="K132" i="26" s="1"/>
  <c r="L132" i="26" s="1"/>
  <c r="M132" i="26" s="1"/>
  <c r="N132" i="26" s="1"/>
  <c r="AQ131" i="26"/>
  <c r="AI131" i="26"/>
  <c r="V131" i="26"/>
  <c r="AE131" i="26" s="1"/>
  <c r="J131" i="26"/>
  <c r="K131" i="26" s="1"/>
  <c r="L131" i="26" s="1"/>
  <c r="M131" i="26" s="1"/>
  <c r="N131" i="26" s="1"/>
  <c r="AQ130" i="26"/>
  <c r="AI130" i="26"/>
  <c r="V130" i="26"/>
  <c r="AE130" i="26" s="1"/>
  <c r="J130" i="26"/>
  <c r="K130" i="26" s="1"/>
  <c r="L130" i="26" s="1"/>
  <c r="M130" i="26" s="1"/>
  <c r="N130" i="26" s="1"/>
  <c r="AQ129" i="26"/>
  <c r="AI129" i="26"/>
  <c r="V129" i="26"/>
  <c r="AE129" i="26" s="1"/>
  <c r="J129" i="26"/>
  <c r="K129" i="26" s="1"/>
  <c r="L129" i="26" s="1"/>
  <c r="M129" i="26" s="1"/>
  <c r="N129" i="26" s="1"/>
  <c r="AQ128" i="26"/>
  <c r="AI128" i="26"/>
  <c r="V128" i="26"/>
  <c r="AE128" i="26" s="1"/>
  <c r="J128" i="26"/>
  <c r="K128" i="26" s="1"/>
  <c r="L128" i="26" s="1"/>
  <c r="M128" i="26" s="1"/>
  <c r="N128" i="26" s="1"/>
  <c r="AQ127" i="26"/>
  <c r="AI127" i="26"/>
  <c r="V127" i="26"/>
  <c r="AE127" i="26" s="1"/>
  <c r="J127" i="26"/>
  <c r="K127" i="26" s="1"/>
  <c r="L127" i="26" s="1"/>
  <c r="M127" i="26" s="1"/>
  <c r="N127" i="26" s="1"/>
  <c r="AQ126" i="26"/>
  <c r="AI126" i="26"/>
  <c r="V126" i="26"/>
  <c r="AE126" i="26" s="1"/>
  <c r="J126" i="26"/>
  <c r="K126" i="26" s="1"/>
  <c r="L126" i="26" s="1"/>
  <c r="M126" i="26" s="1"/>
  <c r="N126" i="26" s="1"/>
  <c r="AQ125" i="26"/>
  <c r="AI125" i="26"/>
  <c r="V125" i="26"/>
  <c r="AE125" i="26" s="1"/>
  <c r="J125" i="26"/>
  <c r="K125" i="26" s="1"/>
  <c r="L125" i="26" s="1"/>
  <c r="M125" i="26" s="1"/>
  <c r="N125" i="26" s="1"/>
  <c r="AQ124" i="26"/>
  <c r="J124" i="26"/>
  <c r="K124" i="26" s="1"/>
  <c r="L124" i="26" s="1"/>
  <c r="M124" i="26" s="1"/>
  <c r="N124" i="26" s="1"/>
  <c r="AQ123" i="26"/>
  <c r="J123" i="26"/>
  <c r="K123" i="26" s="1"/>
  <c r="L123" i="26" s="1"/>
  <c r="M123" i="26" s="1"/>
  <c r="N123" i="26" s="1"/>
  <c r="AQ122" i="26"/>
  <c r="J122" i="26"/>
  <c r="K122" i="26" s="1"/>
  <c r="L122" i="26" s="1"/>
  <c r="M122" i="26" s="1"/>
  <c r="N122" i="26" s="1"/>
  <c r="AQ121" i="26"/>
  <c r="M121" i="26"/>
  <c r="N121" i="26" s="1"/>
  <c r="J121" i="26"/>
  <c r="K121" i="26" s="1"/>
  <c r="L121" i="26" s="1"/>
  <c r="AQ120" i="26"/>
  <c r="J120" i="26"/>
  <c r="K120" i="26" s="1"/>
  <c r="L120" i="26" s="1"/>
  <c r="M120" i="26" s="1"/>
  <c r="N120" i="26" s="1"/>
  <c r="AQ119" i="26"/>
  <c r="J119" i="26"/>
  <c r="K119" i="26" s="1"/>
  <c r="L119" i="26" s="1"/>
  <c r="M119" i="26" s="1"/>
  <c r="N119" i="26" s="1"/>
  <c r="AQ118" i="26"/>
  <c r="J118" i="26"/>
  <c r="K118" i="26" s="1"/>
  <c r="L118" i="26" s="1"/>
  <c r="M118" i="26" s="1"/>
  <c r="N118" i="26" s="1"/>
  <c r="AQ117" i="26"/>
  <c r="J117" i="26"/>
  <c r="K117" i="26" s="1"/>
  <c r="L117" i="26" s="1"/>
  <c r="M117" i="26" s="1"/>
  <c r="N117" i="26" s="1"/>
  <c r="AQ116" i="26"/>
  <c r="J116" i="26"/>
  <c r="K116" i="26" s="1"/>
  <c r="L116" i="26" s="1"/>
  <c r="M116" i="26" s="1"/>
  <c r="N116" i="26" s="1"/>
  <c r="AQ115" i="26"/>
  <c r="J115" i="26"/>
  <c r="K115" i="26" s="1"/>
  <c r="L115" i="26" s="1"/>
  <c r="M115" i="26" s="1"/>
  <c r="N115" i="26" s="1"/>
  <c r="AQ114" i="26"/>
  <c r="J114" i="26"/>
  <c r="K114" i="26" s="1"/>
  <c r="L114" i="26" s="1"/>
  <c r="M114" i="26" s="1"/>
  <c r="N114" i="26" s="1"/>
  <c r="AQ113" i="26"/>
  <c r="J113" i="26"/>
  <c r="K113" i="26" s="1"/>
  <c r="L113" i="26" s="1"/>
  <c r="M113" i="26" s="1"/>
  <c r="N113" i="26" s="1"/>
  <c r="AQ112" i="26"/>
  <c r="J112" i="26"/>
  <c r="K112" i="26" s="1"/>
  <c r="L112" i="26" s="1"/>
  <c r="M112" i="26" s="1"/>
  <c r="N112" i="26" s="1"/>
  <c r="AQ111" i="26"/>
  <c r="J111" i="26"/>
  <c r="K111" i="26" s="1"/>
  <c r="L111" i="26" s="1"/>
  <c r="M111" i="26" s="1"/>
  <c r="N111" i="26" s="1"/>
  <c r="AQ110" i="26"/>
  <c r="G110" i="26"/>
  <c r="F110" i="26" s="1"/>
  <c r="C110" i="26"/>
  <c r="AH123" i="26" s="1"/>
  <c r="C7" i="27" l="1"/>
  <c r="BO25" i="27" s="1"/>
  <c r="BM61" i="27" s="1"/>
  <c r="AR118" i="26"/>
  <c r="AR109" i="28"/>
  <c r="AR112" i="28"/>
  <c r="AR107" i="28"/>
  <c r="C8" i="28" s="1"/>
  <c r="AR108" i="28"/>
  <c r="AR111" i="28"/>
  <c r="C128" i="28"/>
  <c r="X107" i="28"/>
  <c r="Z107" i="28" s="1"/>
  <c r="AR110" i="28"/>
  <c r="AE107" i="28"/>
  <c r="AS107" i="28"/>
  <c r="S109" i="28"/>
  <c r="T108" i="28"/>
  <c r="BJ104" i="28"/>
  <c r="C7" i="25"/>
  <c r="BQ25" i="25" s="1"/>
  <c r="AR149" i="27"/>
  <c r="AR147" i="27"/>
  <c r="AR122" i="27"/>
  <c r="AR151" i="27"/>
  <c r="C7" i="26"/>
  <c r="AR125" i="27"/>
  <c r="AR145" i="27"/>
  <c r="AR153" i="27"/>
  <c r="AR124" i="27"/>
  <c r="AR112" i="27"/>
  <c r="AR150" i="27"/>
  <c r="AR152" i="27"/>
  <c r="AR154" i="27"/>
  <c r="AR114" i="27"/>
  <c r="AR127" i="27"/>
  <c r="AH112" i="27"/>
  <c r="AM112" i="27" s="1"/>
  <c r="AN112" i="27" s="1"/>
  <c r="AO112" i="27" s="1"/>
  <c r="AH110" i="27"/>
  <c r="AJ110" i="27" s="1"/>
  <c r="AK110" i="27" s="1"/>
  <c r="AL110" i="27" s="1"/>
  <c r="AR144" i="27"/>
  <c r="AR146" i="27"/>
  <c r="AH113" i="27"/>
  <c r="AM113" i="27" s="1"/>
  <c r="AN113" i="27" s="1"/>
  <c r="AO113" i="27" s="1"/>
  <c r="O118" i="27"/>
  <c r="P118" i="27" s="1"/>
  <c r="Q118" i="27" s="1"/>
  <c r="AH119" i="27"/>
  <c r="AM119" i="27" s="1"/>
  <c r="AN119" i="27" s="1"/>
  <c r="AO119" i="27" s="1"/>
  <c r="J110" i="27"/>
  <c r="K110" i="27" s="1"/>
  <c r="L110" i="27" s="1"/>
  <c r="M110" i="27" s="1"/>
  <c r="N110" i="27" s="1"/>
  <c r="O111" i="27"/>
  <c r="P111" i="27" s="1"/>
  <c r="Q111" i="27" s="1"/>
  <c r="O114" i="27"/>
  <c r="P114" i="27" s="1"/>
  <c r="Q114" i="27" s="1"/>
  <c r="O116" i="27"/>
  <c r="P116" i="27" s="1"/>
  <c r="Q116" i="27" s="1"/>
  <c r="O117" i="27"/>
  <c r="P117" i="27" s="1"/>
  <c r="Q117" i="27" s="1"/>
  <c r="AH111" i="27"/>
  <c r="AJ111" i="27" s="1"/>
  <c r="AK111" i="27" s="1"/>
  <c r="AL111" i="27" s="1"/>
  <c r="O112" i="27"/>
  <c r="P112" i="27" s="1"/>
  <c r="Q112" i="27" s="1"/>
  <c r="AH114" i="27"/>
  <c r="AJ114" i="27" s="1"/>
  <c r="AK114" i="27" s="1"/>
  <c r="AL114" i="27" s="1"/>
  <c r="AH118" i="27"/>
  <c r="AJ118" i="27" s="1"/>
  <c r="AK118" i="27" s="1"/>
  <c r="AL118" i="27" s="1"/>
  <c r="O120" i="27"/>
  <c r="P120" i="27" s="1"/>
  <c r="Q120" i="27" s="1"/>
  <c r="O113" i="27"/>
  <c r="P113" i="27" s="1"/>
  <c r="Q113" i="27" s="1"/>
  <c r="AH115" i="27"/>
  <c r="AM115" i="27" s="1"/>
  <c r="AN115" i="27" s="1"/>
  <c r="AO115" i="27" s="1"/>
  <c r="AR152" i="26"/>
  <c r="AR154" i="26"/>
  <c r="AR111" i="27"/>
  <c r="AR113" i="27"/>
  <c r="AR119" i="27"/>
  <c r="AR126" i="27"/>
  <c r="AR128" i="27"/>
  <c r="AR129" i="27"/>
  <c r="AR130" i="27"/>
  <c r="AR133" i="27"/>
  <c r="AR143" i="27"/>
  <c r="AR115" i="27"/>
  <c r="AR117" i="27"/>
  <c r="AR120" i="27"/>
  <c r="AR121" i="27"/>
  <c r="AR123" i="27"/>
  <c r="AR132" i="27"/>
  <c r="AR110" i="27"/>
  <c r="AR116" i="27"/>
  <c r="AR118" i="27"/>
  <c r="AR131" i="27"/>
  <c r="BM56" i="27"/>
  <c r="BM105" i="27"/>
  <c r="AJ117" i="27"/>
  <c r="AK117" i="27" s="1"/>
  <c r="AL117" i="27" s="1"/>
  <c r="AI117" i="27"/>
  <c r="AM117" i="27"/>
  <c r="AN117" i="27" s="1"/>
  <c r="AO117" i="27" s="1"/>
  <c r="AH133" i="27"/>
  <c r="AI133" i="27" s="1"/>
  <c r="O133" i="27"/>
  <c r="P133" i="27" s="1"/>
  <c r="Q133" i="27" s="1"/>
  <c r="AH132" i="27"/>
  <c r="AI132" i="27" s="1"/>
  <c r="O132" i="27"/>
  <c r="P132" i="27" s="1"/>
  <c r="Q132" i="27" s="1"/>
  <c r="AH131" i="27"/>
  <c r="AI131" i="27" s="1"/>
  <c r="O131" i="27"/>
  <c r="P131" i="27" s="1"/>
  <c r="Q131" i="27" s="1"/>
  <c r="AH130" i="27"/>
  <c r="AI130" i="27" s="1"/>
  <c r="O130" i="27"/>
  <c r="P130" i="27" s="1"/>
  <c r="Q130" i="27" s="1"/>
  <c r="AH129" i="27"/>
  <c r="AI129" i="27" s="1"/>
  <c r="O129" i="27"/>
  <c r="P129" i="27" s="1"/>
  <c r="Q129" i="27" s="1"/>
  <c r="AH128" i="27"/>
  <c r="AI128" i="27" s="1"/>
  <c r="O128" i="27"/>
  <c r="P128" i="27" s="1"/>
  <c r="Q128" i="27" s="1"/>
  <c r="AH127" i="27"/>
  <c r="AI127" i="27" s="1"/>
  <c r="O127" i="27"/>
  <c r="P127" i="27" s="1"/>
  <c r="Q127" i="27" s="1"/>
  <c r="AH126" i="27"/>
  <c r="AI126" i="27" s="1"/>
  <c r="O126" i="27"/>
  <c r="P126" i="27" s="1"/>
  <c r="Q126" i="27" s="1"/>
  <c r="AH125" i="27"/>
  <c r="AI125" i="27" s="1"/>
  <c r="O125" i="27"/>
  <c r="P125" i="27" s="1"/>
  <c r="Q125" i="27" s="1"/>
  <c r="AH124" i="27"/>
  <c r="O124" i="27"/>
  <c r="P124" i="27" s="1"/>
  <c r="Q124" i="27" s="1"/>
  <c r="AH123" i="27"/>
  <c r="O123" i="27"/>
  <c r="P123" i="27" s="1"/>
  <c r="Q123" i="27" s="1"/>
  <c r="AH122" i="27"/>
  <c r="O122" i="27"/>
  <c r="P122" i="27" s="1"/>
  <c r="Q122" i="27" s="1"/>
  <c r="AH121" i="27"/>
  <c r="O110" i="27"/>
  <c r="P110" i="27" s="1"/>
  <c r="O115" i="27"/>
  <c r="P115" i="27" s="1"/>
  <c r="Q115" i="27" s="1"/>
  <c r="AH116" i="27"/>
  <c r="O119" i="27"/>
  <c r="P119" i="27" s="1"/>
  <c r="Q119" i="27" s="1"/>
  <c r="AH120" i="27"/>
  <c r="O121" i="27"/>
  <c r="P121" i="27" s="1"/>
  <c r="Q121" i="27" s="1"/>
  <c r="BK201" i="27"/>
  <c r="AF187" i="27"/>
  <c r="AF186" i="27"/>
  <c r="AF184" i="27"/>
  <c r="AF185" i="27"/>
  <c r="AR121" i="26"/>
  <c r="AR126" i="26"/>
  <c r="AR133" i="26"/>
  <c r="AR148" i="26"/>
  <c r="AR122" i="26"/>
  <c r="AR130" i="26"/>
  <c r="AR132" i="26"/>
  <c r="AR145" i="26"/>
  <c r="AR146" i="26"/>
  <c r="AR151" i="26"/>
  <c r="AR115" i="26"/>
  <c r="AR117" i="26"/>
  <c r="AR124" i="26"/>
  <c r="AR127" i="26"/>
  <c r="AR143" i="26"/>
  <c r="AR149" i="26"/>
  <c r="AR153" i="26"/>
  <c r="AR112" i="26"/>
  <c r="AR113" i="26"/>
  <c r="AR120" i="26"/>
  <c r="AR125" i="26"/>
  <c r="AF126" i="26"/>
  <c r="AR128" i="26"/>
  <c r="AR144" i="26"/>
  <c r="AR147" i="26"/>
  <c r="AR110" i="26"/>
  <c r="AR119" i="26"/>
  <c r="AR123" i="26"/>
  <c r="AR129" i="26"/>
  <c r="AF130" i="26"/>
  <c r="AF132" i="26"/>
  <c r="AF128" i="26"/>
  <c r="AF125" i="26"/>
  <c r="AF127" i="26"/>
  <c r="AF129" i="26"/>
  <c r="AR150" i="26"/>
  <c r="AR111" i="26"/>
  <c r="AR114" i="26"/>
  <c r="AR131" i="26"/>
  <c r="AF153" i="26"/>
  <c r="AE154" i="26"/>
  <c r="AF184" i="26"/>
  <c r="AR116" i="26"/>
  <c r="AF131" i="26"/>
  <c r="AF186" i="26"/>
  <c r="BK195" i="26"/>
  <c r="AJ123" i="26"/>
  <c r="AK123" i="26" s="1"/>
  <c r="AL123" i="26" s="1"/>
  <c r="AI123" i="26"/>
  <c r="AM123" i="26"/>
  <c r="AN123" i="26" s="1"/>
  <c r="AO123" i="26" s="1"/>
  <c r="AH110" i="26"/>
  <c r="AH112" i="26"/>
  <c r="O113" i="26"/>
  <c r="P113" i="26" s="1"/>
  <c r="Q113" i="26" s="1"/>
  <c r="AH120" i="26"/>
  <c r="O122" i="26"/>
  <c r="P122" i="26" s="1"/>
  <c r="Q122" i="26" s="1"/>
  <c r="O133" i="26"/>
  <c r="P133" i="26" s="1"/>
  <c r="Q133" i="26" s="1"/>
  <c r="AH132" i="26"/>
  <c r="O132" i="26"/>
  <c r="P132" i="26" s="1"/>
  <c r="Q132" i="26" s="1"/>
  <c r="AH131" i="26"/>
  <c r="O131" i="26"/>
  <c r="P131" i="26" s="1"/>
  <c r="Q131" i="26" s="1"/>
  <c r="AH129" i="26"/>
  <c r="O129" i="26"/>
  <c r="P129" i="26" s="1"/>
  <c r="Q129" i="26" s="1"/>
  <c r="AH127" i="26"/>
  <c r="O127" i="26"/>
  <c r="P127" i="26" s="1"/>
  <c r="Q127" i="26" s="1"/>
  <c r="AH125" i="26"/>
  <c r="O125" i="26"/>
  <c r="P125" i="26" s="1"/>
  <c r="Q125" i="26" s="1"/>
  <c r="AH130" i="26"/>
  <c r="O130" i="26"/>
  <c r="P130" i="26" s="1"/>
  <c r="Q130" i="26" s="1"/>
  <c r="AH128" i="26"/>
  <c r="O128" i="26"/>
  <c r="P128" i="26" s="1"/>
  <c r="Q128" i="26" s="1"/>
  <c r="AH126" i="26"/>
  <c r="O126" i="26"/>
  <c r="P126" i="26" s="1"/>
  <c r="Q126" i="26" s="1"/>
  <c r="AH124" i="26"/>
  <c r="O124" i="26"/>
  <c r="P124" i="26" s="1"/>
  <c r="Q124" i="26" s="1"/>
  <c r="AH133" i="26"/>
  <c r="O123" i="26"/>
  <c r="P123" i="26" s="1"/>
  <c r="Q123" i="26" s="1"/>
  <c r="AH121" i="26"/>
  <c r="O121" i="26"/>
  <c r="P121" i="26" s="1"/>
  <c r="Q121" i="26" s="1"/>
  <c r="AH119" i="26"/>
  <c r="O119" i="26"/>
  <c r="P119" i="26" s="1"/>
  <c r="Q119" i="26" s="1"/>
  <c r="AH117" i="26"/>
  <c r="O117" i="26"/>
  <c r="P117" i="26" s="1"/>
  <c r="Q117" i="26" s="1"/>
  <c r="AH115" i="26"/>
  <c r="O115" i="26"/>
  <c r="P115" i="26" s="1"/>
  <c r="Q115" i="26" s="1"/>
  <c r="AH122" i="26"/>
  <c r="O116" i="26"/>
  <c r="P116" i="26" s="1"/>
  <c r="Q116" i="26" s="1"/>
  <c r="AH114" i="26"/>
  <c r="J110" i="26"/>
  <c r="K110" i="26" s="1"/>
  <c r="L110" i="26" s="1"/>
  <c r="M110" i="26" s="1"/>
  <c r="N110" i="26" s="1"/>
  <c r="O120" i="26"/>
  <c r="P120" i="26" s="1"/>
  <c r="Q120" i="26" s="1"/>
  <c r="AH118" i="26"/>
  <c r="AH111" i="26"/>
  <c r="O111" i="26"/>
  <c r="P111" i="26" s="1"/>
  <c r="Q111" i="26" s="1"/>
  <c r="O112" i="26"/>
  <c r="P112" i="26" s="1"/>
  <c r="Q112" i="26" s="1"/>
  <c r="AH113" i="26"/>
  <c r="O114" i="26"/>
  <c r="P114" i="26" s="1"/>
  <c r="Q114" i="26" s="1"/>
  <c r="O110" i="26"/>
  <c r="P110" i="26" s="1"/>
  <c r="AH116" i="26"/>
  <c r="O118" i="26"/>
  <c r="P118" i="26" s="1"/>
  <c r="Q118" i="26" s="1"/>
  <c r="AE133" i="26"/>
  <c r="AE132" i="26"/>
  <c r="AF185" i="26"/>
  <c r="AF182" i="26"/>
  <c r="AF183" i="26"/>
  <c r="AF180" i="26"/>
  <c r="AF181" i="26"/>
  <c r="AJ113" i="27" l="1"/>
  <c r="AK113" i="27" s="1"/>
  <c r="AL113" i="27" s="1"/>
  <c r="BJ105" i="28"/>
  <c r="T109" i="28"/>
  <c r="S110" i="28"/>
  <c r="R109" i="28"/>
  <c r="V108" i="28"/>
  <c r="AG151" i="28"/>
  <c r="AG147" i="28"/>
  <c r="AG150" i="28"/>
  <c r="AG146" i="28"/>
  <c r="AG142" i="28"/>
  <c r="AG138" i="28"/>
  <c r="AG134" i="28"/>
  <c r="AG149" i="28"/>
  <c r="O149" i="28"/>
  <c r="P149" i="28" s="1"/>
  <c r="Q149" i="28" s="1"/>
  <c r="AG148" i="28"/>
  <c r="AG144" i="28"/>
  <c r="AG143" i="28"/>
  <c r="AG140" i="28"/>
  <c r="O140" i="28"/>
  <c r="P140" i="28" s="1"/>
  <c r="Q140" i="28" s="1"/>
  <c r="O146" i="28"/>
  <c r="P146" i="28" s="1"/>
  <c r="Q146" i="28" s="1"/>
  <c r="AG141" i="28"/>
  <c r="O147" i="28"/>
  <c r="P147" i="28" s="1"/>
  <c r="Q147" i="28" s="1"/>
  <c r="AG139" i="28"/>
  <c r="O139" i="28"/>
  <c r="P139" i="28" s="1"/>
  <c r="Q139" i="28" s="1"/>
  <c r="O151" i="28"/>
  <c r="P151" i="28" s="1"/>
  <c r="Q151" i="28" s="1"/>
  <c r="O143" i="28"/>
  <c r="P143" i="28" s="1"/>
  <c r="Q143" i="28" s="1"/>
  <c r="AG137" i="28"/>
  <c r="O133" i="28"/>
  <c r="P133" i="28" s="1"/>
  <c r="Q133" i="28" s="1"/>
  <c r="AG128" i="28"/>
  <c r="O148" i="28"/>
  <c r="P148" i="28" s="1"/>
  <c r="Q148" i="28" s="1"/>
  <c r="O145" i="28"/>
  <c r="P145" i="28" s="1"/>
  <c r="Q145" i="28" s="1"/>
  <c r="O142" i="28"/>
  <c r="P142" i="28" s="1"/>
  <c r="Q142" i="28" s="1"/>
  <c r="AG133" i="28"/>
  <c r="O138" i="28"/>
  <c r="P138" i="28" s="1"/>
  <c r="Q138" i="28" s="1"/>
  <c r="O136" i="28"/>
  <c r="P136" i="28" s="1"/>
  <c r="Q136" i="28" s="1"/>
  <c r="O135" i="28"/>
  <c r="P135" i="28" s="1"/>
  <c r="Q135" i="28" s="1"/>
  <c r="AG130" i="28"/>
  <c r="O130" i="28"/>
  <c r="P130" i="28" s="1"/>
  <c r="Q130" i="28" s="1"/>
  <c r="O141" i="28"/>
  <c r="P141" i="28" s="1"/>
  <c r="Q141" i="28" s="1"/>
  <c r="AG135" i="28"/>
  <c r="O132" i="28"/>
  <c r="P132" i="28" s="1"/>
  <c r="Q132" i="28" s="1"/>
  <c r="J128" i="28"/>
  <c r="K128" i="28" s="1"/>
  <c r="L128" i="28" s="1"/>
  <c r="M128" i="28" s="1"/>
  <c r="N128" i="28" s="1"/>
  <c r="AG145" i="28"/>
  <c r="AG131" i="28"/>
  <c r="O128" i="28"/>
  <c r="P128" i="28" s="1"/>
  <c r="O129" i="28"/>
  <c r="P129" i="28" s="1"/>
  <c r="Q129" i="28" s="1"/>
  <c r="AG132" i="28"/>
  <c r="O144" i="28"/>
  <c r="P144" i="28" s="1"/>
  <c r="Q144" i="28" s="1"/>
  <c r="O150" i="28"/>
  <c r="P150" i="28" s="1"/>
  <c r="Q150" i="28" s="1"/>
  <c r="O131" i="28"/>
  <c r="P131" i="28" s="1"/>
  <c r="Q131" i="28" s="1"/>
  <c r="AG136" i="28"/>
  <c r="AG129" i="28"/>
  <c r="O137" i="28"/>
  <c r="P137" i="28" s="1"/>
  <c r="Q137" i="28" s="1"/>
  <c r="O134" i="28"/>
  <c r="P134" i="28" s="1"/>
  <c r="Q134" i="28" s="1"/>
  <c r="BO25" i="26"/>
  <c r="AI113" i="27"/>
  <c r="AM110" i="27"/>
  <c r="AN110" i="27" s="1"/>
  <c r="AO110" i="27" s="1"/>
  <c r="AS110" i="27" s="1"/>
  <c r="C8" i="27" s="1"/>
  <c r="AJ112" i="27"/>
  <c r="AK112" i="27" s="1"/>
  <c r="AL112" i="27" s="1"/>
  <c r="AS112" i="27" s="1"/>
  <c r="AI110" i="27"/>
  <c r="AI112" i="27"/>
  <c r="Q110" i="27"/>
  <c r="S110" i="27" s="1"/>
  <c r="T110" i="27" s="1"/>
  <c r="R111" i="27" s="1"/>
  <c r="S111" i="27" s="1"/>
  <c r="AI111" i="27"/>
  <c r="AM111" i="27"/>
  <c r="AN111" i="27" s="1"/>
  <c r="AO111" i="27" s="1"/>
  <c r="AS111" i="27" s="1"/>
  <c r="AS113" i="27"/>
  <c r="AM118" i="27"/>
  <c r="AN118" i="27" s="1"/>
  <c r="AO118" i="27" s="1"/>
  <c r="AS118" i="27" s="1"/>
  <c r="AI118" i="27"/>
  <c r="AI115" i="27"/>
  <c r="AJ115" i="27"/>
  <c r="AK115" i="27" s="1"/>
  <c r="AL115" i="27" s="1"/>
  <c r="AS115" i="27" s="1"/>
  <c r="AM114" i="27"/>
  <c r="AN114" i="27" s="1"/>
  <c r="AO114" i="27" s="1"/>
  <c r="AS114" i="27" s="1"/>
  <c r="AI114" i="27"/>
  <c r="AI119" i="27"/>
  <c r="AJ119" i="27"/>
  <c r="AK119" i="27" s="1"/>
  <c r="AL119" i="27" s="1"/>
  <c r="AS119" i="27" s="1"/>
  <c r="AJ120" i="27"/>
  <c r="AK120" i="27" s="1"/>
  <c r="AL120" i="27" s="1"/>
  <c r="AI120" i="27"/>
  <c r="AM120" i="27"/>
  <c r="AN120" i="27" s="1"/>
  <c r="AO120" i="27" s="1"/>
  <c r="AM122" i="27"/>
  <c r="AN122" i="27" s="1"/>
  <c r="AO122" i="27" s="1"/>
  <c r="AJ122" i="27"/>
  <c r="AK122" i="27" s="1"/>
  <c r="AL122" i="27" s="1"/>
  <c r="AI122" i="27"/>
  <c r="AM124" i="27"/>
  <c r="AN124" i="27" s="1"/>
  <c r="AO124" i="27" s="1"/>
  <c r="AJ124" i="27"/>
  <c r="AK124" i="27" s="1"/>
  <c r="AL124" i="27" s="1"/>
  <c r="AI124" i="27"/>
  <c r="AM126" i="27"/>
  <c r="AN126" i="27" s="1"/>
  <c r="AO126" i="27" s="1"/>
  <c r="AJ126" i="27"/>
  <c r="AK126" i="27" s="1"/>
  <c r="AL126" i="27" s="1"/>
  <c r="AJ128" i="27"/>
  <c r="AK128" i="27" s="1"/>
  <c r="AL128" i="27" s="1"/>
  <c r="AM128" i="27"/>
  <c r="AN128" i="27" s="1"/>
  <c r="AO128" i="27" s="1"/>
  <c r="AM130" i="27"/>
  <c r="AN130" i="27" s="1"/>
  <c r="AO130" i="27" s="1"/>
  <c r="AJ130" i="27"/>
  <c r="AK130" i="27" s="1"/>
  <c r="AL130" i="27" s="1"/>
  <c r="AM132" i="27"/>
  <c r="AN132" i="27" s="1"/>
  <c r="AO132" i="27" s="1"/>
  <c r="AJ132" i="27"/>
  <c r="AK132" i="27" s="1"/>
  <c r="AL132" i="27" s="1"/>
  <c r="BK202" i="27"/>
  <c r="AJ116" i="27"/>
  <c r="AK116" i="27" s="1"/>
  <c r="AL116" i="27" s="1"/>
  <c r="AI116" i="27"/>
  <c r="AM116" i="27"/>
  <c r="AN116" i="27" s="1"/>
  <c r="AO116" i="27" s="1"/>
  <c r="AI121" i="27"/>
  <c r="AM121" i="27"/>
  <c r="AN121" i="27" s="1"/>
  <c r="AO121" i="27" s="1"/>
  <c r="AJ121" i="27"/>
  <c r="AK121" i="27" s="1"/>
  <c r="AL121" i="27" s="1"/>
  <c r="AI123" i="27"/>
  <c r="AM123" i="27"/>
  <c r="AN123" i="27" s="1"/>
  <c r="AO123" i="27" s="1"/>
  <c r="AJ123" i="27"/>
  <c r="AK123" i="27" s="1"/>
  <c r="AL123" i="27" s="1"/>
  <c r="AM125" i="27"/>
  <c r="AN125" i="27" s="1"/>
  <c r="AO125" i="27" s="1"/>
  <c r="AJ125" i="27"/>
  <c r="AK125" i="27" s="1"/>
  <c r="AL125" i="27" s="1"/>
  <c r="AM127" i="27"/>
  <c r="AN127" i="27" s="1"/>
  <c r="AO127" i="27" s="1"/>
  <c r="AJ127" i="27"/>
  <c r="AK127" i="27" s="1"/>
  <c r="AL127" i="27" s="1"/>
  <c r="AM129" i="27"/>
  <c r="AN129" i="27" s="1"/>
  <c r="AO129" i="27" s="1"/>
  <c r="AJ129" i="27"/>
  <c r="AK129" i="27" s="1"/>
  <c r="AL129" i="27" s="1"/>
  <c r="AJ131" i="27"/>
  <c r="AK131" i="27" s="1"/>
  <c r="AL131" i="27" s="1"/>
  <c r="AM131" i="27"/>
  <c r="AN131" i="27" s="1"/>
  <c r="AO131" i="27" s="1"/>
  <c r="AM133" i="27"/>
  <c r="AN133" i="27" s="1"/>
  <c r="AO133" i="27" s="1"/>
  <c r="AJ133" i="27"/>
  <c r="AK133" i="27" s="1"/>
  <c r="AL133" i="27" s="1"/>
  <c r="AS117" i="27"/>
  <c r="BK196" i="26"/>
  <c r="AM110" i="26"/>
  <c r="AN110" i="26" s="1"/>
  <c r="AO110" i="26" s="1"/>
  <c r="AI110" i="26"/>
  <c r="AJ110" i="26"/>
  <c r="AK110" i="26" s="1"/>
  <c r="AL110" i="26" s="1"/>
  <c r="AJ122" i="26"/>
  <c r="AK122" i="26" s="1"/>
  <c r="AL122" i="26" s="1"/>
  <c r="AI122" i="26"/>
  <c r="AM122" i="26"/>
  <c r="AN122" i="26" s="1"/>
  <c r="AO122" i="26" s="1"/>
  <c r="AI117" i="26"/>
  <c r="AM117" i="26"/>
  <c r="AN117" i="26" s="1"/>
  <c r="AO117" i="26" s="1"/>
  <c r="AJ117" i="26"/>
  <c r="AK117" i="26" s="1"/>
  <c r="AL117" i="26" s="1"/>
  <c r="AI121" i="26"/>
  <c r="AJ121" i="26"/>
  <c r="AK121" i="26" s="1"/>
  <c r="AL121" i="26" s="1"/>
  <c r="AM121" i="26"/>
  <c r="AN121" i="26" s="1"/>
  <c r="AO121" i="26" s="1"/>
  <c r="AJ124" i="26"/>
  <c r="AK124" i="26" s="1"/>
  <c r="AL124" i="26" s="1"/>
  <c r="AM124" i="26"/>
  <c r="AN124" i="26" s="1"/>
  <c r="AO124" i="26" s="1"/>
  <c r="AI124" i="26"/>
  <c r="AJ128" i="26"/>
  <c r="AK128" i="26" s="1"/>
  <c r="AL128" i="26" s="1"/>
  <c r="AM128" i="26"/>
  <c r="AN128" i="26" s="1"/>
  <c r="AO128" i="26" s="1"/>
  <c r="AJ125" i="26"/>
  <c r="AK125" i="26" s="1"/>
  <c r="AL125" i="26" s="1"/>
  <c r="AM125" i="26"/>
  <c r="AN125" i="26" s="1"/>
  <c r="AO125" i="26" s="1"/>
  <c r="AJ129" i="26"/>
  <c r="AK129" i="26" s="1"/>
  <c r="AL129" i="26" s="1"/>
  <c r="AM129" i="26"/>
  <c r="AN129" i="26" s="1"/>
  <c r="AO129" i="26" s="1"/>
  <c r="AM132" i="26"/>
  <c r="AN132" i="26" s="1"/>
  <c r="AO132" i="26" s="1"/>
  <c r="AJ132" i="26"/>
  <c r="AK132" i="26" s="1"/>
  <c r="AL132" i="26" s="1"/>
  <c r="AJ120" i="26"/>
  <c r="AK120" i="26" s="1"/>
  <c r="AL120" i="26" s="1"/>
  <c r="AI120" i="26"/>
  <c r="AM120" i="26"/>
  <c r="AN120" i="26" s="1"/>
  <c r="AO120" i="26" s="1"/>
  <c r="AS123" i="26"/>
  <c r="AJ116" i="26"/>
  <c r="AK116" i="26" s="1"/>
  <c r="AL116" i="26" s="1"/>
  <c r="AI116" i="26"/>
  <c r="AM116" i="26"/>
  <c r="AN116" i="26" s="1"/>
  <c r="AO116" i="26" s="1"/>
  <c r="AJ118" i="26"/>
  <c r="AK118" i="26" s="1"/>
  <c r="AL118" i="26" s="1"/>
  <c r="AM118" i="26"/>
  <c r="AN118" i="26" s="1"/>
  <c r="AO118" i="26" s="1"/>
  <c r="AI118" i="26"/>
  <c r="Q110" i="26"/>
  <c r="S110" i="26" s="1"/>
  <c r="T110" i="26" s="1"/>
  <c r="AM113" i="26"/>
  <c r="AN113" i="26" s="1"/>
  <c r="AO113" i="26" s="1"/>
  <c r="AI113" i="26"/>
  <c r="AJ113" i="26"/>
  <c r="AK113" i="26" s="1"/>
  <c r="AL113" i="26" s="1"/>
  <c r="AJ111" i="26"/>
  <c r="AK111" i="26" s="1"/>
  <c r="AL111" i="26" s="1"/>
  <c r="AM111" i="26"/>
  <c r="AN111" i="26" s="1"/>
  <c r="AO111" i="26" s="1"/>
  <c r="AI111" i="26"/>
  <c r="AJ114" i="26"/>
  <c r="AK114" i="26" s="1"/>
  <c r="AL114" i="26" s="1"/>
  <c r="AM114" i="26"/>
  <c r="AN114" i="26" s="1"/>
  <c r="AO114" i="26" s="1"/>
  <c r="AI114" i="26"/>
  <c r="AJ115" i="26"/>
  <c r="AK115" i="26" s="1"/>
  <c r="AL115" i="26" s="1"/>
  <c r="AM115" i="26"/>
  <c r="AN115" i="26" s="1"/>
  <c r="AO115" i="26" s="1"/>
  <c r="AI115" i="26"/>
  <c r="AM119" i="26"/>
  <c r="AN119" i="26" s="1"/>
  <c r="AO119" i="26" s="1"/>
  <c r="AJ119" i="26"/>
  <c r="AK119" i="26" s="1"/>
  <c r="AL119" i="26" s="1"/>
  <c r="AI119" i="26"/>
  <c r="AM133" i="26"/>
  <c r="AN133" i="26" s="1"/>
  <c r="AO133" i="26" s="1"/>
  <c r="AJ133" i="26"/>
  <c r="AK133" i="26" s="1"/>
  <c r="AL133" i="26" s="1"/>
  <c r="AJ126" i="26"/>
  <c r="AK126" i="26" s="1"/>
  <c r="AL126" i="26" s="1"/>
  <c r="AM126" i="26"/>
  <c r="AN126" i="26" s="1"/>
  <c r="AO126" i="26" s="1"/>
  <c r="AJ130" i="26"/>
  <c r="AK130" i="26" s="1"/>
  <c r="AL130" i="26" s="1"/>
  <c r="AM130" i="26"/>
  <c r="AN130" i="26" s="1"/>
  <c r="AO130" i="26" s="1"/>
  <c r="AJ127" i="26"/>
  <c r="AK127" i="26" s="1"/>
  <c r="AL127" i="26" s="1"/>
  <c r="AM127" i="26"/>
  <c r="AN127" i="26" s="1"/>
  <c r="AO127" i="26" s="1"/>
  <c r="AM131" i="26"/>
  <c r="AN131" i="26" s="1"/>
  <c r="AO131" i="26" s="1"/>
  <c r="AJ131" i="26"/>
  <c r="AK131" i="26" s="1"/>
  <c r="AL131" i="26" s="1"/>
  <c r="AM112" i="26"/>
  <c r="AN112" i="26" s="1"/>
  <c r="AO112" i="26" s="1"/>
  <c r="AI112" i="26"/>
  <c r="AJ112" i="26"/>
  <c r="AK112" i="26" s="1"/>
  <c r="AL112" i="26" s="1"/>
  <c r="AP121" i="25"/>
  <c r="AP120" i="25"/>
  <c r="AP119" i="25"/>
  <c r="AP118" i="25"/>
  <c r="AP117" i="25"/>
  <c r="AP116" i="25"/>
  <c r="AP115" i="25"/>
  <c r="AP114" i="25"/>
  <c r="AP113" i="25"/>
  <c r="AP112" i="25"/>
  <c r="AP111" i="25"/>
  <c r="AP110" i="25"/>
  <c r="AL130" i="28" l="1"/>
  <c r="AM130" i="28" s="1"/>
  <c r="AN130" i="28" s="1"/>
  <c r="AI130" i="28"/>
  <c r="AJ130" i="28" s="1"/>
  <c r="AK130" i="28" s="1"/>
  <c r="AL141" i="28"/>
  <c r="AM141" i="28" s="1"/>
  <c r="AN141" i="28" s="1"/>
  <c r="AI141" i="28"/>
  <c r="AJ141" i="28" s="1"/>
  <c r="AK141" i="28" s="1"/>
  <c r="AL129" i="28"/>
  <c r="AM129" i="28" s="1"/>
  <c r="AN129" i="28" s="1"/>
  <c r="AI129" i="28"/>
  <c r="AJ129" i="28" s="1"/>
  <c r="AK129" i="28" s="1"/>
  <c r="AL131" i="28"/>
  <c r="AM131" i="28" s="1"/>
  <c r="AN131" i="28" s="1"/>
  <c r="AI131" i="28"/>
  <c r="AJ131" i="28" s="1"/>
  <c r="AK131" i="28" s="1"/>
  <c r="AL134" i="28"/>
  <c r="AM134" i="28" s="1"/>
  <c r="AN134" i="28" s="1"/>
  <c r="AI134" i="28"/>
  <c r="AJ134" i="28" s="1"/>
  <c r="AK134" i="28" s="1"/>
  <c r="AS108" i="28"/>
  <c r="AE108" i="28"/>
  <c r="AL151" i="28"/>
  <c r="AM151" i="28" s="1"/>
  <c r="AN151" i="28" s="1"/>
  <c r="AI151" i="28"/>
  <c r="AJ151" i="28" s="1"/>
  <c r="AK151" i="28" s="1"/>
  <c r="Q128" i="28"/>
  <c r="S128" i="28" s="1"/>
  <c r="T128" i="28" s="1"/>
  <c r="AI128" i="28"/>
  <c r="AJ128" i="28" s="1"/>
  <c r="AK128" i="28" s="1"/>
  <c r="AL128" i="28"/>
  <c r="AM128" i="28" s="1"/>
  <c r="AN128" i="28" s="1"/>
  <c r="AL149" i="28"/>
  <c r="AM149" i="28" s="1"/>
  <c r="AN149" i="28" s="1"/>
  <c r="AI149" i="28"/>
  <c r="AJ149" i="28" s="1"/>
  <c r="AK149" i="28" s="1"/>
  <c r="AL136" i="28"/>
  <c r="AM136" i="28" s="1"/>
  <c r="AN136" i="28" s="1"/>
  <c r="AI136" i="28"/>
  <c r="AJ136" i="28" s="1"/>
  <c r="AK136" i="28" s="1"/>
  <c r="AL145" i="28"/>
  <c r="AM145" i="28" s="1"/>
  <c r="AN145" i="28" s="1"/>
  <c r="AI145" i="28"/>
  <c r="AJ145" i="28" s="1"/>
  <c r="AK145" i="28" s="1"/>
  <c r="AI137" i="28"/>
  <c r="AJ137" i="28" s="1"/>
  <c r="AK137" i="28" s="1"/>
  <c r="AL137" i="28"/>
  <c r="AM137" i="28" s="1"/>
  <c r="AN137" i="28" s="1"/>
  <c r="AL138" i="28"/>
  <c r="AM138" i="28" s="1"/>
  <c r="AN138" i="28" s="1"/>
  <c r="AI138" i="28"/>
  <c r="AJ138" i="28" s="1"/>
  <c r="AK138" i="28" s="1"/>
  <c r="AL140" i="28"/>
  <c r="AM140" i="28" s="1"/>
  <c r="AN140" i="28" s="1"/>
  <c r="AI140" i="28"/>
  <c r="AJ140" i="28" s="1"/>
  <c r="AK140" i="28" s="1"/>
  <c r="AI133" i="28"/>
  <c r="AJ133" i="28" s="1"/>
  <c r="AK133" i="28" s="1"/>
  <c r="AL133" i="28"/>
  <c r="AM133" i="28" s="1"/>
  <c r="AN133" i="28" s="1"/>
  <c r="AI143" i="28"/>
  <c r="AJ143" i="28" s="1"/>
  <c r="AK143" i="28" s="1"/>
  <c r="AL143" i="28"/>
  <c r="AM143" i="28" s="1"/>
  <c r="AN143" i="28" s="1"/>
  <c r="AL146" i="28"/>
  <c r="AM146" i="28" s="1"/>
  <c r="AN146" i="28" s="1"/>
  <c r="AI146" i="28"/>
  <c r="AJ146" i="28" s="1"/>
  <c r="AK146" i="28" s="1"/>
  <c r="R110" i="28"/>
  <c r="V109" i="28"/>
  <c r="S111" i="28"/>
  <c r="T110" i="28"/>
  <c r="AL135" i="28"/>
  <c r="AM135" i="28" s="1"/>
  <c r="AN135" i="28" s="1"/>
  <c r="AI135" i="28"/>
  <c r="AJ135" i="28" s="1"/>
  <c r="AK135" i="28" s="1"/>
  <c r="AL144" i="28"/>
  <c r="AM144" i="28" s="1"/>
  <c r="AN144" i="28" s="1"/>
  <c r="AI144" i="28"/>
  <c r="AJ144" i="28" s="1"/>
  <c r="AK144" i="28" s="1"/>
  <c r="AL150" i="28"/>
  <c r="AM150" i="28" s="1"/>
  <c r="AN150" i="28" s="1"/>
  <c r="AI150" i="28"/>
  <c r="AJ150" i="28" s="1"/>
  <c r="AK150" i="28" s="1"/>
  <c r="AL142" i="28"/>
  <c r="AM142" i="28" s="1"/>
  <c r="AN142" i="28" s="1"/>
  <c r="AI142" i="28"/>
  <c r="AJ142" i="28" s="1"/>
  <c r="AK142" i="28" s="1"/>
  <c r="AL132" i="28"/>
  <c r="AM132" i="28" s="1"/>
  <c r="AN132" i="28" s="1"/>
  <c r="AI132" i="28"/>
  <c r="AJ132" i="28" s="1"/>
  <c r="AK132" i="28" s="1"/>
  <c r="AL139" i="28"/>
  <c r="AM139" i="28" s="1"/>
  <c r="AN139" i="28" s="1"/>
  <c r="AI139" i="28"/>
  <c r="AJ139" i="28" s="1"/>
  <c r="AK139" i="28" s="1"/>
  <c r="AL148" i="28"/>
  <c r="AM148" i="28" s="1"/>
  <c r="AN148" i="28" s="1"/>
  <c r="AI148" i="28"/>
  <c r="AJ148" i="28" s="1"/>
  <c r="AK148" i="28" s="1"/>
  <c r="AI147" i="28"/>
  <c r="AJ147" i="28" s="1"/>
  <c r="AK147" i="28" s="1"/>
  <c r="AL147" i="28"/>
  <c r="AM147" i="28" s="1"/>
  <c r="AN147" i="28" s="1"/>
  <c r="BJ106" i="28"/>
  <c r="BM56" i="26"/>
  <c r="BM105" i="26"/>
  <c r="BM61" i="26"/>
  <c r="V110" i="27"/>
  <c r="AE110" i="27" s="1"/>
  <c r="AS122" i="27"/>
  <c r="AS120" i="27"/>
  <c r="AS123" i="27"/>
  <c r="AI135" i="27"/>
  <c r="C143" i="27" s="1"/>
  <c r="AS116" i="27"/>
  <c r="AS133" i="27"/>
  <c r="AS129" i="27"/>
  <c r="AS125" i="27"/>
  <c r="BK203" i="27"/>
  <c r="AS124" i="27"/>
  <c r="AS131" i="27"/>
  <c r="AS121" i="27"/>
  <c r="T111" i="27"/>
  <c r="S112" i="27"/>
  <c r="AS130" i="27"/>
  <c r="AS126" i="27"/>
  <c r="AS132" i="27"/>
  <c r="AS127" i="27"/>
  <c r="AS128" i="27"/>
  <c r="AS114" i="26"/>
  <c r="AS113" i="26"/>
  <c r="AS120" i="26"/>
  <c r="AS122" i="26"/>
  <c r="AS112" i="26"/>
  <c r="AS118" i="26"/>
  <c r="AS110" i="26"/>
  <c r="C8" i="26" s="1"/>
  <c r="BK197" i="26"/>
  <c r="AT131" i="26"/>
  <c r="AS131" i="26"/>
  <c r="AS133" i="26"/>
  <c r="AT133" i="26"/>
  <c r="V110" i="26"/>
  <c r="R111" i="26"/>
  <c r="S111" i="26" s="1"/>
  <c r="AT129" i="26"/>
  <c r="AS129" i="26"/>
  <c r="AS128" i="26"/>
  <c r="AT128" i="26"/>
  <c r="AT127" i="26"/>
  <c r="AS127" i="26"/>
  <c r="AS126" i="26"/>
  <c r="AT126" i="26"/>
  <c r="AS115" i="26"/>
  <c r="AS116" i="26"/>
  <c r="AS121" i="26"/>
  <c r="AS117" i="26"/>
  <c r="AI135" i="26"/>
  <c r="AT125" i="26"/>
  <c r="AS125" i="26"/>
  <c r="AS130" i="26"/>
  <c r="AT130" i="26"/>
  <c r="AS119" i="26"/>
  <c r="AS111" i="26"/>
  <c r="AS132" i="26"/>
  <c r="AT132" i="26"/>
  <c r="AS124" i="26"/>
  <c r="BL166" i="25"/>
  <c r="BL167" i="25" s="1"/>
  <c r="BL168" i="25" s="1"/>
  <c r="BL169" i="25" s="1"/>
  <c r="BL170" i="25" s="1"/>
  <c r="BL171" i="25" s="1"/>
  <c r="BL172" i="25" s="1"/>
  <c r="BL173" i="25" s="1"/>
  <c r="BL174" i="25" s="1"/>
  <c r="BL175" i="25" s="1"/>
  <c r="BL176" i="25" s="1"/>
  <c r="BL177" i="25" s="1"/>
  <c r="BL178" i="25" s="1"/>
  <c r="BL179" i="25" s="1"/>
  <c r="BL180" i="25" s="1"/>
  <c r="BL181" i="25" s="1"/>
  <c r="BL182" i="25" s="1"/>
  <c r="BL183" i="25" s="1"/>
  <c r="BL184" i="25" s="1"/>
  <c r="BL185" i="25" s="1"/>
  <c r="BL186" i="25" s="1"/>
  <c r="BL187" i="25" s="1"/>
  <c r="BL188" i="25" s="1"/>
  <c r="BL189" i="25" s="1"/>
  <c r="BL190" i="25" s="1"/>
  <c r="BL191" i="25" s="1"/>
  <c r="BL192" i="25" s="1"/>
  <c r="BL193" i="25" s="1"/>
  <c r="BL194" i="25" s="1"/>
  <c r="BL195" i="25" s="1"/>
  <c r="BL196" i="25" s="1"/>
  <c r="BL197" i="25" s="1"/>
  <c r="BL198" i="25" s="1"/>
  <c r="BL199" i="25" s="1"/>
  <c r="BL200" i="25" s="1"/>
  <c r="BL201" i="25" s="1"/>
  <c r="BM165" i="25"/>
  <c r="AP154" i="25"/>
  <c r="V154" i="25"/>
  <c r="J154" i="25"/>
  <c r="K154" i="25" s="1"/>
  <c r="L154" i="25" s="1"/>
  <c r="M154" i="25" s="1"/>
  <c r="N154" i="25" s="1"/>
  <c r="AP153" i="25"/>
  <c r="V153" i="25"/>
  <c r="J153" i="25"/>
  <c r="K153" i="25" s="1"/>
  <c r="L153" i="25" s="1"/>
  <c r="M153" i="25" s="1"/>
  <c r="N153" i="25" s="1"/>
  <c r="AP152" i="25"/>
  <c r="V152" i="25"/>
  <c r="J152" i="25"/>
  <c r="K152" i="25" s="1"/>
  <c r="L152" i="25" s="1"/>
  <c r="M152" i="25" s="1"/>
  <c r="N152" i="25" s="1"/>
  <c r="AP151" i="25"/>
  <c r="V151" i="25"/>
  <c r="J151" i="25"/>
  <c r="K151" i="25" s="1"/>
  <c r="L151" i="25" s="1"/>
  <c r="M151" i="25" s="1"/>
  <c r="N151" i="25" s="1"/>
  <c r="AP150" i="25"/>
  <c r="J150" i="25"/>
  <c r="K150" i="25" s="1"/>
  <c r="L150" i="25" s="1"/>
  <c r="M150" i="25" s="1"/>
  <c r="N150" i="25" s="1"/>
  <c r="AP149" i="25"/>
  <c r="J149" i="25"/>
  <c r="K149" i="25" s="1"/>
  <c r="L149" i="25" s="1"/>
  <c r="M149" i="25" s="1"/>
  <c r="N149" i="25" s="1"/>
  <c r="AP148" i="25"/>
  <c r="J148" i="25"/>
  <c r="K148" i="25" s="1"/>
  <c r="L148" i="25" s="1"/>
  <c r="M148" i="25" s="1"/>
  <c r="N148" i="25" s="1"/>
  <c r="AP147" i="25"/>
  <c r="J147" i="25"/>
  <c r="K147" i="25" s="1"/>
  <c r="L147" i="25" s="1"/>
  <c r="M147" i="25" s="1"/>
  <c r="N147" i="25" s="1"/>
  <c r="AP146" i="25"/>
  <c r="J146" i="25"/>
  <c r="K146" i="25" s="1"/>
  <c r="L146" i="25" s="1"/>
  <c r="M146" i="25" s="1"/>
  <c r="N146" i="25" s="1"/>
  <c r="AP145" i="25"/>
  <c r="J145" i="25"/>
  <c r="K145" i="25" s="1"/>
  <c r="L145" i="25" s="1"/>
  <c r="M145" i="25" s="1"/>
  <c r="N145" i="25" s="1"/>
  <c r="AP144" i="25"/>
  <c r="J144" i="25"/>
  <c r="K144" i="25" s="1"/>
  <c r="L144" i="25" s="1"/>
  <c r="M144" i="25" s="1"/>
  <c r="N144" i="25" s="1"/>
  <c r="AP143" i="25"/>
  <c r="J143" i="25"/>
  <c r="K143" i="25" s="1"/>
  <c r="L143" i="25" s="1"/>
  <c r="M143" i="25" s="1"/>
  <c r="N143" i="25" s="1"/>
  <c r="AP142" i="25"/>
  <c r="J142" i="25"/>
  <c r="K142" i="25" s="1"/>
  <c r="L142" i="25" s="1"/>
  <c r="M142" i="25" s="1"/>
  <c r="N142" i="25" s="1"/>
  <c r="AP141" i="25"/>
  <c r="J141" i="25"/>
  <c r="K141" i="25" s="1"/>
  <c r="L141" i="25" s="1"/>
  <c r="M141" i="25" s="1"/>
  <c r="N141" i="25" s="1"/>
  <c r="AP140" i="25"/>
  <c r="J140" i="25"/>
  <c r="K140" i="25" s="1"/>
  <c r="L140" i="25" s="1"/>
  <c r="M140" i="25" s="1"/>
  <c r="N140" i="25" s="1"/>
  <c r="AP139" i="25"/>
  <c r="J139" i="25"/>
  <c r="K139" i="25" s="1"/>
  <c r="L139" i="25" s="1"/>
  <c r="M139" i="25" s="1"/>
  <c r="N139" i="25" s="1"/>
  <c r="AP138" i="25"/>
  <c r="J138" i="25"/>
  <c r="K138" i="25" s="1"/>
  <c r="L138" i="25" s="1"/>
  <c r="M138" i="25" s="1"/>
  <c r="N138" i="25" s="1"/>
  <c r="AP137" i="25"/>
  <c r="J137" i="25"/>
  <c r="K137" i="25" s="1"/>
  <c r="L137" i="25" s="1"/>
  <c r="M137" i="25" s="1"/>
  <c r="N137" i="25" s="1"/>
  <c r="AP136" i="25"/>
  <c r="J136" i="25"/>
  <c r="K136" i="25" s="1"/>
  <c r="L136" i="25" s="1"/>
  <c r="M136" i="25" s="1"/>
  <c r="N136" i="25" s="1"/>
  <c r="AP135" i="25"/>
  <c r="J135" i="25"/>
  <c r="K135" i="25" s="1"/>
  <c r="L135" i="25" s="1"/>
  <c r="M135" i="25" s="1"/>
  <c r="N135" i="25" s="1"/>
  <c r="AP134" i="25"/>
  <c r="J134" i="25"/>
  <c r="K134" i="25" s="1"/>
  <c r="L134" i="25" s="1"/>
  <c r="M134" i="25" s="1"/>
  <c r="N134" i="25" s="1"/>
  <c r="AP133" i="25"/>
  <c r="J133" i="25"/>
  <c r="K133" i="25" s="1"/>
  <c r="L133" i="25" s="1"/>
  <c r="M133" i="25" s="1"/>
  <c r="N133" i="25" s="1"/>
  <c r="AP132" i="25"/>
  <c r="J132" i="25"/>
  <c r="K132" i="25" s="1"/>
  <c r="L132" i="25" s="1"/>
  <c r="M132" i="25" s="1"/>
  <c r="N132" i="25" s="1"/>
  <c r="AP131" i="25"/>
  <c r="AQ117" i="25" s="1"/>
  <c r="G131" i="25"/>
  <c r="F131" i="25" s="1"/>
  <c r="CN99" i="25"/>
  <c r="CN102" i="25" s="1"/>
  <c r="CL99" i="25"/>
  <c r="CL102" i="25" s="1"/>
  <c r="CF99" i="25"/>
  <c r="CF102" i="25" s="1"/>
  <c r="CD99" i="25"/>
  <c r="CD102" i="25" s="1"/>
  <c r="AQ121" i="25"/>
  <c r="K121" i="25"/>
  <c r="L121" i="25" s="1"/>
  <c r="M121" i="25" s="1"/>
  <c r="N121" i="25" s="1"/>
  <c r="J121" i="25"/>
  <c r="J120" i="25"/>
  <c r="K120" i="25" s="1"/>
  <c r="L120" i="25" s="1"/>
  <c r="M120" i="25" s="1"/>
  <c r="N120" i="25" s="1"/>
  <c r="J119" i="25"/>
  <c r="K119" i="25" s="1"/>
  <c r="L119" i="25" s="1"/>
  <c r="M119" i="25" s="1"/>
  <c r="N119" i="25" s="1"/>
  <c r="J118" i="25"/>
  <c r="K118" i="25" s="1"/>
  <c r="L118" i="25" s="1"/>
  <c r="M118" i="25" s="1"/>
  <c r="N118" i="25" s="1"/>
  <c r="J117" i="25"/>
  <c r="K117" i="25" s="1"/>
  <c r="L117" i="25" s="1"/>
  <c r="M117" i="25" s="1"/>
  <c r="N117" i="25" s="1"/>
  <c r="AQ116" i="25"/>
  <c r="J116" i="25"/>
  <c r="K116" i="25" s="1"/>
  <c r="L116" i="25" s="1"/>
  <c r="M116" i="25" s="1"/>
  <c r="N116" i="25" s="1"/>
  <c r="AQ115" i="25"/>
  <c r="J115" i="25"/>
  <c r="K115" i="25" s="1"/>
  <c r="L115" i="25" s="1"/>
  <c r="M115" i="25" s="1"/>
  <c r="N115" i="25" s="1"/>
  <c r="AQ114" i="25"/>
  <c r="J114" i="25"/>
  <c r="K114" i="25" s="1"/>
  <c r="L114" i="25" s="1"/>
  <c r="M114" i="25" s="1"/>
  <c r="N114" i="25" s="1"/>
  <c r="J113" i="25"/>
  <c r="K113" i="25" s="1"/>
  <c r="L113" i="25" s="1"/>
  <c r="M113" i="25" s="1"/>
  <c r="N113" i="25" s="1"/>
  <c r="J112" i="25"/>
  <c r="K112" i="25" s="1"/>
  <c r="L112" i="25" s="1"/>
  <c r="M112" i="25" s="1"/>
  <c r="N112" i="25" s="1"/>
  <c r="J111" i="25"/>
  <c r="K111" i="25" s="1"/>
  <c r="L111" i="25" s="1"/>
  <c r="M111" i="25" s="1"/>
  <c r="N111" i="25" s="1"/>
  <c r="C110" i="25"/>
  <c r="AG121" i="25" s="1"/>
  <c r="AH121" i="25" s="1"/>
  <c r="CQ55" i="25"/>
  <c r="CO55" i="25"/>
  <c r="CM55" i="25"/>
  <c r="CK55" i="25"/>
  <c r="CI55" i="25"/>
  <c r="CG55" i="25"/>
  <c r="CE55" i="25"/>
  <c r="CC55" i="25"/>
  <c r="D4" i="25"/>
  <c r="E2" i="25"/>
  <c r="D2" i="25"/>
  <c r="BM165" i="24"/>
  <c r="BL166" i="24"/>
  <c r="BL167" i="24" s="1"/>
  <c r="BL168" i="24" s="1"/>
  <c r="BL169" i="24" s="1"/>
  <c r="BL170" i="24" s="1"/>
  <c r="BL171" i="24" s="1"/>
  <c r="BL172" i="24" s="1"/>
  <c r="BL173" i="24" s="1"/>
  <c r="BL174" i="24" s="1"/>
  <c r="BL175" i="24" s="1"/>
  <c r="BL176" i="24" s="1"/>
  <c r="BL177" i="24" s="1"/>
  <c r="BL178" i="24" s="1"/>
  <c r="BL179" i="24" s="1"/>
  <c r="BL180" i="24" s="1"/>
  <c r="BL181" i="24" s="1"/>
  <c r="BL182" i="24" s="1"/>
  <c r="BL183" i="24" s="1"/>
  <c r="BL184" i="24" s="1"/>
  <c r="BL185" i="24" s="1"/>
  <c r="BL186" i="24" s="1"/>
  <c r="BL187" i="24" s="1"/>
  <c r="BL188" i="24" s="1"/>
  <c r="BL189" i="24" s="1"/>
  <c r="BL190" i="24" s="1"/>
  <c r="BL191" i="24" s="1"/>
  <c r="BL192" i="24" s="1"/>
  <c r="BL193" i="24" s="1"/>
  <c r="BL194" i="24" s="1"/>
  <c r="BL195" i="24" s="1"/>
  <c r="BL196" i="24" s="1"/>
  <c r="BL197" i="24" s="1"/>
  <c r="BL198" i="24" s="1"/>
  <c r="BL199" i="24" s="1"/>
  <c r="BL200" i="24" s="1"/>
  <c r="BL201" i="24" s="1"/>
  <c r="CN99" i="24"/>
  <c r="CN101" i="24" s="1"/>
  <c r="CL99" i="24"/>
  <c r="CL101" i="24" s="1"/>
  <c r="CF99" i="24"/>
  <c r="CF101" i="24" s="1"/>
  <c r="CD99" i="24"/>
  <c r="CD101" i="24" s="1"/>
  <c r="CQ55" i="24"/>
  <c r="CO55" i="24"/>
  <c r="CM55" i="24"/>
  <c r="CK55" i="24"/>
  <c r="CI55" i="24"/>
  <c r="CG55" i="24"/>
  <c r="CE55" i="24"/>
  <c r="CC55" i="24"/>
  <c r="D4" i="24"/>
  <c r="E2" i="24"/>
  <c r="D2" i="24"/>
  <c r="AP154" i="24"/>
  <c r="V154" i="24"/>
  <c r="J154" i="24"/>
  <c r="K154" i="24" s="1"/>
  <c r="L154" i="24" s="1"/>
  <c r="M154" i="24" s="1"/>
  <c r="N154" i="24" s="1"/>
  <c r="AP153" i="24"/>
  <c r="V153" i="24"/>
  <c r="J153" i="24"/>
  <c r="K153" i="24" s="1"/>
  <c r="L153" i="24" s="1"/>
  <c r="M153" i="24" s="1"/>
  <c r="N153" i="24" s="1"/>
  <c r="AP152" i="24"/>
  <c r="V152" i="24"/>
  <c r="J152" i="24"/>
  <c r="K152" i="24" s="1"/>
  <c r="L152" i="24" s="1"/>
  <c r="M152" i="24" s="1"/>
  <c r="N152" i="24" s="1"/>
  <c r="AP151" i="24"/>
  <c r="V151" i="24"/>
  <c r="J151" i="24"/>
  <c r="K151" i="24" s="1"/>
  <c r="L151" i="24" s="1"/>
  <c r="M151" i="24" s="1"/>
  <c r="N151" i="24" s="1"/>
  <c r="AP150" i="24"/>
  <c r="J150" i="24"/>
  <c r="K150" i="24" s="1"/>
  <c r="L150" i="24" s="1"/>
  <c r="M150" i="24" s="1"/>
  <c r="N150" i="24" s="1"/>
  <c r="AP149" i="24"/>
  <c r="J149" i="24"/>
  <c r="K149" i="24" s="1"/>
  <c r="L149" i="24" s="1"/>
  <c r="M149" i="24" s="1"/>
  <c r="N149" i="24" s="1"/>
  <c r="AP148" i="24"/>
  <c r="J148" i="24"/>
  <c r="K148" i="24" s="1"/>
  <c r="L148" i="24" s="1"/>
  <c r="M148" i="24" s="1"/>
  <c r="N148" i="24" s="1"/>
  <c r="AP147" i="24"/>
  <c r="J147" i="24"/>
  <c r="K147" i="24" s="1"/>
  <c r="L147" i="24" s="1"/>
  <c r="M147" i="24" s="1"/>
  <c r="N147" i="24" s="1"/>
  <c r="AP146" i="24"/>
  <c r="J146" i="24"/>
  <c r="K146" i="24" s="1"/>
  <c r="L146" i="24" s="1"/>
  <c r="M146" i="24" s="1"/>
  <c r="N146" i="24" s="1"/>
  <c r="AP145" i="24"/>
  <c r="J145" i="24"/>
  <c r="K145" i="24" s="1"/>
  <c r="L145" i="24" s="1"/>
  <c r="M145" i="24" s="1"/>
  <c r="N145" i="24" s="1"/>
  <c r="AP144" i="24"/>
  <c r="K144" i="24"/>
  <c r="L144" i="24" s="1"/>
  <c r="M144" i="24" s="1"/>
  <c r="N144" i="24" s="1"/>
  <c r="J144" i="24"/>
  <c r="AP143" i="24"/>
  <c r="L143" i="24"/>
  <c r="M143" i="24" s="1"/>
  <c r="N143" i="24" s="1"/>
  <c r="J143" i="24"/>
  <c r="K143" i="24" s="1"/>
  <c r="AP142" i="24"/>
  <c r="J142" i="24"/>
  <c r="K142" i="24" s="1"/>
  <c r="L142" i="24" s="1"/>
  <c r="M142" i="24" s="1"/>
  <c r="N142" i="24" s="1"/>
  <c r="AP141" i="24"/>
  <c r="J141" i="24"/>
  <c r="K141" i="24" s="1"/>
  <c r="L141" i="24" s="1"/>
  <c r="M141" i="24" s="1"/>
  <c r="N141" i="24" s="1"/>
  <c r="AP140" i="24"/>
  <c r="J140" i="24"/>
  <c r="K140" i="24" s="1"/>
  <c r="L140" i="24" s="1"/>
  <c r="M140" i="24" s="1"/>
  <c r="N140" i="24" s="1"/>
  <c r="AP139" i="24"/>
  <c r="J139" i="24"/>
  <c r="K139" i="24" s="1"/>
  <c r="L139" i="24" s="1"/>
  <c r="M139" i="24" s="1"/>
  <c r="N139" i="24" s="1"/>
  <c r="AP138" i="24"/>
  <c r="J138" i="24"/>
  <c r="K138" i="24" s="1"/>
  <c r="L138" i="24" s="1"/>
  <c r="M138" i="24" s="1"/>
  <c r="N138" i="24" s="1"/>
  <c r="AP137" i="24"/>
  <c r="J137" i="24"/>
  <c r="K137" i="24" s="1"/>
  <c r="L137" i="24" s="1"/>
  <c r="M137" i="24" s="1"/>
  <c r="N137" i="24" s="1"/>
  <c r="AP136" i="24"/>
  <c r="J136" i="24"/>
  <c r="K136" i="24" s="1"/>
  <c r="L136" i="24" s="1"/>
  <c r="M136" i="24" s="1"/>
  <c r="N136" i="24" s="1"/>
  <c r="AP135" i="24"/>
  <c r="J135" i="24"/>
  <c r="K135" i="24" s="1"/>
  <c r="L135" i="24" s="1"/>
  <c r="M135" i="24" s="1"/>
  <c r="N135" i="24" s="1"/>
  <c r="AP134" i="24"/>
  <c r="J134" i="24"/>
  <c r="K134" i="24" s="1"/>
  <c r="L134" i="24" s="1"/>
  <c r="M134" i="24" s="1"/>
  <c r="N134" i="24" s="1"/>
  <c r="AP133" i="24"/>
  <c r="J133" i="24"/>
  <c r="K133" i="24" s="1"/>
  <c r="L133" i="24" s="1"/>
  <c r="M133" i="24" s="1"/>
  <c r="N133" i="24" s="1"/>
  <c r="AP132" i="24"/>
  <c r="J132" i="24"/>
  <c r="K132" i="24" s="1"/>
  <c r="L132" i="24" s="1"/>
  <c r="M132" i="24" s="1"/>
  <c r="N132" i="24" s="1"/>
  <c r="AP131" i="24"/>
  <c r="G131" i="24"/>
  <c r="F131" i="24" s="1"/>
  <c r="AP121" i="24"/>
  <c r="AH121" i="24"/>
  <c r="V121" i="24"/>
  <c r="AF121" i="24" s="1"/>
  <c r="J121" i="24"/>
  <c r="K121" i="24" s="1"/>
  <c r="L121" i="24" s="1"/>
  <c r="M121" i="24" s="1"/>
  <c r="N121" i="24" s="1"/>
  <c r="AP120" i="24"/>
  <c r="AH120" i="24"/>
  <c r="V120" i="24"/>
  <c r="J120" i="24"/>
  <c r="K120" i="24" s="1"/>
  <c r="L120" i="24" s="1"/>
  <c r="M120" i="24" s="1"/>
  <c r="N120" i="24" s="1"/>
  <c r="AP119" i="24"/>
  <c r="AH119" i="24"/>
  <c r="V119" i="24"/>
  <c r="J119" i="24"/>
  <c r="K119" i="24" s="1"/>
  <c r="L119" i="24" s="1"/>
  <c r="M119" i="24" s="1"/>
  <c r="N119" i="24" s="1"/>
  <c r="AP118" i="24"/>
  <c r="AH118" i="24"/>
  <c r="V118" i="24"/>
  <c r="AE118" i="24" s="1"/>
  <c r="J118" i="24"/>
  <c r="K118" i="24" s="1"/>
  <c r="L118" i="24" s="1"/>
  <c r="M118" i="24" s="1"/>
  <c r="N118" i="24" s="1"/>
  <c r="AP117" i="24"/>
  <c r="AH117" i="24"/>
  <c r="V117" i="24"/>
  <c r="AE117" i="24" s="1"/>
  <c r="J117" i="24"/>
  <c r="K117" i="24" s="1"/>
  <c r="L117" i="24" s="1"/>
  <c r="M117" i="24" s="1"/>
  <c r="N117" i="24" s="1"/>
  <c r="AP116" i="24"/>
  <c r="AH116" i="24"/>
  <c r="V116" i="24"/>
  <c r="AE116" i="24" s="1"/>
  <c r="J116" i="24"/>
  <c r="K116" i="24" s="1"/>
  <c r="L116" i="24" s="1"/>
  <c r="M116" i="24" s="1"/>
  <c r="N116" i="24" s="1"/>
  <c r="AP115" i="24"/>
  <c r="J115" i="24"/>
  <c r="K115" i="24" s="1"/>
  <c r="L115" i="24" s="1"/>
  <c r="M115" i="24" s="1"/>
  <c r="N115" i="24" s="1"/>
  <c r="AP114" i="24"/>
  <c r="K114" i="24"/>
  <c r="L114" i="24" s="1"/>
  <c r="M114" i="24" s="1"/>
  <c r="N114" i="24" s="1"/>
  <c r="J114" i="24"/>
  <c r="AP113" i="24"/>
  <c r="J113" i="24"/>
  <c r="K113" i="24" s="1"/>
  <c r="L113" i="24" s="1"/>
  <c r="M113" i="24" s="1"/>
  <c r="N113" i="24" s="1"/>
  <c r="AP112" i="24"/>
  <c r="J112" i="24"/>
  <c r="K112" i="24" s="1"/>
  <c r="L112" i="24" s="1"/>
  <c r="M112" i="24" s="1"/>
  <c r="N112" i="24" s="1"/>
  <c r="AP111" i="24"/>
  <c r="J111" i="24"/>
  <c r="K111" i="24" s="1"/>
  <c r="L111" i="24" s="1"/>
  <c r="M111" i="24" s="1"/>
  <c r="N111" i="24" s="1"/>
  <c r="AP110" i="24"/>
  <c r="C110" i="24"/>
  <c r="O120" i="24" s="1"/>
  <c r="P120" i="24" s="1"/>
  <c r="C14" i="24"/>
  <c r="C11" i="24"/>
  <c r="C12" i="23"/>
  <c r="BB49" i="23" s="1"/>
  <c r="AJ192" i="23"/>
  <c r="AJ193" i="23" s="1"/>
  <c r="AJ194" i="23" s="1"/>
  <c r="AJ195" i="23" s="1"/>
  <c r="AJ196" i="23" s="1"/>
  <c r="AJ197" i="23" s="1"/>
  <c r="AJ198" i="23" s="1"/>
  <c r="AJ199" i="23" s="1"/>
  <c r="AJ200" i="23" s="1"/>
  <c r="AJ201" i="23" s="1"/>
  <c r="AJ202" i="23" s="1"/>
  <c r="AJ203" i="23" s="1"/>
  <c r="AJ204" i="23" s="1"/>
  <c r="AJ205" i="23" s="1"/>
  <c r="AJ206" i="23" s="1"/>
  <c r="AJ207" i="23" s="1"/>
  <c r="AJ208" i="23" s="1"/>
  <c r="AJ209" i="23" s="1"/>
  <c r="AJ210" i="23" s="1"/>
  <c r="AJ211" i="23" s="1"/>
  <c r="AJ212" i="23" s="1"/>
  <c r="AJ213" i="23" s="1"/>
  <c r="AJ214" i="23" s="1"/>
  <c r="AJ215" i="23" s="1"/>
  <c r="AJ216" i="23" s="1"/>
  <c r="AJ217" i="23" s="1"/>
  <c r="AJ218" i="23" s="1"/>
  <c r="AJ219" i="23" s="1"/>
  <c r="AJ220" i="23" s="1"/>
  <c r="AJ221" i="23" s="1"/>
  <c r="AJ222" i="23" s="1"/>
  <c r="AJ223" i="23" s="1"/>
  <c r="AJ224" i="23" s="1"/>
  <c r="AJ225" i="23" s="1"/>
  <c r="AJ226" i="23" s="1"/>
  <c r="AJ227" i="23" s="1"/>
  <c r="AK191" i="23"/>
  <c r="AF165" i="23"/>
  <c r="O165" i="23"/>
  <c r="P165" i="23" s="1"/>
  <c r="J165" i="23"/>
  <c r="K165" i="23" s="1"/>
  <c r="L165" i="23" s="1"/>
  <c r="M165" i="23" s="1"/>
  <c r="N165" i="23" s="1"/>
  <c r="AF164" i="23"/>
  <c r="O164" i="23"/>
  <c r="P164" i="23" s="1"/>
  <c r="K164" i="23"/>
  <c r="L164" i="23" s="1"/>
  <c r="M164" i="23" s="1"/>
  <c r="N164" i="23" s="1"/>
  <c r="Q164" i="23" s="1"/>
  <c r="J164" i="23"/>
  <c r="AF163" i="23"/>
  <c r="O163" i="23"/>
  <c r="P163" i="23" s="1"/>
  <c r="J163" i="23"/>
  <c r="K163" i="23" s="1"/>
  <c r="L163" i="23" s="1"/>
  <c r="M163" i="23" s="1"/>
  <c r="N163" i="23" s="1"/>
  <c r="AF162" i="23"/>
  <c r="O162" i="23"/>
  <c r="P162" i="23" s="1"/>
  <c r="J162" i="23"/>
  <c r="K162" i="23" s="1"/>
  <c r="L162" i="23" s="1"/>
  <c r="M162" i="23" s="1"/>
  <c r="N162" i="23" s="1"/>
  <c r="AF161" i="23"/>
  <c r="O161" i="23"/>
  <c r="P161" i="23" s="1"/>
  <c r="J161" i="23"/>
  <c r="K161" i="23" s="1"/>
  <c r="L161" i="23" s="1"/>
  <c r="M161" i="23" s="1"/>
  <c r="N161" i="23" s="1"/>
  <c r="AF160" i="23"/>
  <c r="O160" i="23"/>
  <c r="P160" i="23" s="1"/>
  <c r="J160" i="23"/>
  <c r="K160" i="23" s="1"/>
  <c r="L160" i="23" s="1"/>
  <c r="M160" i="23" s="1"/>
  <c r="N160" i="23" s="1"/>
  <c r="AF159" i="23"/>
  <c r="J159" i="23"/>
  <c r="K159" i="23" s="1"/>
  <c r="L159" i="23" s="1"/>
  <c r="M159" i="23" s="1"/>
  <c r="N159" i="23" s="1"/>
  <c r="AF158" i="23"/>
  <c r="J158" i="23"/>
  <c r="K158" i="23" s="1"/>
  <c r="L158" i="23" s="1"/>
  <c r="M158" i="23" s="1"/>
  <c r="N158" i="23" s="1"/>
  <c r="AF157" i="23"/>
  <c r="J157" i="23"/>
  <c r="K157" i="23" s="1"/>
  <c r="L157" i="23" s="1"/>
  <c r="M157" i="23" s="1"/>
  <c r="N157" i="23" s="1"/>
  <c r="AF156" i="23"/>
  <c r="J156" i="23"/>
  <c r="K156" i="23" s="1"/>
  <c r="L156" i="23" s="1"/>
  <c r="M156" i="23" s="1"/>
  <c r="N156" i="23" s="1"/>
  <c r="AF155" i="23"/>
  <c r="J155" i="23"/>
  <c r="K155" i="23" s="1"/>
  <c r="L155" i="23" s="1"/>
  <c r="M155" i="23" s="1"/>
  <c r="N155" i="23" s="1"/>
  <c r="AF154" i="23"/>
  <c r="J154" i="23"/>
  <c r="K154" i="23" s="1"/>
  <c r="L154" i="23" s="1"/>
  <c r="M154" i="23" s="1"/>
  <c r="N154" i="23" s="1"/>
  <c r="AF153" i="23"/>
  <c r="J153" i="23"/>
  <c r="K153" i="23" s="1"/>
  <c r="L153" i="23" s="1"/>
  <c r="M153" i="23" s="1"/>
  <c r="N153" i="23" s="1"/>
  <c r="AF152" i="23"/>
  <c r="J152" i="23"/>
  <c r="K152" i="23" s="1"/>
  <c r="L152" i="23" s="1"/>
  <c r="M152" i="23" s="1"/>
  <c r="N152" i="23" s="1"/>
  <c r="AF151" i="23"/>
  <c r="J151" i="23"/>
  <c r="K151" i="23" s="1"/>
  <c r="L151" i="23" s="1"/>
  <c r="M151" i="23" s="1"/>
  <c r="N151" i="23" s="1"/>
  <c r="AF150" i="23"/>
  <c r="J150" i="23"/>
  <c r="K150" i="23" s="1"/>
  <c r="L150" i="23" s="1"/>
  <c r="M150" i="23" s="1"/>
  <c r="N150" i="23" s="1"/>
  <c r="AF149" i="23"/>
  <c r="J149" i="23"/>
  <c r="K149" i="23" s="1"/>
  <c r="L149" i="23" s="1"/>
  <c r="M149" i="23" s="1"/>
  <c r="N149" i="23" s="1"/>
  <c r="AF148" i="23"/>
  <c r="J148" i="23"/>
  <c r="K148" i="23" s="1"/>
  <c r="L148" i="23" s="1"/>
  <c r="M148" i="23" s="1"/>
  <c r="N148" i="23" s="1"/>
  <c r="AF147" i="23"/>
  <c r="J147" i="23"/>
  <c r="K147" i="23" s="1"/>
  <c r="L147" i="23" s="1"/>
  <c r="M147" i="23" s="1"/>
  <c r="N147" i="23" s="1"/>
  <c r="AF146" i="23"/>
  <c r="J146" i="23"/>
  <c r="K146" i="23" s="1"/>
  <c r="L146" i="23" s="1"/>
  <c r="M146" i="23" s="1"/>
  <c r="N146" i="23" s="1"/>
  <c r="AF145" i="23"/>
  <c r="J145" i="23"/>
  <c r="K145" i="23" s="1"/>
  <c r="L145" i="23" s="1"/>
  <c r="M145" i="23" s="1"/>
  <c r="N145" i="23" s="1"/>
  <c r="AF144" i="23"/>
  <c r="J144" i="23"/>
  <c r="K144" i="23" s="1"/>
  <c r="L144" i="23" s="1"/>
  <c r="M144" i="23" s="1"/>
  <c r="N144" i="23" s="1"/>
  <c r="AF143" i="23"/>
  <c r="J143" i="23"/>
  <c r="K143" i="23" s="1"/>
  <c r="L143" i="23" s="1"/>
  <c r="M143" i="23" s="1"/>
  <c r="N143" i="23" s="1"/>
  <c r="AF142" i="23"/>
  <c r="G142" i="23"/>
  <c r="F142" i="23" s="1"/>
  <c r="C142" i="23"/>
  <c r="Y156" i="23" s="1"/>
  <c r="CB79" i="23"/>
  <c r="BZ79" i="23"/>
  <c r="BX79" i="23"/>
  <c r="BV79" i="23"/>
  <c r="BT79" i="23"/>
  <c r="BR79" i="23"/>
  <c r="BP79" i="23"/>
  <c r="BN79" i="23"/>
  <c r="B14" i="23"/>
  <c r="C14" i="23" s="1"/>
  <c r="D4" i="23"/>
  <c r="F2" i="23"/>
  <c r="E2" i="23"/>
  <c r="D2" i="23"/>
  <c r="AK187" i="22"/>
  <c r="AJ188" i="22"/>
  <c r="AJ189" i="22" s="1"/>
  <c r="AJ190" i="22" s="1"/>
  <c r="AJ191" i="22" s="1"/>
  <c r="AJ192" i="22" s="1"/>
  <c r="AJ193" i="22" s="1"/>
  <c r="AJ194" i="22" s="1"/>
  <c r="AJ195" i="22" s="1"/>
  <c r="AJ196" i="22" s="1"/>
  <c r="AJ197" i="22" s="1"/>
  <c r="AJ198" i="22" s="1"/>
  <c r="AJ199" i="22" s="1"/>
  <c r="AJ200" i="22" s="1"/>
  <c r="AJ201" i="22" s="1"/>
  <c r="AJ202" i="22" s="1"/>
  <c r="AJ203" i="22" s="1"/>
  <c r="AJ204" i="22" s="1"/>
  <c r="AJ205" i="22" s="1"/>
  <c r="AJ206" i="22" s="1"/>
  <c r="AJ207" i="22" s="1"/>
  <c r="AJ208" i="22" s="1"/>
  <c r="AJ209" i="22" s="1"/>
  <c r="AJ210" i="22" s="1"/>
  <c r="AJ211" i="22" s="1"/>
  <c r="AJ212" i="22" s="1"/>
  <c r="AJ213" i="22" s="1"/>
  <c r="AJ214" i="22" s="1"/>
  <c r="AJ215" i="22" s="1"/>
  <c r="AJ216" i="22" s="1"/>
  <c r="AJ217" i="22" s="1"/>
  <c r="AJ218" i="22" s="1"/>
  <c r="AJ219" i="22" s="1"/>
  <c r="AJ220" i="22" s="1"/>
  <c r="AJ221" i="22" s="1"/>
  <c r="AJ222" i="22" s="1"/>
  <c r="AJ223" i="22" s="1"/>
  <c r="BY124" i="22"/>
  <c r="BY126" i="22" s="1"/>
  <c r="BW124" i="22"/>
  <c r="BW126" i="22" s="1"/>
  <c r="BQ124" i="22"/>
  <c r="BQ126" i="22" s="1"/>
  <c r="BO124" i="22"/>
  <c r="BO126" i="22" s="1"/>
  <c r="CB80" i="22"/>
  <c r="BZ80" i="22"/>
  <c r="BX80" i="22"/>
  <c r="BV80" i="22"/>
  <c r="BT80" i="22"/>
  <c r="BR80" i="22"/>
  <c r="BP80" i="22"/>
  <c r="BN80" i="22"/>
  <c r="C12" i="22"/>
  <c r="BB49" i="22" s="1"/>
  <c r="D4" i="22"/>
  <c r="F2" i="22"/>
  <c r="E2" i="22"/>
  <c r="D2" i="22"/>
  <c r="AF161" i="22"/>
  <c r="O161" i="22"/>
  <c r="P161" i="22" s="1"/>
  <c r="K161" i="22"/>
  <c r="L161" i="22" s="1"/>
  <c r="M161" i="22" s="1"/>
  <c r="N161" i="22" s="1"/>
  <c r="J161" i="22"/>
  <c r="AF160" i="22"/>
  <c r="O160" i="22"/>
  <c r="P160" i="22" s="1"/>
  <c r="J160" i="22"/>
  <c r="K160" i="22" s="1"/>
  <c r="L160" i="22" s="1"/>
  <c r="M160" i="22" s="1"/>
  <c r="N160" i="22" s="1"/>
  <c r="AF159" i="22"/>
  <c r="O159" i="22"/>
  <c r="P159" i="22" s="1"/>
  <c r="J159" i="22"/>
  <c r="K159" i="22" s="1"/>
  <c r="L159" i="22" s="1"/>
  <c r="M159" i="22" s="1"/>
  <c r="N159" i="22" s="1"/>
  <c r="AF158" i="22"/>
  <c r="O158" i="22"/>
  <c r="P158" i="22" s="1"/>
  <c r="J158" i="22"/>
  <c r="K158" i="22" s="1"/>
  <c r="L158" i="22" s="1"/>
  <c r="M158" i="22" s="1"/>
  <c r="N158" i="22" s="1"/>
  <c r="AF157" i="22"/>
  <c r="O157" i="22"/>
  <c r="P157" i="22" s="1"/>
  <c r="M157" i="22"/>
  <c r="N157" i="22" s="1"/>
  <c r="J157" i="22"/>
  <c r="K157" i="22" s="1"/>
  <c r="L157" i="22" s="1"/>
  <c r="AF156" i="22"/>
  <c r="O156" i="22"/>
  <c r="P156" i="22" s="1"/>
  <c r="J156" i="22"/>
  <c r="K156" i="22" s="1"/>
  <c r="L156" i="22" s="1"/>
  <c r="M156" i="22" s="1"/>
  <c r="N156" i="22" s="1"/>
  <c r="AF155" i="22"/>
  <c r="J155" i="22"/>
  <c r="K155" i="22" s="1"/>
  <c r="L155" i="22" s="1"/>
  <c r="M155" i="22" s="1"/>
  <c r="N155" i="22" s="1"/>
  <c r="AF154" i="22"/>
  <c r="J154" i="22"/>
  <c r="K154" i="22" s="1"/>
  <c r="L154" i="22" s="1"/>
  <c r="M154" i="22" s="1"/>
  <c r="N154" i="22" s="1"/>
  <c r="AF153" i="22"/>
  <c r="J153" i="22"/>
  <c r="K153" i="22" s="1"/>
  <c r="L153" i="22" s="1"/>
  <c r="M153" i="22" s="1"/>
  <c r="N153" i="22" s="1"/>
  <c r="AF152" i="22"/>
  <c r="J152" i="22"/>
  <c r="K152" i="22" s="1"/>
  <c r="L152" i="22" s="1"/>
  <c r="M152" i="22" s="1"/>
  <c r="N152" i="22" s="1"/>
  <c r="AF151" i="22"/>
  <c r="J151" i="22"/>
  <c r="K151" i="22" s="1"/>
  <c r="L151" i="22" s="1"/>
  <c r="M151" i="22" s="1"/>
  <c r="N151" i="22" s="1"/>
  <c r="AF150" i="22"/>
  <c r="J150" i="22"/>
  <c r="K150" i="22" s="1"/>
  <c r="L150" i="22" s="1"/>
  <c r="M150" i="22" s="1"/>
  <c r="N150" i="22" s="1"/>
  <c r="AF149" i="22"/>
  <c r="J149" i="22"/>
  <c r="K149" i="22" s="1"/>
  <c r="L149" i="22" s="1"/>
  <c r="M149" i="22" s="1"/>
  <c r="N149" i="22" s="1"/>
  <c r="AF148" i="22"/>
  <c r="J148" i="22"/>
  <c r="K148" i="22" s="1"/>
  <c r="L148" i="22" s="1"/>
  <c r="M148" i="22" s="1"/>
  <c r="N148" i="22" s="1"/>
  <c r="AF147" i="22"/>
  <c r="J147" i="22"/>
  <c r="K147" i="22" s="1"/>
  <c r="L147" i="22" s="1"/>
  <c r="M147" i="22" s="1"/>
  <c r="N147" i="22" s="1"/>
  <c r="AF146" i="22"/>
  <c r="J146" i="22"/>
  <c r="K146" i="22" s="1"/>
  <c r="L146" i="22" s="1"/>
  <c r="M146" i="22" s="1"/>
  <c r="N146" i="22" s="1"/>
  <c r="AF145" i="22"/>
  <c r="J145" i="22"/>
  <c r="K145" i="22" s="1"/>
  <c r="L145" i="22" s="1"/>
  <c r="M145" i="22" s="1"/>
  <c r="N145" i="22" s="1"/>
  <c r="AF144" i="22"/>
  <c r="J144" i="22"/>
  <c r="K144" i="22" s="1"/>
  <c r="L144" i="22" s="1"/>
  <c r="M144" i="22" s="1"/>
  <c r="N144" i="22" s="1"/>
  <c r="AF143" i="22"/>
  <c r="J143" i="22"/>
  <c r="K143" i="22" s="1"/>
  <c r="L143" i="22" s="1"/>
  <c r="M143" i="22" s="1"/>
  <c r="N143" i="22" s="1"/>
  <c r="AF142" i="22"/>
  <c r="J142" i="22"/>
  <c r="K142" i="22" s="1"/>
  <c r="L142" i="22" s="1"/>
  <c r="M142" i="22" s="1"/>
  <c r="N142" i="22" s="1"/>
  <c r="AF141" i="22"/>
  <c r="J141" i="22"/>
  <c r="K141" i="22" s="1"/>
  <c r="L141" i="22" s="1"/>
  <c r="M141" i="22" s="1"/>
  <c r="N141" i="22" s="1"/>
  <c r="AF140" i="22"/>
  <c r="J140" i="22"/>
  <c r="K140" i="22" s="1"/>
  <c r="L140" i="22" s="1"/>
  <c r="M140" i="22" s="1"/>
  <c r="N140" i="22" s="1"/>
  <c r="AF139" i="22"/>
  <c r="J139" i="22"/>
  <c r="K139" i="22" s="1"/>
  <c r="L139" i="22" s="1"/>
  <c r="M139" i="22" s="1"/>
  <c r="N139" i="22" s="1"/>
  <c r="AF138" i="22"/>
  <c r="G138" i="22"/>
  <c r="F138" i="22" s="1"/>
  <c r="C138" i="22"/>
  <c r="O147" i="22" s="1"/>
  <c r="P147" i="22" s="1"/>
  <c r="B14" i="22"/>
  <c r="C14" i="22" s="1"/>
  <c r="AQ110" i="25" l="1"/>
  <c r="AQ112" i="25"/>
  <c r="AQ119" i="25"/>
  <c r="AQ111" i="25"/>
  <c r="AQ118" i="25"/>
  <c r="AQ120" i="25"/>
  <c r="AQ115" i="24"/>
  <c r="AQ121" i="24"/>
  <c r="AQ112" i="24"/>
  <c r="AQ116" i="24"/>
  <c r="AQ111" i="24"/>
  <c r="AR132" i="28"/>
  <c r="AR135" i="28"/>
  <c r="AR147" i="28"/>
  <c r="AR133" i="28"/>
  <c r="AR131" i="28"/>
  <c r="AR151" i="28"/>
  <c r="AR129" i="28"/>
  <c r="AR134" i="28"/>
  <c r="AR130" i="28"/>
  <c r="R129" i="28"/>
  <c r="S129" i="28" s="1"/>
  <c r="V128" i="28"/>
  <c r="AR142" i="28"/>
  <c r="S112" i="28"/>
  <c r="T111" i="28"/>
  <c r="AR145" i="28"/>
  <c r="AE109" i="28"/>
  <c r="AS109" i="28"/>
  <c r="AR148" i="28"/>
  <c r="AR150" i="28"/>
  <c r="AR140" i="28"/>
  <c r="AR136" i="28"/>
  <c r="AR139" i="28"/>
  <c r="AR144" i="28"/>
  <c r="AR146" i="28"/>
  <c r="AR138" i="28"/>
  <c r="AR149" i="28"/>
  <c r="BJ107" i="28"/>
  <c r="AR143" i="28"/>
  <c r="AR137" i="28"/>
  <c r="AR128" i="28"/>
  <c r="AR141" i="28"/>
  <c r="R111" i="28"/>
  <c r="V110" i="28"/>
  <c r="AQ113" i="25"/>
  <c r="Q163" i="23"/>
  <c r="Q165" i="23"/>
  <c r="AT110" i="27"/>
  <c r="X110" i="27"/>
  <c r="Z110" i="27" s="1"/>
  <c r="C7" i="24"/>
  <c r="BQ25" i="24" s="1"/>
  <c r="O144" i="23"/>
  <c r="P144" i="23" s="1"/>
  <c r="Q144" i="23" s="1"/>
  <c r="Y146" i="23"/>
  <c r="AC146" i="23" s="1"/>
  <c r="AD146" i="23" s="1"/>
  <c r="AE146" i="23" s="1"/>
  <c r="Y158" i="23"/>
  <c r="Z158" i="23" s="1"/>
  <c r="AA158" i="23" s="1"/>
  <c r="AB158" i="23" s="1"/>
  <c r="Y143" i="23"/>
  <c r="Z143" i="23" s="1"/>
  <c r="AA143" i="23" s="1"/>
  <c r="AB143" i="23" s="1"/>
  <c r="Y144" i="23"/>
  <c r="Y164" i="23"/>
  <c r="AC164" i="23" s="1"/>
  <c r="AD164" i="23" s="1"/>
  <c r="AE164" i="23" s="1"/>
  <c r="O145" i="23"/>
  <c r="P145" i="23" s="1"/>
  <c r="Q145" i="23" s="1"/>
  <c r="Y148" i="23"/>
  <c r="AC148" i="23" s="1"/>
  <c r="AD148" i="23" s="1"/>
  <c r="AE148" i="23" s="1"/>
  <c r="Y149" i="23"/>
  <c r="Y154" i="23"/>
  <c r="J142" i="23"/>
  <c r="K142" i="23" s="1"/>
  <c r="L142" i="23" s="1"/>
  <c r="M142" i="23" s="1"/>
  <c r="N142" i="23" s="1"/>
  <c r="O143" i="23"/>
  <c r="P143" i="23" s="1"/>
  <c r="Q143" i="23" s="1"/>
  <c r="Y145" i="23"/>
  <c r="Y147" i="23"/>
  <c r="Y151" i="23"/>
  <c r="T112" i="27"/>
  <c r="S113" i="27"/>
  <c r="BK204" i="27"/>
  <c r="R112" i="27"/>
  <c r="V111" i="27"/>
  <c r="AH154" i="27"/>
  <c r="AI154" i="27" s="1"/>
  <c r="AH152" i="27"/>
  <c r="AI152" i="27" s="1"/>
  <c r="O154" i="27"/>
  <c r="P154" i="27" s="1"/>
  <c r="Q154" i="27" s="1"/>
  <c r="O152" i="27"/>
  <c r="P152" i="27" s="1"/>
  <c r="Q152" i="27" s="1"/>
  <c r="O153" i="27"/>
  <c r="P153" i="27" s="1"/>
  <c r="Q153" i="27" s="1"/>
  <c r="AH151" i="27"/>
  <c r="AI151" i="27" s="1"/>
  <c r="AH149" i="27"/>
  <c r="AI149" i="27" s="1"/>
  <c r="AH147" i="27"/>
  <c r="AI147" i="27" s="1"/>
  <c r="AH145" i="27"/>
  <c r="AI145" i="27" s="1"/>
  <c r="AH143" i="27"/>
  <c r="O150" i="27"/>
  <c r="P150" i="27" s="1"/>
  <c r="Q150" i="27" s="1"/>
  <c r="O148" i="27"/>
  <c r="P148" i="27" s="1"/>
  <c r="Q148" i="27" s="1"/>
  <c r="O149" i="27"/>
  <c r="P149" i="27" s="1"/>
  <c r="Q149" i="27" s="1"/>
  <c r="O147" i="27"/>
  <c r="P147" i="27" s="1"/>
  <c r="Q147" i="27" s="1"/>
  <c r="O145" i="27"/>
  <c r="P145" i="27" s="1"/>
  <c r="Q145" i="27" s="1"/>
  <c r="O151" i="27"/>
  <c r="P151" i="27" s="1"/>
  <c r="Q151" i="27" s="1"/>
  <c r="AH150" i="27"/>
  <c r="AI150" i="27" s="1"/>
  <c r="AH146" i="27"/>
  <c r="AI146" i="27" s="1"/>
  <c r="O146" i="27"/>
  <c r="P146" i="27" s="1"/>
  <c r="Q146" i="27" s="1"/>
  <c r="O144" i="27"/>
  <c r="P144" i="27" s="1"/>
  <c r="Q144" i="27" s="1"/>
  <c r="AH148" i="27"/>
  <c r="AI148" i="27" s="1"/>
  <c r="AH144" i="27"/>
  <c r="AI144" i="27" s="1"/>
  <c r="J143" i="27"/>
  <c r="P143" i="27" s="1"/>
  <c r="Q143" i="27" s="1"/>
  <c r="S143" i="27" s="1"/>
  <c r="T143" i="27" s="1"/>
  <c r="AH153" i="27"/>
  <c r="AI153" i="27" s="1"/>
  <c r="AF153" i="25"/>
  <c r="BM166" i="25"/>
  <c r="BK198" i="26"/>
  <c r="T111" i="26"/>
  <c r="S112" i="26"/>
  <c r="C143" i="26"/>
  <c r="X110" i="26"/>
  <c r="Z110" i="26" s="1"/>
  <c r="AT110" i="26"/>
  <c r="AE110" i="26"/>
  <c r="AF152" i="25"/>
  <c r="AL121" i="25"/>
  <c r="AM121" i="25" s="1"/>
  <c r="AI121" i="25"/>
  <c r="AJ121" i="25" s="1"/>
  <c r="AK121" i="25" s="1"/>
  <c r="AG110" i="25"/>
  <c r="AH110" i="25" s="1"/>
  <c r="AG118" i="25"/>
  <c r="AH118" i="25" s="1"/>
  <c r="AI118" i="25" s="1"/>
  <c r="AG115" i="25"/>
  <c r="AH115" i="25" s="1"/>
  <c r="AG111" i="25"/>
  <c r="O115" i="25"/>
  <c r="P115" i="25" s="1"/>
  <c r="Q115" i="25" s="1"/>
  <c r="AG117" i="25"/>
  <c r="AH117" i="25" s="1"/>
  <c r="AL117" i="25" s="1"/>
  <c r="J110" i="25"/>
  <c r="P110" i="25" s="1"/>
  <c r="Q110" i="25" s="1"/>
  <c r="S110" i="25" s="1"/>
  <c r="T110" i="25" s="1"/>
  <c r="R111" i="25" s="1"/>
  <c r="O119" i="25"/>
  <c r="P119" i="25" s="1"/>
  <c r="Q119" i="25" s="1"/>
  <c r="O111" i="25"/>
  <c r="P111" i="25" s="1"/>
  <c r="Q111" i="25" s="1"/>
  <c r="O118" i="25"/>
  <c r="P118" i="25" s="1"/>
  <c r="Q118" i="25" s="1"/>
  <c r="O120" i="25"/>
  <c r="P120" i="25" s="1"/>
  <c r="Q120" i="25" s="1"/>
  <c r="AG114" i="25"/>
  <c r="AG119" i="25"/>
  <c r="AH119" i="25" s="1"/>
  <c r="AI119" i="25" s="1"/>
  <c r="O121" i="25"/>
  <c r="P121" i="25" s="1"/>
  <c r="Q121" i="25" s="1"/>
  <c r="O112" i="25"/>
  <c r="P112" i="25" s="1"/>
  <c r="Q112" i="25" s="1"/>
  <c r="AG113" i="25"/>
  <c r="AH113" i="25" s="1"/>
  <c r="O114" i="25"/>
  <c r="P114" i="25" s="1"/>
  <c r="Q114" i="25" s="1"/>
  <c r="O116" i="25"/>
  <c r="P116" i="25" s="1"/>
  <c r="Q116" i="25" s="1"/>
  <c r="BO103" i="25"/>
  <c r="BO56" i="25"/>
  <c r="BO61" i="25"/>
  <c r="AG112" i="25"/>
  <c r="O113" i="25"/>
  <c r="P113" i="25" s="1"/>
  <c r="Q113" i="25" s="1"/>
  <c r="AG116" i="25"/>
  <c r="AH116" i="25" s="1"/>
  <c r="AI116" i="25" s="1"/>
  <c r="O117" i="25"/>
  <c r="P117" i="25" s="1"/>
  <c r="Q117" i="25" s="1"/>
  <c r="AG120" i="25"/>
  <c r="AH120" i="25" s="1"/>
  <c r="AL120" i="25" s="1"/>
  <c r="AF154" i="25"/>
  <c r="AF151" i="25"/>
  <c r="AQ118" i="24"/>
  <c r="AQ120" i="24"/>
  <c r="AQ113" i="24"/>
  <c r="AQ110" i="24"/>
  <c r="AQ114" i="24"/>
  <c r="AQ117" i="24"/>
  <c r="AE121" i="24"/>
  <c r="J110" i="24"/>
  <c r="P110" i="24" s="1"/>
  <c r="Q110" i="24" s="1"/>
  <c r="S110" i="24" s="1"/>
  <c r="T110" i="24" s="1"/>
  <c r="V110" i="24" s="1"/>
  <c r="AG111" i="24"/>
  <c r="AH111" i="24" s="1"/>
  <c r="AQ119" i="24"/>
  <c r="AF151" i="24"/>
  <c r="BO102" i="24"/>
  <c r="O112" i="24"/>
  <c r="P112" i="24" s="1"/>
  <c r="Q112" i="24" s="1"/>
  <c r="O116" i="24"/>
  <c r="P116" i="24" s="1"/>
  <c r="Q116" i="24" s="1"/>
  <c r="AF120" i="24"/>
  <c r="BM166" i="24"/>
  <c r="O121" i="24"/>
  <c r="P121" i="24" s="1"/>
  <c r="Q121" i="24" s="1"/>
  <c r="AF153" i="24"/>
  <c r="O114" i="24"/>
  <c r="P114" i="24" s="1"/>
  <c r="Q114" i="24" s="1"/>
  <c r="AG116" i="24"/>
  <c r="AI116" i="24" s="1"/>
  <c r="AJ116" i="24" s="1"/>
  <c r="AK116" i="24" s="1"/>
  <c r="AG113" i="24"/>
  <c r="AH113" i="24" s="1"/>
  <c r="AE119" i="24"/>
  <c r="AF118" i="24"/>
  <c r="AF119" i="24"/>
  <c r="Q120" i="24"/>
  <c r="AG110" i="24"/>
  <c r="O111" i="24"/>
  <c r="P111" i="24" s="1"/>
  <c r="Q111" i="24" s="1"/>
  <c r="AG115" i="24"/>
  <c r="AF116" i="24"/>
  <c r="O117" i="24"/>
  <c r="P117" i="24" s="1"/>
  <c r="Q117" i="24" s="1"/>
  <c r="AF117" i="24"/>
  <c r="AG121" i="24"/>
  <c r="O118" i="24"/>
  <c r="P118" i="24" s="1"/>
  <c r="Q118" i="24" s="1"/>
  <c r="AG117" i="24"/>
  <c r="O119" i="24"/>
  <c r="P119" i="24" s="1"/>
  <c r="Q119" i="24" s="1"/>
  <c r="AG118" i="24"/>
  <c r="O115" i="24"/>
  <c r="P115" i="24" s="1"/>
  <c r="Q115" i="24" s="1"/>
  <c r="AG114" i="24"/>
  <c r="AG112" i="24"/>
  <c r="O113" i="24"/>
  <c r="P113" i="24" s="1"/>
  <c r="Q113" i="24" s="1"/>
  <c r="AG119" i="24"/>
  <c r="AG120" i="24"/>
  <c r="AE120" i="24"/>
  <c r="AF152" i="24"/>
  <c r="AF154" i="24"/>
  <c r="AZ126" i="23"/>
  <c r="AZ85" i="23"/>
  <c r="AZ80" i="23"/>
  <c r="Z156" i="23"/>
  <c r="AA156" i="23" s="1"/>
  <c r="AB156" i="23" s="1"/>
  <c r="AC156" i="23"/>
  <c r="AD156" i="23" s="1"/>
  <c r="AE156" i="23" s="1"/>
  <c r="Y165" i="23"/>
  <c r="Y163" i="23"/>
  <c r="O159" i="23"/>
  <c r="P159" i="23" s="1"/>
  <c r="Q159" i="23" s="1"/>
  <c r="O157" i="23"/>
  <c r="P157" i="23" s="1"/>
  <c r="Q157" i="23" s="1"/>
  <c r="O156" i="23"/>
  <c r="P156" i="23" s="1"/>
  <c r="Q156" i="23" s="1"/>
  <c r="O154" i="23"/>
  <c r="P154" i="23" s="1"/>
  <c r="Q154" i="23" s="1"/>
  <c r="Y161" i="23"/>
  <c r="Y155" i="23"/>
  <c r="Y153" i="23"/>
  <c r="Y152" i="23"/>
  <c r="Y150" i="23"/>
  <c r="Y159" i="23"/>
  <c r="O158" i="23"/>
  <c r="P158" i="23" s="1"/>
  <c r="Q158" i="23" s="1"/>
  <c r="Y157" i="23"/>
  <c r="O155" i="23"/>
  <c r="P155" i="23" s="1"/>
  <c r="Q155" i="23" s="1"/>
  <c r="O153" i="23"/>
  <c r="P153" i="23" s="1"/>
  <c r="Q153" i="23" s="1"/>
  <c r="O152" i="23"/>
  <c r="P152" i="23" s="1"/>
  <c r="Q152" i="23" s="1"/>
  <c r="O150" i="23"/>
  <c r="P150" i="23" s="1"/>
  <c r="Q150" i="23" s="1"/>
  <c r="O148" i="23"/>
  <c r="P148" i="23" s="1"/>
  <c r="Q148" i="23" s="1"/>
  <c r="O142" i="23"/>
  <c r="P142" i="23" s="1"/>
  <c r="Y142" i="23"/>
  <c r="O146" i="23"/>
  <c r="P146" i="23" s="1"/>
  <c r="Q146" i="23" s="1"/>
  <c r="O147" i="23"/>
  <c r="P147" i="23" s="1"/>
  <c r="Q147" i="23" s="1"/>
  <c r="O149" i="23"/>
  <c r="P149" i="23" s="1"/>
  <c r="Q149" i="23" s="1"/>
  <c r="O151" i="23"/>
  <c r="P151" i="23" s="1"/>
  <c r="Q151" i="23" s="1"/>
  <c r="Y160" i="23"/>
  <c r="Q161" i="23"/>
  <c r="Y162" i="23"/>
  <c r="Z164" i="23"/>
  <c r="AA164" i="23" s="1"/>
  <c r="AB164" i="23" s="1"/>
  <c r="AK192" i="23"/>
  <c r="Q160" i="23"/>
  <c r="Q162" i="23"/>
  <c r="Q160" i="22"/>
  <c r="Y138" i="22"/>
  <c r="Z138" i="22" s="1"/>
  <c r="AA138" i="22" s="1"/>
  <c r="AB138" i="22" s="1"/>
  <c r="AK188" i="22"/>
  <c r="AK189" i="22" s="1"/>
  <c r="Q157" i="22"/>
  <c r="Q147" i="22"/>
  <c r="Y143" i="22"/>
  <c r="Z143" i="22" s="1"/>
  <c r="AA143" i="22" s="1"/>
  <c r="AB143" i="22" s="1"/>
  <c r="Y148" i="22"/>
  <c r="Z148" i="22" s="1"/>
  <c r="AA148" i="22" s="1"/>
  <c r="AB148" i="22" s="1"/>
  <c r="Q158" i="22"/>
  <c r="AZ86" i="22"/>
  <c r="O141" i="22"/>
  <c r="P141" i="22" s="1"/>
  <c r="Q141" i="22" s="1"/>
  <c r="Y147" i="22"/>
  <c r="Z147" i="22" s="1"/>
  <c r="AA147" i="22" s="1"/>
  <c r="AB147" i="22" s="1"/>
  <c r="Q156" i="22"/>
  <c r="Y142" i="22"/>
  <c r="AC142" i="22" s="1"/>
  <c r="AD142" i="22" s="1"/>
  <c r="AE142" i="22" s="1"/>
  <c r="Y145" i="22"/>
  <c r="Z145" i="22" s="1"/>
  <c r="AA145" i="22" s="1"/>
  <c r="AB145" i="22" s="1"/>
  <c r="J138" i="22"/>
  <c r="K138" i="22" s="1"/>
  <c r="L138" i="22" s="1"/>
  <c r="M138" i="22" s="1"/>
  <c r="N138" i="22" s="1"/>
  <c r="Y140" i="22"/>
  <c r="Z140" i="22" s="1"/>
  <c r="AA140" i="22" s="1"/>
  <c r="AB140" i="22" s="1"/>
  <c r="O138" i="22"/>
  <c r="P138" i="22" s="1"/>
  <c r="O139" i="22"/>
  <c r="P139" i="22" s="1"/>
  <c r="Q139" i="22" s="1"/>
  <c r="Y139" i="22"/>
  <c r="Y141" i="22"/>
  <c r="O143" i="22"/>
  <c r="P143" i="22" s="1"/>
  <c r="Q143" i="22" s="1"/>
  <c r="O145" i="22"/>
  <c r="P145" i="22" s="1"/>
  <c r="Q145" i="22" s="1"/>
  <c r="Y161" i="22"/>
  <c r="Y159" i="22"/>
  <c r="Y157" i="22"/>
  <c r="Y160" i="22"/>
  <c r="Y158" i="22"/>
  <c r="Y155" i="22"/>
  <c r="Y153" i="22"/>
  <c r="O151" i="22"/>
  <c r="P151" i="22" s="1"/>
  <c r="Q151" i="22" s="1"/>
  <c r="O149" i="22"/>
  <c r="P149" i="22" s="1"/>
  <c r="Q149" i="22" s="1"/>
  <c r="Y156" i="22"/>
  <c r="Y154" i="22"/>
  <c r="O152" i="22"/>
  <c r="P152" i="22" s="1"/>
  <c r="Q152" i="22" s="1"/>
  <c r="O150" i="22"/>
  <c r="P150" i="22" s="1"/>
  <c r="Q150" i="22" s="1"/>
  <c r="O155" i="22"/>
  <c r="P155" i="22" s="1"/>
  <c r="Q155" i="22" s="1"/>
  <c r="O153" i="22"/>
  <c r="P153" i="22" s="1"/>
  <c r="Q153" i="22" s="1"/>
  <c r="Y151" i="22"/>
  <c r="Y146" i="22"/>
  <c r="Y144" i="22"/>
  <c r="O154" i="22"/>
  <c r="P154" i="22" s="1"/>
  <c r="Q154" i="22" s="1"/>
  <c r="Y152" i="22"/>
  <c r="Y149" i="22"/>
  <c r="O148" i="22"/>
  <c r="P148" i="22" s="1"/>
  <c r="Q148" i="22" s="1"/>
  <c r="O146" i="22"/>
  <c r="P146" i="22" s="1"/>
  <c r="Q146" i="22" s="1"/>
  <c r="O144" i="22"/>
  <c r="P144" i="22" s="1"/>
  <c r="Q144" i="22" s="1"/>
  <c r="O142" i="22"/>
  <c r="P142" i="22" s="1"/>
  <c r="Q142" i="22" s="1"/>
  <c r="O140" i="22"/>
  <c r="P140" i="22" s="1"/>
  <c r="Q140" i="22" s="1"/>
  <c r="Y150" i="22"/>
  <c r="Q159" i="22"/>
  <c r="Q161" i="22"/>
  <c r="S130" i="28" l="1"/>
  <c r="T129" i="28"/>
  <c r="AE110" i="28"/>
  <c r="AS110" i="28"/>
  <c r="V111" i="28"/>
  <c r="R112" i="28"/>
  <c r="S113" i="28"/>
  <c r="T112" i="28"/>
  <c r="BJ108" i="28"/>
  <c r="AS128" i="28"/>
  <c r="AL119" i="25"/>
  <c r="AM119" i="25" s="1"/>
  <c r="AN119" i="25" s="1"/>
  <c r="AI117" i="25"/>
  <c r="AJ117" i="25" s="1"/>
  <c r="AK117" i="25" s="1"/>
  <c r="AI120" i="25"/>
  <c r="AL118" i="25"/>
  <c r="AM118" i="25" s="1"/>
  <c r="AN118" i="25" s="1"/>
  <c r="AL111" i="24"/>
  <c r="AM111" i="24" s="1"/>
  <c r="AN111" i="24" s="1"/>
  <c r="AI111" i="24"/>
  <c r="AJ111" i="24" s="1"/>
  <c r="AK111" i="24" s="1"/>
  <c r="Z146" i="23"/>
  <c r="AA146" i="23" s="1"/>
  <c r="AB146" i="23" s="1"/>
  <c r="AG146" i="23" s="1"/>
  <c r="AL116" i="25"/>
  <c r="AM116" i="25" s="1"/>
  <c r="AN116" i="25" s="1"/>
  <c r="AM149" i="27"/>
  <c r="AN149" i="27" s="1"/>
  <c r="AJ149" i="27"/>
  <c r="AK149" i="27" s="1"/>
  <c r="AL149" i="27" s="1"/>
  <c r="AM144" i="27"/>
  <c r="AN144" i="27" s="1"/>
  <c r="AO144" i="27" s="1"/>
  <c r="AJ144" i="27"/>
  <c r="AK144" i="27" s="1"/>
  <c r="AL144" i="27" s="1"/>
  <c r="AM146" i="27"/>
  <c r="AN146" i="27" s="1"/>
  <c r="AO146" i="27" s="1"/>
  <c r="AJ146" i="27"/>
  <c r="AK146" i="27" s="1"/>
  <c r="AL146" i="27" s="1"/>
  <c r="AM151" i="27"/>
  <c r="AN151" i="27" s="1"/>
  <c r="AO151" i="27" s="1"/>
  <c r="AJ151" i="27"/>
  <c r="AK151" i="27" s="1"/>
  <c r="AL151" i="27" s="1"/>
  <c r="AM152" i="27"/>
  <c r="AN152" i="27" s="1"/>
  <c r="AO152" i="27" s="1"/>
  <c r="AJ152" i="27"/>
  <c r="AK152" i="27" s="1"/>
  <c r="AL152" i="27" s="1"/>
  <c r="AM148" i="27"/>
  <c r="AN148" i="27" s="1"/>
  <c r="AO148" i="27" s="1"/>
  <c r="AJ148" i="27"/>
  <c r="AK148" i="27" s="1"/>
  <c r="AL148" i="27" s="1"/>
  <c r="AM150" i="27"/>
  <c r="AN150" i="27" s="1"/>
  <c r="AO150" i="27" s="1"/>
  <c r="AJ150" i="27"/>
  <c r="AK150" i="27" s="1"/>
  <c r="AL150" i="27" s="1"/>
  <c r="AM145" i="27"/>
  <c r="AN145" i="27" s="1"/>
  <c r="AJ145" i="27"/>
  <c r="AK145" i="27" s="1"/>
  <c r="AL145" i="27" s="1"/>
  <c r="AM154" i="27"/>
  <c r="AN154" i="27" s="1"/>
  <c r="AO154" i="27" s="1"/>
  <c r="AJ154" i="27"/>
  <c r="AK154" i="27" s="1"/>
  <c r="AL154" i="27" s="1"/>
  <c r="AM153" i="27"/>
  <c r="AN153" i="27" s="1"/>
  <c r="AO153" i="27" s="1"/>
  <c r="AJ153" i="27"/>
  <c r="AK153" i="27" s="1"/>
  <c r="AL153" i="27" s="1"/>
  <c r="AM147" i="27"/>
  <c r="AN147" i="27" s="1"/>
  <c r="AO147" i="27" s="1"/>
  <c r="AJ147" i="27"/>
  <c r="AK147" i="27" s="1"/>
  <c r="AL147" i="27" s="1"/>
  <c r="AC148" i="22"/>
  <c r="AD148" i="22" s="1"/>
  <c r="AE148" i="22" s="1"/>
  <c r="AG148" i="22" s="1"/>
  <c r="AC158" i="23"/>
  <c r="AD158" i="23" s="1"/>
  <c r="AE158" i="23" s="1"/>
  <c r="AG158" i="23" s="1"/>
  <c r="Z148" i="23"/>
  <c r="AA148" i="23" s="1"/>
  <c r="AB148" i="23" s="1"/>
  <c r="AG148" i="23" s="1"/>
  <c r="Z151" i="23"/>
  <c r="AA151" i="23" s="1"/>
  <c r="AB151" i="23" s="1"/>
  <c r="AC151" i="23"/>
  <c r="AD151" i="23" s="1"/>
  <c r="AE151" i="23" s="1"/>
  <c r="AG164" i="23"/>
  <c r="AC147" i="23"/>
  <c r="AD147" i="23" s="1"/>
  <c r="AE147" i="23" s="1"/>
  <c r="Z147" i="23"/>
  <c r="AA147" i="23" s="1"/>
  <c r="AB147" i="23" s="1"/>
  <c r="Z154" i="23"/>
  <c r="AA154" i="23" s="1"/>
  <c r="AB154" i="23" s="1"/>
  <c r="AC154" i="23"/>
  <c r="AD154" i="23" s="1"/>
  <c r="AE154" i="23" s="1"/>
  <c r="AC143" i="23"/>
  <c r="AD143" i="23" s="1"/>
  <c r="AE143" i="23" s="1"/>
  <c r="AG143" i="23" s="1"/>
  <c r="Q142" i="23"/>
  <c r="S142" i="23" s="1"/>
  <c r="T142" i="23" s="1"/>
  <c r="V142" i="23" s="1"/>
  <c r="Z145" i="23"/>
  <c r="AA145" i="23" s="1"/>
  <c r="AB145" i="23" s="1"/>
  <c r="AC145" i="23"/>
  <c r="AD145" i="23" s="1"/>
  <c r="AE145" i="23" s="1"/>
  <c r="Z149" i="23"/>
  <c r="AA149" i="23" s="1"/>
  <c r="AB149" i="23" s="1"/>
  <c r="AC149" i="23"/>
  <c r="AD149" i="23" s="1"/>
  <c r="AE149" i="23" s="1"/>
  <c r="Z144" i="23"/>
  <c r="AA144" i="23" s="1"/>
  <c r="AB144" i="23" s="1"/>
  <c r="AC144" i="23"/>
  <c r="AD144" i="23" s="1"/>
  <c r="AE144" i="23" s="1"/>
  <c r="AE111" i="27"/>
  <c r="AT111" i="27"/>
  <c r="R144" i="27"/>
  <c r="S144" i="27" s="1"/>
  <c r="V143" i="27"/>
  <c r="S114" i="27"/>
  <c r="T113" i="27"/>
  <c r="AI143" i="27"/>
  <c r="R113" i="27"/>
  <c r="V112" i="27"/>
  <c r="BK205" i="27"/>
  <c r="AM117" i="25"/>
  <c r="AN117" i="25" s="1"/>
  <c r="BK199" i="26"/>
  <c r="T112" i="26"/>
  <c r="S113" i="26"/>
  <c r="O154" i="26"/>
  <c r="P154" i="26" s="1"/>
  <c r="Q154" i="26" s="1"/>
  <c r="O153" i="26"/>
  <c r="P153" i="26" s="1"/>
  <c r="Q153" i="26" s="1"/>
  <c r="O152" i="26"/>
  <c r="P152" i="26" s="1"/>
  <c r="Q152" i="26" s="1"/>
  <c r="O151" i="26"/>
  <c r="P151" i="26" s="1"/>
  <c r="Q151" i="26" s="1"/>
  <c r="O150" i="26"/>
  <c r="P150" i="26" s="1"/>
  <c r="Q150" i="26" s="1"/>
  <c r="O149" i="26"/>
  <c r="P149" i="26" s="1"/>
  <c r="Q149" i="26" s="1"/>
  <c r="O148" i="26"/>
  <c r="P148" i="26" s="1"/>
  <c r="Q148" i="26" s="1"/>
  <c r="O147" i="26"/>
  <c r="P147" i="26" s="1"/>
  <c r="Q147" i="26" s="1"/>
  <c r="O146" i="26"/>
  <c r="P146" i="26" s="1"/>
  <c r="Q146" i="26" s="1"/>
  <c r="O145" i="26"/>
  <c r="P145" i="26" s="1"/>
  <c r="Q145" i="26" s="1"/>
  <c r="O144" i="26"/>
  <c r="P144" i="26" s="1"/>
  <c r="Q144" i="26" s="1"/>
  <c r="AH145" i="26"/>
  <c r="AI145" i="26" s="1"/>
  <c r="J143" i="26"/>
  <c r="P143" i="26" s="1"/>
  <c r="Q143" i="26" s="1"/>
  <c r="S143" i="26" s="1"/>
  <c r="T143" i="26" s="1"/>
  <c r="AH154" i="26"/>
  <c r="AH152" i="26"/>
  <c r="AI152" i="26" s="1"/>
  <c r="AH150" i="26"/>
  <c r="AI150" i="26" s="1"/>
  <c r="AH148" i="26"/>
  <c r="AI148" i="26" s="1"/>
  <c r="AH144" i="26"/>
  <c r="AI144" i="26" s="1"/>
  <c r="AH143" i="26"/>
  <c r="AH153" i="26"/>
  <c r="AH151" i="26"/>
  <c r="AI151" i="26" s="1"/>
  <c r="AH149" i="26"/>
  <c r="AI149" i="26" s="1"/>
  <c r="AH147" i="26"/>
  <c r="AI147" i="26" s="1"/>
  <c r="AH146" i="26"/>
  <c r="AI146" i="26" s="1"/>
  <c r="V111" i="26"/>
  <c r="R112" i="26"/>
  <c r="AL113" i="25"/>
  <c r="AM113" i="25" s="1"/>
  <c r="AN113" i="25" s="1"/>
  <c r="AI113" i="25"/>
  <c r="AJ113" i="25" s="1"/>
  <c r="AK113" i="25" s="1"/>
  <c r="AL110" i="25"/>
  <c r="AM110" i="25" s="1"/>
  <c r="AI110" i="25"/>
  <c r="AJ110" i="25" s="1"/>
  <c r="AK110" i="25" s="1"/>
  <c r="AN121" i="25"/>
  <c r="AR121" i="25" s="1"/>
  <c r="AL115" i="25"/>
  <c r="AM115" i="25" s="1"/>
  <c r="AN115" i="25" s="1"/>
  <c r="AI115" i="25"/>
  <c r="AJ115" i="25" s="1"/>
  <c r="AK115" i="25" s="1"/>
  <c r="V110" i="25"/>
  <c r="AE110" i="25" s="1"/>
  <c r="AJ118" i="25"/>
  <c r="AK118" i="25" s="1"/>
  <c r="AH114" i="25"/>
  <c r="AH111" i="25"/>
  <c r="AJ119" i="25"/>
  <c r="AK119" i="25" s="1"/>
  <c r="BM167" i="25"/>
  <c r="AH112" i="25"/>
  <c r="AJ120" i="25"/>
  <c r="AK120" i="25" s="1"/>
  <c r="AM120" i="25"/>
  <c r="AN120" i="25" s="1"/>
  <c r="AJ116" i="25"/>
  <c r="AK116" i="25" s="1"/>
  <c r="S111" i="25"/>
  <c r="R111" i="24"/>
  <c r="S111" i="24" s="1"/>
  <c r="BO61" i="24"/>
  <c r="BO56" i="24"/>
  <c r="BM167" i="24"/>
  <c r="AL116" i="24"/>
  <c r="AM116" i="24" s="1"/>
  <c r="AN116" i="24" s="1"/>
  <c r="AR116" i="24" s="1"/>
  <c r="AL113" i="24"/>
  <c r="AM113" i="24" s="1"/>
  <c r="AN113" i="24" s="1"/>
  <c r="AI113" i="24"/>
  <c r="AJ113" i="24" s="1"/>
  <c r="AK113" i="24" s="1"/>
  <c r="AL118" i="24"/>
  <c r="AM118" i="24" s="1"/>
  <c r="AN118" i="24" s="1"/>
  <c r="AI118" i="24"/>
  <c r="AJ118" i="24" s="1"/>
  <c r="AK118" i="24" s="1"/>
  <c r="AL121" i="24"/>
  <c r="AM121" i="24" s="1"/>
  <c r="AN121" i="24" s="1"/>
  <c r="AI121" i="24"/>
  <c r="AJ121" i="24" s="1"/>
  <c r="AK121" i="24" s="1"/>
  <c r="AI119" i="24"/>
  <c r="AJ119" i="24" s="1"/>
  <c r="AK119" i="24" s="1"/>
  <c r="AL119" i="24"/>
  <c r="AM119" i="24" s="1"/>
  <c r="AN119" i="24" s="1"/>
  <c r="AI112" i="24"/>
  <c r="AJ112" i="24" s="1"/>
  <c r="AK112" i="24" s="1"/>
  <c r="AL112" i="24"/>
  <c r="AM112" i="24" s="1"/>
  <c r="AN112" i="24" s="1"/>
  <c r="AH112" i="24"/>
  <c r="AI110" i="24"/>
  <c r="AJ110" i="24" s="1"/>
  <c r="AK110" i="24" s="1"/>
  <c r="AL110" i="24"/>
  <c r="AM110" i="24" s="1"/>
  <c r="AN110" i="24" s="1"/>
  <c r="AH110" i="24"/>
  <c r="AR111" i="24"/>
  <c r="AI120" i="24"/>
  <c r="AJ120" i="24" s="1"/>
  <c r="AK120" i="24" s="1"/>
  <c r="AL120" i="24"/>
  <c r="AM120" i="24" s="1"/>
  <c r="AN120" i="24" s="1"/>
  <c r="AI114" i="24"/>
  <c r="AJ114" i="24" s="1"/>
  <c r="AK114" i="24" s="1"/>
  <c r="AH114" i="24"/>
  <c r="AL114" i="24"/>
  <c r="AM114" i="24" s="1"/>
  <c r="AN114" i="24" s="1"/>
  <c r="AL117" i="24"/>
  <c r="AM117" i="24" s="1"/>
  <c r="AN117" i="24" s="1"/>
  <c r="AI117" i="24"/>
  <c r="AJ117" i="24" s="1"/>
  <c r="AK117" i="24" s="1"/>
  <c r="AE110" i="24"/>
  <c r="AL115" i="24"/>
  <c r="AM115" i="24" s="1"/>
  <c r="AN115" i="24" s="1"/>
  <c r="AH115" i="24"/>
  <c r="AI115" i="24"/>
  <c r="AJ115" i="24" s="1"/>
  <c r="AK115" i="24" s="1"/>
  <c r="Z159" i="23"/>
  <c r="AA159" i="23" s="1"/>
  <c r="AB159" i="23" s="1"/>
  <c r="AC159" i="23"/>
  <c r="AD159" i="23" s="1"/>
  <c r="AE159" i="23" s="1"/>
  <c r="Z155" i="23"/>
  <c r="AA155" i="23" s="1"/>
  <c r="AB155" i="23" s="1"/>
  <c r="AC155" i="23"/>
  <c r="AD155" i="23" s="1"/>
  <c r="AE155" i="23" s="1"/>
  <c r="Z160" i="23"/>
  <c r="AA160" i="23" s="1"/>
  <c r="AB160" i="23" s="1"/>
  <c r="AC160" i="23"/>
  <c r="AD160" i="23" s="1"/>
  <c r="AE160" i="23" s="1"/>
  <c r="Z157" i="23"/>
  <c r="AA157" i="23" s="1"/>
  <c r="AB157" i="23" s="1"/>
  <c r="AC157" i="23"/>
  <c r="AD157" i="23" s="1"/>
  <c r="AE157" i="23" s="1"/>
  <c r="AC152" i="23"/>
  <c r="AD152" i="23" s="1"/>
  <c r="AE152" i="23" s="1"/>
  <c r="Z152" i="23"/>
  <c r="AA152" i="23" s="1"/>
  <c r="AB152" i="23" s="1"/>
  <c r="AC163" i="23"/>
  <c r="AD163" i="23" s="1"/>
  <c r="AE163" i="23" s="1"/>
  <c r="Z163" i="23"/>
  <c r="AA163" i="23" s="1"/>
  <c r="AB163" i="23" s="1"/>
  <c r="AG156" i="23"/>
  <c r="AC162" i="23"/>
  <c r="AD162" i="23" s="1"/>
  <c r="AE162" i="23" s="1"/>
  <c r="Z162" i="23"/>
  <c r="AA162" i="23" s="1"/>
  <c r="AB162" i="23" s="1"/>
  <c r="AK193" i="23"/>
  <c r="AC150" i="23"/>
  <c r="AD150" i="23" s="1"/>
  <c r="AE150" i="23" s="1"/>
  <c r="Z150" i="23"/>
  <c r="AA150" i="23" s="1"/>
  <c r="AB150" i="23" s="1"/>
  <c r="Z161" i="23"/>
  <c r="AA161" i="23" s="1"/>
  <c r="AB161" i="23" s="1"/>
  <c r="AC161" i="23"/>
  <c r="AD161" i="23" s="1"/>
  <c r="AE161" i="23" s="1"/>
  <c r="AC142" i="23"/>
  <c r="AD142" i="23" s="1"/>
  <c r="AE142" i="23" s="1"/>
  <c r="Z142" i="23"/>
  <c r="AA142" i="23" s="1"/>
  <c r="AB142" i="23" s="1"/>
  <c r="Z153" i="23"/>
  <c r="AA153" i="23" s="1"/>
  <c r="AB153" i="23" s="1"/>
  <c r="AC153" i="23"/>
  <c r="AD153" i="23" s="1"/>
  <c r="AE153" i="23" s="1"/>
  <c r="AC165" i="23"/>
  <c r="AD165" i="23" s="1"/>
  <c r="AE165" i="23" s="1"/>
  <c r="Z165" i="23"/>
  <c r="AA165" i="23" s="1"/>
  <c r="AB165" i="23" s="1"/>
  <c r="AZ127" i="22"/>
  <c r="AZ81" i="22"/>
  <c r="AC138" i="22"/>
  <c r="AD138" i="22" s="1"/>
  <c r="AE138" i="22" s="1"/>
  <c r="AG138" i="22" s="1"/>
  <c r="Z142" i="22"/>
  <c r="AA142" i="22" s="1"/>
  <c r="AB142" i="22" s="1"/>
  <c r="AG142" i="22" s="1"/>
  <c r="AC147" i="22"/>
  <c r="AD147" i="22" s="1"/>
  <c r="AE147" i="22" s="1"/>
  <c r="AG147" i="22" s="1"/>
  <c r="Q138" i="22"/>
  <c r="S138" i="22" s="1"/>
  <c r="T138" i="22" s="1"/>
  <c r="V138" i="22" s="1"/>
  <c r="AC145" i="22"/>
  <c r="AD145" i="22" s="1"/>
  <c r="AE145" i="22" s="1"/>
  <c r="AG145" i="22" s="1"/>
  <c r="AC143" i="22"/>
  <c r="AD143" i="22" s="1"/>
  <c r="AE143" i="22" s="1"/>
  <c r="AG143" i="22" s="1"/>
  <c r="AK190" i="22"/>
  <c r="AC140" i="22"/>
  <c r="AD140" i="22" s="1"/>
  <c r="AE140" i="22" s="1"/>
  <c r="AG140" i="22" s="1"/>
  <c r="Z152" i="22"/>
  <c r="AA152" i="22" s="1"/>
  <c r="AB152" i="22" s="1"/>
  <c r="AC152" i="22"/>
  <c r="AD152" i="22" s="1"/>
  <c r="AE152" i="22" s="1"/>
  <c r="AC144" i="22"/>
  <c r="AD144" i="22" s="1"/>
  <c r="AE144" i="22" s="1"/>
  <c r="Z144" i="22"/>
  <c r="AA144" i="22" s="1"/>
  <c r="AB144" i="22" s="1"/>
  <c r="AC156" i="22"/>
  <c r="AD156" i="22" s="1"/>
  <c r="AE156" i="22" s="1"/>
  <c r="Z156" i="22"/>
  <c r="AA156" i="22" s="1"/>
  <c r="AB156" i="22" s="1"/>
  <c r="AC155" i="22"/>
  <c r="AD155" i="22" s="1"/>
  <c r="AE155" i="22" s="1"/>
  <c r="Z155" i="22"/>
  <c r="AA155" i="22" s="1"/>
  <c r="AB155" i="22" s="1"/>
  <c r="AC159" i="22"/>
  <c r="AD159" i="22" s="1"/>
  <c r="AE159" i="22" s="1"/>
  <c r="Z159" i="22"/>
  <c r="AA159" i="22" s="1"/>
  <c r="AB159" i="22" s="1"/>
  <c r="Z139" i="22"/>
  <c r="AA139" i="22" s="1"/>
  <c r="AB139" i="22" s="1"/>
  <c r="AC139" i="22"/>
  <c r="AD139" i="22" s="1"/>
  <c r="AE139" i="22" s="1"/>
  <c r="Z150" i="22"/>
  <c r="AA150" i="22" s="1"/>
  <c r="AB150" i="22" s="1"/>
  <c r="AC150" i="22"/>
  <c r="AD150" i="22" s="1"/>
  <c r="AE150" i="22" s="1"/>
  <c r="Z149" i="22"/>
  <c r="AA149" i="22" s="1"/>
  <c r="AB149" i="22" s="1"/>
  <c r="AC149" i="22"/>
  <c r="AD149" i="22" s="1"/>
  <c r="AE149" i="22" s="1"/>
  <c r="AC146" i="22"/>
  <c r="AD146" i="22" s="1"/>
  <c r="AE146" i="22" s="1"/>
  <c r="Z146" i="22"/>
  <c r="AA146" i="22" s="1"/>
  <c r="AB146" i="22" s="1"/>
  <c r="AC158" i="22"/>
  <c r="AD158" i="22" s="1"/>
  <c r="AE158" i="22" s="1"/>
  <c r="Z158" i="22"/>
  <c r="AA158" i="22" s="1"/>
  <c r="AB158" i="22" s="1"/>
  <c r="AC161" i="22"/>
  <c r="AD161" i="22" s="1"/>
  <c r="AE161" i="22" s="1"/>
  <c r="Z161" i="22"/>
  <c r="AA161" i="22" s="1"/>
  <c r="AB161" i="22" s="1"/>
  <c r="Z151" i="22"/>
  <c r="AA151" i="22" s="1"/>
  <c r="AB151" i="22" s="1"/>
  <c r="AC151" i="22"/>
  <c r="AD151" i="22" s="1"/>
  <c r="AE151" i="22" s="1"/>
  <c r="AC160" i="22"/>
  <c r="AD160" i="22" s="1"/>
  <c r="AE160" i="22" s="1"/>
  <c r="Z160" i="22"/>
  <c r="AA160" i="22" s="1"/>
  <c r="AB160" i="22" s="1"/>
  <c r="Z141" i="22"/>
  <c r="AA141" i="22" s="1"/>
  <c r="AB141" i="22" s="1"/>
  <c r="AC141" i="22"/>
  <c r="AD141" i="22" s="1"/>
  <c r="AE141" i="22" s="1"/>
  <c r="AC154" i="22"/>
  <c r="AD154" i="22" s="1"/>
  <c r="AE154" i="22" s="1"/>
  <c r="Z154" i="22"/>
  <c r="AA154" i="22" s="1"/>
  <c r="AB154" i="22" s="1"/>
  <c r="AC153" i="22"/>
  <c r="AD153" i="22" s="1"/>
  <c r="AE153" i="22" s="1"/>
  <c r="Z153" i="22"/>
  <c r="AA153" i="22" s="1"/>
  <c r="AB153" i="22" s="1"/>
  <c r="AC157" i="22"/>
  <c r="AD157" i="22" s="1"/>
  <c r="AE157" i="22" s="1"/>
  <c r="Z157" i="22"/>
  <c r="AA157" i="22" s="1"/>
  <c r="AB157" i="22" s="1"/>
  <c r="AE111" i="28" l="1"/>
  <c r="AS111" i="28"/>
  <c r="BJ109" i="28"/>
  <c r="T113" i="28"/>
  <c r="S114" i="28"/>
  <c r="R113" i="28"/>
  <c r="V112" i="28"/>
  <c r="R130" i="28"/>
  <c r="V129" i="28"/>
  <c r="S131" i="28"/>
  <c r="T130" i="28"/>
  <c r="R143" i="23"/>
  <c r="S143" i="23" s="1"/>
  <c r="S144" i="23" s="1"/>
  <c r="AO149" i="27"/>
  <c r="AS149" i="27" s="1"/>
  <c r="AM143" i="27"/>
  <c r="AN143" i="27" s="1"/>
  <c r="AO143" i="27" s="1"/>
  <c r="AJ143" i="27"/>
  <c r="AK143" i="27" s="1"/>
  <c r="AL143" i="27" s="1"/>
  <c r="AT143" i="27" s="1"/>
  <c r="AO145" i="27"/>
  <c r="AS145" i="27" s="1"/>
  <c r="AR117" i="25"/>
  <c r="AR112" i="24"/>
  <c r="AS116" i="24"/>
  <c r="AU116" i="24" s="1"/>
  <c r="AR114" i="24"/>
  <c r="AG165" i="23"/>
  <c r="AG151" i="23"/>
  <c r="AG157" i="23"/>
  <c r="AG155" i="23"/>
  <c r="AG149" i="23"/>
  <c r="AG153" i="23"/>
  <c r="AG161" i="23"/>
  <c r="AG162" i="23"/>
  <c r="AG144" i="23"/>
  <c r="AG145" i="23"/>
  <c r="AG154" i="23"/>
  <c r="AG152" i="23"/>
  <c r="AG142" i="23"/>
  <c r="AG147" i="23"/>
  <c r="AS150" i="27"/>
  <c r="AS153" i="27"/>
  <c r="AS147" i="27"/>
  <c r="T114" i="27"/>
  <c r="S115" i="27"/>
  <c r="T144" i="27"/>
  <c r="S145" i="27"/>
  <c r="AS154" i="27"/>
  <c r="AS152" i="27"/>
  <c r="AI155" i="27"/>
  <c r="X143" i="27" s="1"/>
  <c r="Z143" i="27" s="1"/>
  <c r="AS144" i="27"/>
  <c r="BK206" i="27"/>
  <c r="AS148" i="27"/>
  <c r="AE112" i="27"/>
  <c r="AT112" i="27"/>
  <c r="AS151" i="27"/>
  <c r="AS146" i="27"/>
  <c r="R114" i="27"/>
  <c r="V113" i="27"/>
  <c r="AE143" i="27"/>
  <c r="AR115" i="25"/>
  <c r="BK200" i="26"/>
  <c r="AE111" i="26"/>
  <c r="AT111" i="26"/>
  <c r="AJ151" i="26"/>
  <c r="AK151" i="26" s="1"/>
  <c r="AL151" i="26" s="1"/>
  <c r="AM151" i="26"/>
  <c r="AN151" i="26" s="1"/>
  <c r="AO151" i="26" s="1"/>
  <c r="V143" i="26"/>
  <c r="R144" i="26"/>
  <c r="S144" i="26" s="1"/>
  <c r="AM146" i="26"/>
  <c r="AN146" i="26" s="1"/>
  <c r="AO146" i="26" s="1"/>
  <c r="AJ146" i="26"/>
  <c r="AK146" i="26" s="1"/>
  <c r="AL146" i="26" s="1"/>
  <c r="AJ153" i="26"/>
  <c r="AK153" i="26" s="1"/>
  <c r="AL153" i="26" s="1"/>
  <c r="AT153" i="26" s="1"/>
  <c r="AM153" i="26"/>
  <c r="AN153" i="26" s="1"/>
  <c r="AO153" i="26" s="1"/>
  <c r="AJ150" i="26"/>
  <c r="AK150" i="26" s="1"/>
  <c r="AL150" i="26" s="1"/>
  <c r="AM150" i="26"/>
  <c r="AN150" i="26" s="1"/>
  <c r="AO150" i="26" s="1"/>
  <c r="AM145" i="26"/>
  <c r="AN145" i="26" s="1"/>
  <c r="AO145" i="26" s="1"/>
  <c r="AJ145" i="26"/>
  <c r="AK145" i="26" s="1"/>
  <c r="AL145" i="26" s="1"/>
  <c r="S114" i="26"/>
  <c r="T113" i="26"/>
  <c r="AJ147" i="26"/>
  <c r="AK147" i="26" s="1"/>
  <c r="AL147" i="26" s="1"/>
  <c r="AM147" i="26"/>
  <c r="AN147" i="26" s="1"/>
  <c r="AO147" i="26" s="1"/>
  <c r="AM143" i="26"/>
  <c r="AN143" i="26" s="1"/>
  <c r="AO143" i="26" s="1"/>
  <c r="AI143" i="26"/>
  <c r="AJ143" i="26"/>
  <c r="AK143" i="26" s="1"/>
  <c r="AL143" i="26" s="1"/>
  <c r="AJ152" i="26"/>
  <c r="AK152" i="26" s="1"/>
  <c r="AL152" i="26" s="1"/>
  <c r="AM152" i="26"/>
  <c r="AN152" i="26" s="1"/>
  <c r="AO152" i="26" s="1"/>
  <c r="R113" i="26"/>
  <c r="V112" i="26"/>
  <c r="AJ149" i="26"/>
  <c r="AK149" i="26" s="1"/>
  <c r="AL149" i="26" s="1"/>
  <c r="AM149" i="26"/>
  <c r="AN149" i="26" s="1"/>
  <c r="AO149" i="26" s="1"/>
  <c r="AM144" i="26"/>
  <c r="AN144" i="26" s="1"/>
  <c r="AO144" i="26" s="1"/>
  <c r="AJ144" i="26"/>
  <c r="AK144" i="26" s="1"/>
  <c r="AL144" i="26" s="1"/>
  <c r="AJ154" i="26"/>
  <c r="AK154" i="26" s="1"/>
  <c r="AL154" i="26" s="1"/>
  <c r="AT154" i="26" s="1"/>
  <c r="AM154" i="26"/>
  <c r="AN154" i="26" s="1"/>
  <c r="AO154" i="26" s="1"/>
  <c r="AJ148" i="26"/>
  <c r="AK148" i="26" s="1"/>
  <c r="AL148" i="26" s="1"/>
  <c r="AM148" i="26"/>
  <c r="AN148" i="26" s="1"/>
  <c r="AO148" i="26" s="1"/>
  <c r="AR113" i="25"/>
  <c r="AH122" i="25"/>
  <c r="C131" i="25" s="1"/>
  <c r="AL112" i="25"/>
  <c r="AM112" i="25" s="1"/>
  <c r="AN112" i="25" s="1"/>
  <c r="AI112" i="25"/>
  <c r="AJ112" i="25" s="1"/>
  <c r="AK112" i="25" s="1"/>
  <c r="AL111" i="25"/>
  <c r="AM111" i="25" s="1"/>
  <c r="AN111" i="25" s="1"/>
  <c r="AI111" i="25"/>
  <c r="AJ111" i="25" s="1"/>
  <c r="AK111" i="25" s="1"/>
  <c r="AL114" i="25"/>
  <c r="AM114" i="25" s="1"/>
  <c r="AN114" i="25" s="1"/>
  <c r="AI114" i="25"/>
  <c r="AJ114" i="25" s="1"/>
  <c r="AN110" i="25"/>
  <c r="AR110" i="25" s="1"/>
  <c r="C8" i="25" s="1"/>
  <c r="AR119" i="25"/>
  <c r="AR118" i="25"/>
  <c r="AR116" i="25"/>
  <c r="S112" i="25"/>
  <c r="T111" i="25"/>
  <c r="AR120" i="25"/>
  <c r="BM168" i="25"/>
  <c r="BM168" i="24"/>
  <c r="AH122" i="24"/>
  <c r="C131" i="24" s="1"/>
  <c r="AR110" i="24"/>
  <c r="C8" i="24" s="1"/>
  <c r="AR113" i="24"/>
  <c r="T111" i="24"/>
  <c r="S112" i="24"/>
  <c r="AR119" i="24"/>
  <c r="AS119" i="24"/>
  <c r="AU119" i="24" s="1"/>
  <c r="AR118" i="24"/>
  <c r="AS118" i="24"/>
  <c r="AU118" i="24" s="1"/>
  <c r="AR120" i="24"/>
  <c r="AS120" i="24"/>
  <c r="AU120" i="24" s="1"/>
  <c r="AR115" i="24"/>
  <c r="AS110" i="24"/>
  <c r="AS117" i="24"/>
  <c r="AU117" i="24" s="1"/>
  <c r="AR117" i="24"/>
  <c r="AS121" i="24"/>
  <c r="AU121" i="24" s="1"/>
  <c r="AR121" i="24"/>
  <c r="AG150" i="23"/>
  <c r="AH142" i="23"/>
  <c r="AK194" i="23"/>
  <c r="AG163" i="23"/>
  <c r="AG160" i="23"/>
  <c r="AG159" i="23"/>
  <c r="R139" i="22"/>
  <c r="S139" i="22" s="1"/>
  <c r="T139" i="22" s="1"/>
  <c r="AK191" i="22"/>
  <c r="AG141" i="22"/>
  <c r="AG149" i="22"/>
  <c r="AG139" i="22"/>
  <c r="AG144" i="22"/>
  <c r="AG157" i="22"/>
  <c r="AG154" i="22"/>
  <c r="AG160" i="22"/>
  <c r="AG155" i="22"/>
  <c r="AG152" i="22"/>
  <c r="AG151" i="22"/>
  <c r="AG158" i="22"/>
  <c r="AG153" i="22"/>
  <c r="AG150" i="22"/>
  <c r="AG159" i="22"/>
  <c r="AG156" i="22"/>
  <c r="AH138" i="22"/>
  <c r="AG161" i="22"/>
  <c r="AG146" i="22"/>
  <c r="AF144" i="10"/>
  <c r="AF143" i="10"/>
  <c r="AF142" i="10"/>
  <c r="AF141" i="10"/>
  <c r="AF140" i="10"/>
  <c r="AF139" i="10"/>
  <c r="O144" i="10"/>
  <c r="P144" i="10" s="1"/>
  <c r="J144" i="10"/>
  <c r="K144" i="10" s="1"/>
  <c r="L144" i="10" s="1"/>
  <c r="M144" i="10" s="1"/>
  <c r="N144" i="10" s="1"/>
  <c r="O143" i="10"/>
  <c r="P143" i="10" s="1"/>
  <c r="J143" i="10"/>
  <c r="K143" i="10" s="1"/>
  <c r="L143" i="10" s="1"/>
  <c r="M143" i="10" s="1"/>
  <c r="N143" i="10" s="1"/>
  <c r="O142" i="10"/>
  <c r="P142" i="10" s="1"/>
  <c r="J142" i="10"/>
  <c r="K142" i="10" s="1"/>
  <c r="L142" i="10" s="1"/>
  <c r="M142" i="10" s="1"/>
  <c r="N142" i="10" s="1"/>
  <c r="O141" i="10"/>
  <c r="P141" i="10" s="1"/>
  <c r="J141" i="10"/>
  <c r="K141" i="10" s="1"/>
  <c r="L141" i="10" s="1"/>
  <c r="M141" i="10" s="1"/>
  <c r="N141" i="10" s="1"/>
  <c r="O140" i="10"/>
  <c r="P140" i="10" s="1"/>
  <c r="J140" i="10"/>
  <c r="K140" i="10" s="1"/>
  <c r="L140" i="10" s="1"/>
  <c r="M140" i="10" s="1"/>
  <c r="N140" i="10" s="1"/>
  <c r="O139" i="10"/>
  <c r="P139" i="10" s="1"/>
  <c r="J139" i="10"/>
  <c r="K139" i="10" s="1"/>
  <c r="L139" i="10" s="1"/>
  <c r="M139" i="10" s="1"/>
  <c r="N139" i="10" s="1"/>
  <c r="T143" i="23" l="1"/>
  <c r="R114" i="28"/>
  <c r="V113" i="28"/>
  <c r="S132" i="28"/>
  <c r="T131" i="28"/>
  <c r="AS112" i="28"/>
  <c r="AE112" i="28"/>
  <c r="AS129" i="28"/>
  <c r="BJ110" i="28"/>
  <c r="S115" i="28"/>
  <c r="T114" i="28"/>
  <c r="R131" i="28"/>
  <c r="V130" i="28"/>
  <c r="AS143" i="27"/>
  <c r="X110" i="25"/>
  <c r="Z110" i="25" s="1"/>
  <c r="X110" i="24"/>
  <c r="Z110" i="24" s="1"/>
  <c r="S140" i="22"/>
  <c r="T140" i="22" s="1"/>
  <c r="R145" i="27"/>
  <c r="V144" i="27"/>
  <c r="S116" i="27"/>
  <c r="T115" i="27"/>
  <c r="AE113" i="27"/>
  <c r="AT113" i="27"/>
  <c r="R115" i="27"/>
  <c r="V114" i="27"/>
  <c r="BK207" i="27"/>
  <c r="AI157" i="27"/>
  <c r="C164" i="27" s="1"/>
  <c r="T145" i="27"/>
  <c r="S146" i="27"/>
  <c r="AR112" i="25"/>
  <c r="AS148" i="26"/>
  <c r="AS146" i="26"/>
  <c r="AR111" i="25"/>
  <c r="AS154" i="26"/>
  <c r="AS149" i="26"/>
  <c r="AS152" i="26"/>
  <c r="AS143" i="26"/>
  <c r="AS147" i="26"/>
  <c r="AS153" i="26"/>
  <c r="BK201" i="26"/>
  <c r="AT112" i="26"/>
  <c r="AE112" i="26"/>
  <c r="AS145" i="26"/>
  <c r="AE143" i="26"/>
  <c r="AT143" i="26"/>
  <c r="AS144" i="26"/>
  <c r="AI155" i="26"/>
  <c r="X143" i="26" s="1"/>
  <c r="Z143" i="26" s="1"/>
  <c r="R114" i="26"/>
  <c r="V113" i="26"/>
  <c r="AS150" i="26"/>
  <c r="AS151" i="26"/>
  <c r="S115" i="26"/>
  <c r="T114" i="26"/>
  <c r="S145" i="26"/>
  <c r="T144" i="26"/>
  <c r="AS110" i="25"/>
  <c r="AK114" i="25"/>
  <c r="AR114" i="25" s="1"/>
  <c r="S113" i="25"/>
  <c r="T112" i="25"/>
  <c r="AG153" i="25"/>
  <c r="AG154" i="25"/>
  <c r="AG152" i="25"/>
  <c r="O153" i="25"/>
  <c r="P153" i="25" s="1"/>
  <c r="Q153" i="25" s="1"/>
  <c r="O152" i="25"/>
  <c r="P152" i="25" s="1"/>
  <c r="Q152" i="25" s="1"/>
  <c r="AG150" i="25"/>
  <c r="AG148" i="25"/>
  <c r="AG146" i="25"/>
  <c r="O154" i="25"/>
  <c r="P154" i="25" s="1"/>
  <c r="Q154" i="25" s="1"/>
  <c r="AG149" i="25"/>
  <c r="AG147" i="25"/>
  <c r="AG145" i="25"/>
  <c r="AG143" i="25"/>
  <c r="AG141" i="25"/>
  <c r="AG139" i="25"/>
  <c r="O151" i="25"/>
  <c r="P151" i="25" s="1"/>
  <c r="Q151" i="25" s="1"/>
  <c r="O137" i="25"/>
  <c r="P137" i="25" s="1"/>
  <c r="Q137" i="25" s="1"/>
  <c r="O134" i="25"/>
  <c r="P134" i="25" s="1"/>
  <c r="Q134" i="25" s="1"/>
  <c r="O132" i="25"/>
  <c r="P132" i="25" s="1"/>
  <c r="Q132" i="25" s="1"/>
  <c r="AG131" i="25"/>
  <c r="O131" i="25"/>
  <c r="P131" i="25" s="1"/>
  <c r="AG151" i="25"/>
  <c r="O149" i="25"/>
  <c r="P149" i="25" s="1"/>
  <c r="Q149" i="25" s="1"/>
  <c r="O147" i="25"/>
  <c r="P147" i="25" s="1"/>
  <c r="Q147" i="25" s="1"/>
  <c r="O145" i="25"/>
  <c r="P145" i="25" s="1"/>
  <c r="Q145" i="25" s="1"/>
  <c r="O144" i="25"/>
  <c r="P144" i="25" s="1"/>
  <c r="Q144" i="25" s="1"/>
  <c r="O142" i="25"/>
  <c r="P142" i="25" s="1"/>
  <c r="Q142" i="25" s="1"/>
  <c r="O140" i="25"/>
  <c r="P140" i="25" s="1"/>
  <c r="Q140" i="25" s="1"/>
  <c r="AG144" i="25"/>
  <c r="AG142" i="25"/>
  <c r="AG140" i="25"/>
  <c r="AG138" i="25"/>
  <c r="O136" i="25"/>
  <c r="P136" i="25" s="1"/>
  <c r="Q136" i="25" s="1"/>
  <c r="O135" i="25"/>
  <c r="P135" i="25" s="1"/>
  <c r="Q135" i="25" s="1"/>
  <c r="O133" i="25"/>
  <c r="P133" i="25" s="1"/>
  <c r="Q133" i="25" s="1"/>
  <c r="AG136" i="25"/>
  <c r="J131" i="25"/>
  <c r="K131" i="25" s="1"/>
  <c r="L131" i="25" s="1"/>
  <c r="M131" i="25" s="1"/>
  <c r="N131" i="25" s="1"/>
  <c r="O138" i="25"/>
  <c r="P138" i="25" s="1"/>
  <c r="Q138" i="25" s="1"/>
  <c r="AG134" i="25"/>
  <c r="AG132" i="25"/>
  <c r="O143" i="25"/>
  <c r="P143" i="25" s="1"/>
  <c r="Q143" i="25" s="1"/>
  <c r="AG137" i="25"/>
  <c r="O148" i="25"/>
  <c r="P148" i="25" s="1"/>
  <c r="Q148" i="25" s="1"/>
  <c r="O146" i="25"/>
  <c r="P146" i="25" s="1"/>
  <c r="Q146" i="25" s="1"/>
  <c r="O141" i="25"/>
  <c r="P141" i="25" s="1"/>
  <c r="Q141" i="25" s="1"/>
  <c r="O139" i="25"/>
  <c r="P139" i="25" s="1"/>
  <c r="Q139" i="25" s="1"/>
  <c r="AG135" i="25"/>
  <c r="O150" i="25"/>
  <c r="P150" i="25" s="1"/>
  <c r="Q150" i="25" s="1"/>
  <c r="AG133" i="25"/>
  <c r="BM169" i="25"/>
  <c r="R112" i="25"/>
  <c r="V111" i="25"/>
  <c r="BM169" i="24"/>
  <c r="O153" i="24"/>
  <c r="P153" i="24" s="1"/>
  <c r="Q153" i="24" s="1"/>
  <c r="O151" i="24"/>
  <c r="P151" i="24" s="1"/>
  <c r="Q151" i="24" s="1"/>
  <c r="O149" i="24"/>
  <c r="P149" i="24" s="1"/>
  <c r="Q149" i="24" s="1"/>
  <c r="O147" i="24"/>
  <c r="P147" i="24" s="1"/>
  <c r="Q147" i="24" s="1"/>
  <c r="AG154" i="24"/>
  <c r="AG152" i="24"/>
  <c r="AG150" i="24"/>
  <c r="AG148" i="24"/>
  <c r="AG146" i="24"/>
  <c r="AG144" i="24"/>
  <c r="O154" i="24"/>
  <c r="P154" i="24" s="1"/>
  <c r="Q154" i="24" s="1"/>
  <c r="O152" i="24"/>
  <c r="P152" i="24" s="1"/>
  <c r="Q152" i="24" s="1"/>
  <c r="O150" i="24"/>
  <c r="P150" i="24" s="1"/>
  <c r="Q150" i="24" s="1"/>
  <c r="O148" i="24"/>
  <c r="P148" i="24" s="1"/>
  <c r="Q148" i="24" s="1"/>
  <c r="O146" i="24"/>
  <c r="P146" i="24" s="1"/>
  <c r="Q146" i="24" s="1"/>
  <c r="AG151" i="24"/>
  <c r="AG149" i="24"/>
  <c r="AG147" i="24"/>
  <c r="O143" i="24"/>
  <c r="P143" i="24" s="1"/>
  <c r="Q143" i="24" s="1"/>
  <c r="O141" i="24"/>
  <c r="P141" i="24" s="1"/>
  <c r="Q141" i="24" s="1"/>
  <c r="O139" i="24"/>
  <c r="P139" i="24" s="1"/>
  <c r="Q139" i="24" s="1"/>
  <c r="AG140" i="24"/>
  <c r="AG138" i="24"/>
  <c r="O136" i="24"/>
  <c r="P136" i="24" s="1"/>
  <c r="Q136" i="24" s="1"/>
  <c r="AG145" i="24"/>
  <c r="O144" i="24"/>
  <c r="P144" i="24" s="1"/>
  <c r="Q144" i="24" s="1"/>
  <c r="AG143" i="24"/>
  <c r="O137" i="24"/>
  <c r="P137" i="24" s="1"/>
  <c r="Q137" i="24" s="1"/>
  <c r="O145" i="24"/>
  <c r="P145" i="24" s="1"/>
  <c r="Q145" i="24" s="1"/>
  <c r="AG141" i="24"/>
  <c r="O140" i="24"/>
  <c r="P140" i="24" s="1"/>
  <c r="Q140" i="24" s="1"/>
  <c r="AG136" i="24"/>
  <c r="AG135" i="24"/>
  <c r="O133" i="24"/>
  <c r="P133" i="24" s="1"/>
  <c r="Q133" i="24" s="1"/>
  <c r="O132" i="24"/>
  <c r="P132" i="24" s="1"/>
  <c r="Q132" i="24" s="1"/>
  <c r="AG142" i="24"/>
  <c r="O142" i="24"/>
  <c r="P142" i="24" s="1"/>
  <c r="Q142" i="24" s="1"/>
  <c r="AG139" i="24"/>
  <c r="O138" i="24"/>
  <c r="P138" i="24" s="1"/>
  <c r="Q138" i="24" s="1"/>
  <c r="AG137" i="24"/>
  <c r="O134" i="24"/>
  <c r="P134" i="24" s="1"/>
  <c r="Q134" i="24" s="1"/>
  <c r="AG131" i="24"/>
  <c r="O131" i="24"/>
  <c r="P131" i="24" s="1"/>
  <c r="AG134" i="24"/>
  <c r="AG153" i="24"/>
  <c r="AG133" i="24"/>
  <c r="J131" i="24"/>
  <c r="K131" i="24" s="1"/>
  <c r="L131" i="24" s="1"/>
  <c r="M131" i="24" s="1"/>
  <c r="N131" i="24" s="1"/>
  <c r="O135" i="24"/>
  <c r="P135" i="24" s="1"/>
  <c r="Q135" i="24" s="1"/>
  <c r="AG132" i="24"/>
  <c r="S113" i="24"/>
  <c r="T112" i="24"/>
  <c r="R112" i="24"/>
  <c r="V111" i="24"/>
  <c r="AK195" i="23"/>
  <c r="V143" i="23"/>
  <c r="R144" i="23"/>
  <c r="S145" i="23"/>
  <c r="T144" i="23"/>
  <c r="AK192" i="22"/>
  <c r="V139" i="22"/>
  <c r="R140" i="22"/>
  <c r="Q141" i="10"/>
  <c r="Q140" i="10"/>
  <c r="Q143" i="10"/>
  <c r="Q139" i="10"/>
  <c r="Q142" i="10"/>
  <c r="Q144" i="10"/>
  <c r="AQ158" i="21"/>
  <c r="V158" i="21"/>
  <c r="AF158" i="21" s="1"/>
  <c r="J158" i="21"/>
  <c r="K158" i="21" s="1"/>
  <c r="L158" i="21" s="1"/>
  <c r="M158" i="21" s="1"/>
  <c r="N158" i="21" s="1"/>
  <c r="AQ157" i="21"/>
  <c r="V157" i="21"/>
  <c r="AF157" i="21" s="1"/>
  <c r="J157" i="21"/>
  <c r="K157" i="21" s="1"/>
  <c r="L157" i="21" s="1"/>
  <c r="M157" i="21" s="1"/>
  <c r="N157" i="21" s="1"/>
  <c r="AQ156" i="21"/>
  <c r="V156" i="21"/>
  <c r="J156" i="21"/>
  <c r="K156" i="21" s="1"/>
  <c r="L156" i="21" s="1"/>
  <c r="M156" i="21" s="1"/>
  <c r="N156" i="21" s="1"/>
  <c r="AQ155" i="21"/>
  <c r="V155" i="21"/>
  <c r="J155" i="21"/>
  <c r="K155" i="21" s="1"/>
  <c r="L155" i="21" s="1"/>
  <c r="M155" i="21" s="1"/>
  <c r="N155" i="21" s="1"/>
  <c r="AQ154" i="21"/>
  <c r="V154" i="21"/>
  <c r="L154" i="21"/>
  <c r="M154" i="21" s="1"/>
  <c r="N154" i="21" s="1"/>
  <c r="J154" i="21"/>
  <c r="K154" i="21" s="1"/>
  <c r="AQ153" i="21"/>
  <c r="V153" i="21"/>
  <c r="J153" i="21"/>
  <c r="K153" i="21" s="1"/>
  <c r="L153" i="21" s="1"/>
  <c r="M153" i="21" s="1"/>
  <c r="N153" i="21" s="1"/>
  <c r="AQ152" i="21"/>
  <c r="V152" i="21"/>
  <c r="J152" i="21"/>
  <c r="K152" i="21" s="1"/>
  <c r="L152" i="21" s="1"/>
  <c r="M152" i="21" s="1"/>
  <c r="N152" i="21" s="1"/>
  <c r="AQ151" i="21"/>
  <c r="V151" i="21"/>
  <c r="J151" i="21"/>
  <c r="K151" i="21" s="1"/>
  <c r="L151" i="21" s="1"/>
  <c r="M151" i="21" s="1"/>
  <c r="N151" i="21" s="1"/>
  <c r="AQ150" i="21"/>
  <c r="V150" i="21"/>
  <c r="J150" i="21"/>
  <c r="K150" i="21" s="1"/>
  <c r="L150" i="21" s="1"/>
  <c r="M150" i="21" s="1"/>
  <c r="N150" i="21" s="1"/>
  <c r="AQ149" i="21"/>
  <c r="V149" i="21"/>
  <c r="J149" i="21"/>
  <c r="K149" i="21" s="1"/>
  <c r="L149" i="21" s="1"/>
  <c r="M149" i="21" s="1"/>
  <c r="N149" i="21" s="1"/>
  <c r="AQ148" i="21"/>
  <c r="V148" i="21"/>
  <c r="J148" i="21"/>
  <c r="K148" i="21" s="1"/>
  <c r="L148" i="21" s="1"/>
  <c r="M148" i="21" s="1"/>
  <c r="N148" i="21" s="1"/>
  <c r="AQ147" i="21"/>
  <c r="V147" i="21"/>
  <c r="J147" i="21"/>
  <c r="K147" i="21" s="1"/>
  <c r="L147" i="21" s="1"/>
  <c r="M147" i="21" s="1"/>
  <c r="N147" i="21" s="1"/>
  <c r="AQ146" i="21"/>
  <c r="V146" i="21"/>
  <c r="J146" i="21"/>
  <c r="K146" i="21" s="1"/>
  <c r="L146" i="21" s="1"/>
  <c r="M146" i="21" s="1"/>
  <c r="N146" i="21" s="1"/>
  <c r="AQ145" i="21"/>
  <c r="V145" i="21"/>
  <c r="J145" i="21"/>
  <c r="K145" i="21" s="1"/>
  <c r="L145" i="21" s="1"/>
  <c r="M145" i="21" s="1"/>
  <c r="N145" i="21" s="1"/>
  <c r="AQ144" i="21"/>
  <c r="V144" i="21"/>
  <c r="J144" i="21"/>
  <c r="K144" i="21" s="1"/>
  <c r="L144" i="21" s="1"/>
  <c r="M144" i="21" s="1"/>
  <c r="N144" i="21" s="1"/>
  <c r="AQ143" i="21"/>
  <c r="V143" i="21"/>
  <c r="J143" i="21"/>
  <c r="K143" i="21" s="1"/>
  <c r="L143" i="21" s="1"/>
  <c r="M143" i="21" s="1"/>
  <c r="N143" i="21" s="1"/>
  <c r="AQ142" i="21"/>
  <c r="V142" i="21"/>
  <c r="J142" i="21"/>
  <c r="K142" i="21" s="1"/>
  <c r="L142" i="21" s="1"/>
  <c r="M142" i="21" s="1"/>
  <c r="N142" i="21" s="1"/>
  <c r="AQ141" i="21"/>
  <c r="V141" i="21"/>
  <c r="J141" i="21"/>
  <c r="K141" i="21" s="1"/>
  <c r="L141" i="21" s="1"/>
  <c r="M141" i="21" s="1"/>
  <c r="N141" i="21" s="1"/>
  <c r="AQ140" i="21"/>
  <c r="V140" i="21"/>
  <c r="J140" i="21"/>
  <c r="K140" i="21" s="1"/>
  <c r="L140" i="21" s="1"/>
  <c r="M140" i="21" s="1"/>
  <c r="N140" i="21" s="1"/>
  <c r="AQ139" i="21"/>
  <c r="V139" i="21"/>
  <c r="J139" i="21"/>
  <c r="K139" i="21" s="1"/>
  <c r="L139" i="21" s="1"/>
  <c r="M139" i="21" s="1"/>
  <c r="N139" i="21" s="1"/>
  <c r="AQ138" i="21"/>
  <c r="V138" i="21"/>
  <c r="J138" i="21"/>
  <c r="K138" i="21" s="1"/>
  <c r="L138" i="21" s="1"/>
  <c r="M138" i="21" s="1"/>
  <c r="N138" i="21" s="1"/>
  <c r="AQ137" i="21"/>
  <c r="J137" i="21"/>
  <c r="K137" i="21" s="1"/>
  <c r="L137" i="21" s="1"/>
  <c r="M137" i="21" s="1"/>
  <c r="N137" i="21" s="1"/>
  <c r="AQ136" i="21"/>
  <c r="J136" i="21"/>
  <c r="K136" i="21" s="1"/>
  <c r="L136" i="21" s="1"/>
  <c r="M136" i="21" s="1"/>
  <c r="N136" i="21" s="1"/>
  <c r="AQ135" i="21"/>
  <c r="AR100" i="21" s="1"/>
  <c r="G135" i="21"/>
  <c r="F135" i="21" s="1"/>
  <c r="T128" i="21"/>
  <c r="AQ123" i="21"/>
  <c r="AI123" i="21"/>
  <c r="V123" i="21"/>
  <c r="AE123" i="21" s="1"/>
  <c r="J123" i="21"/>
  <c r="K123" i="21" s="1"/>
  <c r="L123" i="21" s="1"/>
  <c r="M123" i="21" s="1"/>
  <c r="N123" i="21" s="1"/>
  <c r="AQ122" i="21"/>
  <c r="AI122" i="21"/>
  <c r="V122" i="21"/>
  <c r="AF122" i="21" s="1"/>
  <c r="J122" i="21"/>
  <c r="K122" i="21" s="1"/>
  <c r="L122" i="21" s="1"/>
  <c r="M122" i="21" s="1"/>
  <c r="N122" i="21" s="1"/>
  <c r="AQ121" i="21"/>
  <c r="AI121" i="21"/>
  <c r="V121" i="21"/>
  <c r="J121" i="21"/>
  <c r="K121" i="21" s="1"/>
  <c r="L121" i="21" s="1"/>
  <c r="M121" i="21" s="1"/>
  <c r="N121" i="21" s="1"/>
  <c r="AQ120" i="21"/>
  <c r="AI120" i="21"/>
  <c r="V120" i="21"/>
  <c r="AE120" i="21" s="1"/>
  <c r="J120" i="21"/>
  <c r="K120" i="21" s="1"/>
  <c r="L120" i="21" s="1"/>
  <c r="M120" i="21" s="1"/>
  <c r="N120" i="21" s="1"/>
  <c r="AQ119" i="21"/>
  <c r="AI119" i="21"/>
  <c r="V119" i="21"/>
  <c r="J119" i="21"/>
  <c r="K119" i="21" s="1"/>
  <c r="L119" i="21" s="1"/>
  <c r="M119" i="21" s="1"/>
  <c r="N119" i="21" s="1"/>
  <c r="AQ118" i="21"/>
  <c r="AI118" i="21"/>
  <c r="V118" i="21"/>
  <c r="AE118" i="21" s="1"/>
  <c r="J118" i="21"/>
  <c r="K118" i="21" s="1"/>
  <c r="L118" i="21" s="1"/>
  <c r="M118" i="21" s="1"/>
  <c r="N118" i="21" s="1"/>
  <c r="AQ117" i="21"/>
  <c r="AI117" i="21"/>
  <c r="V117" i="21"/>
  <c r="AE117" i="21" s="1"/>
  <c r="J117" i="21"/>
  <c r="K117" i="21" s="1"/>
  <c r="L117" i="21" s="1"/>
  <c r="M117" i="21" s="1"/>
  <c r="N117" i="21" s="1"/>
  <c r="AQ116" i="21"/>
  <c r="AI116" i="21"/>
  <c r="V116" i="21"/>
  <c r="J116" i="21"/>
  <c r="K116" i="21" s="1"/>
  <c r="L116" i="21" s="1"/>
  <c r="M116" i="21" s="1"/>
  <c r="N116" i="21" s="1"/>
  <c r="AQ115" i="21"/>
  <c r="AI115" i="21"/>
  <c r="V115" i="21"/>
  <c r="AE115" i="21" s="1"/>
  <c r="J115" i="21"/>
  <c r="K115" i="21" s="1"/>
  <c r="L115" i="21" s="1"/>
  <c r="M115" i="21" s="1"/>
  <c r="N115" i="21" s="1"/>
  <c r="AQ114" i="21"/>
  <c r="AI114" i="21"/>
  <c r="V114" i="21"/>
  <c r="J114" i="21"/>
  <c r="K114" i="21" s="1"/>
  <c r="L114" i="21" s="1"/>
  <c r="M114" i="21" s="1"/>
  <c r="N114" i="21" s="1"/>
  <c r="AQ113" i="21"/>
  <c r="AI113" i="21"/>
  <c r="V113" i="21"/>
  <c r="AE113" i="21" s="1"/>
  <c r="J113" i="21"/>
  <c r="K113" i="21" s="1"/>
  <c r="L113" i="21" s="1"/>
  <c r="M113" i="21" s="1"/>
  <c r="N113" i="21" s="1"/>
  <c r="AQ112" i="21"/>
  <c r="AI112" i="21"/>
  <c r="V112" i="21"/>
  <c r="J112" i="21"/>
  <c r="K112" i="21" s="1"/>
  <c r="L112" i="21" s="1"/>
  <c r="M112" i="21" s="1"/>
  <c r="N112" i="21" s="1"/>
  <c r="AQ111" i="21"/>
  <c r="AI111" i="21"/>
  <c r="V111" i="21"/>
  <c r="AE111" i="21" s="1"/>
  <c r="J111" i="21"/>
  <c r="K111" i="21" s="1"/>
  <c r="L111" i="21" s="1"/>
  <c r="M111" i="21" s="1"/>
  <c r="N111" i="21" s="1"/>
  <c r="AQ110" i="21"/>
  <c r="AI110" i="21"/>
  <c r="V110" i="21"/>
  <c r="J110" i="21"/>
  <c r="K110" i="21" s="1"/>
  <c r="L110" i="21" s="1"/>
  <c r="M110" i="21" s="1"/>
  <c r="N110" i="21" s="1"/>
  <c r="AQ109" i="21"/>
  <c r="AI109" i="21"/>
  <c r="V109" i="21"/>
  <c r="J109" i="21"/>
  <c r="K109" i="21" s="1"/>
  <c r="L109" i="21" s="1"/>
  <c r="M109" i="21" s="1"/>
  <c r="N109" i="21" s="1"/>
  <c r="AQ108" i="21"/>
  <c r="AI108" i="21"/>
  <c r="V108" i="21"/>
  <c r="AE108" i="21" s="1"/>
  <c r="J108" i="21"/>
  <c r="K108" i="21" s="1"/>
  <c r="L108" i="21" s="1"/>
  <c r="M108" i="21" s="1"/>
  <c r="N108" i="21" s="1"/>
  <c r="AQ107" i="21"/>
  <c r="AI107" i="21"/>
  <c r="V107" i="21"/>
  <c r="J107" i="21"/>
  <c r="K107" i="21" s="1"/>
  <c r="L107" i="21" s="1"/>
  <c r="M107" i="21" s="1"/>
  <c r="N107" i="21" s="1"/>
  <c r="AQ106" i="21"/>
  <c r="AI106" i="21"/>
  <c r="V106" i="21"/>
  <c r="J106" i="21"/>
  <c r="K106" i="21" s="1"/>
  <c r="L106" i="21" s="1"/>
  <c r="M106" i="21" s="1"/>
  <c r="N106" i="21" s="1"/>
  <c r="AQ105" i="21"/>
  <c r="AI105" i="21"/>
  <c r="V105" i="21"/>
  <c r="J105" i="21"/>
  <c r="K105" i="21" s="1"/>
  <c r="L105" i="21" s="1"/>
  <c r="M105" i="21" s="1"/>
  <c r="N105" i="21" s="1"/>
  <c r="AQ104" i="21"/>
  <c r="AI104" i="21"/>
  <c r="V104" i="21"/>
  <c r="J104" i="21"/>
  <c r="K104" i="21" s="1"/>
  <c r="L104" i="21" s="1"/>
  <c r="M104" i="21" s="1"/>
  <c r="N104" i="21" s="1"/>
  <c r="AQ103" i="21"/>
  <c r="AI103" i="21"/>
  <c r="V103" i="21"/>
  <c r="AE103" i="21" s="1"/>
  <c r="J103" i="21"/>
  <c r="K103" i="21" s="1"/>
  <c r="L103" i="21" s="1"/>
  <c r="M103" i="21" s="1"/>
  <c r="N103" i="21" s="1"/>
  <c r="AQ102" i="21"/>
  <c r="J102" i="21"/>
  <c r="K102" i="21" s="1"/>
  <c r="L102" i="21" s="1"/>
  <c r="M102" i="21" s="1"/>
  <c r="N102" i="21" s="1"/>
  <c r="BF101" i="21"/>
  <c r="BF102" i="21" s="1"/>
  <c r="BF103" i="21" s="1"/>
  <c r="BF104" i="21" s="1"/>
  <c r="BF105" i="21" s="1"/>
  <c r="BF106" i="21" s="1"/>
  <c r="BF107" i="21" s="1"/>
  <c r="BF108" i="21" s="1"/>
  <c r="BF109" i="21" s="1"/>
  <c r="BF110" i="21" s="1"/>
  <c r="BF111" i="21" s="1"/>
  <c r="BF112" i="21" s="1"/>
  <c r="BF113" i="21" s="1"/>
  <c r="BF114" i="21" s="1"/>
  <c r="BF115" i="21" s="1"/>
  <c r="BF116" i="21" s="1"/>
  <c r="BF117" i="21" s="1"/>
  <c r="BF118" i="21" s="1"/>
  <c r="BF119" i="21" s="1"/>
  <c r="BF120" i="21" s="1"/>
  <c r="BF121" i="21" s="1"/>
  <c r="BF122" i="21" s="1"/>
  <c r="BF123" i="21" s="1"/>
  <c r="AQ101" i="21"/>
  <c r="J101" i="21"/>
  <c r="K101" i="21" s="1"/>
  <c r="L101" i="21" s="1"/>
  <c r="M101" i="21" s="1"/>
  <c r="N101" i="21" s="1"/>
  <c r="BG100" i="21"/>
  <c r="AQ100" i="21"/>
  <c r="G100" i="21"/>
  <c r="F100" i="21" s="1"/>
  <c r="T94" i="21"/>
  <c r="AQ90" i="21"/>
  <c r="V90" i="21"/>
  <c r="AF90" i="21" s="1"/>
  <c r="J90" i="21"/>
  <c r="K90" i="21" s="1"/>
  <c r="L90" i="21" s="1"/>
  <c r="M90" i="21" s="1"/>
  <c r="N90" i="21" s="1"/>
  <c r="AQ89" i="21"/>
  <c r="V89" i="21"/>
  <c r="AE89" i="21" s="1"/>
  <c r="J89" i="21"/>
  <c r="K89" i="21" s="1"/>
  <c r="L89" i="21" s="1"/>
  <c r="M89" i="21" s="1"/>
  <c r="N89" i="21" s="1"/>
  <c r="AQ88" i="21"/>
  <c r="V88" i="21"/>
  <c r="J88" i="21"/>
  <c r="K88" i="21" s="1"/>
  <c r="L88" i="21" s="1"/>
  <c r="M88" i="21" s="1"/>
  <c r="N88" i="21" s="1"/>
  <c r="AQ87" i="21"/>
  <c r="V87" i="21"/>
  <c r="AE87" i="21" s="1"/>
  <c r="J87" i="21"/>
  <c r="K87" i="21" s="1"/>
  <c r="L87" i="21" s="1"/>
  <c r="M87" i="21" s="1"/>
  <c r="N87" i="21" s="1"/>
  <c r="AQ86" i="21"/>
  <c r="V86" i="21"/>
  <c r="J86" i="21"/>
  <c r="K86" i="21" s="1"/>
  <c r="L86" i="21" s="1"/>
  <c r="M86" i="21" s="1"/>
  <c r="N86" i="21" s="1"/>
  <c r="AQ85" i="21"/>
  <c r="V85" i="21"/>
  <c r="AE85" i="21" s="1"/>
  <c r="J85" i="21"/>
  <c r="K85" i="21" s="1"/>
  <c r="L85" i="21" s="1"/>
  <c r="M85" i="21" s="1"/>
  <c r="N85" i="21" s="1"/>
  <c r="AQ84" i="21"/>
  <c r="V84" i="21"/>
  <c r="J84" i="21"/>
  <c r="K84" i="21" s="1"/>
  <c r="L84" i="21" s="1"/>
  <c r="M84" i="21" s="1"/>
  <c r="N84" i="21" s="1"/>
  <c r="AQ83" i="21"/>
  <c r="V83" i="21"/>
  <c r="AE83" i="21" s="1"/>
  <c r="J83" i="21"/>
  <c r="K83" i="21" s="1"/>
  <c r="L83" i="21" s="1"/>
  <c r="M83" i="21" s="1"/>
  <c r="N83" i="21" s="1"/>
  <c r="AQ82" i="21"/>
  <c r="AR82" i="21" s="1"/>
  <c r="V82" i="21"/>
  <c r="AE82" i="21" s="1"/>
  <c r="J82" i="21"/>
  <c r="K82" i="21" s="1"/>
  <c r="L82" i="21" s="1"/>
  <c r="M82" i="21" s="1"/>
  <c r="N82" i="21" s="1"/>
  <c r="AQ81" i="21"/>
  <c r="V81" i="21"/>
  <c r="J81" i="21"/>
  <c r="K81" i="21" s="1"/>
  <c r="L81" i="21" s="1"/>
  <c r="M81" i="21" s="1"/>
  <c r="N81" i="21" s="1"/>
  <c r="AQ80" i="21"/>
  <c r="J80" i="21"/>
  <c r="K80" i="21" s="1"/>
  <c r="L80" i="21" s="1"/>
  <c r="M80" i="21" s="1"/>
  <c r="N80" i="21" s="1"/>
  <c r="AQ79" i="21"/>
  <c r="C79" i="21"/>
  <c r="O79" i="21" s="1"/>
  <c r="P79" i="21" s="1"/>
  <c r="C61" i="21"/>
  <c r="CC53" i="21"/>
  <c r="CB53" i="21"/>
  <c r="CA53" i="21"/>
  <c r="CC35" i="21"/>
  <c r="CC36" i="21" s="1"/>
  <c r="CB35" i="21"/>
  <c r="CB36" i="21" s="1"/>
  <c r="CA35" i="21"/>
  <c r="CA36" i="21" s="1"/>
  <c r="BU35" i="21"/>
  <c r="BU36" i="21" s="1"/>
  <c r="BS35" i="21"/>
  <c r="BS36" i="21" s="1"/>
  <c r="D23" i="21"/>
  <c r="BP1" i="21" s="1"/>
  <c r="F34" i="21" s="1"/>
  <c r="E13" i="21"/>
  <c r="G11" i="21"/>
  <c r="F11" i="21"/>
  <c r="E11" i="21"/>
  <c r="AP141" i="20"/>
  <c r="V141" i="20"/>
  <c r="AF141" i="20" s="1"/>
  <c r="J141" i="20"/>
  <c r="K141" i="20" s="1"/>
  <c r="L141" i="20" s="1"/>
  <c r="M141" i="20" s="1"/>
  <c r="N141" i="20" s="1"/>
  <c r="AP140" i="20"/>
  <c r="V140" i="20"/>
  <c r="J140" i="20"/>
  <c r="K140" i="20" s="1"/>
  <c r="L140" i="20" s="1"/>
  <c r="M140" i="20" s="1"/>
  <c r="N140" i="20" s="1"/>
  <c r="AP139" i="20"/>
  <c r="V139" i="20"/>
  <c r="J139" i="20"/>
  <c r="K139" i="20" s="1"/>
  <c r="L139" i="20" s="1"/>
  <c r="M139" i="20" s="1"/>
  <c r="N139" i="20" s="1"/>
  <c r="AP138" i="20"/>
  <c r="V138" i="20"/>
  <c r="J138" i="20"/>
  <c r="K138" i="20" s="1"/>
  <c r="L138" i="20" s="1"/>
  <c r="M138" i="20" s="1"/>
  <c r="N138" i="20" s="1"/>
  <c r="AP137" i="20"/>
  <c r="V137" i="20"/>
  <c r="J137" i="20"/>
  <c r="K137" i="20" s="1"/>
  <c r="L137" i="20" s="1"/>
  <c r="M137" i="20" s="1"/>
  <c r="N137" i="20" s="1"/>
  <c r="AP136" i="20"/>
  <c r="V136" i="20"/>
  <c r="M136" i="20"/>
  <c r="N136" i="20" s="1"/>
  <c r="J136" i="20"/>
  <c r="K136" i="20" s="1"/>
  <c r="L136" i="20" s="1"/>
  <c r="AP135" i="20"/>
  <c r="V135" i="20"/>
  <c r="J135" i="20"/>
  <c r="K135" i="20" s="1"/>
  <c r="L135" i="20" s="1"/>
  <c r="M135" i="20" s="1"/>
  <c r="N135" i="20" s="1"/>
  <c r="AP134" i="20"/>
  <c r="V134" i="20"/>
  <c r="J134" i="20"/>
  <c r="K134" i="20" s="1"/>
  <c r="L134" i="20" s="1"/>
  <c r="M134" i="20" s="1"/>
  <c r="N134" i="20" s="1"/>
  <c r="AP133" i="20"/>
  <c r="V133" i="20"/>
  <c r="J133" i="20"/>
  <c r="K133" i="20" s="1"/>
  <c r="L133" i="20" s="1"/>
  <c r="M133" i="20" s="1"/>
  <c r="N133" i="20" s="1"/>
  <c r="AP132" i="20"/>
  <c r="V132" i="20"/>
  <c r="J132" i="20"/>
  <c r="K132" i="20" s="1"/>
  <c r="L132" i="20" s="1"/>
  <c r="M132" i="20" s="1"/>
  <c r="N132" i="20" s="1"/>
  <c r="AP131" i="20"/>
  <c r="V131" i="20"/>
  <c r="J131" i="20"/>
  <c r="K131" i="20" s="1"/>
  <c r="L131" i="20" s="1"/>
  <c r="M131" i="20" s="1"/>
  <c r="N131" i="20" s="1"/>
  <c r="AP130" i="20"/>
  <c r="V130" i="20"/>
  <c r="J130" i="20"/>
  <c r="K130" i="20" s="1"/>
  <c r="L130" i="20" s="1"/>
  <c r="M130" i="20" s="1"/>
  <c r="N130" i="20" s="1"/>
  <c r="AP129" i="20"/>
  <c r="V129" i="20"/>
  <c r="J129" i="20"/>
  <c r="K129" i="20" s="1"/>
  <c r="L129" i="20" s="1"/>
  <c r="M129" i="20" s="1"/>
  <c r="N129" i="20" s="1"/>
  <c r="AP128" i="20"/>
  <c r="V128" i="20"/>
  <c r="J128" i="20"/>
  <c r="K128" i="20" s="1"/>
  <c r="L128" i="20" s="1"/>
  <c r="M128" i="20" s="1"/>
  <c r="N128" i="20" s="1"/>
  <c r="AP127" i="20"/>
  <c r="V127" i="20"/>
  <c r="J127" i="20"/>
  <c r="K127" i="20" s="1"/>
  <c r="L127" i="20" s="1"/>
  <c r="M127" i="20" s="1"/>
  <c r="N127" i="20" s="1"/>
  <c r="AP126" i="20"/>
  <c r="V126" i="20"/>
  <c r="J126" i="20"/>
  <c r="K126" i="20" s="1"/>
  <c r="L126" i="20" s="1"/>
  <c r="M126" i="20" s="1"/>
  <c r="N126" i="20" s="1"/>
  <c r="AP125" i="20"/>
  <c r="V125" i="20"/>
  <c r="J125" i="20"/>
  <c r="K125" i="20" s="1"/>
  <c r="L125" i="20" s="1"/>
  <c r="M125" i="20" s="1"/>
  <c r="N125" i="20" s="1"/>
  <c r="AP124" i="20"/>
  <c r="V124" i="20"/>
  <c r="J124" i="20"/>
  <c r="K124" i="20" s="1"/>
  <c r="L124" i="20" s="1"/>
  <c r="M124" i="20" s="1"/>
  <c r="N124" i="20" s="1"/>
  <c r="AP123" i="20"/>
  <c r="V123" i="20"/>
  <c r="J123" i="20"/>
  <c r="K123" i="20" s="1"/>
  <c r="L123" i="20" s="1"/>
  <c r="M123" i="20" s="1"/>
  <c r="N123" i="20" s="1"/>
  <c r="AP122" i="20"/>
  <c r="V122" i="20"/>
  <c r="J122" i="20"/>
  <c r="K122" i="20" s="1"/>
  <c r="L122" i="20" s="1"/>
  <c r="M122" i="20" s="1"/>
  <c r="N122" i="20" s="1"/>
  <c r="AP121" i="20"/>
  <c r="V121" i="20"/>
  <c r="J121" i="20"/>
  <c r="K121" i="20" s="1"/>
  <c r="L121" i="20" s="1"/>
  <c r="M121" i="20" s="1"/>
  <c r="N121" i="20" s="1"/>
  <c r="AP120" i="20"/>
  <c r="J120" i="20"/>
  <c r="K120" i="20" s="1"/>
  <c r="L120" i="20" s="1"/>
  <c r="M120" i="20" s="1"/>
  <c r="N120" i="20" s="1"/>
  <c r="AP119" i="20"/>
  <c r="J119" i="20"/>
  <c r="K119" i="20" s="1"/>
  <c r="L119" i="20" s="1"/>
  <c r="M119" i="20" s="1"/>
  <c r="N119" i="20" s="1"/>
  <c r="AP118" i="20"/>
  <c r="G118" i="20"/>
  <c r="F118" i="20" s="1"/>
  <c r="AP106" i="20"/>
  <c r="AH106" i="20"/>
  <c r="V106" i="20"/>
  <c r="AE106" i="20" s="1"/>
  <c r="J106" i="20"/>
  <c r="K106" i="20" s="1"/>
  <c r="L106" i="20" s="1"/>
  <c r="M106" i="20" s="1"/>
  <c r="N106" i="20" s="1"/>
  <c r="AP105" i="20"/>
  <c r="AH105" i="20"/>
  <c r="V105" i="20"/>
  <c r="AE105" i="20" s="1"/>
  <c r="J105" i="20"/>
  <c r="K105" i="20" s="1"/>
  <c r="L105" i="20" s="1"/>
  <c r="M105" i="20" s="1"/>
  <c r="N105" i="20" s="1"/>
  <c r="AP104" i="20"/>
  <c r="AH104" i="20"/>
  <c r="V104" i="20"/>
  <c r="AE104" i="20" s="1"/>
  <c r="J104" i="20"/>
  <c r="K104" i="20" s="1"/>
  <c r="L104" i="20" s="1"/>
  <c r="M104" i="20" s="1"/>
  <c r="N104" i="20" s="1"/>
  <c r="AP103" i="20"/>
  <c r="AH103" i="20"/>
  <c r="V103" i="20"/>
  <c r="J103" i="20"/>
  <c r="K103" i="20" s="1"/>
  <c r="L103" i="20" s="1"/>
  <c r="M103" i="20" s="1"/>
  <c r="N103" i="20" s="1"/>
  <c r="AP102" i="20"/>
  <c r="AH102" i="20"/>
  <c r="V102" i="20"/>
  <c r="AE102" i="20" s="1"/>
  <c r="J102" i="20"/>
  <c r="K102" i="20" s="1"/>
  <c r="L102" i="20" s="1"/>
  <c r="M102" i="20" s="1"/>
  <c r="N102" i="20" s="1"/>
  <c r="AP101" i="20"/>
  <c r="AH101" i="20"/>
  <c r="V101" i="20"/>
  <c r="AE101" i="20" s="1"/>
  <c r="K101" i="20"/>
  <c r="L101" i="20" s="1"/>
  <c r="M101" i="20" s="1"/>
  <c r="N101" i="20" s="1"/>
  <c r="J101" i="20"/>
  <c r="AP100" i="20"/>
  <c r="AH100" i="20"/>
  <c r="V100" i="20"/>
  <c r="AE100" i="20" s="1"/>
  <c r="J100" i="20"/>
  <c r="K100" i="20" s="1"/>
  <c r="L100" i="20" s="1"/>
  <c r="M100" i="20" s="1"/>
  <c r="N100" i="20" s="1"/>
  <c r="AP99" i="20"/>
  <c r="AH99" i="20"/>
  <c r="V99" i="20"/>
  <c r="J99" i="20"/>
  <c r="K99" i="20" s="1"/>
  <c r="L99" i="20" s="1"/>
  <c r="M99" i="20" s="1"/>
  <c r="N99" i="20" s="1"/>
  <c r="AP98" i="20"/>
  <c r="AH98" i="20"/>
  <c r="V98" i="20"/>
  <c r="AE98" i="20" s="1"/>
  <c r="J98" i="20"/>
  <c r="K98" i="20" s="1"/>
  <c r="L98" i="20" s="1"/>
  <c r="M98" i="20" s="1"/>
  <c r="N98" i="20" s="1"/>
  <c r="AP97" i="20"/>
  <c r="J97" i="20"/>
  <c r="K97" i="20" s="1"/>
  <c r="L97" i="20" s="1"/>
  <c r="M97" i="20" s="1"/>
  <c r="N97" i="20" s="1"/>
  <c r="AP96" i="20"/>
  <c r="AQ96" i="20" s="1"/>
  <c r="J96" i="20"/>
  <c r="K96" i="20" s="1"/>
  <c r="L96" i="20" s="1"/>
  <c r="M96" i="20" s="1"/>
  <c r="N96" i="20" s="1"/>
  <c r="AP95" i="20"/>
  <c r="L95" i="20"/>
  <c r="M95" i="20" s="1"/>
  <c r="N95" i="20" s="1"/>
  <c r="J95" i="20"/>
  <c r="K95" i="20" s="1"/>
  <c r="AP94" i="20"/>
  <c r="J94" i="20"/>
  <c r="K94" i="20" s="1"/>
  <c r="L94" i="20" s="1"/>
  <c r="M94" i="20" s="1"/>
  <c r="N94" i="20" s="1"/>
  <c r="AP93" i="20"/>
  <c r="AQ93" i="20" s="1"/>
  <c r="J93" i="20"/>
  <c r="K93" i="20" s="1"/>
  <c r="L93" i="20" s="1"/>
  <c r="M93" i="20" s="1"/>
  <c r="N93" i="20" s="1"/>
  <c r="AP92" i="20"/>
  <c r="J92" i="20"/>
  <c r="K92" i="20" s="1"/>
  <c r="L92" i="20" s="1"/>
  <c r="M92" i="20" s="1"/>
  <c r="N92" i="20" s="1"/>
  <c r="AP91" i="20"/>
  <c r="AQ91" i="20" s="1"/>
  <c r="J91" i="20"/>
  <c r="K91" i="20" s="1"/>
  <c r="L91" i="20" s="1"/>
  <c r="M91" i="20" s="1"/>
  <c r="N91" i="20" s="1"/>
  <c r="AP90" i="20"/>
  <c r="J90" i="20"/>
  <c r="K90" i="20" s="1"/>
  <c r="L90" i="20" s="1"/>
  <c r="M90" i="20" s="1"/>
  <c r="N90" i="20" s="1"/>
  <c r="AP89" i="20"/>
  <c r="AQ89" i="20" s="1"/>
  <c r="J89" i="20"/>
  <c r="K89" i="20" s="1"/>
  <c r="L89" i="20" s="1"/>
  <c r="M89" i="20" s="1"/>
  <c r="N89" i="20" s="1"/>
  <c r="AP88" i="20"/>
  <c r="J88" i="20"/>
  <c r="K88" i="20" s="1"/>
  <c r="L88" i="20" s="1"/>
  <c r="M88" i="20" s="1"/>
  <c r="N88" i="20" s="1"/>
  <c r="AP87" i="20"/>
  <c r="AQ87" i="20" s="1"/>
  <c r="J87" i="20"/>
  <c r="K87" i="20" s="1"/>
  <c r="L87" i="20" s="1"/>
  <c r="M87" i="20" s="1"/>
  <c r="N87" i="20" s="1"/>
  <c r="AP86" i="20"/>
  <c r="J86" i="20"/>
  <c r="K86" i="20" s="1"/>
  <c r="L86" i="20" s="1"/>
  <c r="M86" i="20" s="1"/>
  <c r="N86" i="20" s="1"/>
  <c r="AP85" i="20"/>
  <c r="AQ85" i="20" s="1"/>
  <c r="J85" i="20"/>
  <c r="K85" i="20" s="1"/>
  <c r="L85" i="20" s="1"/>
  <c r="M85" i="20" s="1"/>
  <c r="N85" i="20" s="1"/>
  <c r="BD84" i="20"/>
  <c r="BD85" i="20" s="1"/>
  <c r="BD86" i="20" s="1"/>
  <c r="BD87" i="20" s="1"/>
  <c r="BD88" i="20" s="1"/>
  <c r="BD89" i="20" s="1"/>
  <c r="BD90" i="20" s="1"/>
  <c r="BD91" i="20" s="1"/>
  <c r="BD92" i="20" s="1"/>
  <c r="BD93" i="20" s="1"/>
  <c r="BD94" i="20" s="1"/>
  <c r="BD95" i="20" s="1"/>
  <c r="BD96" i="20" s="1"/>
  <c r="BD97" i="20" s="1"/>
  <c r="BD98" i="20" s="1"/>
  <c r="BD99" i="20" s="1"/>
  <c r="BD100" i="20" s="1"/>
  <c r="BD101" i="20" s="1"/>
  <c r="BD102" i="20" s="1"/>
  <c r="BD103" i="20" s="1"/>
  <c r="BD104" i="20" s="1"/>
  <c r="BD105" i="20" s="1"/>
  <c r="BD106" i="20" s="1"/>
  <c r="AP84" i="20"/>
  <c r="J84" i="20"/>
  <c r="K84" i="20" s="1"/>
  <c r="L84" i="20" s="1"/>
  <c r="M84" i="20" s="1"/>
  <c r="N84" i="20" s="1"/>
  <c r="BE83" i="20"/>
  <c r="AP83" i="20"/>
  <c r="G83" i="20"/>
  <c r="F83" i="20" s="1"/>
  <c r="C83" i="20"/>
  <c r="AG103" i="20" s="1"/>
  <c r="T77" i="20"/>
  <c r="CB52" i="20"/>
  <c r="CA52" i="20"/>
  <c r="BZ52" i="20"/>
  <c r="CB34" i="20"/>
  <c r="CB35" i="20" s="1"/>
  <c r="CA34" i="20"/>
  <c r="CA35" i="20" s="1"/>
  <c r="BZ34" i="20"/>
  <c r="BZ35" i="20" s="1"/>
  <c r="BT34" i="20"/>
  <c r="BT35" i="20" s="1"/>
  <c r="BR34" i="20"/>
  <c r="BR35" i="20" s="1"/>
  <c r="D22" i="20"/>
  <c r="BO1" i="20" s="1"/>
  <c r="E50" i="20" s="1"/>
  <c r="E12" i="20"/>
  <c r="G10" i="20"/>
  <c r="F10" i="20"/>
  <c r="E10" i="20"/>
  <c r="AR116" i="21" l="1"/>
  <c r="AR114" i="21"/>
  <c r="AR117" i="21"/>
  <c r="AR83" i="21"/>
  <c r="AF156" i="21"/>
  <c r="AQ84" i="20"/>
  <c r="AQ95" i="20"/>
  <c r="AQ97" i="20"/>
  <c r="AQ98" i="20"/>
  <c r="AQ99" i="20"/>
  <c r="AQ100" i="20"/>
  <c r="AQ83" i="20"/>
  <c r="AQ86" i="20"/>
  <c r="AQ88" i="20"/>
  <c r="AQ90" i="20"/>
  <c r="AQ92" i="20"/>
  <c r="AQ94" i="20"/>
  <c r="AQ101" i="20"/>
  <c r="AQ102" i="20"/>
  <c r="AQ103" i="20"/>
  <c r="AQ105" i="20"/>
  <c r="AQ106" i="20"/>
  <c r="AF139" i="20"/>
  <c r="AR90" i="21"/>
  <c r="AR120" i="21"/>
  <c r="AR122" i="21"/>
  <c r="AQ104" i="20"/>
  <c r="AF81" i="21"/>
  <c r="AR115" i="21"/>
  <c r="AR108" i="21"/>
  <c r="AR110" i="21"/>
  <c r="AR80" i="21"/>
  <c r="AR102" i="21"/>
  <c r="AR118" i="21"/>
  <c r="AR79" i="21"/>
  <c r="AR84" i="21"/>
  <c r="AR85" i="21"/>
  <c r="AR86" i="21"/>
  <c r="AR109" i="21"/>
  <c r="AR112" i="21"/>
  <c r="AR113" i="21"/>
  <c r="AR81" i="21"/>
  <c r="AF86" i="21"/>
  <c r="AR119" i="21"/>
  <c r="AR87" i="21"/>
  <c r="AR88" i="21"/>
  <c r="AR89" i="21"/>
  <c r="AR101" i="21"/>
  <c r="AR103" i="21"/>
  <c r="AR104" i="21"/>
  <c r="AR105" i="21"/>
  <c r="AR106" i="21"/>
  <c r="AR107" i="21"/>
  <c r="AR111" i="21"/>
  <c r="AR121" i="21"/>
  <c r="AE113" i="28"/>
  <c r="AS113" i="28"/>
  <c r="R115" i="28"/>
  <c r="V114" i="28"/>
  <c r="T132" i="28"/>
  <c r="S133" i="28"/>
  <c r="S116" i="28"/>
  <c r="T115" i="28"/>
  <c r="R132" i="28"/>
  <c r="V131" i="28"/>
  <c r="AS130" i="28"/>
  <c r="BJ111" i="28"/>
  <c r="AE86" i="21"/>
  <c r="AE90" i="21"/>
  <c r="BG101" i="21"/>
  <c r="O90" i="20"/>
  <c r="P90" i="20" s="1"/>
  <c r="Q90" i="20" s="1"/>
  <c r="AF98" i="20"/>
  <c r="AF103" i="20"/>
  <c r="AG86" i="20"/>
  <c r="AI86" i="20" s="1"/>
  <c r="AJ86" i="20" s="1"/>
  <c r="AK86" i="20" s="1"/>
  <c r="AF88" i="21"/>
  <c r="AF84" i="21"/>
  <c r="AE88" i="21"/>
  <c r="AR123" i="21"/>
  <c r="J83" i="20"/>
  <c r="K83" i="20" s="1"/>
  <c r="L83" i="20" s="1"/>
  <c r="M83" i="20" s="1"/>
  <c r="N83" i="20" s="1"/>
  <c r="AF154" i="21"/>
  <c r="R145" i="26"/>
  <c r="V144" i="26"/>
  <c r="S141" i="22"/>
  <c r="S142" i="22" s="1"/>
  <c r="AE144" i="27"/>
  <c r="AT144" i="27"/>
  <c r="R146" i="27"/>
  <c r="V145" i="27"/>
  <c r="AH187" i="27"/>
  <c r="AH185" i="27"/>
  <c r="AH183" i="27"/>
  <c r="AH181" i="27"/>
  <c r="AH179" i="27"/>
  <c r="O187" i="27"/>
  <c r="P187" i="27" s="1"/>
  <c r="Q187" i="27" s="1"/>
  <c r="AH186" i="27"/>
  <c r="AH184" i="27"/>
  <c r="AH182" i="27"/>
  <c r="AH180" i="27"/>
  <c r="AH178" i="27"/>
  <c r="O184" i="27"/>
  <c r="P184" i="27" s="1"/>
  <c r="Q184" i="27" s="1"/>
  <c r="O182" i="27"/>
  <c r="P182" i="27" s="1"/>
  <c r="Q182" i="27" s="1"/>
  <c r="O180" i="27"/>
  <c r="P180" i="27" s="1"/>
  <c r="Q180" i="27" s="1"/>
  <c r="AH177" i="27"/>
  <c r="O177" i="27"/>
  <c r="P177" i="27" s="1"/>
  <c r="Q177" i="27" s="1"/>
  <c r="O176" i="27"/>
  <c r="P176" i="27" s="1"/>
  <c r="Q176" i="27" s="1"/>
  <c r="O175" i="27"/>
  <c r="P175" i="27" s="1"/>
  <c r="Q175" i="27" s="1"/>
  <c r="O174" i="27"/>
  <c r="P174" i="27" s="1"/>
  <c r="Q174" i="27" s="1"/>
  <c r="O173" i="27"/>
  <c r="P173" i="27" s="1"/>
  <c r="Q173" i="27" s="1"/>
  <c r="O172" i="27"/>
  <c r="P172" i="27" s="1"/>
  <c r="Q172" i="27" s="1"/>
  <c r="O178" i="27"/>
  <c r="P178" i="27" s="1"/>
  <c r="Q178" i="27" s="1"/>
  <c r="O186" i="27"/>
  <c r="P186" i="27" s="1"/>
  <c r="Q186" i="27" s="1"/>
  <c r="AH176" i="27"/>
  <c r="AH175" i="27"/>
  <c r="AH174" i="27"/>
  <c r="AH173" i="27"/>
  <c r="AH172" i="27"/>
  <c r="AH171" i="27"/>
  <c r="AH170" i="27"/>
  <c r="AH169" i="27"/>
  <c r="AH168" i="27"/>
  <c r="AH167" i="27"/>
  <c r="O181" i="27"/>
  <c r="P181" i="27" s="1"/>
  <c r="Q181" i="27" s="1"/>
  <c r="O171" i="27"/>
  <c r="P171" i="27" s="1"/>
  <c r="Q171" i="27" s="1"/>
  <c r="O169" i="27"/>
  <c r="P169" i="27" s="1"/>
  <c r="Q169" i="27" s="1"/>
  <c r="O167" i="27"/>
  <c r="P167" i="27" s="1"/>
  <c r="Q167" i="27" s="1"/>
  <c r="AH166" i="27"/>
  <c r="AH165" i="27"/>
  <c r="O164" i="27"/>
  <c r="P164" i="27" s="1"/>
  <c r="O183" i="27"/>
  <c r="P183" i="27" s="1"/>
  <c r="Q183" i="27" s="1"/>
  <c r="O166" i="27"/>
  <c r="P166" i="27" s="1"/>
  <c r="Q166" i="27" s="1"/>
  <c r="O165" i="27"/>
  <c r="P165" i="27" s="1"/>
  <c r="Q165" i="27" s="1"/>
  <c r="O179" i="27"/>
  <c r="P179" i="27" s="1"/>
  <c r="Q179" i="27" s="1"/>
  <c r="AH164" i="27"/>
  <c r="O168" i="27"/>
  <c r="P168" i="27" s="1"/>
  <c r="Q168" i="27" s="1"/>
  <c r="J164" i="27"/>
  <c r="K164" i="27" s="1"/>
  <c r="L164" i="27" s="1"/>
  <c r="M164" i="27" s="1"/>
  <c r="N164" i="27" s="1"/>
  <c r="O185" i="27"/>
  <c r="P185" i="27" s="1"/>
  <c r="Q185" i="27" s="1"/>
  <c r="O170" i="27"/>
  <c r="P170" i="27" s="1"/>
  <c r="Q170" i="27" s="1"/>
  <c r="T146" i="27"/>
  <c r="S147" i="27"/>
  <c r="BK208" i="27"/>
  <c r="R116" i="27"/>
  <c r="V115" i="27"/>
  <c r="AE114" i="27"/>
  <c r="AT114" i="27"/>
  <c r="S117" i="27"/>
  <c r="T116" i="27"/>
  <c r="BK202" i="26"/>
  <c r="S146" i="26"/>
  <c r="T145" i="26"/>
  <c r="V114" i="26"/>
  <c r="R115" i="26"/>
  <c r="AI157" i="26"/>
  <c r="C164" i="26" s="1"/>
  <c r="T115" i="26"/>
  <c r="S116" i="26"/>
  <c r="AT113" i="26"/>
  <c r="AE113" i="26"/>
  <c r="AS111" i="25"/>
  <c r="AE111" i="25"/>
  <c r="AI137" i="25"/>
  <c r="AJ137" i="25" s="1"/>
  <c r="AK137" i="25" s="1"/>
  <c r="AL137" i="25"/>
  <c r="AM137" i="25" s="1"/>
  <c r="AN137" i="25" s="1"/>
  <c r="AI142" i="25"/>
  <c r="AJ142" i="25" s="1"/>
  <c r="AK142" i="25" s="1"/>
  <c r="AL142" i="25"/>
  <c r="AM142" i="25" s="1"/>
  <c r="AN142" i="25" s="1"/>
  <c r="AL151" i="25"/>
  <c r="AM151" i="25" s="1"/>
  <c r="AN151" i="25" s="1"/>
  <c r="AI151" i="25"/>
  <c r="AJ151" i="25" s="1"/>
  <c r="AK151" i="25" s="1"/>
  <c r="AL141" i="25"/>
  <c r="AM141" i="25" s="1"/>
  <c r="AN141" i="25" s="1"/>
  <c r="AI141" i="25"/>
  <c r="AJ141" i="25" s="1"/>
  <c r="AK141" i="25" s="1"/>
  <c r="AL149" i="25"/>
  <c r="AM149" i="25" s="1"/>
  <c r="AN149" i="25" s="1"/>
  <c r="AI149" i="25"/>
  <c r="AJ149" i="25" s="1"/>
  <c r="AK149" i="25" s="1"/>
  <c r="AL150" i="25"/>
  <c r="AM150" i="25" s="1"/>
  <c r="AN150" i="25" s="1"/>
  <c r="AI150" i="25"/>
  <c r="AJ150" i="25" s="1"/>
  <c r="AK150" i="25" s="1"/>
  <c r="AL154" i="25"/>
  <c r="AM154" i="25" s="1"/>
  <c r="AN154" i="25" s="1"/>
  <c r="AI154" i="25"/>
  <c r="AJ154" i="25" s="1"/>
  <c r="AK154" i="25" s="1"/>
  <c r="AI133" i="25"/>
  <c r="AJ133" i="25" s="1"/>
  <c r="AK133" i="25" s="1"/>
  <c r="AL133" i="25"/>
  <c r="AM133" i="25" s="1"/>
  <c r="AN133" i="25" s="1"/>
  <c r="AI144" i="25"/>
  <c r="AJ144" i="25" s="1"/>
  <c r="AK144" i="25" s="1"/>
  <c r="AL144" i="25"/>
  <c r="AM144" i="25" s="1"/>
  <c r="AN144" i="25" s="1"/>
  <c r="Q131" i="25"/>
  <c r="S131" i="25" s="1"/>
  <c r="T131" i="25" s="1"/>
  <c r="AL143" i="25"/>
  <c r="AM143" i="25" s="1"/>
  <c r="AN143" i="25" s="1"/>
  <c r="AI143" i="25"/>
  <c r="AJ143" i="25" s="1"/>
  <c r="AK143" i="25" s="1"/>
  <c r="AL153" i="25"/>
  <c r="AM153" i="25" s="1"/>
  <c r="AN153" i="25" s="1"/>
  <c r="AI153" i="25"/>
  <c r="AJ153" i="25" s="1"/>
  <c r="AK153" i="25" s="1"/>
  <c r="AI132" i="25"/>
  <c r="AJ132" i="25" s="1"/>
  <c r="AK132" i="25" s="1"/>
  <c r="AL132" i="25"/>
  <c r="AM132" i="25" s="1"/>
  <c r="AN132" i="25" s="1"/>
  <c r="AI136" i="25"/>
  <c r="AJ136" i="25" s="1"/>
  <c r="AK136" i="25" s="1"/>
  <c r="AL136" i="25"/>
  <c r="AM136" i="25" s="1"/>
  <c r="AN136" i="25" s="1"/>
  <c r="AL138" i="25"/>
  <c r="AM138" i="25" s="1"/>
  <c r="AN138" i="25" s="1"/>
  <c r="AI138" i="25"/>
  <c r="AJ138" i="25" s="1"/>
  <c r="AK138" i="25" s="1"/>
  <c r="AL131" i="25"/>
  <c r="AM131" i="25" s="1"/>
  <c r="AN131" i="25" s="1"/>
  <c r="AI131" i="25"/>
  <c r="AJ131" i="25" s="1"/>
  <c r="AK131" i="25" s="1"/>
  <c r="AL145" i="25"/>
  <c r="AM145" i="25" s="1"/>
  <c r="AN145" i="25" s="1"/>
  <c r="AI145" i="25"/>
  <c r="AJ145" i="25" s="1"/>
  <c r="AK145" i="25" s="1"/>
  <c r="AL146" i="25"/>
  <c r="AM146" i="25" s="1"/>
  <c r="AN146" i="25" s="1"/>
  <c r="AI146" i="25"/>
  <c r="AJ146" i="25" s="1"/>
  <c r="AK146" i="25" s="1"/>
  <c r="R113" i="25"/>
  <c r="V112" i="25"/>
  <c r="BM170" i="25"/>
  <c r="AI135" i="25"/>
  <c r="AJ135" i="25" s="1"/>
  <c r="AK135" i="25" s="1"/>
  <c r="AL135" i="25"/>
  <c r="AM135" i="25" s="1"/>
  <c r="AN135" i="25" s="1"/>
  <c r="AI134" i="25"/>
  <c r="AJ134" i="25" s="1"/>
  <c r="AK134" i="25" s="1"/>
  <c r="AL134" i="25"/>
  <c r="AM134" i="25" s="1"/>
  <c r="AN134" i="25" s="1"/>
  <c r="AI140" i="25"/>
  <c r="AJ140" i="25" s="1"/>
  <c r="AK140" i="25" s="1"/>
  <c r="AL140" i="25"/>
  <c r="AM140" i="25" s="1"/>
  <c r="AN140" i="25" s="1"/>
  <c r="AL139" i="25"/>
  <c r="AM139" i="25" s="1"/>
  <c r="AN139" i="25" s="1"/>
  <c r="AI139" i="25"/>
  <c r="AJ139" i="25" s="1"/>
  <c r="AK139" i="25" s="1"/>
  <c r="AL147" i="25"/>
  <c r="AM147" i="25" s="1"/>
  <c r="AN147" i="25" s="1"/>
  <c r="AI147" i="25"/>
  <c r="AJ147" i="25" s="1"/>
  <c r="AK147" i="25" s="1"/>
  <c r="AL148" i="25"/>
  <c r="AM148" i="25" s="1"/>
  <c r="AN148" i="25" s="1"/>
  <c r="AI148" i="25"/>
  <c r="AJ148" i="25" s="1"/>
  <c r="AK148" i="25" s="1"/>
  <c r="AL152" i="25"/>
  <c r="AM152" i="25" s="1"/>
  <c r="AN152" i="25" s="1"/>
  <c r="AI152" i="25"/>
  <c r="AJ152" i="25" s="1"/>
  <c r="AK152" i="25" s="1"/>
  <c r="S114" i="25"/>
  <c r="T113" i="25"/>
  <c r="BM170" i="24"/>
  <c r="AI132" i="24"/>
  <c r="AJ132" i="24" s="1"/>
  <c r="AK132" i="24" s="1"/>
  <c r="AL132" i="24"/>
  <c r="AM132" i="24" s="1"/>
  <c r="AN132" i="24" s="1"/>
  <c r="AI135" i="24"/>
  <c r="AJ135" i="24" s="1"/>
  <c r="AK135" i="24" s="1"/>
  <c r="AL135" i="24"/>
  <c r="AM135" i="24" s="1"/>
  <c r="AN135" i="24" s="1"/>
  <c r="AL145" i="24"/>
  <c r="AM145" i="24" s="1"/>
  <c r="AN145" i="24" s="1"/>
  <c r="AI145" i="24"/>
  <c r="AJ145" i="24" s="1"/>
  <c r="AK145" i="24" s="1"/>
  <c r="S114" i="24"/>
  <c r="T113" i="24"/>
  <c r="AL134" i="24"/>
  <c r="AM134" i="24" s="1"/>
  <c r="AN134" i="24" s="1"/>
  <c r="AI134" i="24"/>
  <c r="AJ134" i="24" s="1"/>
  <c r="AK134" i="24" s="1"/>
  <c r="AI137" i="24"/>
  <c r="AJ137" i="24" s="1"/>
  <c r="AK137" i="24" s="1"/>
  <c r="AL137" i="24"/>
  <c r="AM137" i="24" s="1"/>
  <c r="AN137" i="24" s="1"/>
  <c r="AI142" i="24"/>
  <c r="AJ142" i="24" s="1"/>
  <c r="AK142" i="24" s="1"/>
  <c r="AL142" i="24"/>
  <c r="AM142" i="24" s="1"/>
  <c r="AN142" i="24" s="1"/>
  <c r="AI136" i="24"/>
  <c r="AJ136" i="24" s="1"/>
  <c r="AK136" i="24" s="1"/>
  <c r="AL136" i="24"/>
  <c r="AM136" i="24" s="1"/>
  <c r="AN136" i="24" s="1"/>
  <c r="AI151" i="24"/>
  <c r="AJ151" i="24" s="1"/>
  <c r="AK151" i="24" s="1"/>
  <c r="AL151" i="24"/>
  <c r="AM151" i="24" s="1"/>
  <c r="AN151" i="24" s="1"/>
  <c r="AI148" i="24"/>
  <c r="AJ148" i="24" s="1"/>
  <c r="AK148" i="24" s="1"/>
  <c r="AL148" i="24"/>
  <c r="AM148" i="24" s="1"/>
  <c r="AN148" i="24" s="1"/>
  <c r="AI149" i="24"/>
  <c r="AJ149" i="24" s="1"/>
  <c r="AK149" i="24" s="1"/>
  <c r="AL149" i="24"/>
  <c r="AM149" i="24" s="1"/>
  <c r="AN149" i="24" s="1"/>
  <c r="AI154" i="24"/>
  <c r="AJ154" i="24" s="1"/>
  <c r="AK154" i="24" s="1"/>
  <c r="AL154" i="24"/>
  <c r="AM154" i="24" s="1"/>
  <c r="AN154" i="24" s="1"/>
  <c r="AE111" i="24"/>
  <c r="AS111" i="24"/>
  <c r="Q131" i="24"/>
  <c r="S131" i="24" s="1"/>
  <c r="T131" i="24" s="1"/>
  <c r="AL143" i="24"/>
  <c r="AM143" i="24" s="1"/>
  <c r="AN143" i="24" s="1"/>
  <c r="AI143" i="24"/>
  <c r="AJ143" i="24" s="1"/>
  <c r="AK143" i="24" s="1"/>
  <c r="AI138" i="24"/>
  <c r="AJ138" i="24" s="1"/>
  <c r="AK138" i="24" s="1"/>
  <c r="AL138" i="24"/>
  <c r="AM138" i="24" s="1"/>
  <c r="AN138" i="24" s="1"/>
  <c r="AI150" i="24"/>
  <c r="AJ150" i="24" s="1"/>
  <c r="AK150" i="24" s="1"/>
  <c r="AL150" i="24"/>
  <c r="AM150" i="24" s="1"/>
  <c r="AN150" i="24" s="1"/>
  <c r="R113" i="24"/>
  <c r="V112" i="24"/>
  <c r="AI153" i="24"/>
  <c r="AJ153" i="24" s="1"/>
  <c r="AK153" i="24" s="1"/>
  <c r="AL153" i="24"/>
  <c r="AM153" i="24" s="1"/>
  <c r="AN153" i="24" s="1"/>
  <c r="AL146" i="24"/>
  <c r="AM146" i="24" s="1"/>
  <c r="AN146" i="24" s="1"/>
  <c r="AI146" i="24"/>
  <c r="AJ146" i="24" s="1"/>
  <c r="AK146" i="24" s="1"/>
  <c r="AI133" i="24"/>
  <c r="AJ133" i="24" s="1"/>
  <c r="AK133" i="24" s="1"/>
  <c r="AL133" i="24"/>
  <c r="AM133" i="24" s="1"/>
  <c r="AN133" i="24" s="1"/>
  <c r="AI131" i="24"/>
  <c r="AJ131" i="24" s="1"/>
  <c r="AK131" i="24" s="1"/>
  <c r="AL131" i="24"/>
  <c r="AM131" i="24" s="1"/>
  <c r="AN131" i="24" s="1"/>
  <c r="AL139" i="24"/>
  <c r="AM139" i="24" s="1"/>
  <c r="AN139" i="24" s="1"/>
  <c r="AI139" i="24"/>
  <c r="AJ139" i="24" s="1"/>
  <c r="AK139" i="24" s="1"/>
  <c r="AL141" i="24"/>
  <c r="AM141" i="24" s="1"/>
  <c r="AN141" i="24" s="1"/>
  <c r="AI141" i="24"/>
  <c r="AJ141" i="24" s="1"/>
  <c r="AK141" i="24" s="1"/>
  <c r="AI140" i="24"/>
  <c r="AJ140" i="24" s="1"/>
  <c r="AK140" i="24" s="1"/>
  <c r="AL140" i="24"/>
  <c r="AM140" i="24" s="1"/>
  <c r="AN140" i="24" s="1"/>
  <c r="AI147" i="24"/>
  <c r="AJ147" i="24" s="1"/>
  <c r="AK147" i="24" s="1"/>
  <c r="AL147" i="24"/>
  <c r="AM147" i="24" s="1"/>
  <c r="AN147" i="24" s="1"/>
  <c r="AL144" i="24"/>
  <c r="AM144" i="24" s="1"/>
  <c r="AN144" i="24" s="1"/>
  <c r="AI144" i="24"/>
  <c r="AJ144" i="24" s="1"/>
  <c r="AK144" i="24" s="1"/>
  <c r="AI152" i="24"/>
  <c r="AJ152" i="24" s="1"/>
  <c r="AK152" i="24" s="1"/>
  <c r="AL152" i="24"/>
  <c r="AM152" i="24" s="1"/>
  <c r="AN152" i="24" s="1"/>
  <c r="AK196" i="23"/>
  <c r="V144" i="23"/>
  <c r="R145" i="23"/>
  <c r="AH143" i="23"/>
  <c r="S146" i="23"/>
  <c r="T145" i="23"/>
  <c r="AK193" i="22"/>
  <c r="R141" i="22"/>
  <c r="V140" i="22"/>
  <c r="AH139" i="22"/>
  <c r="AF137" i="20"/>
  <c r="O84" i="20"/>
  <c r="P84" i="20" s="1"/>
  <c r="AH86" i="20"/>
  <c r="O88" i="20"/>
  <c r="P88" i="20" s="1"/>
  <c r="Q88" i="20" s="1"/>
  <c r="AG90" i="20"/>
  <c r="AI90" i="20" s="1"/>
  <c r="AJ90" i="20" s="1"/>
  <c r="AK90" i="20" s="1"/>
  <c r="O94" i="20"/>
  <c r="P94" i="20" s="1"/>
  <c r="Q94" i="20" s="1"/>
  <c r="AE99" i="20"/>
  <c r="AE103" i="20"/>
  <c r="AF104" i="20"/>
  <c r="AF105" i="20"/>
  <c r="AG84" i="20"/>
  <c r="AL84" i="20" s="1"/>
  <c r="AM84" i="20" s="1"/>
  <c r="AN84" i="20" s="1"/>
  <c r="O86" i="20"/>
  <c r="P86" i="20" s="1"/>
  <c r="O92" i="20"/>
  <c r="P92" i="20" s="1"/>
  <c r="Q92" i="20" s="1"/>
  <c r="AG83" i="20"/>
  <c r="AI83" i="20" s="1"/>
  <c r="AJ83" i="20" s="1"/>
  <c r="AK83" i="20" s="1"/>
  <c r="AG88" i="20"/>
  <c r="AL88" i="20" s="1"/>
  <c r="AM88" i="20" s="1"/>
  <c r="AN88" i="20" s="1"/>
  <c r="AG92" i="20"/>
  <c r="AL92" i="20" s="1"/>
  <c r="AM92" i="20" s="1"/>
  <c r="AN92" i="20" s="1"/>
  <c r="AG94" i="20"/>
  <c r="AE81" i="21"/>
  <c r="AE122" i="21"/>
  <c r="AF85" i="21"/>
  <c r="AF87" i="21"/>
  <c r="AF89" i="21"/>
  <c r="AF110" i="21"/>
  <c r="AF121" i="21"/>
  <c r="AE121" i="21"/>
  <c r="J79" i="21"/>
  <c r="K79" i="21" s="1"/>
  <c r="L79" i="21" s="1"/>
  <c r="M79" i="21" s="1"/>
  <c r="N79" i="21" s="1"/>
  <c r="Q79" i="21" s="1"/>
  <c r="S79" i="21" s="1"/>
  <c r="T79" i="21" s="1"/>
  <c r="AF83" i="21"/>
  <c r="AF116" i="21"/>
  <c r="O90" i="21"/>
  <c r="P90" i="21" s="1"/>
  <c r="Q90" i="21" s="1"/>
  <c r="O88" i="21"/>
  <c r="P88" i="21" s="1"/>
  <c r="Q88" i="21" s="1"/>
  <c r="O86" i="21"/>
  <c r="P86" i="21" s="1"/>
  <c r="Q86" i="21" s="1"/>
  <c r="O84" i="21"/>
  <c r="P84" i="21" s="1"/>
  <c r="Q84" i="21" s="1"/>
  <c r="O82" i="21"/>
  <c r="P82" i="21" s="1"/>
  <c r="Q82" i="21" s="1"/>
  <c r="O80" i="21"/>
  <c r="P80" i="21" s="1"/>
  <c r="Q80" i="21" s="1"/>
  <c r="AH79" i="21"/>
  <c r="O89" i="21"/>
  <c r="P89" i="21" s="1"/>
  <c r="Q89" i="21" s="1"/>
  <c r="O87" i="21"/>
  <c r="P87" i="21" s="1"/>
  <c r="Q87" i="21" s="1"/>
  <c r="O85" i="21"/>
  <c r="P85" i="21" s="1"/>
  <c r="Q85" i="21" s="1"/>
  <c r="O83" i="21"/>
  <c r="P83" i="21" s="1"/>
  <c r="Q83" i="21" s="1"/>
  <c r="BG102" i="21"/>
  <c r="AF103" i="21"/>
  <c r="AF82" i="21"/>
  <c r="AE84" i="21"/>
  <c r="AF105" i="21"/>
  <c r="AF114" i="21"/>
  <c r="O81" i="21"/>
  <c r="P81" i="21" s="1"/>
  <c r="Q81" i="21" s="1"/>
  <c r="AF104" i="21"/>
  <c r="AE105" i="21"/>
  <c r="AF112" i="21"/>
  <c r="AE119" i="21"/>
  <c r="AF117" i="21"/>
  <c r="AF119" i="21"/>
  <c r="AF107" i="21"/>
  <c r="AF109" i="21"/>
  <c r="AF111" i="21"/>
  <c r="AF113" i="21"/>
  <c r="AF115" i="21"/>
  <c r="AE104" i="21"/>
  <c r="AE106" i="21"/>
  <c r="AF106" i="21"/>
  <c r="AE107" i="21"/>
  <c r="AF108" i="21"/>
  <c r="AE109" i="21"/>
  <c r="AF123" i="21"/>
  <c r="AE110" i="21"/>
  <c r="AE112" i="21"/>
  <c r="AE114" i="21"/>
  <c r="AE116" i="21"/>
  <c r="AF118" i="21"/>
  <c r="AF120" i="21"/>
  <c r="AF138" i="21"/>
  <c r="AF153" i="21"/>
  <c r="AF150" i="21"/>
  <c r="AF148" i="21"/>
  <c r="AF145" i="21"/>
  <c r="AF143" i="21"/>
  <c r="AF141" i="21"/>
  <c r="AF152" i="21"/>
  <c r="AF139" i="21"/>
  <c r="AF140" i="21"/>
  <c r="AF144" i="21"/>
  <c r="AF142" i="21"/>
  <c r="AF146" i="21"/>
  <c r="AF147" i="21"/>
  <c r="AF155" i="21"/>
  <c r="AF149" i="21"/>
  <c r="AF151" i="21"/>
  <c r="AF123" i="20"/>
  <c r="AF122" i="20"/>
  <c r="AL103" i="20"/>
  <c r="AM103" i="20" s="1"/>
  <c r="AN103" i="20" s="1"/>
  <c r="AI103" i="20"/>
  <c r="AJ103" i="20" s="1"/>
  <c r="AK103" i="20" s="1"/>
  <c r="BE84" i="20"/>
  <c r="Q84" i="20"/>
  <c r="Q86" i="20"/>
  <c r="AL86" i="20"/>
  <c r="AM86" i="20" s="1"/>
  <c r="AN86" i="20" s="1"/>
  <c r="AR86" i="20" s="1"/>
  <c r="AL94" i="20"/>
  <c r="AM94" i="20" s="1"/>
  <c r="AN94" i="20" s="1"/>
  <c r="AL90" i="20"/>
  <c r="AM90" i="20" s="1"/>
  <c r="AN90" i="20" s="1"/>
  <c r="AR90" i="20" s="1"/>
  <c r="AH90" i="20"/>
  <c r="O96" i="20"/>
  <c r="P96" i="20" s="1"/>
  <c r="Q96" i="20" s="1"/>
  <c r="AG96" i="20"/>
  <c r="O98" i="20"/>
  <c r="P98" i="20" s="1"/>
  <c r="Q98" i="20" s="1"/>
  <c r="AG98" i="20"/>
  <c r="O99" i="20"/>
  <c r="P99" i="20" s="1"/>
  <c r="Q99" i="20" s="1"/>
  <c r="AF99" i="20"/>
  <c r="O101" i="20"/>
  <c r="P101" i="20" s="1"/>
  <c r="Q101" i="20" s="1"/>
  <c r="AF101" i="20"/>
  <c r="O103" i="20"/>
  <c r="P103" i="20" s="1"/>
  <c r="Q103" i="20" s="1"/>
  <c r="AG105" i="20"/>
  <c r="AF121" i="20"/>
  <c r="AF131" i="20"/>
  <c r="AF132" i="20"/>
  <c r="AG99" i="20"/>
  <c r="O100" i="20"/>
  <c r="P100" i="20" s="1"/>
  <c r="Q100" i="20" s="1"/>
  <c r="AG101" i="20"/>
  <c r="O102" i="20"/>
  <c r="P102" i="20" s="1"/>
  <c r="Q102" i="20" s="1"/>
  <c r="AG106" i="20"/>
  <c r="O106" i="20"/>
  <c r="P106" i="20" s="1"/>
  <c r="Q106" i="20" s="1"/>
  <c r="AG104" i="20"/>
  <c r="O104" i="20"/>
  <c r="P104" i="20" s="1"/>
  <c r="Q104" i="20" s="1"/>
  <c r="O105" i="20"/>
  <c r="P105" i="20" s="1"/>
  <c r="Q105" i="20" s="1"/>
  <c r="O83" i="20"/>
  <c r="P83" i="20" s="1"/>
  <c r="Q83" i="20" s="1"/>
  <c r="S83" i="20" s="1"/>
  <c r="T83" i="20" s="1"/>
  <c r="O85" i="20"/>
  <c r="P85" i="20" s="1"/>
  <c r="Q85" i="20" s="1"/>
  <c r="AG85" i="20"/>
  <c r="O87" i="20"/>
  <c r="P87" i="20" s="1"/>
  <c r="Q87" i="20" s="1"/>
  <c r="AG87" i="20"/>
  <c r="O89" i="20"/>
  <c r="P89" i="20" s="1"/>
  <c r="Q89" i="20" s="1"/>
  <c r="AG89" i="20"/>
  <c r="O91" i="20"/>
  <c r="P91" i="20" s="1"/>
  <c r="Q91" i="20" s="1"/>
  <c r="AG91" i="20"/>
  <c r="O93" i="20"/>
  <c r="P93" i="20" s="1"/>
  <c r="Q93" i="20" s="1"/>
  <c r="AG93" i="20"/>
  <c r="O95" i="20"/>
  <c r="P95" i="20" s="1"/>
  <c r="Q95" i="20" s="1"/>
  <c r="AG95" i="20"/>
  <c r="O97" i="20"/>
  <c r="P97" i="20" s="1"/>
  <c r="Q97" i="20" s="1"/>
  <c r="AG97" i="20"/>
  <c r="AF100" i="20"/>
  <c r="AG100" i="20"/>
  <c r="AF102" i="20"/>
  <c r="AG102" i="20"/>
  <c r="AF125" i="20"/>
  <c r="AF124" i="20"/>
  <c r="AF130" i="20"/>
  <c r="AF127" i="20"/>
  <c r="AF129" i="20"/>
  <c r="AF126" i="20"/>
  <c r="AF136" i="20"/>
  <c r="AF135" i="20"/>
  <c r="AF133" i="20"/>
  <c r="AF140" i="20"/>
  <c r="AF106" i="20"/>
  <c r="AF138" i="20"/>
  <c r="AF128" i="20"/>
  <c r="AF134" i="20"/>
  <c r="AI88" i="20" l="1"/>
  <c r="AJ88" i="20" s="1"/>
  <c r="AK88" i="20" s="1"/>
  <c r="AR88" i="20" s="1"/>
  <c r="R116" i="28"/>
  <c r="V115" i="28"/>
  <c r="AE114" i="28"/>
  <c r="AS114" i="28"/>
  <c r="BJ112" i="28"/>
  <c r="T116" i="28"/>
  <c r="S117" i="28"/>
  <c r="S134" i="28"/>
  <c r="T133" i="28"/>
  <c r="R133" i="28"/>
  <c r="V132" i="28"/>
  <c r="AS131" i="28"/>
  <c r="AH83" i="20"/>
  <c r="AL83" i="20"/>
  <c r="AM83" i="20" s="1"/>
  <c r="AN83" i="20" s="1"/>
  <c r="AR83" i="20" s="1"/>
  <c r="T141" i="22"/>
  <c r="V141" i="22" s="1"/>
  <c r="R146" i="26"/>
  <c r="V145" i="26"/>
  <c r="AE144" i="26"/>
  <c r="AT144" i="26"/>
  <c r="R147" i="27"/>
  <c r="V146" i="27"/>
  <c r="AE145" i="27"/>
  <c r="AT145" i="27"/>
  <c r="Q164" i="27"/>
  <c r="S164" i="27" s="1"/>
  <c r="T164" i="27" s="1"/>
  <c r="R165" i="27" s="1"/>
  <c r="S165" i="27" s="1"/>
  <c r="AT115" i="27"/>
  <c r="AE115" i="27"/>
  <c r="AM176" i="27"/>
  <c r="AN176" i="27" s="1"/>
  <c r="AO176" i="27" s="1"/>
  <c r="AJ176" i="27"/>
  <c r="AK176" i="27" s="1"/>
  <c r="AL176" i="27" s="1"/>
  <c r="AM181" i="27"/>
  <c r="AN181" i="27" s="1"/>
  <c r="AO181" i="27" s="1"/>
  <c r="AJ181" i="27"/>
  <c r="AK181" i="27" s="1"/>
  <c r="AL181" i="27" s="1"/>
  <c r="S148" i="27"/>
  <c r="T147" i="27"/>
  <c r="AM164" i="27"/>
  <c r="AN164" i="27" s="1"/>
  <c r="AO164" i="27" s="1"/>
  <c r="AJ164" i="27"/>
  <c r="AK164" i="27" s="1"/>
  <c r="AL164" i="27" s="1"/>
  <c r="AM167" i="27"/>
  <c r="AN167" i="27" s="1"/>
  <c r="AO167" i="27" s="1"/>
  <c r="AJ167" i="27"/>
  <c r="AK167" i="27" s="1"/>
  <c r="AL167" i="27" s="1"/>
  <c r="AM171" i="27"/>
  <c r="AN171" i="27" s="1"/>
  <c r="AO171" i="27" s="1"/>
  <c r="AJ171" i="27"/>
  <c r="AK171" i="27" s="1"/>
  <c r="AL171" i="27" s="1"/>
  <c r="AM175" i="27"/>
  <c r="AN175" i="27" s="1"/>
  <c r="AO175" i="27" s="1"/>
  <c r="AJ175" i="27"/>
  <c r="AK175" i="27" s="1"/>
  <c r="AL175" i="27" s="1"/>
  <c r="AM182" i="27"/>
  <c r="AN182" i="27" s="1"/>
  <c r="AO182" i="27" s="1"/>
  <c r="AJ182" i="27"/>
  <c r="AK182" i="27" s="1"/>
  <c r="AL182" i="27" s="1"/>
  <c r="AM179" i="27"/>
  <c r="AN179" i="27" s="1"/>
  <c r="AO179" i="27" s="1"/>
  <c r="AJ179" i="27"/>
  <c r="AK179" i="27" s="1"/>
  <c r="AL179" i="27" s="1"/>
  <c r="AM187" i="27"/>
  <c r="AN187" i="27" s="1"/>
  <c r="AO187" i="27" s="1"/>
  <c r="AJ187" i="27"/>
  <c r="AK187" i="27" s="1"/>
  <c r="AL187" i="27" s="1"/>
  <c r="AM172" i="27"/>
  <c r="AN172" i="27" s="1"/>
  <c r="AO172" i="27" s="1"/>
  <c r="AJ172" i="27"/>
  <c r="AK172" i="27" s="1"/>
  <c r="AL172" i="27" s="1"/>
  <c r="R117" i="27"/>
  <c r="V116" i="27"/>
  <c r="BK209" i="27"/>
  <c r="AM165" i="27"/>
  <c r="AN165" i="27" s="1"/>
  <c r="AO165" i="27" s="1"/>
  <c r="AJ165" i="27"/>
  <c r="AK165" i="27" s="1"/>
  <c r="AL165" i="27" s="1"/>
  <c r="AM169" i="27"/>
  <c r="AN169" i="27" s="1"/>
  <c r="AO169" i="27" s="1"/>
  <c r="AJ169" i="27"/>
  <c r="AK169" i="27" s="1"/>
  <c r="AL169" i="27" s="1"/>
  <c r="AM173" i="27"/>
  <c r="AN173" i="27" s="1"/>
  <c r="AO173" i="27" s="1"/>
  <c r="AJ173" i="27"/>
  <c r="AK173" i="27" s="1"/>
  <c r="AL173" i="27" s="1"/>
  <c r="AM177" i="27"/>
  <c r="AN177" i="27" s="1"/>
  <c r="AO177" i="27" s="1"/>
  <c r="AJ177" i="27"/>
  <c r="AK177" i="27" s="1"/>
  <c r="AL177" i="27" s="1"/>
  <c r="AM178" i="27"/>
  <c r="AN178" i="27" s="1"/>
  <c r="AO178" i="27" s="1"/>
  <c r="AJ178" i="27"/>
  <c r="AK178" i="27" s="1"/>
  <c r="AL178" i="27" s="1"/>
  <c r="AJ186" i="27"/>
  <c r="AK186" i="27" s="1"/>
  <c r="AL186" i="27" s="1"/>
  <c r="AM186" i="27"/>
  <c r="AN186" i="27" s="1"/>
  <c r="AO186" i="27" s="1"/>
  <c r="AM183" i="27"/>
  <c r="AN183" i="27" s="1"/>
  <c r="AO183" i="27" s="1"/>
  <c r="AJ183" i="27"/>
  <c r="AK183" i="27" s="1"/>
  <c r="AL183" i="27" s="1"/>
  <c r="AM168" i="27"/>
  <c r="AN168" i="27" s="1"/>
  <c r="AO168" i="27" s="1"/>
  <c r="AJ168" i="27"/>
  <c r="AK168" i="27" s="1"/>
  <c r="AL168" i="27" s="1"/>
  <c r="AM184" i="27"/>
  <c r="AN184" i="27" s="1"/>
  <c r="AO184" i="27" s="1"/>
  <c r="AJ184" i="27"/>
  <c r="AK184" i="27" s="1"/>
  <c r="AL184" i="27" s="1"/>
  <c r="T117" i="27"/>
  <c r="S118" i="27"/>
  <c r="AM166" i="27"/>
  <c r="AN166" i="27" s="1"/>
  <c r="AO166" i="27" s="1"/>
  <c r="AJ166" i="27"/>
  <c r="AK166" i="27" s="1"/>
  <c r="AL166" i="27" s="1"/>
  <c r="AM170" i="27"/>
  <c r="AN170" i="27" s="1"/>
  <c r="AO170" i="27" s="1"/>
  <c r="AJ170" i="27"/>
  <c r="AK170" i="27" s="1"/>
  <c r="AL170" i="27" s="1"/>
  <c r="AM174" i="27"/>
  <c r="AN174" i="27" s="1"/>
  <c r="AO174" i="27" s="1"/>
  <c r="AJ174" i="27"/>
  <c r="AK174" i="27" s="1"/>
  <c r="AL174" i="27" s="1"/>
  <c r="AM180" i="27"/>
  <c r="AN180" i="27" s="1"/>
  <c r="AO180" i="27" s="1"/>
  <c r="AJ180" i="27"/>
  <c r="AK180" i="27" s="1"/>
  <c r="AL180" i="27" s="1"/>
  <c r="AM185" i="27"/>
  <c r="AN185" i="27" s="1"/>
  <c r="AO185" i="27" s="1"/>
  <c r="AJ185" i="27"/>
  <c r="AK185" i="27" s="1"/>
  <c r="AL185" i="27" s="1"/>
  <c r="AR139" i="25"/>
  <c r="BK203" i="26"/>
  <c r="AH186" i="26"/>
  <c r="AH184" i="26"/>
  <c r="AH182" i="26"/>
  <c r="AH180" i="26"/>
  <c r="AH187" i="26"/>
  <c r="AH185" i="26"/>
  <c r="AH183" i="26"/>
  <c r="AH181" i="26"/>
  <c r="AH179" i="26"/>
  <c r="AH177" i="26"/>
  <c r="O187" i="26"/>
  <c r="P187" i="26" s="1"/>
  <c r="Q187" i="26" s="1"/>
  <c r="O185" i="26"/>
  <c r="P185" i="26" s="1"/>
  <c r="Q185" i="26" s="1"/>
  <c r="O183" i="26"/>
  <c r="P183" i="26" s="1"/>
  <c r="Q183" i="26" s="1"/>
  <c r="O181" i="26"/>
  <c r="P181" i="26" s="1"/>
  <c r="Q181" i="26" s="1"/>
  <c r="O179" i="26"/>
  <c r="P179" i="26" s="1"/>
  <c r="Q179" i="26" s="1"/>
  <c r="O186" i="26"/>
  <c r="P186" i="26" s="1"/>
  <c r="Q186" i="26" s="1"/>
  <c r="O184" i="26"/>
  <c r="P184" i="26" s="1"/>
  <c r="Q184" i="26" s="1"/>
  <c r="O182" i="26"/>
  <c r="P182" i="26" s="1"/>
  <c r="Q182" i="26" s="1"/>
  <c r="O180" i="26"/>
  <c r="P180" i="26" s="1"/>
  <c r="Q180" i="26" s="1"/>
  <c r="O178" i="26"/>
  <c r="P178" i="26" s="1"/>
  <c r="Q178" i="26" s="1"/>
  <c r="O177" i="26"/>
  <c r="P177" i="26" s="1"/>
  <c r="Q177" i="26" s="1"/>
  <c r="O175" i="26"/>
  <c r="P175" i="26" s="1"/>
  <c r="Q175" i="26" s="1"/>
  <c r="O173" i="26"/>
  <c r="P173" i="26" s="1"/>
  <c r="Q173" i="26" s="1"/>
  <c r="AH178" i="26"/>
  <c r="AH176" i="26"/>
  <c r="AH174" i="26"/>
  <c r="AH172" i="26"/>
  <c r="AH175" i="26"/>
  <c r="O174" i="26"/>
  <c r="P174" i="26" s="1"/>
  <c r="Q174" i="26" s="1"/>
  <c r="O170" i="26"/>
  <c r="P170" i="26" s="1"/>
  <c r="Q170" i="26" s="1"/>
  <c r="AH171" i="26"/>
  <c r="AH169" i="26"/>
  <c r="AH167" i="26"/>
  <c r="AH165" i="26"/>
  <c r="AH170" i="26"/>
  <c r="AH168" i="26"/>
  <c r="AH166" i="26"/>
  <c r="AH173" i="26"/>
  <c r="O168" i="26"/>
  <c r="P168" i="26" s="1"/>
  <c r="Q168" i="26" s="1"/>
  <c r="O166" i="26"/>
  <c r="P166" i="26" s="1"/>
  <c r="Q166" i="26" s="1"/>
  <c r="O176" i="26"/>
  <c r="P176" i="26" s="1"/>
  <c r="Q176" i="26" s="1"/>
  <c r="O169" i="26"/>
  <c r="P169" i="26" s="1"/>
  <c r="Q169" i="26" s="1"/>
  <c r="O167" i="26"/>
  <c r="P167" i="26" s="1"/>
  <c r="Q167" i="26" s="1"/>
  <c r="O165" i="26"/>
  <c r="P165" i="26" s="1"/>
  <c r="Q165" i="26" s="1"/>
  <c r="J164" i="26"/>
  <c r="K164" i="26" s="1"/>
  <c r="L164" i="26" s="1"/>
  <c r="M164" i="26" s="1"/>
  <c r="N164" i="26" s="1"/>
  <c r="O171" i="26"/>
  <c r="P171" i="26" s="1"/>
  <c r="Q171" i="26" s="1"/>
  <c r="O172" i="26"/>
  <c r="P172" i="26" s="1"/>
  <c r="Q172" i="26" s="1"/>
  <c r="O164" i="26"/>
  <c r="P164" i="26" s="1"/>
  <c r="AH164" i="26"/>
  <c r="S117" i="26"/>
  <c r="T116" i="26"/>
  <c r="S147" i="26"/>
  <c r="T146" i="26"/>
  <c r="R116" i="26"/>
  <c r="V115" i="26"/>
  <c r="AE114" i="26"/>
  <c r="AT114" i="26"/>
  <c r="AR138" i="25"/>
  <c r="AR131" i="25"/>
  <c r="AR137" i="25"/>
  <c r="AR148" i="25"/>
  <c r="AR152" i="25"/>
  <c r="AS152" i="25"/>
  <c r="AU152" i="25" s="1"/>
  <c r="AR147" i="25"/>
  <c r="AR145" i="25"/>
  <c r="AR143" i="25"/>
  <c r="AR133" i="25"/>
  <c r="AR142" i="25"/>
  <c r="R114" i="25"/>
  <c r="V113" i="25"/>
  <c r="AR134" i="25"/>
  <c r="AR136" i="25"/>
  <c r="R132" i="25"/>
  <c r="S132" i="25" s="1"/>
  <c r="V131" i="25"/>
  <c r="AR150" i="25"/>
  <c r="AR141" i="25"/>
  <c r="BM171" i="25"/>
  <c r="AR146" i="25"/>
  <c r="AR153" i="25"/>
  <c r="AS153" i="25"/>
  <c r="AU153" i="25" s="1"/>
  <c r="AR144" i="25"/>
  <c r="T114" i="25"/>
  <c r="S115" i="25"/>
  <c r="AR140" i="25"/>
  <c r="AR135" i="25"/>
  <c r="AS112" i="25"/>
  <c r="AE112" i="25"/>
  <c r="AR132" i="25"/>
  <c r="AR154" i="25"/>
  <c r="AS154" i="25"/>
  <c r="AU154" i="25" s="1"/>
  <c r="AR149" i="25"/>
  <c r="AR151" i="25"/>
  <c r="AS151" i="25"/>
  <c r="AU151" i="25" s="1"/>
  <c r="AR136" i="24"/>
  <c r="AR137" i="24"/>
  <c r="AR135" i="24"/>
  <c r="BM171" i="24"/>
  <c r="AR139" i="24"/>
  <c r="AR132" i="24"/>
  <c r="AR144" i="24"/>
  <c r="AR146" i="24"/>
  <c r="AR154" i="24"/>
  <c r="AS154" i="24"/>
  <c r="AU154" i="24" s="1"/>
  <c r="AR148" i="24"/>
  <c r="R114" i="24"/>
  <c r="V113" i="24"/>
  <c r="AR152" i="24"/>
  <c r="AS152" i="24"/>
  <c r="AU152" i="24" s="1"/>
  <c r="AR147" i="24"/>
  <c r="AR131" i="24"/>
  <c r="AR153" i="24"/>
  <c r="AS153" i="24"/>
  <c r="AU153" i="24" s="1"/>
  <c r="AR150" i="24"/>
  <c r="S115" i="24"/>
  <c r="T114" i="24"/>
  <c r="AR141" i="24"/>
  <c r="AR149" i="24"/>
  <c r="AR142" i="24"/>
  <c r="AR143" i="24"/>
  <c r="AR151" i="24"/>
  <c r="AS151" i="24"/>
  <c r="AU151" i="24" s="1"/>
  <c r="AR140" i="24"/>
  <c r="AR133" i="24"/>
  <c r="AS112" i="24"/>
  <c r="AE112" i="24"/>
  <c r="AR138" i="24"/>
  <c r="R132" i="24"/>
  <c r="S132" i="24" s="1"/>
  <c r="V131" i="24"/>
  <c r="AR134" i="24"/>
  <c r="AR145" i="24"/>
  <c r="AH144" i="23"/>
  <c r="V145" i="23"/>
  <c r="R146" i="23"/>
  <c r="S147" i="23"/>
  <c r="T146" i="23"/>
  <c r="AK197" i="23"/>
  <c r="AK194" i="22"/>
  <c r="S143" i="22"/>
  <c r="T142" i="22"/>
  <c r="AH140" i="22"/>
  <c r="AH88" i="20"/>
  <c r="AI92" i="20"/>
  <c r="AJ92" i="20" s="1"/>
  <c r="AK92" i="20" s="1"/>
  <c r="AR92" i="20" s="1"/>
  <c r="AH92" i="20"/>
  <c r="AI84" i="20"/>
  <c r="AJ84" i="20" s="1"/>
  <c r="AK84" i="20" s="1"/>
  <c r="AR84" i="20" s="1"/>
  <c r="AH84" i="20"/>
  <c r="AI94" i="20"/>
  <c r="AJ94" i="20" s="1"/>
  <c r="AK94" i="20" s="1"/>
  <c r="AR94" i="20" s="1"/>
  <c r="AH94" i="20"/>
  <c r="V79" i="21"/>
  <c r="R80" i="21"/>
  <c r="S80" i="21" s="1"/>
  <c r="BG103" i="21"/>
  <c r="C100" i="21"/>
  <c r="AM89" i="21"/>
  <c r="AN89" i="21" s="1"/>
  <c r="AO89" i="21" s="1"/>
  <c r="AM87" i="21"/>
  <c r="AN87" i="21" s="1"/>
  <c r="AO87" i="21" s="1"/>
  <c r="AM85" i="21"/>
  <c r="AN85" i="21" s="1"/>
  <c r="AO85" i="21" s="1"/>
  <c r="AM83" i="21"/>
  <c r="AN83" i="21" s="1"/>
  <c r="AO83" i="21" s="1"/>
  <c r="AM81" i="21"/>
  <c r="AN81" i="21" s="1"/>
  <c r="AO81" i="21" s="1"/>
  <c r="AM79" i="21"/>
  <c r="AN79" i="21" s="1"/>
  <c r="AO79" i="21" s="1"/>
  <c r="AJ90" i="21"/>
  <c r="AK90" i="21" s="1"/>
  <c r="AL90" i="21" s="1"/>
  <c r="AJ88" i="21"/>
  <c r="AK88" i="21" s="1"/>
  <c r="AL88" i="21" s="1"/>
  <c r="AJ86" i="21"/>
  <c r="AK86" i="21" s="1"/>
  <c r="AL86" i="21" s="1"/>
  <c r="AM90" i="21"/>
  <c r="AN90" i="21" s="1"/>
  <c r="AO90" i="21" s="1"/>
  <c r="AM88" i="21"/>
  <c r="AN88" i="21" s="1"/>
  <c r="AO88" i="21" s="1"/>
  <c r="AM86" i="21"/>
  <c r="AN86" i="21" s="1"/>
  <c r="AO86" i="21" s="1"/>
  <c r="AM84" i="21"/>
  <c r="AN84" i="21" s="1"/>
  <c r="AO84" i="21" s="1"/>
  <c r="AJ84" i="21"/>
  <c r="AK84" i="21" s="1"/>
  <c r="AL84" i="21" s="1"/>
  <c r="AJ82" i="21"/>
  <c r="AK82" i="21" s="1"/>
  <c r="AL82" i="21" s="1"/>
  <c r="AJ79" i="21"/>
  <c r="AK79" i="21" s="1"/>
  <c r="AL79" i="21" s="1"/>
  <c r="AM80" i="21"/>
  <c r="AN80" i="21" s="1"/>
  <c r="AO80" i="21" s="1"/>
  <c r="AS80" i="21" s="1"/>
  <c r="AJ80" i="21"/>
  <c r="AK80" i="21" s="1"/>
  <c r="AL80" i="21" s="1"/>
  <c r="AJ89" i="21"/>
  <c r="AK89" i="21" s="1"/>
  <c r="AL89" i="21" s="1"/>
  <c r="AJ87" i="21"/>
  <c r="AK87" i="21" s="1"/>
  <c r="AL87" i="21" s="1"/>
  <c r="AJ85" i="21"/>
  <c r="AK85" i="21" s="1"/>
  <c r="AL85" i="21" s="1"/>
  <c r="AJ83" i="21"/>
  <c r="AK83" i="21" s="1"/>
  <c r="AL83" i="21" s="1"/>
  <c r="AM82" i="21"/>
  <c r="AN82" i="21" s="1"/>
  <c r="AO82" i="21" s="1"/>
  <c r="X79" i="21"/>
  <c r="Z79" i="21" s="1"/>
  <c r="AJ81" i="21"/>
  <c r="AK81" i="21" s="1"/>
  <c r="AL81" i="21" s="1"/>
  <c r="AL102" i="20"/>
  <c r="AM102" i="20" s="1"/>
  <c r="AN102" i="20" s="1"/>
  <c r="AI102" i="20"/>
  <c r="AJ102" i="20" s="1"/>
  <c r="AK102" i="20" s="1"/>
  <c r="AL89" i="20"/>
  <c r="AM89" i="20" s="1"/>
  <c r="AN89" i="20" s="1"/>
  <c r="AH89" i="20"/>
  <c r="AI89" i="20"/>
  <c r="AJ89" i="20" s="1"/>
  <c r="AK89" i="20" s="1"/>
  <c r="BE85" i="20"/>
  <c r="AL106" i="20"/>
  <c r="AM106" i="20" s="1"/>
  <c r="AN106" i="20" s="1"/>
  <c r="AI106" i="20"/>
  <c r="AJ106" i="20" s="1"/>
  <c r="AK106" i="20" s="1"/>
  <c r="AI97" i="20"/>
  <c r="AJ97" i="20" s="1"/>
  <c r="AK97" i="20" s="1"/>
  <c r="AH97" i="20"/>
  <c r="AL97" i="20"/>
  <c r="AM97" i="20" s="1"/>
  <c r="AN97" i="20" s="1"/>
  <c r="AR97" i="20" s="1"/>
  <c r="AI93" i="20"/>
  <c r="AJ93" i="20" s="1"/>
  <c r="AK93" i="20" s="1"/>
  <c r="AH93" i="20"/>
  <c r="AL93" i="20"/>
  <c r="AM93" i="20" s="1"/>
  <c r="AN93" i="20" s="1"/>
  <c r="AI85" i="20"/>
  <c r="AJ85" i="20" s="1"/>
  <c r="AK85" i="20" s="1"/>
  <c r="AH85" i="20"/>
  <c r="AL85" i="20"/>
  <c r="AM85" i="20" s="1"/>
  <c r="AN85" i="20" s="1"/>
  <c r="AL99" i="20"/>
  <c r="AM99" i="20" s="1"/>
  <c r="AN99" i="20" s="1"/>
  <c r="AI99" i="20"/>
  <c r="AJ99" i="20" s="1"/>
  <c r="AK99" i="20" s="1"/>
  <c r="AI104" i="20"/>
  <c r="AJ104" i="20" s="1"/>
  <c r="AK104" i="20" s="1"/>
  <c r="AL104" i="20"/>
  <c r="AM104" i="20" s="1"/>
  <c r="AN104" i="20" s="1"/>
  <c r="AI98" i="20"/>
  <c r="AJ98" i="20" s="1"/>
  <c r="AK98" i="20" s="1"/>
  <c r="AL98" i="20"/>
  <c r="AM98" i="20" s="1"/>
  <c r="AN98" i="20" s="1"/>
  <c r="D23" i="20"/>
  <c r="AL100" i="20"/>
  <c r="AM100" i="20" s="1"/>
  <c r="AN100" i="20" s="1"/>
  <c r="AI100" i="20"/>
  <c r="AJ100" i="20" s="1"/>
  <c r="AK100" i="20" s="1"/>
  <c r="AI95" i="20"/>
  <c r="AJ95" i="20" s="1"/>
  <c r="AK95" i="20" s="1"/>
  <c r="AL95" i="20"/>
  <c r="AM95" i="20" s="1"/>
  <c r="AN95" i="20" s="1"/>
  <c r="AH95" i="20"/>
  <c r="AI91" i="20"/>
  <c r="AJ91" i="20" s="1"/>
  <c r="AK91" i="20" s="1"/>
  <c r="AL91" i="20"/>
  <c r="AM91" i="20" s="1"/>
  <c r="AN91" i="20" s="1"/>
  <c r="AH91" i="20"/>
  <c r="AH87" i="20"/>
  <c r="AL87" i="20"/>
  <c r="AM87" i="20" s="1"/>
  <c r="AN87" i="20" s="1"/>
  <c r="AR87" i="20" s="1"/>
  <c r="AI87" i="20"/>
  <c r="AJ87" i="20" s="1"/>
  <c r="AK87" i="20" s="1"/>
  <c r="V83" i="20"/>
  <c r="R84" i="20"/>
  <c r="S84" i="20" s="1"/>
  <c r="AL101" i="20"/>
  <c r="AM101" i="20" s="1"/>
  <c r="AN101" i="20" s="1"/>
  <c r="AI101" i="20"/>
  <c r="AJ101" i="20" s="1"/>
  <c r="AK101" i="20" s="1"/>
  <c r="AI105" i="20"/>
  <c r="AJ105" i="20" s="1"/>
  <c r="AK105" i="20" s="1"/>
  <c r="AL105" i="20"/>
  <c r="AM105" i="20" s="1"/>
  <c r="AN105" i="20" s="1"/>
  <c r="AI96" i="20"/>
  <c r="AJ96" i="20" s="1"/>
  <c r="AK96" i="20" s="1"/>
  <c r="AL96" i="20"/>
  <c r="AM96" i="20" s="1"/>
  <c r="AN96" i="20" s="1"/>
  <c r="AH96" i="20"/>
  <c r="AR103" i="20"/>
  <c r="AS103" i="20"/>
  <c r="R142" i="22" l="1"/>
  <c r="AE115" i="28"/>
  <c r="AS115" i="28"/>
  <c r="R117" i="28"/>
  <c r="V116" i="28"/>
  <c r="AF113" i="28" s="1"/>
  <c r="AU113" i="28" s="1"/>
  <c r="AS132" i="28"/>
  <c r="V133" i="28"/>
  <c r="R134" i="28"/>
  <c r="S135" i="28"/>
  <c r="T134" i="28"/>
  <c r="T117" i="28"/>
  <c r="R118" i="28" s="1"/>
  <c r="S118" i="28"/>
  <c r="T118" i="28" s="1"/>
  <c r="BJ113" i="28"/>
  <c r="V164" i="27"/>
  <c r="AT164" i="27" s="1"/>
  <c r="AS171" i="27"/>
  <c r="AS164" i="27"/>
  <c r="AS170" i="27"/>
  <c r="AE145" i="26"/>
  <c r="AT145" i="26"/>
  <c r="R147" i="26"/>
  <c r="V146" i="26"/>
  <c r="R148" i="27"/>
  <c r="V147" i="27"/>
  <c r="AE146" i="27"/>
  <c r="AT146" i="27"/>
  <c r="AS167" i="27"/>
  <c r="AS166" i="27"/>
  <c r="AS169" i="27"/>
  <c r="R118" i="27"/>
  <c r="V117" i="27"/>
  <c r="AS168" i="27"/>
  <c r="AS183" i="27"/>
  <c r="AS178" i="27"/>
  <c r="AS173" i="27"/>
  <c r="AS165" i="27"/>
  <c r="BK210" i="27"/>
  <c r="AS181" i="27"/>
  <c r="AS180" i="27"/>
  <c r="T118" i="27"/>
  <c r="S119" i="27"/>
  <c r="AS179" i="27"/>
  <c r="AS175" i="27"/>
  <c r="AS185" i="27"/>
  <c r="AT185" i="27"/>
  <c r="AV185" i="27" s="1"/>
  <c r="AS174" i="27"/>
  <c r="T165" i="27"/>
  <c r="S166" i="27"/>
  <c r="AS186" i="27"/>
  <c r="AT186" i="27"/>
  <c r="AV186" i="27" s="1"/>
  <c r="AS187" i="27"/>
  <c r="AT187" i="27"/>
  <c r="AV187" i="27" s="1"/>
  <c r="AS182" i="27"/>
  <c r="AT116" i="27"/>
  <c r="AE116" i="27"/>
  <c r="AS184" i="27"/>
  <c r="AT184" i="27"/>
  <c r="AV184" i="27" s="1"/>
  <c r="AS177" i="27"/>
  <c r="AS172" i="27"/>
  <c r="T148" i="27"/>
  <c r="S149" i="27"/>
  <c r="AS176" i="27"/>
  <c r="BK204" i="26"/>
  <c r="AJ164" i="26"/>
  <c r="AK164" i="26" s="1"/>
  <c r="AL164" i="26" s="1"/>
  <c r="AM164" i="26"/>
  <c r="AN164" i="26" s="1"/>
  <c r="AO164" i="26" s="1"/>
  <c r="AM166" i="26"/>
  <c r="AN166" i="26" s="1"/>
  <c r="AO166" i="26" s="1"/>
  <c r="AJ166" i="26"/>
  <c r="AK166" i="26" s="1"/>
  <c r="AL166" i="26" s="1"/>
  <c r="AM167" i="26"/>
  <c r="AN167" i="26" s="1"/>
  <c r="AO167" i="26" s="1"/>
  <c r="AJ167" i="26"/>
  <c r="AK167" i="26" s="1"/>
  <c r="AL167" i="26" s="1"/>
  <c r="AM186" i="26"/>
  <c r="AN186" i="26" s="1"/>
  <c r="AO186" i="26" s="1"/>
  <c r="AJ186" i="26"/>
  <c r="AK186" i="26" s="1"/>
  <c r="AL186" i="26" s="1"/>
  <c r="AT115" i="26"/>
  <c r="AE115" i="26"/>
  <c r="T147" i="26"/>
  <c r="S148" i="26"/>
  <c r="V116" i="26"/>
  <c r="R117" i="26"/>
  <c r="Q164" i="26"/>
  <c r="S164" i="26" s="1"/>
  <c r="T164" i="26" s="1"/>
  <c r="AM168" i="26"/>
  <c r="AN168" i="26" s="1"/>
  <c r="AO168" i="26" s="1"/>
  <c r="AJ168" i="26"/>
  <c r="AK168" i="26" s="1"/>
  <c r="AL168" i="26" s="1"/>
  <c r="AJ169" i="26"/>
  <c r="AK169" i="26" s="1"/>
  <c r="AL169" i="26" s="1"/>
  <c r="AM169" i="26"/>
  <c r="AN169" i="26" s="1"/>
  <c r="AO169" i="26" s="1"/>
  <c r="AJ175" i="26"/>
  <c r="AK175" i="26" s="1"/>
  <c r="AL175" i="26" s="1"/>
  <c r="AM175" i="26"/>
  <c r="AN175" i="26" s="1"/>
  <c r="AO175" i="26" s="1"/>
  <c r="AM178" i="26"/>
  <c r="AN178" i="26" s="1"/>
  <c r="AO178" i="26" s="1"/>
  <c r="AJ178" i="26"/>
  <c r="AK178" i="26" s="1"/>
  <c r="AL178" i="26" s="1"/>
  <c r="AM181" i="26"/>
  <c r="AN181" i="26" s="1"/>
  <c r="AO181" i="26" s="1"/>
  <c r="AJ181" i="26"/>
  <c r="AK181" i="26" s="1"/>
  <c r="AL181" i="26" s="1"/>
  <c r="AM180" i="26"/>
  <c r="AN180" i="26" s="1"/>
  <c r="AO180" i="26" s="1"/>
  <c r="AJ180" i="26"/>
  <c r="AK180" i="26" s="1"/>
  <c r="AL180" i="26" s="1"/>
  <c r="AJ176" i="26"/>
  <c r="AK176" i="26" s="1"/>
  <c r="AL176" i="26" s="1"/>
  <c r="AM176" i="26"/>
  <c r="AN176" i="26" s="1"/>
  <c r="AO176" i="26" s="1"/>
  <c r="AM179" i="26"/>
  <c r="AN179" i="26" s="1"/>
  <c r="AO179" i="26" s="1"/>
  <c r="AJ179" i="26"/>
  <c r="AK179" i="26" s="1"/>
  <c r="AL179" i="26" s="1"/>
  <c r="AJ187" i="26"/>
  <c r="AK187" i="26" s="1"/>
  <c r="AL187" i="26" s="1"/>
  <c r="AM187" i="26"/>
  <c r="AN187" i="26" s="1"/>
  <c r="AO187" i="26" s="1"/>
  <c r="S118" i="26"/>
  <c r="T117" i="26"/>
  <c r="AM170" i="26"/>
  <c r="AN170" i="26" s="1"/>
  <c r="AO170" i="26" s="1"/>
  <c r="AJ170" i="26"/>
  <c r="AK170" i="26" s="1"/>
  <c r="AL170" i="26" s="1"/>
  <c r="AJ171" i="26"/>
  <c r="AK171" i="26" s="1"/>
  <c r="AL171" i="26" s="1"/>
  <c r="AM171" i="26"/>
  <c r="AN171" i="26" s="1"/>
  <c r="AO171" i="26" s="1"/>
  <c r="AJ172" i="26"/>
  <c r="AK172" i="26" s="1"/>
  <c r="AL172" i="26" s="1"/>
  <c r="AM172" i="26"/>
  <c r="AN172" i="26" s="1"/>
  <c r="AO172" i="26" s="1"/>
  <c r="AM183" i="26"/>
  <c r="AN183" i="26" s="1"/>
  <c r="AO183" i="26" s="1"/>
  <c r="AJ183" i="26"/>
  <c r="AK183" i="26" s="1"/>
  <c r="AL183" i="26" s="1"/>
  <c r="AM182" i="26"/>
  <c r="AN182" i="26" s="1"/>
  <c r="AO182" i="26" s="1"/>
  <c r="AJ182" i="26"/>
  <c r="AK182" i="26" s="1"/>
  <c r="AL182" i="26" s="1"/>
  <c r="AM173" i="26"/>
  <c r="AN173" i="26" s="1"/>
  <c r="AO173" i="26" s="1"/>
  <c r="AJ173" i="26"/>
  <c r="AK173" i="26" s="1"/>
  <c r="AL173" i="26" s="1"/>
  <c r="AM165" i="26"/>
  <c r="AN165" i="26" s="1"/>
  <c r="AO165" i="26" s="1"/>
  <c r="AJ165" i="26"/>
  <c r="AK165" i="26" s="1"/>
  <c r="AL165" i="26" s="1"/>
  <c r="AJ174" i="26"/>
  <c r="AK174" i="26" s="1"/>
  <c r="AL174" i="26" s="1"/>
  <c r="AM174" i="26"/>
  <c r="AN174" i="26" s="1"/>
  <c r="AO174" i="26" s="1"/>
  <c r="AM177" i="26"/>
  <c r="AN177" i="26" s="1"/>
  <c r="AO177" i="26" s="1"/>
  <c r="AJ177" i="26"/>
  <c r="AK177" i="26" s="1"/>
  <c r="AL177" i="26" s="1"/>
  <c r="AM185" i="26"/>
  <c r="AN185" i="26" s="1"/>
  <c r="AO185" i="26" s="1"/>
  <c r="AJ185" i="26"/>
  <c r="AK185" i="26" s="1"/>
  <c r="AL185" i="26" s="1"/>
  <c r="AM184" i="26"/>
  <c r="AN184" i="26" s="1"/>
  <c r="AO184" i="26" s="1"/>
  <c r="AJ184" i="26"/>
  <c r="AK184" i="26" s="1"/>
  <c r="AL184" i="26" s="1"/>
  <c r="AV151" i="25"/>
  <c r="AX151" i="25" s="1"/>
  <c r="AZ151" i="25" s="1"/>
  <c r="AV154" i="25"/>
  <c r="AX154" i="25" s="1"/>
  <c r="AZ154" i="25" s="1"/>
  <c r="AW153" i="25"/>
  <c r="AY153" i="25" s="1"/>
  <c r="BA153" i="25" s="1"/>
  <c r="AV152" i="25"/>
  <c r="AX152" i="25" s="1"/>
  <c r="AZ152" i="25" s="1"/>
  <c r="V114" i="25"/>
  <c r="R115" i="25"/>
  <c r="AS131" i="25"/>
  <c r="AS113" i="25"/>
  <c r="AE113" i="25"/>
  <c r="AV153" i="25"/>
  <c r="AX153" i="25" s="1"/>
  <c r="AZ153" i="25" s="1"/>
  <c r="S133" i="25"/>
  <c r="T132" i="25"/>
  <c r="BM172" i="25"/>
  <c r="AW151" i="25"/>
  <c r="AY151" i="25" s="1"/>
  <c r="AW154" i="25"/>
  <c r="AY154" i="25" s="1"/>
  <c r="S116" i="25"/>
  <c r="T115" i="25"/>
  <c r="AW152" i="25"/>
  <c r="AY152" i="25" s="1"/>
  <c r="AW152" i="24"/>
  <c r="AY152" i="24" s="1"/>
  <c r="BB152" i="24" s="1"/>
  <c r="G152" i="24" s="1"/>
  <c r="F152" i="24" s="1"/>
  <c r="BM172" i="24"/>
  <c r="AV153" i="24"/>
  <c r="AX153" i="24" s="1"/>
  <c r="AZ153" i="24" s="1"/>
  <c r="AV151" i="24"/>
  <c r="AX151" i="24" s="1"/>
  <c r="AZ151" i="24" s="1"/>
  <c r="AV154" i="24"/>
  <c r="AX154" i="24" s="1"/>
  <c r="AZ154" i="24" s="1"/>
  <c r="S116" i="24"/>
  <c r="T115" i="24"/>
  <c r="AV152" i="24"/>
  <c r="AX152" i="24" s="1"/>
  <c r="AZ152" i="24" s="1"/>
  <c r="AW154" i="24"/>
  <c r="AY154" i="24" s="1"/>
  <c r="AS131" i="24"/>
  <c r="AW151" i="24"/>
  <c r="AY151" i="24" s="1"/>
  <c r="S133" i="24"/>
  <c r="T132" i="24"/>
  <c r="R115" i="24"/>
  <c r="V114" i="24"/>
  <c r="AW153" i="24"/>
  <c r="AY153" i="24" s="1"/>
  <c r="AS113" i="24"/>
  <c r="AE113" i="24"/>
  <c r="AK198" i="23"/>
  <c r="AH145" i="23"/>
  <c r="R147" i="23"/>
  <c r="V146" i="23"/>
  <c r="S148" i="23"/>
  <c r="T147" i="23"/>
  <c r="AK195" i="22"/>
  <c r="R143" i="22"/>
  <c r="V142" i="22"/>
  <c r="S144" i="22"/>
  <c r="T143" i="22"/>
  <c r="AH141" i="22"/>
  <c r="AH108" i="20"/>
  <c r="C118" i="20" s="1"/>
  <c r="AR96" i="20"/>
  <c r="AR93" i="20"/>
  <c r="AS79" i="21"/>
  <c r="AS84" i="21"/>
  <c r="AT84" i="21"/>
  <c r="AT89" i="21"/>
  <c r="AS89" i="21"/>
  <c r="AT79" i="21"/>
  <c r="AE79" i="21"/>
  <c r="AS86" i="21"/>
  <c r="AT86" i="21"/>
  <c r="AT83" i="21"/>
  <c r="AS83" i="21"/>
  <c r="AH123" i="21"/>
  <c r="O123" i="21"/>
  <c r="P123" i="21" s="1"/>
  <c r="Q123" i="21" s="1"/>
  <c r="O122" i="21"/>
  <c r="P122" i="21" s="1"/>
  <c r="Q122" i="21" s="1"/>
  <c r="AH121" i="21"/>
  <c r="AH120" i="21"/>
  <c r="AH118" i="21"/>
  <c r="O117" i="21"/>
  <c r="P117" i="21" s="1"/>
  <c r="Q117" i="21" s="1"/>
  <c r="AH115" i="21"/>
  <c r="O115" i="21"/>
  <c r="P115" i="21" s="1"/>
  <c r="Q115" i="21" s="1"/>
  <c r="AH113" i="21"/>
  <c r="O113" i="21"/>
  <c r="P113" i="21" s="1"/>
  <c r="Q113" i="21" s="1"/>
  <c r="AH111" i="21"/>
  <c r="O111" i="21"/>
  <c r="P111" i="21" s="1"/>
  <c r="Q111" i="21" s="1"/>
  <c r="AH122" i="21"/>
  <c r="O121" i="21"/>
  <c r="P121" i="21" s="1"/>
  <c r="Q121" i="21" s="1"/>
  <c r="O120" i="21"/>
  <c r="P120" i="21" s="1"/>
  <c r="Q120" i="21" s="1"/>
  <c r="AH119" i="21"/>
  <c r="O118" i="21"/>
  <c r="P118" i="21" s="1"/>
  <c r="Q118" i="21" s="1"/>
  <c r="AH117" i="21"/>
  <c r="O119" i="21"/>
  <c r="P119" i="21" s="1"/>
  <c r="Q119" i="21" s="1"/>
  <c r="O100" i="21"/>
  <c r="P100" i="21" s="1"/>
  <c r="AH116" i="21"/>
  <c r="O116" i="21"/>
  <c r="P116" i="21" s="1"/>
  <c r="Q116" i="21" s="1"/>
  <c r="AH114" i="21"/>
  <c r="O114" i="21"/>
  <c r="P114" i="21" s="1"/>
  <c r="Q114" i="21" s="1"/>
  <c r="AH112" i="21"/>
  <c r="O112" i="21"/>
  <c r="P112" i="21" s="1"/>
  <c r="Q112" i="21" s="1"/>
  <c r="AH110" i="21"/>
  <c r="O110" i="21"/>
  <c r="P110" i="21" s="1"/>
  <c r="Q110" i="21" s="1"/>
  <c r="O109" i="21"/>
  <c r="P109" i="21" s="1"/>
  <c r="Q109" i="21" s="1"/>
  <c r="AH108" i="21"/>
  <c r="O107" i="21"/>
  <c r="P107" i="21" s="1"/>
  <c r="Q107" i="21" s="1"/>
  <c r="AH105" i="21"/>
  <c r="O105" i="21"/>
  <c r="P105" i="21" s="1"/>
  <c r="Q105" i="21" s="1"/>
  <c r="AH103" i="21"/>
  <c r="O103" i="21"/>
  <c r="P103" i="21" s="1"/>
  <c r="Q103" i="21" s="1"/>
  <c r="AH101" i="21"/>
  <c r="O101" i="21"/>
  <c r="P101" i="21" s="1"/>
  <c r="Q101" i="21" s="1"/>
  <c r="AH100" i="21"/>
  <c r="J100" i="21"/>
  <c r="K100" i="21" s="1"/>
  <c r="L100" i="21" s="1"/>
  <c r="M100" i="21" s="1"/>
  <c r="N100" i="21" s="1"/>
  <c r="AH109" i="21"/>
  <c r="AH107" i="21"/>
  <c r="AH106" i="21"/>
  <c r="O106" i="21"/>
  <c r="P106" i="21" s="1"/>
  <c r="Q106" i="21" s="1"/>
  <c r="AH102" i="21"/>
  <c r="O108" i="21"/>
  <c r="P108" i="21" s="1"/>
  <c r="Q108" i="21" s="1"/>
  <c r="AH104" i="21"/>
  <c r="O104" i="21"/>
  <c r="P104" i="21" s="1"/>
  <c r="Q104" i="21" s="1"/>
  <c r="O102" i="21"/>
  <c r="P102" i="21" s="1"/>
  <c r="Q102" i="21" s="1"/>
  <c r="BG104" i="21"/>
  <c r="AS81" i="21"/>
  <c r="AT81" i="21"/>
  <c r="AS82" i="21"/>
  <c r="AT82" i="21"/>
  <c r="AS88" i="21"/>
  <c r="AT88" i="21"/>
  <c r="AT85" i="21"/>
  <c r="AS85" i="21"/>
  <c r="AS90" i="21"/>
  <c r="AT90" i="21"/>
  <c r="D24" i="21"/>
  <c r="AT87" i="21"/>
  <c r="AS87" i="21"/>
  <c r="S81" i="21"/>
  <c r="T80" i="21"/>
  <c r="AR105" i="20"/>
  <c r="AS105" i="20"/>
  <c r="AE83" i="20"/>
  <c r="AS83" i="20"/>
  <c r="AR95" i="20"/>
  <c r="AR85" i="20"/>
  <c r="AR89" i="20"/>
  <c r="AR91" i="20"/>
  <c r="AR104" i="20"/>
  <c r="AS104" i="20"/>
  <c r="AR101" i="20"/>
  <c r="AS101" i="20"/>
  <c r="AR102" i="20"/>
  <c r="AS102" i="20"/>
  <c r="S85" i="20"/>
  <c r="T84" i="20"/>
  <c r="AR100" i="20"/>
  <c r="AS100" i="20"/>
  <c r="AR98" i="20"/>
  <c r="AS98" i="20"/>
  <c r="AR99" i="20"/>
  <c r="AS99" i="20"/>
  <c r="AR106" i="20"/>
  <c r="AS106" i="20"/>
  <c r="BE86" i="20"/>
  <c r="X83" i="20" l="1"/>
  <c r="Z83" i="20" s="1"/>
  <c r="AF111" i="28"/>
  <c r="AU111" i="28" s="1"/>
  <c r="AF115" i="28"/>
  <c r="AU115" i="28" s="1"/>
  <c r="AF116" i="28"/>
  <c r="AU116" i="28" s="1"/>
  <c r="AE116" i="28"/>
  <c r="AD112" i="28" s="1"/>
  <c r="AC112" i="28" s="1"/>
  <c r="AS116" i="28"/>
  <c r="AF109" i="28"/>
  <c r="AU109" i="28" s="1"/>
  <c r="AF114" i="28"/>
  <c r="AU114" i="28" s="1"/>
  <c r="AF107" i="28"/>
  <c r="AU107" i="28" s="1"/>
  <c r="AF108" i="28"/>
  <c r="AU108" i="28" s="1"/>
  <c r="AF110" i="28"/>
  <c r="AU110" i="28" s="1"/>
  <c r="AF112" i="28"/>
  <c r="AU112" i="28" s="1"/>
  <c r="AD118" i="28"/>
  <c r="AC118" i="28" s="1"/>
  <c r="R135" i="28"/>
  <c r="V134" i="28"/>
  <c r="S136" i="28"/>
  <c r="T135" i="28"/>
  <c r="AS133" i="28"/>
  <c r="BJ114" i="28"/>
  <c r="Q100" i="21"/>
  <c r="S100" i="21" s="1"/>
  <c r="T100" i="21" s="1"/>
  <c r="R101" i="21" s="1"/>
  <c r="S101" i="21" s="1"/>
  <c r="AX187" i="27"/>
  <c r="AZ187" i="27" s="1"/>
  <c r="AB187" i="27" s="1"/>
  <c r="AE146" i="26"/>
  <c r="AT146" i="26"/>
  <c r="R148" i="26"/>
  <c r="V147" i="26"/>
  <c r="AB153" i="25"/>
  <c r="BB153" i="25"/>
  <c r="G153" i="25" s="1"/>
  <c r="F153" i="25" s="1"/>
  <c r="AB152" i="24"/>
  <c r="R149" i="27"/>
  <c r="V148" i="27"/>
  <c r="AE147" i="27"/>
  <c r="AT147" i="27"/>
  <c r="AW186" i="27"/>
  <c r="AY186" i="27" s="1"/>
  <c r="BA186" i="27" s="1"/>
  <c r="AW184" i="27"/>
  <c r="AY184" i="27" s="1"/>
  <c r="BA184" i="27" s="1"/>
  <c r="AW185" i="27"/>
  <c r="AY185" i="27" s="1"/>
  <c r="BA185" i="27" s="1"/>
  <c r="S150" i="27"/>
  <c r="T149" i="27"/>
  <c r="V165" i="27"/>
  <c r="R166" i="27"/>
  <c r="R119" i="27"/>
  <c r="V118" i="27"/>
  <c r="AE117" i="27"/>
  <c r="AT117" i="27"/>
  <c r="AX186" i="27"/>
  <c r="AZ186" i="27" s="1"/>
  <c r="AX185" i="27"/>
  <c r="AZ185" i="27" s="1"/>
  <c r="BK211" i="27"/>
  <c r="AX184" i="27"/>
  <c r="AZ184" i="27" s="1"/>
  <c r="AW187" i="27"/>
  <c r="AY187" i="27" s="1"/>
  <c r="BA187" i="27" s="1"/>
  <c r="T166" i="27"/>
  <c r="S167" i="27"/>
  <c r="S120" i="27"/>
  <c r="T119" i="27"/>
  <c r="AS170" i="26"/>
  <c r="AS169" i="26"/>
  <c r="AS166" i="26"/>
  <c r="AS164" i="26"/>
  <c r="BK205" i="26"/>
  <c r="AS184" i="26"/>
  <c r="AT184" i="26"/>
  <c r="AV184" i="26" s="1"/>
  <c r="AS177" i="26"/>
  <c r="AS165" i="26"/>
  <c r="AS172" i="26"/>
  <c r="AS187" i="26"/>
  <c r="AT187" i="26"/>
  <c r="AV187" i="26" s="1"/>
  <c r="AS176" i="26"/>
  <c r="AS180" i="26"/>
  <c r="AT180" i="26"/>
  <c r="AV180" i="26" s="1"/>
  <c r="AS178" i="26"/>
  <c r="AS179" i="26"/>
  <c r="R165" i="26"/>
  <c r="S165" i="26" s="1"/>
  <c r="V164" i="26"/>
  <c r="AS174" i="26"/>
  <c r="AS182" i="26"/>
  <c r="AT182" i="26"/>
  <c r="AV182" i="26" s="1"/>
  <c r="AS175" i="26"/>
  <c r="AE116" i="26"/>
  <c r="AT116" i="26"/>
  <c r="AS167" i="26"/>
  <c r="AS183" i="26"/>
  <c r="AT183" i="26"/>
  <c r="AV183" i="26" s="1"/>
  <c r="S119" i="26"/>
  <c r="T118" i="26"/>
  <c r="AS186" i="26"/>
  <c r="AT186" i="26"/>
  <c r="AV186" i="26" s="1"/>
  <c r="AS185" i="26"/>
  <c r="AT185" i="26"/>
  <c r="AV185" i="26" s="1"/>
  <c r="AS173" i="26"/>
  <c r="AS171" i="26"/>
  <c r="V117" i="26"/>
  <c r="R118" i="26"/>
  <c r="AS181" i="26"/>
  <c r="AT181" i="26"/>
  <c r="AV181" i="26" s="1"/>
  <c r="AS168" i="26"/>
  <c r="T148" i="26"/>
  <c r="S149" i="26"/>
  <c r="AB154" i="25"/>
  <c r="BA154" i="25"/>
  <c r="BB154" i="25"/>
  <c r="G154" i="25" s="1"/>
  <c r="F154" i="25" s="1"/>
  <c r="S134" i="25"/>
  <c r="T133" i="25"/>
  <c r="R116" i="25"/>
  <c r="V115" i="25"/>
  <c r="BM173" i="25"/>
  <c r="S117" i="25"/>
  <c r="T116" i="25"/>
  <c r="V132" i="25"/>
  <c r="R133" i="25"/>
  <c r="BA152" i="25"/>
  <c r="BB152" i="25"/>
  <c r="G152" i="25" s="1"/>
  <c r="F152" i="25" s="1"/>
  <c r="AB152" i="25"/>
  <c r="AB151" i="25"/>
  <c r="BB151" i="25"/>
  <c r="G151" i="25" s="1"/>
  <c r="F151" i="25" s="1"/>
  <c r="BA151" i="25"/>
  <c r="AE114" i="25"/>
  <c r="AS114" i="25"/>
  <c r="BA152" i="24"/>
  <c r="BM173" i="24"/>
  <c r="BB154" i="24"/>
  <c r="G154" i="24" s="1"/>
  <c r="F154" i="24" s="1"/>
  <c r="BA154" i="24"/>
  <c r="AB154" i="24"/>
  <c r="AB153" i="24"/>
  <c r="BB153" i="24"/>
  <c r="G153" i="24" s="1"/>
  <c r="F153" i="24" s="1"/>
  <c r="BA153" i="24"/>
  <c r="R133" i="24"/>
  <c r="V132" i="24"/>
  <c r="AB151" i="24"/>
  <c r="BB151" i="24"/>
  <c r="G151" i="24" s="1"/>
  <c r="F151" i="24" s="1"/>
  <c r="BA151" i="24"/>
  <c r="T116" i="24"/>
  <c r="R117" i="24" s="1"/>
  <c r="S117" i="24"/>
  <c r="V115" i="24"/>
  <c r="AF114" i="24" s="1"/>
  <c r="R116" i="24"/>
  <c r="AS114" i="24"/>
  <c r="AE114" i="24"/>
  <c r="S134" i="24"/>
  <c r="T133" i="24"/>
  <c r="R148" i="23"/>
  <c r="V147" i="23"/>
  <c r="T148" i="23"/>
  <c r="S149" i="23"/>
  <c r="AH146" i="23"/>
  <c r="AK199" i="23"/>
  <c r="AK196" i="22"/>
  <c r="AH142" i="22"/>
  <c r="V143" i="22"/>
  <c r="R144" i="22"/>
  <c r="T144" i="22"/>
  <c r="S145" i="22"/>
  <c r="AM101" i="21"/>
  <c r="AN101" i="21" s="1"/>
  <c r="AO101" i="21" s="1"/>
  <c r="AI101" i="21"/>
  <c r="AJ101" i="21"/>
  <c r="AK101" i="21" s="1"/>
  <c r="AL101" i="21" s="1"/>
  <c r="AM105" i="21"/>
  <c r="AN105" i="21" s="1"/>
  <c r="AO105" i="21" s="1"/>
  <c r="AJ105" i="21"/>
  <c r="AK105" i="21" s="1"/>
  <c r="AL105" i="21" s="1"/>
  <c r="AM119" i="21"/>
  <c r="AN119" i="21" s="1"/>
  <c r="AO119" i="21" s="1"/>
  <c r="AJ119" i="21"/>
  <c r="AK119" i="21" s="1"/>
  <c r="AL119" i="21" s="1"/>
  <c r="AM120" i="21"/>
  <c r="AN120" i="21" s="1"/>
  <c r="AO120" i="21" s="1"/>
  <c r="AJ120" i="21"/>
  <c r="AK120" i="21" s="1"/>
  <c r="AL120" i="21" s="1"/>
  <c r="V80" i="21"/>
  <c r="R81" i="21"/>
  <c r="AJ110" i="21"/>
  <c r="AK110" i="21" s="1"/>
  <c r="AL110" i="21" s="1"/>
  <c r="AM110" i="21"/>
  <c r="AN110" i="21" s="1"/>
  <c r="AO110" i="21" s="1"/>
  <c r="AJ114" i="21"/>
  <c r="AK114" i="21" s="1"/>
  <c r="AL114" i="21" s="1"/>
  <c r="AM114" i="21"/>
  <c r="AN114" i="21" s="1"/>
  <c r="AO114" i="21" s="1"/>
  <c r="AM111" i="21"/>
  <c r="AN111" i="21" s="1"/>
  <c r="AO111" i="21" s="1"/>
  <c r="AJ111" i="21"/>
  <c r="AK111" i="21" s="1"/>
  <c r="AL111" i="21" s="1"/>
  <c r="AM115" i="21"/>
  <c r="AN115" i="21" s="1"/>
  <c r="AO115" i="21" s="1"/>
  <c r="AJ115" i="21"/>
  <c r="AK115" i="21" s="1"/>
  <c r="AL115" i="21" s="1"/>
  <c r="AM121" i="21"/>
  <c r="AN121" i="21" s="1"/>
  <c r="AO121" i="21" s="1"/>
  <c r="AJ121" i="21"/>
  <c r="AK121" i="21" s="1"/>
  <c r="AL121" i="21" s="1"/>
  <c r="AM109" i="21"/>
  <c r="AN109" i="21" s="1"/>
  <c r="AO109" i="21" s="1"/>
  <c r="AJ109" i="21"/>
  <c r="AK109" i="21" s="1"/>
  <c r="AL109" i="21" s="1"/>
  <c r="AM123" i="21"/>
  <c r="AN123" i="21" s="1"/>
  <c r="AO123" i="21" s="1"/>
  <c r="AJ123" i="21"/>
  <c r="AK123" i="21" s="1"/>
  <c r="AL123" i="21" s="1"/>
  <c r="AJ104" i="21"/>
  <c r="AK104" i="21" s="1"/>
  <c r="AL104" i="21" s="1"/>
  <c r="AM104" i="21"/>
  <c r="AN104" i="21" s="1"/>
  <c r="AO104" i="21" s="1"/>
  <c r="AJ106" i="21"/>
  <c r="AK106" i="21" s="1"/>
  <c r="AL106" i="21" s="1"/>
  <c r="AM106" i="21"/>
  <c r="AN106" i="21" s="1"/>
  <c r="AO106" i="21" s="1"/>
  <c r="AM100" i="21"/>
  <c r="AN100" i="21" s="1"/>
  <c r="AO100" i="21" s="1"/>
  <c r="AI100" i="21"/>
  <c r="AJ100" i="21"/>
  <c r="AK100" i="21" s="1"/>
  <c r="AL100" i="21" s="1"/>
  <c r="AM103" i="21"/>
  <c r="AN103" i="21" s="1"/>
  <c r="AO103" i="21" s="1"/>
  <c r="AJ103" i="21"/>
  <c r="AK103" i="21" s="1"/>
  <c r="AL103" i="21" s="1"/>
  <c r="AM108" i="21"/>
  <c r="AN108" i="21" s="1"/>
  <c r="AO108" i="21" s="1"/>
  <c r="AJ108" i="21"/>
  <c r="AK108" i="21" s="1"/>
  <c r="AL108" i="21" s="1"/>
  <c r="AM117" i="21"/>
  <c r="AN117" i="21" s="1"/>
  <c r="AO117" i="21" s="1"/>
  <c r="AJ117" i="21"/>
  <c r="AK117" i="21" s="1"/>
  <c r="AL117" i="21" s="1"/>
  <c r="AJ102" i="21"/>
  <c r="AK102" i="21" s="1"/>
  <c r="AL102" i="21" s="1"/>
  <c r="AM102" i="21"/>
  <c r="AN102" i="21" s="1"/>
  <c r="AO102" i="21" s="1"/>
  <c r="AI102" i="21"/>
  <c r="S82" i="21"/>
  <c r="T81" i="21"/>
  <c r="R82" i="21" s="1"/>
  <c r="BG105" i="21"/>
  <c r="AM107" i="21"/>
  <c r="AN107" i="21" s="1"/>
  <c r="AO107" i="21" s="1"/>
  <c r="AJ107" i="21"/>
  <c r="AK107" i="21" s="1"/>
  <c r="AL107" i="21" s="1"/>
  <c r="AJ112" i="21"/>
  <c r="AK112" i="21" s="1"/>
  <c r="AL112" i="21" s="1"/>
  <c r="AM112" i="21"/>
  <c r="AN112" i="21" s="1"/>
  <c r="AO112" i="21" s="1"/>
  <c r="AJ116" i="21"/>
  <c r="AK116" i="21" s="1"/>
  <c r="AL116" i="21" s="1"/>
  <c r="AM116" i="21"/>
  <c r="AN116" i="21" s="1"/>
  <c r="AO116" i="21" s="1"/>
  <c r="AM122" i="21"/>
  <c r="AN122" i="21" s="1"/>
  <c r="AO122" i="21" s="1"/>
  <c r="AJ122" i="21"/>
  <c r="AK122" i="21" s="1"/>
  <c r="AL122" i="21" s="1"/>
  <c r="AM113" i="21"/>
  <c r="AN113" i="21" s="1"/>
  <c r="AO113" i="21" s="1"/>
  <c r="AJ113" i="21"/>
  <c r="AK113" i="21" s="1"/>
  <c r="AL113" i="21" s="1"/>
  <c r="AM118" i="21"/>
  <c r="AN118" i="21" s="1"/>
  <c r="AO118" i="21" s="1"/>
  <c r="AJ118" i="21"/>
  <c r="AK118" i="21" s="1"/>
  <c r="AL118" i="21" s="1"/>
  <c r="S86" i="20"/>
  <c r="T85" i="20"/>
  <c r="BE87" i="20"/>
  <c r="V84" i="20"/>
  <c r="R85" i="20"/>
  <c r="O140" i="20"/>
  <c r="P140" i="20" s="1"/>
  <c r="Q140" i="20" s="1"/>
  <c r="O138" i="20"/>
  <c r="P138" i="20" s="1"/>
  <c r="Q138" i="20" s="1"/>
  <c r="O136" i="20"/>
  <c r="P136" i="20" s="1"/>
  <c r="Q136" i="20" s="1"/>
  <c r="O134" i="20"/>
  <c r="P134" i="20" s="1"/>
  <c r="Q134" i="20" s="1"/>
  <c r="O141" i="20"/>
  <c r="P141" i="20" s="1"/>
  <c r="Q141" i="20" s="1"/>
  <c r="AG140" i="20"/>
  <c r="AG138" i="20"/>
  <c r="AG136" i="20"/>
  <c r="AG134" i="20"/>
  <c r="AG132" i="20"/>
  <c r="AG139" i="20"/>
  <c r="O135" i="20"/>
  <c r="P135" i="20" s="1"/>
  <c r="Q135" i="20" s="1"/>
  <c r="O130" i="20"/>
  <c r="P130" i="20" s="1"/>
  <c r="Q130" i="20" s="1"/>
  <c r="O128" i="20"/>
  <c r="P128" i="20" s="1"/>
  <c r="Q128" i="20" s="1"/>
  <c r="O126" i="20"/>
  <c r="P126" i="20" s="1"/>
  <c r="Q126" i="20" s="1"/>
  <c r="AG137" i="20"/>
  <c r="O132" i="20"/>
  <c r="P132" i="20" s="1"/>
  <c r="Q132" i="20" s="1"/>
  <c r="AG124" i="20"/>
  <c r="AG122" i="20"/>
  <c r="AG120" i="20"/>
  <c r="J118" i="20"/>
  <c r="K118" i="20" s="1"/>
  <c r="L118" i="20" s="1"/>
  <c r="M118" i="20" s="1"/>
  <c r="N118" i="20" s="1"/>
  <c r="AG131" i="20"/>
  <c r="AG135" i="20"/>
  <c r="AG129" i="20"/>
  <c r="AG126" i="20"/>
  <c r="O124" i="20"/>
  <c r="P124" i="20" s="1"/>
  <c r="Q124" i="20" s="1"/>
  <c r="O122" i="20"/>
  <c r="P122" i="20" s="1"/>
  <c r="Q122" i="20" s="1"/>
  <c r="O120" i="20"/>
  <c r="P120" i="20" s="1"/>
  <c r="Q120" i="20" s="1"/>
  <c r="O118" i="20"/>
  <c r="P118" i="20" s="1"/>
  <c r="AG141" i="20"/>
  <c r="O137" i="20"/>
  <c r="P137" i="20" s="1"/>
  <c r="Q137" i="20" s="1"/>
  <c r="O133" i="20"/>
  <c r="P133" i="20" s="1"/>
  <c r="Q133" i="20" s="1"/>
  <c r="AG130" i="20"/>
  <c r="O127" i="20"/>
  <c r="P127" i="20" s="1"/>
  <c r="Q127" i="20" s="1"/>
  <c r="AG133" i="20"/>
  <c r="O131" i="20"/>
  <c r="P131" i="20" s="1"/>
  <c r="Q131" i="20" s="1"/>
  <c r="O129" i="20"/>
  <c r="P129" i="20" s="1"/>
  <c r="Q129" i="20" s="1"/>
  <c r="AG128" i="20"/>
  <c r="O125" i="20"/>
  <c r="P125" i="20" s="1"/>
  <c r="Q125" i="20" s="1"/>
  <c r="O123" i="20"/>
  <c r="P123" i="20" s="1"/>
  <c r="Q123" i="20" s="1"/>
  <c r="O121" i="20"/>
  <c r="P121" i="20" s="1"/>
  <c r="Q121" i="20" s="1"/>
  <c r="O119" i="20"/>
  <c r="P119" i="20" s="1"/>
  <c r="Q119" i="20" s="1"/>
  <c r="AG118" i="20"/>
  <c r="AG121" i="20"/>
  <c r="O139" i="20"/>
  <c r="P139" i="20" s="1"/>
  <c r="Q139" i="20" s="1"/>
  <c r="AG123" i="20"/>
  <c r="AG125" i="20"/>
  <c r="AG119" i="20"/>
  <c r="AG127" i="20"/>
  <c r="AD110" i="28" l="1"/>
  <c r="AC110" i="28" s="1"/>
  <c r="AD113" i="28"/>
  <c r="AC113" i="28" s="1"/>
  <c r="AD117" i="28"/>
  <c r="AC117" i="28" s="1"/>
  <c r="V100" i="21"/>
  <c r="AE100" i="21" s="1"/>
  <c r="BC187" i="27"/>
  <c r="G187" i="27" s="1"/>
  <c r="F187" i="27" s="1"/>
  <c r="AS102" i="21"/>
  <c r="AD115" i="28"/>
  <c r="AC115" i="28" s="1"/>
  <c r="AD109" i="28"/>
  <c r="AC109" i="28" s="1"/>
  <c r="AD116" i="28"/>
  <c r="AC116" i="28" s="1"/>
  <c r="AD107" i="28"/>
  <c r="AC107" i="28" s="1"/>
  <c r="AD111" i="28"/>
  <c r="AC111" i="28" s="1"/>
  <c r="AD114" i="28"/>
  <c r="AC114" i="28" s="1"/>
  <c r="AD108" i="28"/>
  <c r="AC108" i="28" s="1"/>
  <c r="BJ115" i="28"/>
  <c r="AS134" i="28"/>
  <c r="R136" i="28"/>
  <c r="V135" i="28"/>
  <c r="T136" i="28"/>
  <c r="S137" i="28"/>
  <c r="BB187" i="27"/>
  <c r="R117" i="25"/>
  <c r="V116" i="25"/>
  <c r="R149" i="26"/>
  <c r="V148" i="26"/>
  <c r="AE147" i="26"/>
  <c r="AT147" i="26"/>
  <c r="R150" i="27"/>
  <c r="V149" i="27"/>
  <c r="AE148" i="27"/>
  <c r="AT148" i="27"/>
  <c r="R120" i="27"/>
  <c r="V119" i="27"/>
  <c r="BB185" i="27"/>
  <c r="AB185" i="27"/>
  <c r="BC185" i="27"/>
  <c r="G185" i="27" s="1"/>
  <c r="F185" i="27" s="1"/>
  <c r="S121" i="27"/>
  <c r="T120" i="27"/>
  <c r="V166" i="27"/>
  <c r="R167" i="27"/>
  <c r="AB186" i="27"/>
  <c r="BC186" i="27"/>
  <c r="G186" i="27" s="1"/>
  <c r="F186" i="27" s="1"/>
  <c r="BB186" i="27"/>
  <c r="AT165" i="27"/>
  <c r="T167" i="27"/>
  <c r="S168" i="27"/>
  <c r="BK212" i="27"/>
  <c r="AB184" i="27"/>
  <c r="BB184" i="27"/>
  <c r="BC184" i="27"/>
  <c r="G184" i="27" s="1"/>
  <c r="F184" i="27" s="1"/>
  <c r="AE118" i="27"/>
  <c r="AT118" i="27"/>
  <c r="S151" i="27"/>
  <c r="T150" i="27"/>
  <c r="AX184" i="26"/>
  <c r="AZ184" i="26" s="1"/>
  <c r="BC184" i="26" s="1"/>
  <c r="G184" i="26" s="1"/>
  <c r="F184" i="26" s="1"/>
  <c r="AX185" i="26"/>
  <c r="AZ185" i="26" s="1"/>
  <c r="BB185" i="26" s="1"/>
  <c r="AX181" i="26"/>
  <c r="AZ181" i="26" s="1"/>
  <c r="BC181" i="26" s="1"/>
  <c r="G181" i="26" s="1"/>
  <c r="F181" i="26" s="1"/>
  <c r="AX186" i="26"/>
  <c r="AZ186" i="26" s="1"/>
  <c r="BB186" i="26" s="1"/>
  <c r="AW180" i="26"/>
  <c r="AY180" i="26" s="1"/>
  <c r="BA180" i="26" s="1"/>
  <c r="AW187" i="26"/>
  <c r="AY187" i="26" s="1"/>
  <c r="BA187" i="26" s="1"/>
  <c r="AW183" i="26"/>
  <c r="AY183" i="26" s="1"/>
  <c r="BA183" i="26" s="1"/>
  <c r="AW182" i="26"/>
  <c r="AY182" i="26" s="1"/>
  <c r="BA182" i="26" s="1"/>
  <c r="BK206" i="26"/>
  <c r="AT117" i="26"/>
  <c r="AE117" i="26"/>
  <c r="AW185" i="26"/>
  <c r="AY185" i="26" s="1"/>
  <c r="BA185" i="26" s="1"/>
  <c r="V118" i="26"/>
  <c r="R119" i="26"/>
  <c r="AW184" i="26"/>
  <c r="AY184" i="26" s="1"/>
  <c r="BA184" i="26" s="1"/>
  <c r="T119" i="26"/>
  <c r="S120" i="26"/>
  <c r="AX180" i="26"/>
  <c r="AZ180" i="26" s="1"/>
  <c r="AX187" i="26"/>
  <c r="AZ187" i="26" s="1"/>
  <c r="T165" i="26"/>
  <c r="S166" i="26"/>
  <c r="T149" i="26"/>
  <c r="S150" i="26"/>
  <c r="AW181" i="26"/>
  <c r="AY181" i="26" s="1"/>
  <c r="BA181" i="26" s="1"/>
  <c r="AW186" i="26"/>
  <c r="AY186" i="26" s="1"/>
  <c r="BA186" i="26" s="1"/>
  <c r="AX183" i="26"/>
  <c r="AZ183" i="26" s="1"/>
  <c r="AX182" i="26"/>
  <c r="AZ182" i="26" s="1"/>
  <c r="AT164" i="26"/>
  <c r="BM174" i="25"/>
  <c r="AS132" i="25"/>
  <c r="AE115" i="25"/>
  <c r="AS115" i="25"/>
  <c r="T117" i="25"/>
  <c r="S118" i="25"/>
  <c r="V133" i="25"/>
  <c r="R134" i="25"/>
  <c r="S135" i="25"/>
  <c r="T134" i="25"/>
  <c r="BM174" i="24"/>
  <c r="AU114" i="24"/>
  <c r="S135" i="24"/>
  <c r="T134" i="24"/>
  <c r="AF112" i="24"/>
  <c r="S118" i="24"/>
  <c r="T117" i="24"/>
  <c r="R118" i="24" s="1"/>
  <c r="AS132" i="24"/>
  <c r="V133" i="24"/>
  <c r="R134" i="24"/>
  <c r="AS115" i="24"/>
  <c r="AE115" i="24"/>
  <c r="AD115" i="24" s="1"/>
  <c r="AF115" i="24"/>
  <c r="AF110" i="24"/>
  <c r="AF113" i="24"/>
  <c r="AF111" i="24"/>
  <c r="AK200" i="23"/>
  <c r="S150" i="23"/>
  <c r="T149" i="23"/>
  <c r="R149" i="23"/>
  <c r="V148" i="23"/>
  <c r="AH147" i="23"/>
  <c r="AK197" i="22"/>
  <c r="R145" i="22"/>
  <c r="V144" i="22"/>
  <c r="AH143" i="22"/>
  <c r="S146" i="22"/>
  <c r="T145" i="22"/>
  <c r="Q118" i="20"/>
  <c r="S118" i="20" s="1"/>
  <c r="T118" i="20" s="1"/>
  <c r="R119" i="20" s="1"/>
  <c r="S119" i="20" s="1"/>
  <c r="AI125" i="21"/>
  <c r="X100" i="21" s="1"/>
  <c r="Z100" i="21" s="1"/>
  <c r="AS101" i="21"/>
  <c r="AS118" i="21"/>
  <c r="AT118" i="21"/>
  <c r="AS122" i="21"/>
  <c r="AT122" i="21"/>
  <c r="AS108" i="21"/>
  <c r="AT108" i="21"/>
  <c r="AS104" i="21"/>
  <c r="AT104" i="21"/>
  <c r="AS121" i="21"/>
  <c r="AT121" i="21"/>
  <c r="AS111" i="21"/>
  <c r="AT111" i="21"/>
  <c r="AS119" i="21"/>
  <c r="AT119" i="21"/>
  <c r="AS105" i="21"/>
  <c r="AT105" i="21"/>
  <c r="AS116" i="21"/>
  <c r="AT116" i="21"/>
  <c r="AS100" i="21"/>
  <c r="AS123" i="21"/>
  <c r="AT123" i="21"/>
  <c r="AS114" i="21"/>
  <c r="AT114" i="21"/>
  <c r="AS113" i="21"/>
  <c r="AT113" i="21"/>
  <c r="AS107" i="21"/>
  <c r="AT107" i="21"/>
  <c r="AS117" i="21"/>
  <c r="AT117" i="21"/>
  <c r="AS103" i="21"/>
  <c r="AT103" i="21"/>
  <c r="AS106" i="21"/>
  <c r="AT106" i="21"/>
  <c r="AS115" i="21"/>
  <c r="AT115" i="21"/>
  <c r="AS120" i="21"/>
  <c r="AT120" i="21"/>
  <c r="T101" i="21"/>
  <c r="S102" i="21"/>
  <c r="AS112" i="21"/>
  <c r="AT112" i="21"/>
  <c r="BG106" i="21"/>
  <c r="S83" i="21"/>
  <c r="T82" i="21"/>
  <c r="R83" i="21" s="1"/>
  <c r="AS109" i="21"/>
  <c r="AT109" i="21"/>
  <c r="AS110" i="21"/>
  <c r="AT110" i="21"/>
  <c r="AE80" i="21"/>
  <c r="AT80" i="21"/>
  <c r="AF80" i="21"/>
  <c r="AF79" i="21"/>
  <c r="AL123" i="20"/>
  <c r="AM123" i="20" s="1"/>
  <c r="AN123" i="20" s="1"/>
  <c r="AI123" i="20"/>
  <c r="AJ123" i="20" s="1"/>
  <c r="AK123" i="20" s="1"/>
  <c r="AL128" i="20"/>
  <c r="AM128" i="20" s="1"/>
  <c r="AN128" i="20" s="1"/>
  <c r="AI128" i="20"/>
  <c r="AJ128" i="20" s="1"/>
  <c r="AK128" i="20" s="1"/>
  <c r="AI141" i="20"/>
  <c r="AJ141" i="20" s="1"/>
  <c r="AK141" i="20" s="1"/>
  <c r="AL141" i="20"/>
  <c r="AM141" i="20" s="1"/>
  <c r="AN141" i="20" s="1"/>
  <c r="AL131" i="20"/>
  <c r="AM131" i="20" s="1"/>
  <c r="AN131" i="20" s="1"/>
  <c r="AI131" i="20"/>
  <c r="AJ131" i="20" s="1"/>
  <c r="AK131" i="20" s="1"/>
  <c r="AL124" i="20"/>
  <c r="AM124" i="20" s="1"/>
  <c r="AN124" i="20" s="1"/>
  <c r="AI124" i="20"/>
  <c r="AJ124" i="20" s="1"/>
  <c r="AK124" i="20" s="1"/>
  <c r="AL132" i="20"/>
  <c r="AM132" i="20" s="1"/>
  <c r="AN132" i="20" s="1"/>
  <c r="AI132" i="20"/>
  <c r="AJ132" i="20" s="1"/>
  <c r="AK132" i="20" s="1"/>
  <c r="AL140" i="20"/>
  <c r="AM140" i="20" s="1"/>
  <c r="AN140" i="20" s="1"/>
  <c r="AI140" i="20"/>
  <c r="AJ140" i="20" s="1"/>
  <c r="AK140" i="20" s="1"/>
  <c r="AI127" i="20"/>
  <c r="AJ127" i="20" s="1"/>
  <c r="AK127" i="20" s="1"/>
  <c r="AL127" i="20"/>
  <c r="AM127" i="20" s="1"/>
  <c r="AN127" i="20" s="1"/>
  <c r="AI130" i="20"/>
  <c r="AJ130" i="20" s="1"/>
  <c r="AK130" i="20" s="1"/>
  <c r="AL130" i="20"/>
  <c r="AM130" i="20" s="1"/>
  <c r="AN130" i="20" s="1"/>
  <c r="AL126" i="20"/>
  <c r="AM126" i="20" s="1"/>
  <c r="AN126" i="20" s="1"/>
  <c r="AI126" i="20"/>
  <c r="AJ126" i="20" s="1"/>
  <c r="AK126" i="20" s="1"/>
  <c r="AL134" i="20"/>
  <c r="AM134" i="20" s="1"/>
  <c r="AN134" i="20" s="1"/>
  <c r="AI134" i="20"/>
  <c r="AJ134" i="20" s="1"/>
  <c r="AK134" i="20" s="1"/>
  <c r="AL119" i="20"/>
  <c r="AM119" i="20" s="1"/>
  <c r="AN119" i="20" s="1"/>
  <c r="AI119" i="20"/>
  <c r="AJ119" i="20" s="1"/>
  <c r="AK119" i="20" s="1"/>
  <c r="AL121" i="20"/>
  <c r="AM121" i="20" s="1"/>
  <c r="AN121" i="20" s="1"/>
  <c r="AI121" i="20"/>
  <c r="AJ121" i="20" s="1"/>
  <c r="AK121" i="20" s="1"/>
  <c r="AI129" i="20"/>
  <c r="AJ129" i="20" s="1"/>
  <c r="AK129" i="20" s="1"/>
  <c r="AL129" i="20"/>
  <c r="AM129" i="20" s="1"/>
  <c r="AN129" i="20" s="1"/>
  <c r="AL120" i="20"/>
  <c r="AM120" i="20" s="1"/>
  <c r="AN120" i="20" s="1"/>
  <c r="AI120" i="20"/>
  <c r="AJ120" i="20" s="1"/>
  <c r="AK120" i="20" s="1"/>
  <c r="AI137" i="20"/>
  <c r="AJ137" i="20" s="1"/>
  <c r="AK137" i="20" s="1"/>
  <c r="AL137" i="20"/>
  <c r="AM137" i="20" s="1"/>
  <c r="AN137" i="20" s="1"/>
  <c r="AL136" i="20"/>
  <c r="AM136" i="20" s="1"/>
  <c r="AN136" i="20" s="1"/>
  <c r="AI136" i="20"/>
  <c r="AJ136" i="20" s="1"/>
  <c r="AK136" i="20" s="1"/>
  <c r="AE84" i="20"/>
  <c r="AS84" i="20"/>
  <c r="BE88" i="20"/>
  <c r="R86" i="20"/>
  <c r="V85" i="20"/>
  <c r="AL125" i="20"/>
  <c r="AM125" i="20" s="1"/>
  <c r="AN125" i="20" s="1"/>
  <c r="AI125" i="20"/>
  <c r="AJ125" i="20" s="1"/>
  <c r="AK125" i="20" s="1"/>
  <c r="AL118" i="20"/>
  <c r="AM118" i="20" s="1"/>
  <c r="AN118" i="20" s="1"/>
  <c r="AI118" i="20"/>
  <c r="AJ118" i="20" s="1"/>
  <c r="AK118" i="20" s="1"/>
  <c r="AI133" i="20"/>
  <c r="AJ133" i="20" s="1"/>
  <c r="AK133" i="20" s="1"/>
  <c r="AL133" i="20"/>
  <c r="AM133" i="20" s="1"/>
  <c r="AN133" i="20" s="1"/>
  <c r="AI135" i="20"/>
  <c r="AJ135" i="20" s="1"/>
  <c r="AK135" i="20" s="1"/>
  <c r="AL135" i="20"/>
  <c r="AM135" i="20" s="1"/>
  <c r="AN135" i="20" s="1"/>
  <c r="AL122" i="20"/>
  <c r="AM122" i="20" s="1"/>
  <c r="AN122" i="20" s="1"/>
  <c r="AI122" i="20"/>
  <c r="AJ122" i="20" s="1"/>
  <c r="AK122" i="20" s="1"/>
  <c r="AI139" i="20"/>
  <c r="AJ139" i="20" s="1"/>
  <c r="AK139" i="20" s="1"/>
  <c r="AL139" i="20"/>
  <c r="AM139" i="20" s="1"/>
  <c r="AN139" i="20" s="1"/>
  <c r="AL138" i="20"/>
  <c r="AM138" i="20" s="1"/>
  <c r="AN138" i="20" s="1"/>
  <c r="AI138" i="20"/>
  <c r="AJ138" i="20" s="1"/>
  <c r="AK138" i="20" s="1"/>
  <c r="S87" i="20"/>
  <c r="T86" i="20"/>
  <c r="AT100" i="21" l="1"/>
  <c r="C135" i="21"/>
  <c r="O151" i="21" s="1"/>
  <c r="P151" i="21" s="1"/>
  <c r="Q151" i="21" s="1"/>
  <c r="R150" i="26"/>
  <c r="V149" i="26"/>
  <c r="AC106" i="28"/>
  <c r="AA107" i="28" s="1"/>
  <c r="R137" i="28"/>
  <c r="V136" i="28"/>
  <c r="AS135" i="28"/>
  <c r="BJ116" i="28"/>
  <c r="S138" i="28"/>
  <c r="T137" i="28"/>
  <c r="V118" i="20"/>
  <c r="R118" i="25"/>
  <c r="V117" i="25"/>
  <c r="AB185" i="26"/>
  <c r="BC185" i="26"/>
  <c r="G185" i="26" s="1"/>
  <c r="F185" i="26" s="1"/>
  <c r="AE116" i="25"/>
  <c r="AS116" i="25"/>
  <c r="AB186" i="26"/>
  <c r="AE148" i="26"/>
  <c r="AT148" i="26"/>
  <c r="AB181" i="26"/>
  <c r="BB184" i="26"/>
  <c r="R151" i="27"/>
  <c r="V150" i="27"/>
  <c r="AE149" i="27"/>
  <c r="AT149" i="27"/>
  <c r="BK213" i="27"/>
  <c r="R121" i="27"/>
  <c r="V120" i="27"/>
  <c r="R168" i="27"/>
  <c r="V167" i="27"/>
  <c r="S122" i="27"/>
  <c r="T121" i="27"/>
  <c r="AT119" i="27"/>
  <c r="AE119" i="27"/>
  <c r="T151" i="27"/>
  <c r="S152" i="27"/>
  <c r="AT166" i="27"/>
  <c r="T168" i="27"/>
  <c r="S169" i="27"/>
  <c r="AB184" i="26"/>
  <c r="BC186" i="26"/>
  <c r="G186" i="26" s="1"/>
  <c r="F186" i="26" s="1"/>
  <c r="BB181" i="26"/>
  <c r="BK207" i="26"/>
  <c r="S121" i="26"/>
  <c r="T120" i="26"/>
  <c r="BB182" i="26"/>
  <c r="AB182" i="26"/>
  <c r="BC182" i="26"/>
  <c r="G182" i="26" s="1"/>
  <c r="F182" i="26" s="1"/>
  <c r="R120" i="26"/>
  <c r="V119" i="26"/>
  <c r="T166" i="26"/>
  <c r="S167" i="26"/>
  <c r="BB180" i="26"/>
  <c r="AB180" i="26"/>
  <c r="BC180" i="26"/>
  <c r="G180" i="26" s="1"/>
  <c r="F180" i="26" s="1"/>
  <c r="AB183" i="26"/>
  <c r="BB183" i="26"/>
  <c r="BC183" i="26"/>
  <c r="G183" i="26" s="1"/>
  <c r="F183" i="26" s="1"/>
  <c r="T150" i="26"/>
  <c r="S151" i="26"/>
  <c r="R166" i="26"/>
  <c r="V165" i="26"/>
  <c r="AB187" i="26"/>
  <c r="BC187" i="26"/>
  <c r="G187" i="26" s="1"/>
  <c r="F187" i="26" s="1"/>
  <c r="BB187" i="26"/>
  <c r="AE118" i="26"/>
  <c r="AT118" i="26"/>
  <c r="S119" i="25"/>
  <c r="T118" i="25"/>
  <c r="V134" i="25"/>
  <c r="R135" i="25"/>
  <c r="S136" i="25"/>
  <c r="T135" i="25"/>
  <c r="AS133" i="25"/>
  <c r="BM175" i="25"/>
  <c r="AC115" i="24"/>
  <c r="AD121" i="24"/>
  <c r="AC121" i="24" s="1"/>
  <c r="AD112" i="24"/>
  <c r="AC112" i="24" s="1"/>
  <c r="AD119" i="24"/>
  <c r="AC119" i="24" s="1"/>
  <c r="BM175" i="24"/>
  <c r="AD114" i="24"/>
  <c r="AC114" i="24" s="1"/>
  <c r="AD110" i="24"/>
  <c r="AC110" i="24" s="1"/>
  <c r="AD120" i="24"/>
  <c r="AC120" i="24" s="1"/>
  <c r="AU110" i="24"/>
  <c r="AD116" i="24"/>
  <c r="AC116" i="24" s="1"/>
  <c r="AU115" i="24"/>
  <c r="S119" i="24"/>
  <c r="T118" i="24"/>
  <c r="R119" i="24" s="1"/>
  <c r="AU112" i="24"/>
  <c r="AD111" i="24"/>
  <c r="AC111" i="24" s="1"/>
  <c r="AU111" i="24"/>
  <c r="AS133" i="24"/>
  <c r="AD118" i="24"/>
  <c r="AC118" i="24" s="1"/>
  <c r="AD117" i="24"/>
  <c r="AC117" i="24" s="1"/>
  <c r="AD113" i="24"/>
  <c r="AC113" i="24" s="1"/>
  <c r="R135" i="24"/>
  <c r="V134" i="24"/>
  <c r="AU113" i="24"/>
  <c r="S136" i="24"/>
  <c r="T135" i="24"/>
  <c r="AH148" i="23"/>
  <c r="V149" i="23"/>
  <c r="R150" i="23"/>
  <c r="AK201" i="23"/>
  <c r="T150" i="23"/>
  <c r="S151" i="23"/>
  <c r="AK198" i="22"/>
  <c r="AH144" i="22"/>
  <c r="V145" i="22"/>
  <c r="R146" i="22"/>
  <c r="T146" i="22"/>
  <c r="S147" i="22"/>
  <c r="AR120" i="20"/>
  <c r="S84" i="21"/>
  <c r="T83" i="21"/>
  <c r="R84" i="21" s="1"/>
  <c r="O157" i="21"/>
  <c r="P157" i="21" s="1"/>
  <c r="Q157" i="21" s="1"/>
  <c r="O153" i="21"/>
  <c r="P153" i="21" s="1"/>
  <c r="Q153" i="21" s="1"/>
  <c r="O149" i="21"/>
  <c r="P149" i="21" s="1"/>
  <c r="Q149" i="21" s="1"/>
  <c r="AH156" i="21"/>
  <c r="O156" i="21"/>
  <c r="P156" i="21" s="1"/>
  <c r="Q156" i="21" s="1"/>
  <c r="AH155" i="21"/>
  <c r="O148" i="21"/>
  <c r="P148" i="21" s="1"/>
  <c r="Q148" i="21" s="1"/>
  <c r="O144" i="21"/>
  <c r="P144" i="21" s="1"/>
  <c r="Q144" i="21" s="1"/>
  <c r="O140" i="21"/>
  <c r="P140" i="21" s="1"/>
  <c r="Q140" i="21" s="1"/>
  <c r="O136" i="21"/>
  <c r="P136" i="21" s="1"/>
  <c r="Q136" i="21" s="1"/>
  <c r="O154" i="21"/>
  <c r="P154" i="21" s="1"/>
  <c r="Q154" i="21" s="1"/>
  <c r="AH147" i="21"/>
  <c r="AH152" i="21"/>
  <c r="AH151" i="21"/>
  <c r="O145" i="21"/>
  <c r="P145" i="21" s="1"/>
  <c r="Q145" i="21" s="1"/>
  <c r="AH141" i="21"/>
  <c r="AH140" i="21"/>
  <c r="AH139" i="21"/>
  <c r="AH138" i="21"/>
  <c r="AH136" i="21"/>
  <c r="J135" i="21"/>
  <c r="K135" i="21" s="1"/>
  <c r="L135" i="21" s="1"/>
  <c r="M135" i="21" s="1"/>
  <c r="N135" i="21" s="1"/>
  <c r="AH137" i="21"/>
  <c r="AH149" i="21"/>
  <c r="O143" i="21"/>
  <c r="P143" i="21" s="1"/>
  <c r="Q143" i="21" s="1"/>
  <c r="AH143" i="21"/>
  <c r="S103" i="21"/>
  <c r="T102" i="21"/>
  <c r="AD86" i="21"/>
  <c r="AC86" i="21" s="1"/>
  <c r="AD89" i="21"/>
  <c r="AC89" i="21" s="1"/>
  <c r="AD79" i="21"/>
  <c r="AC79" i="21" s="1"/>
  <c r="AD84" i="21"/>
  <c r="AC84" i="21" s="1"/>
  <c r="AD87" i="21"/>
  <c r="AC87" i="21" s="1"/>
  <c r="AD81" i="21"/>
  <c r="AC81" i="21" s="1"/>
  <c r="AD90" i="21"/>
  <c r="AC90" i="21" s="1"/>
  <c r="AD82" i="21"/>
  <c r="AC82" i="21" s="1"/>
  <c r="AD85" i="21"/>
  <c r="AC85" i="21" s="1"/>
  <c r="AD88" i="21"/>
  <c r="AC88" i="21" s="1"/>
  <c r="AD80" i="21"/>
  <c r="AC80" i="21" s="1"/>
  <c r="AD83" i="21"/>
  <c r="AC83" i="21" s="1"/>
  <c r="BG107" i="21"/>
  <c r="R102" i="21"/>
  <c r="V101" i="21"/>
  <c r="S88" i="20"/>
  <c r="T87" i="20"/>
  <c r="AR118" i="20"/>
  <c r="AS118" i="20"/>
  <c r="AR127" i="20"/>
  <c r="AS127" i="20"/>
  <c r="AU127" i="20" s="1"/>
  <c r="AW127" i="20" s="1"/>
  <c r="AY127" i="20" s="1"/>
  <c r="AR133" i="20"/>
  <c r="AS133" i="20"/>
  <c r="AU133" i="20" s="1"/>
  <c r="AR136" i="20"/>
  <c r="AS136" i="20"/>
  <c r="AU136" i="20" s="1"/>
  <c r="AW136" i="20" s="1"/>
  <c r="AY136" i="20" s="1"/>
  <c r="AR121" i="20"/>
  <c r="AS121" i="20"/>
  <c r="AU121" i="20" s="1"/>
  <c r="AR134" i="20"/>
  <c r="AS134" i="20"/>
  <c r="AU134" i="20" s="1"/>
  <c r="AW134" i="20" s="1"/>
  <c r="AY134" i="20" s="1"/>
  <c r="T119" i="20"/>
  <c r="S120" i="20"/>
  <c r="AR132" i="20"/>
  <c r="AS132" i="20"/>
  <c r="AU132" i="20" s="1"/>
  <c r="AW132" i="20" s="1"/>
  <c r="AY132" i="20" s="1"/>
  <c r="AR131" i="20"/>
  <c r="AS131" i="20"/>
  <c r="AU131" i="20" s="1"/>
  <c r="AR128" i="20"/>
  <c r="AS128" i="20"/>
  <c r="AU128" i="20" s="1"/>
  <c r="AW128" i="20" s="1"/>
  <c r="AY128" i="20" s="1"/>
  <c r="AR138" i="20"/>
  <c r="AS138" i="20"/>
  <c r="AU138" i="20" s="1"/>
  <c r="AR122" i="20"/>
  <c r="AS122" i="20"/>
  <c r="AU122" i="20" s="1"/>
  <c r="AW122" i="20" s="1"/>
  <c r="AY122" i="20" s="1"/>
  <c r="AR125" i="20"/>
  <c r="AS125" i="20"/>
  <c r="AU125" i="20" s="1"/>
  <c r="BE89" i="20"/>
  <c r="AR137" i="20"/>
  <c r="AS137" i="20"/>
  <c r="AU137" i="20" s="1"/>
  <c r="AR129" i="20"/>
  <c r="AS129" i="20"/>
  <c r="AU129" i="20" s="1"/>
  <c r="AR130" i="20"/>
  <c r="AS130" i="20"/>
  <c r="AU130" i="20" s="1"/>
  <c r="AR141" i="20"/>
  <c r="AS141" i="20"/>
  <c r="AU141" i="20" s="1"/>
  <c r="V86" i="20"/>
  <c r="R87" i="20"/>
  <c r="AR139" i="20"/>
  <c r="AS139" i="20"/>
  <c r="AU139" i="20" s="1"/>
  <c r="AR135" i="20"/>
  <c r="AS135" i="20"/>
  <c r="AU135" i="20" s="1"/>
  <c r="AS85" i="20"/>
  <c r="AE85" i="20"/>
  <c r="AR119" i="20"/>
  <c r="AR126" i="20"/>
  <c r="AS126" i="20"/>
  <c r="AU126" i="20" s="1"/>
  <c r="AR140" i="20"/>
  <c r="AS140" i="20"/>
  <c r="AU140" i="20" s="1"/>
  <c r="AR124" i="20"/>
  <c r="AS124" i="20"/>
  <c r="AU124" i="20" s="1"/>
  <c r="AR123" i="20"/>
  <c r="AS123" i="20"/>
  <c r="AU123" i="20" s="1"/>
  <c r="AH142" i="21" l="1"/>
  <c r="AH150" i="21"/>
  <c r="O137" i="21"/>
  <c r="P137" i="21" s="1"/>
  <c r="Q137" i="21" s="1"/>
  <c r="O150" i="21"/>
  <c r="P150" i="21" s="1"/>
  <c r="Q150" i="21" s="1"/>
  <c r="AH144" i="21"/>
  <c r="O152" i="21"/>
  <c r="P152" i="21" s="1"/>
  <c r="Q152" i="21" s="1"/>
  <c r="AH153" i="21"/>
  <c r="AM153" i="21" s="1"/>
  <c r="AN153" i="21" s="1"/>
  <c r="AO153" i="21" s="1"/>
  <c r="O138" i="21"/>
  <c r="P138" i="21" s="1"/>
  <c r="Q138" i="21" s="1"/>
  <c r="O146" i="21"/>
  <c r="P146" i="21" s="1"/>
  <c r="Q146" i="21" s="1"/>
  <c r="AH157" i="21"/>
  <c r="AH158" i="21"/>
  <c r="O155" i="21"/>
  <c r="P155" i="21" s="1"/>
  <c r="Q155" i="21" s="1"/>
  <c r="AH146" i="21"/>
  <c r="AH135" i="21"/>
  <c r="O135" i="21"/>
  <c r="P135" i="21" s="1"/>
  <c r="O139" i="21"/>
  <c r="P139" i="21" s="1"/>
  <c r="Q139" i="21" s="1"/>
  <c r="O141" i="21"/>
  <c r="P141" i="21" s="1"/>
  <c r="Q141" i="21" s="1"/>
  <c r="O147" i="21"/>
  <c r="P147" i="21" s="1"/>
  <c r="Q147" i="21" s="1"/>
  <c r="AH145" i="21"/>
  <c r="AH154" i="21"/>
  <c r="AJ154" i="21" s="1"/>
  <c r="AK154" i="21" s="1"/>
  <c r="AL154" i="21" s="1"/>
  <c r="O142" i="21"/>
  <c r="P142" i="21" s="1"/>
  <c r="Q142" i="21" s="1"/>
  <c r="AH148" i="21"/>
  <c r="O158" i="21"/>
  <c r="P158" i="21" s="1"/>
  <c r="Q158" i="21" s="1"/>
  <c r="AV126" i="20"/>
  <c r="AX126" i="20" s="1"/>
  <c r="AZ126" i="20" s="1"/>
  <c r="AW137" i="20"/>
  <c r="AY137" i="20" s="1"/>
  <c r="AV133" i="20"/>
  <c r="AX133" i="20" s="1"/>
  <c r="AZ133" i="20" s="1"/>
  <c r="AW135" i="20"/>
  <c r="AY135" i="20" s="1"/>
  <c r="AB135" i="20" s="1"/>
  <c r="AW130" i="20"/>
  <c r="AY130" i="20" s="1"/>
  <c r="AE149" i="26"/>
  <c r="AT149" i="26"/>
  <c r="R151" i="26"/>
  <c r="V150" i="26"/>
  <c r="V137" i="28"/>
  <c r="R138" i="28"/>
  <c r="S139" i="28"/>
  <c r="T138" i="28"/>
  <c r="AS136" i="28"/>
  <c r="BJ117" i="28"/>
  <c r="AW141" i="20"/>
  <c r="AY141" i="20" s="1"/>
  <c r="BB141" i="20" s="1"/>
  <c r="G141" i="20" s="1"/>
  <c r="F141" i="20" s="1"/>
  <c r="AV124" i="20"/>
  <c r="AX124" i="20" s="1"/>
  <c r="AZ124" i="20" s="1"/>
  <c r="AW139" i="20"/>
  <c r="AY139" i="20" s="1"/>
  <c r="AW129" i="20"/>
  <c r="AY129" i="20" s="1"/>
  <c r="R119" i="25"/>
  <c r="V118" i="25"/>
  <c r="AE117" i="25"/>
  <c r="AS117" i="25"/>
  <c r="R152" i="27"/>
  <c r="V151" i="27"/>
  <c r="AE150" i="27"/>
  <c r="AT150" i="27"/>
  <c r="T152" i="27"/>
  <c r="S153" i="27"/>
  <c r="R122" i="27"/>
  <c r="V121" i="27"/>
  <c r="AT167" i="27"/>
  <c r="AT120" i="27"/>
  <c r="AE120" i="27"/>
  <c r="BK214" i="27"/>
  <c r="T169" i="27"/>
  <c r="S170" i="27"/>
  <c r="V168" i="27"/>
  <c r="R169" i="27"/>
  <c r="S123" i="27"/>
  <c r="T122" i="27"/>
  <c r="BK208" i="26"/>
  <c r="R167" i="26"/>
  <c r="V166" i="26"/>
  <c r="AT165" i="26"/>
  <c r="T167" i="26"/>
  <c r="S168" i="26"/>
  <c r="AT119" i="26"/>
  <c r="AE119" i="26"/>
  <c r="V120" i="26"/>
  <c r="R121" i="26"/>
  <c r="T151" i="26"/>
  <c r="S152" i="26"/>
  <c r="T121" i="26"/>
  <c r="S122" i="26"/>
  <c r="AS134" i="25"/>
  <c r="V135" i="25"/>
  <c r="R136" i="25"/>
  <c r="S137" i="25"/>
  <c r="T136" i="25"/>
  <c r="S120" i="25"/>
  <c r="T119" i="25"/>
  <c r="BM176" i="25"/>
  <c r="BM176" i="24"/>
  <c r="AC109" i="24"/>
  <c r="AA110" i="24" s="1"/>
  <c r="S137" i="24"/>
  <c r="T136" i="24"/>
  <c r="T119" i="24"/>
  <c r="R120" i="24" s="1"/>
  <c r="S120" i="24"/>
  <c r="V135" i="24"/>
  <c r="R136" i="24"/>
  <c r="AS134" i="24"/>
  <c r="S152" i="23"/>
  <c r="T151" i="23"/>
  <c r="AK202" i="23"/>
  <c r="AH149" i="23"/>
  <c r="R151" i="23"/>
  <c r="V150" i="23"/>
  <c r="AK199" i="22"/>
  <c r="AH145" i="22"/>
  <c r="S148" i="22"/>
  <c r="T147" i="22"/>
  <c r="R147" i="22"/>
  <c r="V146" i="22"/>
  <c r="AV123" i="20"/>
  <c r="AX123" i="20" s="1"/>
  <c r="AZ123" i="20" s="1"/>
  <c r="AV140" i="20"/>
  <c r="AX140" i="20" s="1"/>
  <c r="AZ140" i="20" s="1"/>
  <c r="AW125" i="20"/>
  <c r="AY125" i="20" s="1"/>
  <c r="AB125" i="20" s="1"/>
  <c r="AW138" i="20"/>
  <c r="AY138" i="20" s="1"/>
  <c r="BA138" i="20" s="1"/>
  <c r="AW131" i="20"/>
  <c r="AY131" i="20" s="1"/>
  <c r="AW121" i="20"/>
  <c r="AY121" i="20" s="1"/>
  <c r="AM142" i="21"/>
  <c r="AN142" i="21" s="1"/>
  <c r="AO142" i="21" s="1"/>
  <c r="AJ142" i="21"/>
  <c r="AK142" i="21" s="1"/>
  <c r="AL142" i="21" s="1"/>
  <c r="AJ150" i="21"/>
  <c r="AK150" i="21" s="1"/>
  <c r="AL150" i="21" s="1"/>
  <c r="AM150" i="21"/>
  <c r="AN150" i="21" s="1"/>
  <c r="AO150" i="21" s="1"/>
  <c r="AJ144" i="21"/>
  <c r="AK144" i="21" s="1"/>
  <c r="AL144" i="21" s="1"/>
  <c r="AM144" i="21"/>
  <c r="AN144" i="21" s="1"/>
  <c r="AO144" i="21" s="1"/>
  <c r="AJ153" i="21"/>
  <c r="AK153" i="21" s="1"/>
  <c r="AL153" i="21" s="1"/>
  <c r="AJ157" i="21"/>
  <c r="AK157" i="21" s="1"/>
  <c r="AL157" i="21" s="1"/>
  <c r="AM157" i="21"/>
  <c r="AN157" i="21" s="1"/>
  <c r="AO157" i="21" s="1"/>
  <c r="AJ158" i="21"/>
  <c r="AK158" i="21" s="1"/>
  <c r="AL158" i="21" s="1"/>
  <c r="AM158" i="21"/>
  <c r="AN158" i="21" s="1"/>
  <c r="AO158" i="21" s="1"/>
  <c r="BG108" i="21"/>
  <c r="AC78" i="21"/>
  <c r="AA79" i="21" s="1"/>
  <c r="AJ143" i="21"/>
  <c r="AK143" i="21" s="1"/>
  <c r="AL143" i="21" s="1"/>
  <c r="AM143" i="21"/>
  <c r="AN143" i="21" s="1"/>
  <c r="AO143" i="21" s="1"/>
  <c r="AM149" i="21"/>
  <c r="AN149" i="21" s="1"/>
  <c r="AO149" i="21" s="1"/>
  <c r="AJ149" i="21"/>
  <c r="AK149" i="21" s="1"/>
  <c r="AL149" i="21" s="1"/>
  <c r="AJ138" i="21"/>
  <c r="AK138" i="21" s="1"/>
  <c r="AL138" i="21" s="1"/>
  <c r="AM138" i="21"/>
  <c r="AN138" i="21" s="1"/>
  <c r="AO138" i="21" s="1"/>
  <c r="AM140" i="21"/>
  <c r="AN140" i="21" s="1"/>
  <c r="AO140" i="21" s="1"/>
  <c r="AJ140" i="21"/>
  <c r="AK140" i="21" s="1"/>
  <c r="AL140" i="21" s="1"/>
  <c r="AJ152" i="21"/>
  <c r="AK152" i="21" s="1"/>
  <c r="AL152" i="21" s="1"/>
  <c r="AM152" i="21"/>
  <c r="AN152" i="21" s="1"/>
  <c r="AO152" i="21" s="1"/>
  <c r="V102" i="21"/>
  <c r="AF100" i="21" s="1"/>
  <c r="R103" i="21"/>
  <c r="AJ146" i="21"/>
  <c r="AK146" i="21" s="1"/>
  <c r="AL146" i="21" s="1"/>
  <c r="AM146" i="21"/>
  <c r="AN146" i="21" s="1"/>
  <c r="AO146" i="21" s="1"/>
  <c r="AJ135" i="21"/>
  <c r="AK135" i="21" s="1"/>
  <c r="AL135" i="21" s="1"/>
  <c r="AM135" i="21"/>
  <c r="AN135" i="21" s="1"/>
  <c r="AO135" i="21" s="1"/>
  <c r="Q135" i="21"/>
  <c r="S135" i="21" s="1"/>
  <c r="T135" i="21" s="1"/>
  <c r="AJ145" i="21"/>
  <c r="AK145" i="21" s="1"/>
  <c r="AL145" i="21" s="1"/>
  <c r="AM145" i="21"/>
  <c r="AN145" i="21" s="1"/>
  <c r="AO145" i="21" s="1"/>
  <c r="AJ148" i="21"/>
  <c r="AK148" i="21" s="1"/>
  <c r="AL148" i="21" s="1"/>
  <c r="AM148" i="21"/>
  <c r="AN148" i="21" s="1"/>
  <c r="AO148" i="21" s="1"/>
  <c r="S85" i="21"/>
  <c r="T84" i="21"/>
  <c r="R85" i="21" s="1"/>
  <c r="AT101" i="21"/>
  <c r="AF101" i="21"/>
  <c r="AE101" i="21"/>
  <c r="T96" i="21"/>
  <c r="T103" i="21"/>
  <c r="R104" i="21" s="1"/>
  <c r="S104" i="21"/>
  <c r="AJ137" i="21"/>
  <c r="AK137" i="21" s="1"/>
  <c r="AL137" i="21" s="1"/>
  <c r="AM137" i="21"/>
  <c r="AN137" i="21" s="1"/>
  <c r="AO137" i="21" s="1"/>
  <c r="AJ136" i="21"/>
  <c r="AK136" i="21" s="1"/>
  <c r="AL136" i="21" s="1"/>
  <c r="AM136" i="21"/>
  <c r="AN136" i="21" s="1"/>
  <c r="AO136" i="21" s="1"/>
  <c r="AJ139" i="21"/>
  <c r="AK139" i="21" s="1"/>
  <c r="AL139" i="21" s="1"/>
  <c r="AM139" i="21"/>
  <c r="AN139" i="21" s="1"/>
  <c r="AO139" i="21" s="1"/>
  <c r="AJ141" i="21"/>
  <c r="AK141" i="21" s="1"/>
  <c r="AL141" i="21" s="1"/>
  <c r="AM141" i="21"/>
  <c r="AN141" i="21" s="1"/>
  <c r="AO141" i="21" s="1"/>
  <c r="AJ151" i="21"/>
  <c r="AK151" i="21" s="1"/>
  <c r="AL151" i="21" s="1"/>
  <c r="AM151" i="21"/>
  <c r="AN151" i="21" s="1"/>
  <c r="AO151" i="21" s="1"/>
  <c r="AJ147" i="21"/>
  <c r="AK147" i="21" s="1"/>
  <c r="AL147" i="21" s="1"/>
  <c r="AM147" i="21"/>
  <c r="AN147" i="21" s="1"/>
  <c r="AO147" i="21" s="1"/>
  <c r="AM155" i="21"/>
  <c r="AN155" i="21" s="1"/>
  <c r="AO155" i="21" s="1"/>
  <c r="AJ155" i="21"/>
  <c r="AK155" i="21" s="1"/>
  <c r="AL155" i="21" s="1"/>
  <c r="AJ156" i="21"/>
  <c r="AK156" i="21" s="1"/>
  <c r="AL156" i="21" s="1"/>
  <c r="AM156" i="21"/>
  <c r="AN156" i="21" s="1"/>
  <c r="AO156" i="21" s="1"/>
  <c r="BB135" i="20"/>
  <c r="G135" i="20" s="1"/>
  <c r="F135" i="20" s="1"/>
  <c r="BA130" i="20"/>
  <c r="AB130" i="20"/>
  <c r="BB130" i="20"/>
  <c r="G130" i="20" s="1"/>
  <c r="F130" i="20" s="1"/>
  <c r="BB137" i="20"/>
  <c r="G137" i="20" s="1"/>
  <c r="F137" i="20" s="1"/>
  <c r="AB137" i="20"/>
  <c r="BA137" i="20"/>
  <c r="BB125" i="20"/>
  <c r="G125" i="20" s="1"/>
  <c r="F125" i="20" s="1"/>
  <c r="AB138" i="20"/>
  <c r="AB131" i="20"/>
  <c r="BB131" i="20"/>
  <c r="G131" i="20" s="1"/>
  <c r="F131" i="20" s="1"/>
  <c r="BA131" i="20"/>
  <c r="T120" i="20"/>
  <c r="S121" i="20"/>
  <c r="AB121" i="20"/>
  <c r="BB121" i="20"/>
  <c r="G121" i="20" s="1"/>
  <c r="F121" i="20" s="1"/>
  <c r="BA121" i="20"/>
  <c r="AV136" i="20"/>
  <c r="AX136" i="20" s="1"/>
  <c r="AZ136" i="20" s="1"/>
  <c r="AV127" i="20"/>
  <c r="AX127" i="20" s="1"/>
  <c r="AZ127" i="20" s="1"/>
  <c r="AW124" i="20"/>
  <c r="AY124" i="20" s="1"/>
  <c r="AW126" i="20"/>
  <c r="AY126" i="20" s="1"/>
  <c r="AV135" i="20"/>
  <c r="AX135" i="20" s="1"/>
  <c r="AZ135" i="20" s="1"/>
  <c r="AE86" i="20"/>
  <c r="AS86" i="20"/>
  <c r="AV130" i="20"/>
  <c r="AX130" i="20" s="1"/>
  <c r="AZ130" i="20" s="1"/>
  <c r="AV137" i="20"/>
  <c r="AX137" i="20" s="1"/>
  <c r="AZ137" i="20" s="1"/>
  <c r="AV125" i="20"/>
  <c r="AX125" i="20" s="1"/>
  <c r="AZ125" i="20" s="1"/>
  <c r="AV138" i="20"/>
  <c r="AX138" i="20" s="1"/>
  <c r="AZ138" i="20" s="1"/>
  <c r="AV131" i="20"/>
  <c r="AX131" i="20" s="1"/>
  <c r="AZ131" i="20" s="1"/>
  <c r="R120" i="20"/>
  <c r="V119" i="20"/>
  <c r="AV121" i="20"/>
  <c r="AX121" i="20" s="1"/>
  <c r="AZ121" i="20" s="1"/>
  <c r="AW133" i="20"/>
  <c r="AY133" i="20" s="1"/>
  <c r="R88" i="20"/>
  <c r="V87" i="20"/>
  <c r="BB139" i="20"/>
  <c r="G139" i="20" s="1"/>
  <c r="F139" i="20" s="1"/>
  <c r="AB139" i="20"/>
  <c r="BA139" i="20"/>
  <c r="BB129" i="20"/>
  <c r="G129" i="20" s="1"/>
  <c r="F129" i="20" s="1"/>
  <c r="AB129" i="20"/>
  <c r="BA129" i="20"/>
  <c r="BE90" i="20"/>
  <c r="BA122" i="20"/>
  <c r="BB122" i="20"/>
  <c r="G122" i="20" s="1"/>
  <c r="F122" i="20" s="1"/>
  <c r="AB122" i="20"/>
  <c r="BB128" i="20"/>
  <c r="G128" i="20" s="1"/>
  <c r="F128" i="20" s="1"/>
  <c r="AB128" i="20"/>
  <c r="BA128" i="20"/>
  <c r="BA132" i="20"/>
  <c r="BB132" i="20"/>
  <c r="G132" i="20" s="1"/>
  <c r="F132" i="20" s="1"/>
  <c r="AB132" i="20"/>
  <c r="BA134" i="20"/>
  <c r="BB134" i="20"/>
  <c r="G134" i="20" s="1"/>
  <c r="F134" i="20" s="1"/>
  <c r="AB134" i="20"/>
  <c r="S89" i="20"/>
  <c r="T88" i="20"/>
  <c r="AW123" i="20"/>
  <c r="AY123" i="20" s="1"/>
  <c r="AW140" i="20"/>
  <c r="AY140" i="20" s="1"/>
  <c r="AV139" i="20"/>
  <c r="AX139" i="20" s="1"/>
  <c r="AZ139" i="20" s="1"/>
  <c r="AV141" i="20"/>
  <c r="AX141" i="20" s="1"/>
  <c r="AZ141" i="20" s="1"/>
  <c r="AV129" i="20"/>
  <c r="AX129" i="20" s="1"/>
  <c r="AZ129" i="20" s="1"/>
  <c r="AV122" i="20"/>
  <c r="AX122" i="20" s="1"/>
  <c r="AZ122" i="20" s="1"/>
  <c r="AV128" i="20"/>
  <c r="AX128" i="20" s="1"/>
  <c r="AZ128" i="20" s="1"/>
  <c r="AV132" i="20"/>
  <c r="AX132" i="20" s="1"/>
  <c r="AZ132" i="20" s="1"/>
  <c r="AV134" i="20"/>
  <c r="AX134" i="20" s="1"/>
  <c r="AZ134" i="20" s="1"/>
  <c r="BA136" i="20"/>
  <c r="BB136" i="20"/>
  <c r="G136" i="20" s="1"/>
  <c r="F136" i="20" s="1"/>
  <c r="AB136" i="20"/>
  <c r="BB127" i="20"/>
  <c r="G127" i="20" s="1"/>
  <c r="F127" i="20" s="1"/>
  <c r="AB127" i="20"/>
  <c r="BA127" i="20"/>
  <c r="AM154" i="21" l="1"/>
  <c r="AN154" i="21" s="1"/>
  <c r="AO154" i="21" s="1"/>
  <c r="BB138" i="20"/>
  <c r="G138" i="20" s="1"/>
  <c r="F138" i="20" s="1"/>
  <c r="BA135" i="20"/>
  <c r="BA141" i="20"/>
  <c r="R152" i="26"/>
  <c r="V151" i="26"/>
  <c r="AB141" i="20"/>
  <c r="AE150" i="26"/>
  <c r="AT150" i="26"/>
  <c r="BJ118" i="28"/>
  <c r="S140" i="28"/>
  <c r="T139" i="28"/>
  <c r="V138" i="28"/>
  <c r="R139" i="28"/>
  <c r="AS137" i="28"/>
  <c r="AS137" i="21"/>
  <c r="AS135" i="21"/>
  <c r="AE118" i="25"/>
  <c r="AS118" i="25"/>
  <c r="R120" i="25"/>
  <c r="V119" i="25"/>
  <c r="R153" i="27"/>
  <c r="V152" i="27"/>
  <c r="AE151" i="27"/>
  <c r="AT151" i="27"/>
  <c r="R170" i="27"/>
  <c r="V169" i="27"/>
  <c r="AT168" i="27"/>
  <c r="AT121" i="27"/>
  <c r="AE121" i="27"/>
  <c r="R123" i="27"/>
  <c r="V122" i="27"/>
  <c r="T170" i="27"/>
  <c r="S171" i="27"/>
  <c r="S124" i="27"/>
  <c r="T123" i="27"/>
  <c r="T153" i="27"/>
  <c r="S154" i="27"/>
  <c r="T154" i="27" s="1"/>
  <c r="V154" i="27" s="1"/>
  <c r="BK215" i="27"/>
  <c r="BK209" i="26"/>
  <c r="S123" i="26"/>
  <c r="T122" i="26"/>
  <c r="R122" i="26"/>
  <c r="V121" i="26"/>
  <c r="AE120" i="26"/>
  <c r="AT120" i="26"/>
  <c r="T168" i="26"/>
  <c r="S169" i="26"/>
  <c r="AT166" i="26"/>
  <c r="T152" i="26"/>
  <c r="S153" i="26"/>
  <c r="R168" i="26"/>
  <c r="V167" i="26"/>
  <c r="V136" i="25"/>
  <c r="R137" i="25"/>
  <c r="BM177" i="25"/>
  <c r="S138" i="25"/>
  <c r="T137" i="25"/>
  <c r="S121" i="25"/>
  <c r="T121" i="25" s="1"/>
  <c r="V121" i="25" s="1"/>
  <c r="T120" i="25"/>
  <c r="AS135" i="25"/>
  <c r="BM177" i="24"/>
  <c r="V136" i="24"/>
  <c r="R137" i="24"/>
  <c r="T120" i="24"/>
  <c r="R121" i="24" s="1"/>
  <c r="S121" i="24"/>
  <c r="T121" i="24" s="1"/>
  <c r="AS135" i="24"/>
  <c r="S138" i="24"/>
  <c r="T137" i="24"/>
  <c r="AH150" i="23"/>
  <c r="AK203" i="23"/>
  <c r="V151" i="23"/>
  <c r="R152" i="23"/>
  <c r="T152" i="23"/>
  <c r="S153" i="23"/>
  <c r="AK200" i="22"/>
  <c r="V147" i="22"/>
  <c r="R148" i="22"/>
  <c r="S149" i="22"/>
  <c r="T148" i="22"/>
  <c r="AH146" i="22"/>
  <c r="BA125" i="20"/>
  <c r="AS155" i="21"/>
  <c r="AT155" i="21"/>
  <c r="AV155" i="21" s="1"/>
  <c r="AG100" i="21"/>
  <c r="AS154" i="21"/>
  <c r="AT154" i="21"/>
  <c r="AV154" i="21" s="1"/>
  <c r="R136" i="21"/>
  <c r="S136" i="21" s="1"/>
  <c r="V135" i="21"/>
  <c r="AS158" i="21"/>
  <c r="AT158" i="21"/>
  <c r="AV158" i="21" s="1"/>
  <c r="AS153" i="21"/>
  <c r="AT153" i="21"/>
  <c r="AV153" i="21" s="1"/>
  <c r="AS150" i="21"/>
  <c r="AT150" i="21"/>
  <c r="AV150" i="21" s="1"/>
  <c r="AS156" i="21"/>
  <c r="AT156" i="21"/>
  <c r="AV156" i="21" s="1"/>
  <c r="AS147" i="21"/>
  <c r="AT147" i="21"/>
  <c r="AV147" i="21" s="1"/>
  <c r="AS141" i="21"/>
  <c r="AT141" i="21"/>
  <c r="AV141" i="21" s="1"/>
  <c r="AS136" i="21"/>
  <c r="S105" i="21"/>
  <c r="T104" i="21"/>
  <c r="R105" i="21" s="1"/>
  <c r="S86" i="21"/>
  <c r="T85" i="21"/>
  <c r="R86" i="21" s="1"/>
  <c r="AS148" i="21"/>
  <c r="AT148" i="21"/>
  <c r="AV148" i="21" s="1"/>
  <c r="AS145" i="21"/>
  <c r="AT145" i="21"/>
  <c r="AV145" i="21" s="1"/>
  <c r="AF102" i="21"/>
  <c r="AE102" i="21"/>
  <c r="AD115" i="21" s="1"/>
  <c r="AC115" i="21" s="1"/>
  <c r="AT102" i="21"/>
  <c r="AS140" i="21"/>
  <c r="AT140" i="21"/>
  <c r="AV140" i="21" s="1"/>
  <c r="AS149" i="21"/>
  <c r="AT149" i="21"/>
  <c r="AV149" i="21" s="1"/>
  <c r="BG109" i="21"/>
  <c r="AS157" i="21"/>
  <c r="AT157" i="21"/>
  <c r="AV157" i="21" s="1"/>
  <c r="AS144" i="21"/>
  <c r="AT144" i="21"/>
  <c r="AV144" i="21" s="1"/>
  <c r="AT151" i="21"/>
  <c r="AV151" i="21" s="1"/>
  <c r="AS151" i="21"/>
  <c r="AS139" i="21"/>
  <c r="AT139" i="21"/>
  <c r="AV139" i="21" s="1"/>
  <c r="AS146" i="21"/>
  <c r="AT146" i="21"/>
  <c r="AV146" i="21" s="1"/>
  <c r="AS152" i="21"/>
  <c r="AT152" i="21"/>
  <c r="AV152" i="21" s="1"/>
  <c r="AS138" i="21"/>
  <c r="AT138" i="21"/>
  <c r="AV138" i="21" s="1"/>
  <c r="AS143" i="21"/>
  <c r="AT143" i="21"/>
  <c r="AV143" i="21" s="1"/>
  <c r="AS142" i="21"/>
  <c r="AT142" i="21"/>
  <c r="AV142" i="21" s="1"/>
  <c r="BA140" i="20"/>
  <c r="AB140" i="20"/>
  <c r="BB140" i="20"/>
  <c r="G140" i="20" s="1"/>
  <c r="F140" i="20" s="1"/>
  <c r="AB123" i="20"/>
  <c r="BB123" i="20"/>
  <c r="G123" i="20" s="1"/>
  <c r="F123" i="20" s="1"/>
  <c r="BA123" i="20"/>
  <c r="BE91" i="20"/>
  <c r="BB133" i="20"/>
  <c r="G133" i="20" s="1"/>
  <c r="F133" i="20" s="1"/>
  <c r="AB133" i="20"/>
  <c r="BA133" i="20"/>
  <c r="AB126" i="20"/>
  <c r="BB126" i="20"/>
  <c r="G126" i="20" s="1"/>
  <c r="F126" i="20" s="1"/>
  <c r="BA126" i="20"/>
  <c r="T121" i="20"/>
  <c r="R122" i="20" s="1"/>
  <c r="S122" i="20"/>
  <c r="V88" i="20"/>
  <c r="R89" i="20"/>
  <c r="BA124" i="20"/>
  <c r="BB124" i="20"/>
  <c r="G124" i="20" s="1"/>
  <c r="F124" i="20" s="1"/>
  <c r="AB124" i="20"/>
  <c r="R121" i="20"/>
  <c r="V120" i="20"/>
  <c r="T114" i="20" s="1"/>
  <c r="T89" i="20"/>
  <c r="S90" i="20"/>
  <c r="AS87" i="20"/>
  <c r="AE87" i="20"/>
  <c r="AS119" i="20"/>
  <c r="AW152" i="21" l="1"/>
  <c r="AY152" i="21" s="1"/>
  <c r="BA152" i="21" s="1"/>
  <c r="AX149" i="21"/>
  <c r="AZ149" i="21" s="1"/>
  <c r="AB149" i="21" s="1"/>
  <c r="AW151" i="21"/>
  <c r="AY151" i="21" s="1"/>
  <c r="BA151" i="21" s="1"/>
  <c r="AX157" i="21"/>
  <c r="AZ157" i="21" s="1"/>
  <c r="BC157" i="21" s="1"/>
  <c r="G157" i="21" s="1"/>
  <c r="F157" i="21" s="1"/>
  <c r="AW143" i="21"/>
  <c r="AY143" i="21" s="1"/>
  <c r="BA143" i="21" s="1"/>
  <c r="AW145" i="21"/>
  <c r="AY145" i="21" s="1"/>
  <c r="BA145" i="21" s="1"/>
  <c r="AF118" i="20"/>
  <c r="AE151" i="26"/>
  <c r="AT151" i="26"/>
  <c r="R153" i="26"/>
  <c r="V152" i="26"/>
  <c r="AS138" i="28"/>
  <c r="BJ119" i="28"/>
  <c r="V139" i="28"/>
  <c r="R140" i="28"/>
  <c r="T140" i="28"/>
  <c r="S141" i="28"/>
  <c r="AX147" i="21"/>
  <c r="AZ147" i="21" s="1"/>
  <c r="AB147" i="21" s="1"/>
  <c r="AD100" i="21"/>
  <c r="AC100" i="21" s="1"/>
  <c r="AX150" i="21"/>
  <c r="AZ150" i="21" s="1"/>
  <c r="BB150" i="21" s="1"/>
  <c r="AE121" i="25"/>
  <c r="AF121" i="25"/>
  <c r="AS121" i="25"/>
  <c r="AE119" i="25"/>
  <c r="AS119" i="25"/>
  <c r="R121" i="25"/>
  <c r="V120" i="25"/>
  <c r="AF114" i="25" s="1"/>
  <c r="AU114" i="25" s="1"/>
  <c r="R154" i="27"/>
  <c r="V153" i="27"/>
  <c r="AF144" i="27" s="1"/>
  <c r="AF154" i="27"/>
  <c r="AE154" i="27"/>
  <c r="AT154" i="27"/>
  <c r="AE152" i="27"/>
  <c r="AT152" i="27"/>
  <c r="R124" i="27"/>
  <c r="V123" i="27"/>
  <c r="R171" i="27"/>
  <c r="V170" i="27"/>
  <c r="BK216" i="27"/>
  <c r="S125" i="27"/>
  <c r="T124" i="27"/>
  <c r="AT122" i="27"/>
  <c r="AE122" i="27"/>
  <c r="AT169" i="27"/>
  <c r="S172" i="27"/>
  <c r="T171" i="27"/>
  <c r="BK210" i="26"/>
  <c r="T153" i="26"/>
  <c r="R154" i="26" s="1"/>
  <c r="S154" i="26"/>
  <c r="T154" i="26" s="1"/>
  <c r="S170" i="26"/>
  <c r="T169" i="26"/>
  <c r="R169" i="26"/>
  <c r="V168" i="26"/>
  <c r="AT121" i="26"/>
  <c r="AE121" i="26"/>
  <c r="V122" i="26"/>
  <c r="R123" i="26"/>
  <c r="AT167" i="26"/>
  <c r="S124" i="26"/>
  <c r="T123" i="26"/>
  <c r="R138" i="25"/>
  <c r="V137" i="25"/>
  <c r="BM178" i="25"/>
  <c r="S139" i="25"/>
  <c r="T138" i="25"/>
  <c r="AS136" i="25"/>
  <c r="BM178" i="24"/>
  <c r="S139" i="24"/>
  <c r="T138" i="24"/>
  <c r="AS136" i="24"/>
  <c r="V137" i="24"/>
  <c r="R138" i="24"/>
  <c r="AH151" i="23"/>
  <c r="AK204" i="23"/>
  <c r="S154" i="23"/>
  <c r="T153" i="23"/>
  <c r="R153" i="23"/>
  <c r="V152" i="23"/>
  <c r="AK201" i="22"/>
  <c r="V148" i="22"/>
  <c r="R149" i="22"/>
  <c r="AH147" i="22"/>
  <c r="S150" i="22"/>
  <c r="T149" i="22"/>
  <c r="AD103" i="21"/>
  <c r="AC103" i="21" s="1"/>
  <c r="AD119" i="21"/>
  <c r="AC119" i="21" s="1"/>
  <c r="AW142" i="21"/>
  <c r="AY142" i="21" s="1"/>
  <c r="BA142" i="21" s="1"/>
  <c r="AW138" i="21"/>
  <c r="AY138" i="21" s="1"/>
  <c r="BA138" i="21" s="1"/>
  <c r="AW146" i="21"/>
  <c r="AY146" i="21" s="1"/>
  <c r="BA146" i="21" s="1"/>
  <c r="AX140" i="21"/>
  <c r="AZ140" i="21" s="1"/>
  <c r="AB140" i="21" s="1"/>
  <c r="AW148" i="21"/>
  <c r="AY148" i="21" s="1"/>
  <c r="BA148" i="21" s="1"/>
  <c r="AD123" i="21"/>
  <c r="AC123" i="21" s="1"/>
  <c r="AD107" i="21"/>
  <c r="AC107" i="21" s="1"/>
  <c r="AX141" i="21"/>
  <c r="AZ141" i="21" s="1"/>
  <c r="BB141" i="21" s="1"/>
  <c r="AX156" i="21"/>
  <c r="AZ156" i="21" s="1"/>
  <c r="BB156" i="21" s="1"/>
  <c r="AX153" i="21"/>
  <c r="AZ153" i="21" s="1"/>
  <c r="BC153" i="21" s="1"/>
  <c r="G153" i="21" s="1"/>
  <c r="F153" i="21" s="1"/>
  <c r="AX139" i="21"/>
  <c r="AZ139" i="21" s="1"/>
  <c r="BB139" i="21" s="1"/>
  <c r="AX144" i="21"/>
  <c r="AZ144" i="21" s="1"/>
  <c r="BC144" i="21" s="1"/>
  <c r="G144" i="21" s="1"/>
  <c r="F144" i="21" s="1"/>
  <c r="AD114" i="21"/>
  <c r="AC114" i="21" s="1"/>
  <c r="AX155" i="21"/>
  <c r="AZ155" i="21" s="1"/>
  <c r="BC155" i="21" s="1"/>
  <c r="G155" i="21" s="1"/>
  <c r="F155" i="21" s="1"/>
  <c r="AX158" i="21"/>
  <c r="AZ158" i="21" s="1"/>
  <c r="BC158" i="21" s="1"/>
  <c r="G158" i="21" s="1"/>
  <c r="F158" i="21" s="1"/>
  <c r="AX154" i="21"/>
  <c r="AZ154" i="21" s="1"/>
  <c r="BB154" i="21" s="1"/>
  <c r="BG110" i="21"/>
  <c r="S87" i="21"/>
  <c r="T86" i="21"/>
  <c r="R87" i="21" s="1"/>
  <c r="AD109" i="21"/>
  <c r="AC109" i="21" s="1"/>
  <c r="AD118" i="21"/>
  <c r="AC118" i="21" s="1"/>
  <c r="AD117" i="21"/>
  <c r="AC117" i="21" s="1"/>
  <c r="AD116" i="21"/>
  <c r="AC116" i="21" s="1"/>
  <c r="AD101" i="21"/>
  <c r="AC101" i="21" s="1"/>
  <c r="AD121" i="21"/>
  <c r="AC121" i="21" s="1"/>
  <c r="AB141" i="21"/>
  <c r="AT135" i="21"/>
  <c r="AX142" i="21"/>
  <c r="AZ142" i="21" s="1"/>
  <c r="AX138" i="21"/>
  <c r="AZ138" i="21" s="1"/>
  <c r="AX146" i="21"/>
  <c r="AZ146" i="21" s="1"/>
  <c r="AW139" i="21"/>
  <c r="AY139" i="21" s="1"/>
  <c r="BA139" i="21" s="1"/>
  <c r="AW144" i="21"/>
  <c r="AY144" i="21" s="1"/>
  <c r="BA144" i="21" s="1"/>
  <c r="AW140" i="21"/>
  <c r="AY140" i="21" s="1"/>
  <c r="BA140" i="21" s="1"/>
  <c r="AX145" i="21"/>
  <c r="AZ145" i="21" s="1"/>
  <c r="AD106" i="21"/>
  <c r="AC106" i="21" s="1"/>
  <c r="AD122" i="21"/>
  <c r="AC122" i="21" s="1"/>
  <c r="AD105" i="21"/>
  <c r="AC105" i="21" s="1"/>
  <c r="AD102" i="21"/>
  <c r="AC102" i="21" s="1"/>
  <c r="AD113" i="21"/>
  <c r="AC113" i="21" s="1"/>
  <c r="AD110" i="21"/>
  <c r="AC110" i="21" s="1"/>
  <c r="AW141" i="21"/>
  <c r="AY141" i="21" s="1"/>
  <c r="BA141" i="21" s="1"/>
  <c r="AW156" i="21"/>
  <c r="AY156" i="21" s="1"/>
  <c r="BA156" i="21" s="1"/>
  <c r="AW153" i="21"/>
  <c r="AY153" i="21" s="1"/>
  <c r="BA153" i="21" s="1"/>
  <c r="T136" i="21"/>
  <c r="S137" i="21"/>
  <c r="AB157" i="21"/>
  <c r="BC149" i="21"/>
  <c r="G149" i="21" s="1"/>
  <c r="F149" i="21" s="1"/>
  <c r="BB149" i="21"/>
  <c r="T105" i="21"/>
  <c r="R106" i="21" s="1"/>
  <c r="S106" i="21"/>
  <c r="BC147" i="21"/>
  <c r="G147" i="21" s="1"/>
  <c r="F147" i="21" s="1"/>
  <c r="BB147" i="21"/>
  <c r="AB154" i="21"/>
  <c r="AX143" i="21"/>
  <c r="AZ143" i="21" s="1"/>
  <c r="AX152" i="21"/>
  <c r="AZ152" i="21" s="1"/>
  <c r="AX151" i="21"/>
  <c r="AZ151" i="21" s="1"/>
  <c r="AW157" i="21"/>
  <c r="AY157" i="21" s="1"/>
  <c r="BA157" i="21" s="1"/>
  <c r="AW149" i="21"/>
  <c r="AY149" i="21" s="1"/>
  <c r="BA149" i="21" s="1"/>
  <c r="AX148" i="21"/>
  <c r="AZ148" i="21" s="1"/>
  <c r="AD112" i="21"/>
  <c r="AC112" i="21" s="1"/>
  <c r="AD120" i="21"/>
  <c r="AC120" i="21" s="1"/>
  <c r="AD111" i="21"/>
  <c r="AC111" i="21" s="1"/>
  <c r="AD108" i="21"/>
  <c r="AC108" i="21" s="1"/>
  <c r="AD104" i="21"/>
  <c r="AC104" i="21" s="1"/>
  <c r="AW147" i="21"/>
  <c r="AY147" i="21" s="1"/>
  <c r="BA147" i="21" s="1"/>
  <c r="AW150" i="21"/>
  <c r="AY150" i="21" s="1"/>
  <c r="BA150" i="21" s="1"/>
  <c r="AW158" i="21"/>
  <c r="AY158" i="21" s="1"/>
  <c r="BA158" i="21" s="1"/>
  <c r="AW154" i="21"/>
  <c r="AY154" i="21" s="1"/>
  <c r="BA154" i="21" s="1"/>
  <c r="AW155" i="21"/>
  <c r="AY155" i="21" s="1"/>
  <c r="BA155" i="21" s="1"/>
  <c r="AE88" i="20"/>
  <c r="AS88" i="20"/>
  <c r="AU118" i="20"/>
  <c r="S91" i="20"/>
  <c r="T90" i="20"/>
  <c r="AF120" i="20"/>
  <c r="AS120" i="20"/>
  <c r="BE92" i="20"/>
  <c r="AF119" i="20"/>
  <c r="AU119" i="20" s="1"/>
  <c r="R90" i="20"/>
  <c r="V89" i="20"/>
  <c r="T122" i="20"/>
  <c r="R123" i="20" s="1"/>
  <c r="S123" i="20"/>
  <c r="BC154" i="21" l="1"/>
  <c r="G154" i="21" s="1"/>
  <c r="F154" i="21" s="1"/>
  <c r="BB157" i="21"/>
  <c r="AB150" i="21"/>
  <c r="BC140" i="21"/>
  <c r="G140" i="21" s="1"/>
  <c r="F140" i="21" s="1"/>
  <c r="BB140" i="21"/>
  <c r="AE152" i="26"/>
  <c r="AD146" i="26" s="1"/>
  <c r="AC146" i="26" s="1"/>
  <c r="AF152" i="26"/>
  <c r="AT152" i="26"/>
  <c r="AF148" i="26"/>
  <c r="AF144" i="26"/>
  <c r="AF147" i="26"/>
  <c r="AF143" i="26"/>
  <c r="AF150" i="26"/>
  <c r="AD147" i="26"/>
  <c r="AC147" i="26" s="1"/>
  <c r="AF149" i="26"/>
  <c r="AF151" i="26"/>
  <c r="AD149" i="26"/>
  <c r="AC149" i="26" s="1"/>
  <c r="AD154" i="26"/>
  <c r="AC154" i="26" s="1"/>
  <c r="AD152" i="26"/>
  <c r="AC152" i="26" s="1"/>
  <c r="AF119" i="25"/>
  <c r="AD148" i="26"/>
  <c r="AC148" i="26" s="1"/>
  <c r="BC139" i="21"/>
  <c r="G139" i="21" s="1"/>
  <c r="F139" i="21" s="1"/>
  <c r="AF146" i="26"/>
  <c r="AF145" i="26"/>
  <c r="AD153" i="26"/>
  <c r="AC153" i="26" s="1"/>
  <c r="BC150" i="21"/>
  <c r="G150" i="21" s="1"/>
  <c r="F150" i="21" s="1"/>
  <c r="AS139" i="28"/>
  <c r="BJ120" i="28"/>
  <c r="S142" i="28"/>
  <c r="T141" i="28"/>
  <c r="R141" i="28"/>
  <c r="V140" i="28"/>
  <c r="AU120" i="20"/>
  <c r="AW120" i="20" s="1"/>
  <c r="AY120" i="20" s="1"/>
  <c r="AB158" i="21"/>
  <c r="AB144" i="21"/>
  <c r="AF145" i="27"/>
  <c r="AF117" i="25"/>
  <c r="AU117" i="25" s="1"/>
  <c r="BB158" i="21"/>
  <c r="AF115" i="25"/>
  <c r="AU115" i="25" s="1"/>
  <c r="AU119" i="25"/>
  <c r="AF110" i="25"/>
  <c r="AU110" i="25" s="1"/>
  <c r="AF111" i="25"/>
  <c r="AU111" i="25" s="1"/>
  <c r="AF116" i="25"/>
  <c r="AU116" i="25" s="1"/>
  <c r="AE120" i="25"/>
  <c r="AD117" i="25" s="1"/>
  <c r="AC117" i="25" s="1"/>
  <c r="AF120" i="25"/>
  <c r="AS120" i="25"/>
  <c r="AF112" i="25"/>
  <c r="AU112" i="25" s="1"/>
  <c r="AF113" i="25"/>
  <c r="AU113" i="25" s="1"/>
  <c r="AU121" i="25"/>
  <c r="AF118" i="25"/>
  <c r="AU118" i="25" s="1"/>
  <c r="AF146" i="27"/>
  <c r="AF150" i="27"/>
  <c r="AE153" i="27"/>
  <c r="AD146" i="27" s="1"/>
  <c r="AC146" i="27" s="1"/>
  <c r="AF153" i="27"/>
  <c r="AT153" i="27"/>
  <c r="AF143" i="27"/>
  <c r="AF149" i="27"/>
  <c r="AF151" i="27"/>
  <c r="AF147" i="27"/>
  <c r="AF148" i="27"/>
  <c r="AF152" i="27"/>
  <c r="S173" i="27"/>
  <c r="T172" i="27"/>
  <c r="S126" i="27"/>
  <c r="T125" i="27"/>
  <c r="BK217" i="27"/>
  <c r="AT123" i="27"/>
  <c r="AE123" i="27"/>
  <c r="V171" i="27"/>
  <c r="R172" i="27"/>
  <c r="R125" i="27"/>
  <c r="V124" i="27"/>
  <c r="AT170" i="27"/>
  <c r="BK211" i="26"/>
  <c r="V123" i="26"/>
  <c r="R124" i="26"/>
  <c r="T170" i="26"/>
  <c r="S171" i="26"/>
  <c r="V169" i="26"/>
  <c r="R170" i="26"/>
  <c r="S125" i="26"/>
  <c r="T124" i="26"/>
  <c r="AT168" i="26"/>
  <c r="AT122" i="26"/>
  <c r="AE122" i="26"/>
  <c r="V138" i="25"/>
  <c r="R139" i="25"/>
  <c r="BM179" i="25"/>
  <c r="AS137" i="25"/>
  <c r="T139" i="25"/>
  <c r="S140" i="25"/>
  <c r="BM179" i="24"/>
  <c r="V138" i="24"/>
  <c r="R139" i="24"/>
  <c r="S140" i="24"/>
  <c r="T139" i="24"/>
  <c r="AS137" i="24"/>
  <c r="V153" i="23"/>
  <c r="R154" i="23"/>
  <c r="AK205" i="23"/>
  <c r="S155" i="23"/>
  <c r="T154" i="23"/>
  <c r="AH152" i="23"/>
  <c r="AK202" i="22"/>
  <c r="S151" i="22"/>
  <c r="T150" i="22"/>
  <c r="V149" i="22"/>
  <c r="R150" i="22"/>
  <c r="AH148" i="22"/>
  <c r="BC141" i="21"/>
  <c r="G141" i="21" s="1"/>
  <c r="F141" i="21" s="1"/>
  <c r="BB144" i="21"/>
  <c r="AB139" i="21"/>
  <c r="AB153" i="21"/>
  <c r="AB155" i="21"/>
  <c r="BB153" i="21"/>
  <c r="BB155" i="21"/>
  <c r="BC156" i="21"/>
  <c r="G156" i="21" s="1"/>
  <c r="F156" i="21" s="1"/>
  <c r="AC99" i="21"/>
  <c r="AA100" i="21" s="1"/>
  <c r="AB156" i="21"/>
  <c r="BC148" i="21"/>
  <c r="G148" i="21" s="1"/>
  <c r="F148" i="21" s="1"/>
  <c r="BB148" i="21"/>
  <c r="AB148" i="21"/>
  <c r="BC152" i="21"/>
  <c r="G152" i="21" s="1"/>
  <c r="F152" i="21" s="1"/>
  <c r="AB152" i="21"/>
  <c r="BB152" i="21"/>
  <c r="BC143" i="21"/>
  <c r="G143" i="21" s="1"/>
  <c r="F143" i="21" s="1"/>
  <c r="AB143" i="21"/>
  <c r="BB143" i="21"/>
  <c r="T106" i="21"/>
  <c r="R107" i="21" s="1"/>
  <c r="S107" i="21"/>
  <c r="BC145" i="21"/>
  <c r="G145" i="21" s="1"/>
  <c r="F145" i="21" s="1"/>
  <c r="BB145" i="21"/>
  <c r="AB145" i="21"/>
  <c r="AB146" i="21"/>
  <c r="BC146" i="21"/>
  <c r="G146" i="21" s="1"/>
  <c r="F146" i="21" s="1"/>
  <c r="BB146" i="21"/>
  <c r="BG111" i="21"/>
  <c r="S138" i="21"/>
  <c r="T137" i="21"/>
  <c r="BB138" i="21"/>
  <c r="AB138" i="21"/>
  <c r="BC138" i="21"/>
  <c r="G138" i="21" s="1"/>
  <c r="F138" i="21" s="1"/>
  <c r="BC151" i="21"/>
  <c r="G151" i="21" s="1"/>
  <c r="F151" i="21" s="1"/>
  <c r="BB151" i="21"/>
  <c r="AB151" i="21"/>
  <c r="V136" i="21"/>
  <c r="R137" i="21"/>
  <c r="AB142" i="21"/>
  <c r="BC142" i="21"/>
  <c r="G142" i="21" s="1"/>
  <c r="F142" i="21" s="1"/>
  <c r="BB142" i="21"/>
  <c r="S88" i="21"/>
  <c r="T87" i="21"/>
  <c r="R88" i="21" s="1"/>
  <c r="T123" i="20"/>
  <c r="R124" i="20" s="1"/>
  <c r="S124" i="20"/>
  <c r="BE93" i="20"/>
  <c r="T91" i="20"/>
  <c r="S92" i="20"/>
  <c r="AS89" i="20"/>
  <c r="AE89" i="20"/>
  <c r="AW119" i="20"/>
  <c r="AY119" i="20" s="1"/>
  <c r="AV119" i="20"/>
  <c r="AX119" i="20" s="1"/>
  <c r="AZ119" i="20" s="1"/>
  <c r="AW118" i="20"/>
  <c r="AY118" i="20" s="1"/>
  <c r="AV118" i="20"/>
  <c r="AX118" i="20" s="1"/>
  <c r="AZ118" i="20" s="1"/>
  <c r="V90" i="20"/>
  <c r="R91" i="20"/>
  <c r="AV120" i="20" l="1"/>
  <c r="AX120" i="20" s="1"/>
  <c r="AZ120" i="20" s="1"/>
  <c r="AD143" i="26"/>
  <c r="AC143" i="26" s="1"/>
  <c r="R126" i="27"/>
  <c r="V125" i="27"/>
  <c r="AD151" i="26"/>
  <c r="AC151" i="26" s="1"/>
  <c r="AD144" i="26"/>
  <c r="AC144" i="26" s="1"/>
  <c r="AD145" i="26"/>
  <c r="AC145" i="26" s="1"/>
  <c r="AD150" i="26"/>
  <c r="AC150" i="26" s="1"/>
  <c r="BJ121" i="28"/>
  <c r="AS140" i="28"/>
  <c r="V141" i="28"/>
  <c r="R142" i="28"/>
  <c r="T142" i="28"/>
  <c r="S143" i="28"/>
  <c r="AD120" i="25"/>
  <c r="AC120" i="25" s="1"/>
  <c r="AD113" i="25"/>
  <c r="AC113" i="25" s="1"/>
  <c r="AD112" i="25"/>
  <c r="AC112" i="25" s="1"/>
  <c r="AD110" i="25"/>
  <c r="AC110" i="25" s="1"/>
  <c r="AD115" i="25"/>
  <c r="AC115" i="25" s="1"/>
  <c r="AD119" i="25"/>
  <c r="AC119" i="25" s="1"/>
  <c r="AD114" i="25"/>
  <c r="AC114" i="25" s="1"/>
  <c r="AD118" i="25"/>
  <c r="AC118" i="25" s="1"/>
  <c r="AD116" i="25"/>
  <c r="AC116" i="25" s="1"/>
  <c r="AU120" i="25"/>
  <c r="AD111" i="25"/>
  <c r="AC111" i="25" s="1"/>
  <c r="AD121" i="25"/>
  <c r="AC121" i="25" s="1"/>
  <c r="R151" i="22"/>
  <c r="V150" i="22"/>
  <c r="AD147" i="27"/>
  <c r="AC147" i="27" s="1"/>
  <c r="AD143" i="27"/>
  <c r="AC143" i="27" s="1"/>
  <c r="AD152" i="27"/>
  <c r="AC152" i="27" s="1"/>
  <c r="AD153" i="27"/>
  <c r="AC153" i="27" s="1"/>
  <c r="AD151" i="27"/>
  <c r="AC151" i="27" s="1"/>
  <c r="AD150" i="27"/>
  <c r="AC150" i="27" s="1"/>
  <c r="AD144" i="27"/>
  <c r="AC144" i="27" s="1"/>
  <c r="AD154" i="27"/>
  <c r="AC154" i="27" s="1"/>
  <c r="AD149" i="27"/>
  <c r="AC149" i="27" s="1"/>
  <c r="AD145" i="27"/>
  <c r="AC145" i="27" s="1"/>
  <c r="AD148" i="27"/>
  <c r="AC148" i="27" s="1"/>
  <c r="AT124" i="27"/>
  <c r="AE124" i="27"/>
  <c r="AT171" i="27"/>
  <c r="S127" i="27"/>
  <c r="T126" i="27"/>
  <c r="R173" i="27"/>
  <c r="V172" i="27"/>
  <c r="BK218" i="27"/>
  <c r="S174" i="27"/>
  <c r="T173" i="27"/>
  <c r="BK212" i="26"/>
  <c r="V124" i="26"/>
  <c r="AF120" i="26" s="1"/>
  <c r="R125" i="26"/>
  <c r="T171" i="26"/>
  <c r="S172" i="26"/>
  <c r="AT169" i="26"/>
  <c r="S126" i="26"/>
  <c r="T125" i="26"/>
  <c r="R126" i="26" s="1"/>
  <c r="R171" i="26"/>
  <c r="V170" i="26"/>
  <c r="AT123" i="26"/>
  <c r="AE123" i="26"/>
  <c r="AS138" i="25"/>
  <c r="R140" i="25"/>
  <c r="V139" i="25"/>
  <c r="BM180" i="25"/>
  <c r="S141" i="25"/>
  <c r="T140" i="25"/>
  <c r="BM180" i="24"/>
  <c r="S141" i="24"/>
  <c r="T140" i="24"/>
  <c r="R140" i="24"/>
  <c r="V139" i="24"/>
  <c r="AS138" i="24"/>
  <c r="S156" i="23"/>
  <c r="T155" i="23"/>
  <c r="AH153" i="23"/>
  <c r="AK206" i="23"/>
  <c r="V154" i="23"/>
  <c r="R155" i="23"/>
  <c r="AK203" i="22"/>
  <c r="AH149" i="22"/>
  <c r="S152" i="22"/>
  <c r="T151" i="22"/>
  <c r="AT136" i="21"/>
  <c r="T138" i="21"/>
  <c r="R139" i="21" s="1"/>
  <c r="S139" i="21"/>
  <c r="BG112" i="21"/>
  <c r="T107" i="21"/>
  <c r="R108" i="21" s="1"/>
  <c r="S108" i="21"/>
  <c r="S89" i="21"/>
  <c r="T88" i="21"/>
  <c r="R89" i="21" s="1"/>
  <c r="V137" i="21"/>
  <c r="AF135" i="21" s="1"/>
  <c r="R138" i="21"/>
  <c r="BE94" i="20"/>
  <c r="BA120" i="20"/>
  <c r="BB120" i="20"/>
  <c r="G120" i="20" s="1"/>
  <c r="F120" i="20" s="1"/>
  <c r="AB120" i="20"/>
  <c r="S93" i="20"/>
  <c r="T92" i="20"/>
  <c r="T124" i="20"/>
  <c r="R125" i="20" s="1"/>
  <c r="S125" i="20"/>
  <c r="AE90" i="20"/>
  <c r="AS90" i="20"/>
  <c r="R92" i="20"/>
  <c r="V91" i="20"/>
  <c r="BA118" i="20"/>
  <c r="AB118" i="20"/>
  <c r="AB119" i="20"/>
  <c r="BB119" i="20"/>
  <c r="G119" i="20" s="1"/>
  <c r="F119" i="20" s="1"/>
  <c r="BA119" i="20"/>
  <c r="AE125" i="27" l="1"/>
  <c r="AT125" i="27"/>
  <c r="R127" i="27"/>
  <c r="V126" i="27"/>
  <c r="AC142" i="26"/>
  <c r="AA143" i="26" s="1"/>
  <c r="AS141" i="28"/>
  <c r="R143" i="28"/>
  <c r="V142" i="28"/>
  <c r="BJ122" i="28"/>
  <c r="S144" i="28"/>
  <c r="T143" i="28"/>
  <c r="AC109" i="25"/>
  <c r="AA110" i="25" s="1"/>
  <c r="AH150" i="22"/>
  <c r="R152" i="22"/>
  <c r="V151" i="22"/>
  <c r="AC142" i="27"/>
  <c r="AA143" i="27" s="1"/>
  <c r="R174" i="27"/>
  <c r="V173" i="27"/>
  <c r="S175" i="27"/>
  <c r="T174" i="27"/>
  <c r="AT172" i="27"/>
  <c r="S128" i="27"/>
  <c r="T127" i="27"/>
  <c r="BK219" i="27"/>
  <c r="AF119" i="26"/>
  <c r="AF121" i="26"/>
  <c r="AF123" i="26"/>
  <c r="AF117" i="26"/>
  <c r="BK213" i="26"/>
  <c r="R172" i="26"/>
  <c r="V171" i="26"/>
  <c r="AT170" i="26"/>
  <c r="AE124" i="26"/>
  <c r="AT124" i="26"/>
  <c r="AF124" i="26"/>
  <c r="T106" i="26"/>
  <c r="AF111" i="26"/>
  <c r="AF110" i="26"/>
  <c r="AF113" i="26"/>
  <c r="AF112" i="26"/>
  <c r="AF115" i="26"/>
  <c r="AF116" i="26"/>
  <c r="AF122" i="26"/>
  <c r="AF114" i="26"/>
  <c r="AF118" i="26"/>
  <c r="S127" i="26"/>
  <c r="T126" i="26"/>
  <c r="R127" i="26" s="1"/>
  <c r="S173" i="26"/>
  <c r="T172" i="26"/>
  <c r="BM181" i="25"/>
  <c r="T141" i="25"/>
  <c r="S142" i="25"/>
  <c r="V140" i="25"/>
  <c r="R141" i="25"/>
  <c r="AS139" i="25"/>
  <c r="BM181" i="24"/>
  <c r="AS139" i="24"/>
  <c r="V140" i="24"/>
  <c r="R141" i="24"/>
  <c r="S142" i="24"/>
  <c r="T141" i="24"/>
  <c r="AK207" i="23"/>
  <c r="V155" i="23"/>
  <c r="R156" i="23"/>
  <c r="AH154" i="23"/>
  <c r="S157" i="23"/>
  <c r="T156" i="23"/>
  <c r="AK204" i="22"/>
  <c r="T152" i="22"/>
  <c r="S153" i="22"/>
  <c r="AV135" i="21"/>
  <c r="AG135" i="21"/>
  <c r="AP110" i="21"/>
  <c r="AU110" i="21" s="1"/>
  <c r="AP122" i="21"/>
  <c r="AU122" i="21" s="1"/>
  <c r="AP113" i="21"/>
  <c r="AU113" i="21" s="1"/>
  <c r="AP107" i="21"/>
  <c r="AU107" i="21" s="1"/>
  <c r="AP115" i="21"/>
  <c r="AU115" i="21" s="1"/>
  <c r="AP114" i="21"/>
  <c r="AU114" i="21" s="1"/>
  <c r="AP116" i="21"/>
  <c r="AU116" i="21" s="1"/>
  <c r="AP120" i="21"/>
  <c r="AU120" i="21" s="1"/>
  <c r="AP112" i="21"/>
  <c r="AU112" i="21" s="1"/>
  <c r="AP117" i="21"/>
  <c r="AU117" i="21" s="1"/>
  <c r="AP109" i="21"/>
  <c r="AU109" i="21" s="1"/>
  <c r="AP108" i="21"/>
  <c r="AU108" i="21" s="1"/>
  <c r="AP121" i="21"/>
  <c r="AU121" i="21" s="1"/>
  <c r="AP111" i="21"/>
  <c r="AU111" i="21" s="1"/>
  <c r="AP103" i="21"/>
  <c r="AU103" i="21" s="1"/>
  <c r="AP105" i="21"/>
  <c r="AU105" i="21" s="1"/>
  <c r="AP118" i="21"/>
  <c r="AU118" i="21" s="1"/>
  <c r="AP104" i="21"/>
  <c r="AU104" i="21" s="1"/>
  <c r="AP106" i="21"/>
  <c r="AU106" i="21" s="1"/>
  <c r="AP119" i="21"/>
  <c r="AU119" i="21" s="1"/>
  <c r="AP123" i="21"/>
  <c r="AU123" i="21" s="1"/>
  <c r="AP100" i="21"/>
  <c r="AU100" i="21" s="1"/>
  <c r="AP101" i="21"/>
  <c r="AU101" i="21" s="1"/>
  <c r="AP102" i="21"/>
  <c r="AU102" i="21" s="1"/>
  <c r="T131" i="21"/>
  <c r="T130" i="21" s="1"/>
  <c r="S90" i="21"/>
  <c r="T90" i="21" s="1"/>
  <c r="T89" i="21"/>
  <c r="R90" i="21" s="1"/>
  <c r="BG113" i="21"/>
  <c r="T108" i="21"/>
  <c r="R109" i="21" s="1"/>
  <c r="S109" i="21"/>
  <c r="S140" i="21"/>
  <c r="T139" i="21"/>
  <c r="R140" i="21" s="1"/>
  <c r="AT137" i="21"/>
  <c r="AF137" i="21"/>
  <c r="AF136" i="21"/>
  <c r="AV136" i="21" s="1"/>
  <c r="AS91" i="20"/>
  <c r="AE91" i="20"/>
  <c r="V92" i="20"/>
  <c r="R93" i="20"/>
  <c r="S94" i="20"/>
  <c r="T93" i="20"/>
  <c r="S126" i="20"/>
  <c r="T125" i="20"/>
  <c r="R126" i="20" s="1"/>
  <c r="BE95" i="20"/>
  <c r="AE126" i="27" l="1"/>
  <c r="AT126" i="27"/>
  <c r="R128" i="27"/>
  <c r="V127" i="27"/>
  <c r="V143" i="28"/>
  <c r="R144" i="28"/>
  <c r="BJ123" i="28"/>
  <c r="T144" i="28"/>
  <c r="S145" i="28"/>
  <c r="AS142" i="28"/>
  <c r="AV137" i="21"/>
  <c r="AX137" i="21" s="1"/>
  <c r="AZ137" i="21" s="1"/>
  <c r="R142" i="25"/>
  <c r="V141" i="25"/>
  <c r="R175" i="27"/>
  <c r="V174" i="27"/>
  <c r="R142" i="24"/>
  <c r="V141" i="24"/>
  <c r="R153" i="22"/>
  <c r="V152" i="22"/>
  <c r="AH151" i="22"/>
  <c r="S129" i="27"/>
  <c r="T128" i="27"/>
  <c r="BK220" i="27"/>
  <c r="S176" i="27"/>
  <c r="T175" i="27"/>
  <c r="AT173" i="27"/>
  <c r="BK214" i="26"/>
  <c r="AD117" i="26"/>
  <c r="AC117" i="26" s="1"/>
  <c r="AD133" i="26"/>
  <c r="AC133" i="26" s="1"/>
  <c r="AD125" i="26"/>
  <c r="AC125" i="26" s="1"/>
  <c r="AD127" i="26"/>
  <c r="AC127" i="26" s="1"/>
  <c r="AD121" i="26"/>
  <c r="AC121" i="26" s="1"/>
  <c r="AD116" i="26"/>
  <c r="AC116" i="26" s="1"/>
  <c r="AD118" i="26"/>
  <c r="AC118" i="26" s="1"/>
  <c r="AD113" i="26"/>
  <c r="AC113" i="26" s="1"/>
  <c r="AD132" i="26"/>
  <c r="AC132" i="26" s="1"/>
  <c r="AD122" i="26"/>
  <c r="AC122" i="26" s="1"/>
  <c r="AD111" i="26"/>
  <c r="AC111" i="26" s="1"/>
  <c r="AD128" i="26"/>
  <c r="AC128" i="26" s="1"/>
  <c r="AD120" i="26"/>
  <c r="AC120" i="26" s="1"/>
  <c r="AD124" i="26"/>
  <c r="AC124" i="26" s="1"/>
  <c r="AD126" i="26"/>
  <c r="AC126" i="26" s="1"/>
  <c r="AD110" i="26"/>
  <c r="AC110" i="26" s="1"/>
  <c r="AD115" i="26"/>
  <c r="AC115" i="26" s="1"/>
  <c r="AD119" i="26"/>
  <c r="AC119" i="26" s="1"/>
  <c r="AD129" i="26"/>
  <c r="AC129" i="26" s="1"/>
  <c r="AD114" i="26"/>
  <c r="AC114" i="26" s="1"/>
  <c r="AD130" i="26"/>
  <c r="AC130" i="26" s="1"/>
  <c r="AD123" i="26"/>
  <c r="AC123" i="26" s="1"/>
  <c r="AD112" i="26"/>
  <c r="AC112" i="26" s="1"/>
  <c r="AD131" i="26"/>
  <c r="AC131" i="26" s="1"/>
  <c r="T173" i="26"/>
  <c r="S174" i="26"/>
  <c r="S128" i="26"/>
  <c r="T127" i="26"/>
  <c r="R128" i="26" s="1"/>
  <c r="V172" i="26"/>
  <c r="R173" i="26"/>
  <c r="AT171" i="26"/>
  <c r="S143" i="25"/>
  <c r="T142" i="25"/>
  <c r="AS140" i="25"/>
  <c r="BM182" i="25"/>
  <c r="BM182" i="24"/>
  <c r="S143" i="24"/>
  <c r="T142" i="24"/>
  <c r="AS140" i="24"/>
  <c r="T157" i="23"/>
  <c r="S158" i="23"/>
  <c r="AK208" i="23"/>
  <c r="AH155" i="23"/>
  <c r="R157" i="23"/>
  <c r="V156" i="23"/>
  <c r="AK205" i="22"/>
  <c r="T153" i="22"/>
  <c r="S154" i="22"/>
  <c r="AX100" i="21"/>
  <c r="AZ100" i="21" s="1"/>
  <c r="AW100" i="21"/>
  <c r="AY100" i="21" s="1"/>
  <c r="BA100" i="21" s="1"/>
  <c r="AX104" i="21"/>
  <c r="AZ104" i="21" s="1"/>
  <c r="AW104" i="21"/>
  <c r="AY104" i="21" s="1"/>
  <c r="BA104" i="21" s="1"/>
  <c r="AX111" i="21"/>
  <c r="AZ111" i="21" s="1"/>
  <c r="AW111" i="21"/>
  <c r="AY111" i="21" s="1"/>
  <c r="BA111" i="21" s="1"/>
  <c r="AX117" i="21"/>
  <c r="AZ117" i="21" s="1"/>
  <c r="AW117" i="21"/>
  <c r="AY117" i="21" s="1"/>
  <c r="BA117" i="21" s="1"/>
  <c r="AX114" i="21"/>
  <c r="AZ114" i="21" s="1"/>
  <c r="AW114" i="21"/>
  <c r="AY114" i="21" s="1"/>
  <c r="BA114" i="21" s="1"/>
  <c r="AX122" i="21"/>
  <c r="AZ122" i="21" s="1"/>
  <c r="AW122" i="21"/>
  <c r="AY122" i="21" s="1"/>
  <c r="BA122" i="21" s="1"/>
  <c r="BG114" i="21"/>
  <c r="AX123" i="21"/>
  <c r="AZ123" i="21" s="1"/>
  <c r="AW123" i="21"/>
  <c r="AY123" i="21" s="1"/>
  <c r="BA123" i="21" s="1"/>
  <c r="AX118" i="21"/>
  <c r="AZ118" i="21" s="1"/>
  <c r="AW118" i="21"/>
  <c r="AY118" i="21" s="1"/>
  <c r="BA118" i="21" s="1"/>
  <c r="AX121" i="21"/>
  <c r="AZ121" i="21" s="1"/>
  <c r="AW121" i="21"/>
  <c r="AY121" i="21" s="1"/>
  <c r="BA121" i="21" s="1"/>
  <c r="AX112" i="21"/>
  <c r="AZ112" i="21" s="1"/>
  <c r="AW112" i="21"/>
  <c r="AY112" i="21" s="1"/>
  <c r="BA112" i="21" s="1"/>
  <c r="AX115" i="21"/>
  <c r="AZ115" i="21" s="1"/>
  <c r="AW115" i="21"/>
  <c r="AY115" i="21" s="1"/>
  <c r="BA115" i="21" s="1"/>
  <c r="AX110" i="21"/>
  <c r="AZ110" i="21" s="1"/>
  <c r="AW110" i="21"/>
  <c r="AY110" i="21" s="1"/>
  <c r="BA110" i="21" s="1"/>
  <c r="AX136" i="21"/>
  <c r="AZ136" i="21" s="1"/>
  <c r="AW136" i="21"/>
  <c r="AY136" i="21" s="1"/>
  <c r="BA136" i="21" s="1"/>
  <c r="S141" i="21"/>
  <c r="T140" i="21"/>
  <c r="R141" i="21" s="1"/>
  <c r="AX102" i="21"/>
  <c r="AZ102" i="21" s="1"/>
  <c r="AW102" i="21"/>
  <c r="AY102" i="21" s="1"/>
  <c r="BA102" i="21" s="1"/>
  <c r="AX119" i="21"/>
  <c r="AZ119" i="21" s="1"/>
  <c r="AW119" i="21"/>
  <c r="AY119" i="21" s="1"/>
  <c r="BA119" i="21" s="1"/>
  <c r="AX105" i="21"/>
  <c r="AZ105" i="21" s="1"/>
  <c r="AW105" i="21"/>
  <c r="AY105" i="21" s="1"/>
  <c r="BA105" i="21" s="1"/>
  <c r="AX108" i="21"/>
  <c r="AZ108" i="21" s="1"/>
  <c r="AW108" i="21"/>
  <c r="AY108" i="21" s="1"/>
  <c r="BA108" i="21" s="1"/>
  <c r="AX120" i="21"/>
  <c r="AZ120" i="21" s="1"/>
  <c r="AW120" i="21"/>
  <c r="AY120" i="21" s="1"/>
  <c r="BA120" i="21" s="1"/>
  <c r="AX107" i="21"/>
  <c r="AZ107" i="21" s="1"/>
  <c r="AW107" i="21"/>
  <c r="AY107" i="21" s="1"/>
  <c r="BA107" i="21" s="1"/>
  <c r="AP90" i="21"/>
  <c r="AU90" i="21" s="1"/>
  <c r="AP87" i="21"/>
  <c r="AU87" i="21" s="1"/>
  <c r="AP83" i="21"/>
  <c r="AU83" i="21" s="1"/>
  <c r="AP88" i="21"/>
  <c r="AU88" i="21" s="1"/>
  <c r="AP84" i="21"/>
  <c r="AU84" i="21" s="1"/>
  <c r="AP82" i="21"/>
  <c r="AU82" i="21" s="1"/>
  <c r="AP86" i="21"/>
  <c r="AU86" i="21" s="1"/>
  <c r="AP89" i="21"/>
  <c r="AU89" i="21" s="1"/>
  <c r="AP79" i="21"/>
  <c r="AP81" i="21"/>
  <c r="AU81" i="21" s="1"/>
  <c r="AP85" i="21"/>
  <c r="AU85" i="21" s="1"/>
  <c r="AP80" i="21"/>
  <c r="AU80" i="21" s="1"/>
  <c r="T109" i="21"/>
  <c r="R110" i="21" s="1"/>
  <c r="S110" i="21"/>
  <c r="AX101" i="21"/>
  <c r="AZ101" i="21" s="1"/>
  <c r="AW101" i="21"/>
  <c r="AY101" i="21" s="1"/>
  <c r="BA101" i="21" s="1"/>
  <c r="AX106" i="21"/>
  <c r="AZ106" i="21" s="1"/>
  <c r="AW106" i="21"/>
  <c r="AY106" i="21" s="1"/>
  <c r="BA106" i="21" s="1"/>
  <c r="AX103" i="21"/>
  <c r="AZ103" i="21" s="1"/>
  <c r="AW103" i="21"/>
  <c r="AY103" i="21" s="1"/>
  <c r="BA103" i="21" s="1"/>
  <c r="AX109" i="21"/>
  <c r="AZ109" i="21" s="1"/>
  <c r="AW109" i="21"/>
  <c r="AY109" i="21" s="1"/>
  <c r="BA109" i="21" s="1"/>
  <c r="AX116" i="21"/>
  <c r="AZ116" i="21" s="1"/>
  <c r="AW116" i="21"/>
  <c r="AY116" i="21" s="1"/>
  <c r="BA116" i="21" s="1"/>
  <c r="AX113" i="21"/>
  <c r="AZ113" i="21" s="1"/>
  <c r="AW113" i="21"/>
  <c r="AY113" i="21" s="1"/>
  <c r="BA113" i="21" s="1"/>
  <c r="AX135" i="21"/>
  <c r="AZ135" i="21" s="1"/>
  <c r="AW135" i="21"/>
  <c r="AY135" i="21" s="1"/>
  <c r="BA135" i="21" s="1"/>
  <c r="BE96" i="20"/>
  <c r="S95" i="20"/>
  <c r="T94" i="20"/>
  <c r="S127" i="20"/>
  <c r="T126" i="20"/>
  <c r="R127" i="20" s="1"/>
  <c r="AE92" i="20"/>
  <c r="AS92" i="20"/>
  <c r="R94" i="20"/>
  <c r="V93" i="20"/>
  <c r="AW137" i="21" l="1"/>
  <c r="AY137" i="21" s="1"/>
  <c r="BA137" i="21" s="1"/>
  <c r="AE127" i="27"/>
  <c r="AT127" i="27"/>
  <c r="R129" i="27"/>
  <c r="V128" i="27"/>
  <c r="T145" i="28"/>
  <c r="S146" i="28"/>
  <c r="R145" i="28"/>
  <c r="V144" i="28"/>
  <c r="BJ124" i="28"/>
  <c r="AS143" i="28"/>
  <c r="AS141" i="25"/>
  <c r="R143" i="25"/>
  <c r="V142" i="25"/>
  <c r="R176" i="27"/>
  <c r="V175" i="27"/>
  <c r="AT174" i="27"/>
  <c r="AS141" i="24"/>
  <c r="R143" i="24"/>
  <c r="V142" i="24"/>
  <c r="R154" i="22"/>
  <c r="V153" i="22"/>
  <c r="AH152" i="22"/>
  <c r="S130" i="27"/>
  <c r="T129" i="27"/>
  <c r="BK221" i="27"/>
  <c r="S177" i="27"/>
  <c r="T176" i="27"/>
  <c r="BK215" i="26"/>
  <c r="S129" i="26"/>
  <c r="T128" i="26"/>
  <c r="R129" i="26" s="1"/>
  <c r="AC109" i="26"/>
  <c r="AA110" i="26" s="1"/>
  <c r="AG143" i="26" s="1"/>
  <c r="S175" i="26"/>
  <c r="T174" i="26"/>
  <c r="AT172" i="26"/>
  <c r="R174" i="26"/>
  <c r="V173" i="26"/>
  <c r="BM183" i="25"/>
  <c r="T143" i="25"/>
  <c r="S144" i="25"/>
  <c r="BM183" i="24"/>
  <c r="S144" i="24"/>
  <c r="T143" i="24"/>
  <c r="AH156" i="23"/>
  <c r="AK209" i="23"/>
  <c r="S159" i="23"/>
  <c r="T158" i="23"/>
  <c r="R158" i="23"/>
  <c r="V157" i="23"/>
  <c r="AK206" i="22"/>
  <c r="T154" i="22"/>
  <c r="S155" i="22"/>
  <c r="AX81" i="21"/>
  <c r="AZ81" i="21" s="1"/>
  <c r="BB81" i="21" s="1"/>
  <c r="AW81" i="21"/>
  <c r="AY81" i="21" s="1"/>
  <c r="BA81" i="21" s="1"/>
  <c r="AX82" i="21"/>
  <c r="AZ82" i="21" s="1"/>
  <c r="BB82" i="21" s="1"/>
  <c r="AW82" i="21"/>
  <c r="AY82" i="21" s="1"/>
  <c r="BA82" i="21" s="1"/>
  <c r="AX87" i="21"/>
  <c r="AZ87" i="21" s="1"/>
  <c r="BB87" i="21" s="1"/>
  <c r="AW87" i="21"/>
  <c r="AY87" i="21" s="1"/>
  <c r="BA87" i="21" s="1"/>
  <c r="BC135" i="21"/>
  <c r="AB135" i="21"/>
  <c r="BB135" i="21"/>
  <c r="BB116" i="21"/>
  <c r="AB116" i="21"/>
  <c r="BC116" i="21"/>
  <c r="G116" i="21" s="1"/>
  <c r="F116" i="21" s="1"/>
  <c r="BC103" i="21"/>
  <c r="G103" i="21" s="1"/>
  <c r="F103" i="21" s="1"/>
  <c r="BB103" i="21"/>
  <c r="AB103" i="21"/>
  <c r="BC101" i="21"/>
  <c r="G101" i="21" s="1"/>
  <c r="F101" i="21" s="1"/>
  <c r="BB101" i="21"/>
  <c r="AB101" i="21"/>
  <c r="BC137" i="21"/>
  <c r="G137" i="21" s="1"/>
  <c r="F137" i="21" s="1"/>
  <c r="AB137" i="21"/>
  <c r="BB137" i="21"/>
  <c r="AU79" i="21"/>
  <c r="D25" i="21"/>
  <c r="AX84" i="21"/>
  <c r="AZ84" i="21" s="1"/>
  <c r="BB84" i="21" s="1"/>
  <c r="AW84" i="21"/>
  <c r="AY84" i="21" s="1"/>
  <c r="BA84" i="21" s="1"/>
  <c r="AX90" i="21"/>
  <c r="AZ90" i="21" s="1"/>
  <c r="BB90" i="21" s="1"/>
  <c r="AW90" i="21"/>
  <c r="AY90" i="21" s="1"/>
  <c r="BA90" i="21" s="1"/>
  <c r="BB120" i="21"/>
  <c r="AB120" i="21"/>
  <c r="BC120" i="21"/>
  <c r="G120" i="21" s="1"/>
  <c r="F120" i="21" s="1"/>
  <c r="BC105" i="21"/>
  <c r="G105" i="21" s="1"/>
  <c r="F105" i="21" s="1"/>
  <c r="BB105" i="21"/>
  <c r="AB105" i="21"/>
  <c r="BB102" i="21"/>
  <c r="AB102" i="21"/>
  <c r="BC102" i="21"/>
  <c r="G102" i="21" s="1"/>
  <c r="F102" i="21" s="1"/>
  <c r="BB136" i="21"/>
  <c r="AB136" i="21"/>
  <c r="BC136" i="21"/>
  <c r="G136" i="21" s="1"/>
  <c r="F136" i="21" s="1"/>
  <c r="BC115" i="21"/>
  <c r="G115" i="21" s="1"/>
  <c r="F115" i="21" s="1"/>
  <c r="BB115" i="21"/>
  <c r="AB115" i="21"/>
  <c r="BB121" i="21"/>
  <c r="AB121" i="21"/>
  <c r="BC121" i="21"/>
  <c r="G121" i="21" s="1"/>
  <c r="F121" i="21" s="1"/>
  <c r="BC123" i="21"/>
  <c r="G123" i="21" s="1"/>
  <c r="F123" i="21" s="1"/>
  <c r="BB123" i="21"/>
  <c r="AB123" i="21"/>
  <c r="BB122" i="21"/>
  <c r="AB122" i="21"/>
  <c r="BC122" i="21"/>
  <c r="G122" i="21" s="1"/>
  <c r="F122" i="21" s="1"/>
  <c r="BC117" i="21"/>
  <c r="G117" i="21" s="1"/>
  <c r="F117" i="21" s="1"/>
  <c r="BB117" i="21"/>
  <c r="AB117" i="21"/>
  <c r="BB104" i="21"/>
  <c r="AB104" i="21"/>
  <c r="BC104" i="21"/>
  <c r="G104" i="21" s="1"/>
  <c r="F104" i="21" s="1"/>
  <c r="S111" i="21"/>
  <c r="T110" i="21"/>
  <c r="R111" i="21" s="1"/>
  <c r="AX80" i="21"/>
  <c r="AZ80" i="21" s="1"/>
  <c r="BB80" i="21" s="1"/>
  <c r="AW80" i="21"/>
  <c r="AY80" i="21" s="1"/>
  <c r="BA80" i="21" s="1"/>
  <c r="AX89" i="21"/>
  <c r="AZ89" i="21" s="1"/>
  <c r="BB89" i="21" s="1"/>
  <c r="AW89" i="21"/>
  <c r="AY89" i="21" s="1"/>
  <c r="BA89" i="21" s="1"/>
  <c r="AX88" i="21"/>
  <c r="AZ88" i="21" s="1"/>
  <c r="BB88" i="21" s="1"/>
  <c r="AW88" i="21"/>
  <c r="AY88" i="21" s="1"/>
  <c r="BA88" i="21" s="1"/>
  <c r="BC113" i="21"/>
  <c r="G113" i="21" s="1"/>
  <c r="F113" i="21" s="1"/>
  <c r="BB113" i="21"/>
  <c r="AB113" i="21"/>
  <c r="BB109" i="21"/>
  <c r="AB109" i="21"/>
  <c r="BC109" i="21"/>
  <c r="G109" i="21" s="1"/>
  <c r="F109" i="21" s="1"/>
  <c r="BB106" i="21"/>
  <c r="AB106" i="21"/>
  <c r="BC106" i="21"/>
  <c r="G106" i="21" s="1"/>
  <c r="F106" i="21" s="1"/>
  <c r="AX85" i="21"/>
  <c r="AZ85" i="21" s="1"/>
  <c r="BB85" i="21" s="1"/>
  <c r="AW85" i="21"/>
  <c r="AY85" i="21" s="1"/>
  <c r="BA85" i="21" s="1"/>
  <c r="AX86" i="21"/>
  <c r="AZ86" i="21" s="1"/>
  <c r="BB86" i="21" s="1"/>
  <c r="AW86" i="21"/>
  <c r="AY86" i="21" s="1"/>
  <c r="BA86" i="21" s="1"/>
  <c r="AX83" i="21"/>
  <c r="AZ83" i="21" s="1"/>
  <c r="BB83" i="21" s="1"/>
  <c r="AW83" i="21"/>
  <c r="AY83" i="21" s="1"/>
  <c r="BA83" i="21" s="1"/>
  <c r="BB107" i="21"/>
  <c r="AB107" i="21"/>
  <c r="BC107" i="21"/>
  <c r="G107" i="21" s="1"/>
  <c r="F107" i="21" s="1"/>
  <c r="BB108" i="21"/>
  <c r="AB108" i="21"/>
  <c r="BC108" i="21"/>
  <c r="G108" i="21" s="1"/>
  <c r="F108" i="21" s="1"/>
  <c r="BC119" i="21"/>
  <c r="G119" i="21" s="1"/>
  <c r="F119" i="21" s="1"/>
  <c r="BB119" i="21"/>
  <c r="AB119" i="21"/>
  <c r="S142" i="21"/>
  <c r="T141" i="21"/>
  <c r="R142" i="21" s="1"/>
  <c r="BB110" i="21"/>
  <c r="AB110" i="21"/>
  <c r="BC110" i="21"/>
  <c r="G110" i="21" s="1"/>
  <c r="F110" i="21" s="1"/>
  <c r="BB112" i="21"/>
  <c r="AB112" i="21"/>
  <c r="BC112" i="21"/>
  <c r="G112" i="21" s="1"/>
  <c r="F112" i="21" s="1"/>
  <c r="BB118" i="21"/>
  <c r="AB118" i="21"/>
  <c r="BC118" i="21"/>
  <c r="G118" i="21" s="1"/>
  <c r="F118" i="21" s="1"/>
  <c r="BG115" i="21"/>
  <c r="BB114" i="21"/>
  <c r="AB114" i="21"/>
  <c r="BC114" i="21"/>
  <c r="G114" i="21" s="1"/>
  <c r="F114" i="21" s="1"/>
  <c r="BC111" i="21"/>
  <c r="G111" i="21" s="1"/>
  <c r="F111" i="21" s="1"/>
  <c r="BB111" i="21"/>
  <c r="AB111" i="21"/>
  <c r="BB100" i="21"/>
  <c r="AB100" i="21"/>
  <c r="V94" i="20"/>
  <c r="R95" i="20"/>
  <c r="S96" i="20"/>
  <c r="T95" i="20"/>
  <c r="AS93" i="20"/>
  <c r="AE93" i="20"/>
  <c r="S128" i="20"/>
  <c r="T127" i="20"/>
  <c r="R128" i="20" s="1"/>
  <c r="BE97" i="20"/>
  <c r="AE128" i="27" l="1"/>
  <c r="AT128" i="27"/>
  <c r="R130" i="27"/>
  <c r="V129" i="27"/>
  <c r="BJ125" i="28"/>
  <c r="AS144" i="28"/>
  <c r="T146" i="28"/>
  <c r="S147" i="28"/>
  <c r="R146" i="28"/>
  <c r="V145" i="28"/>
  <c r="AS142" i="25"/>
  <c r="R144" i="25"/>
  <c r="V143" i="25"/>
  <c r="AT175" i="27"/>
  <c r="R177" i="27"/>
  <c r="V176" i="27"/>
  <c r="R175" i="26"/>
  <c r="V174" i="26"/>
  <c r="R144" i="24"/>
  <c r="V143" i="24"/>
  <c r="AS142" i="24"/>
  <c r="AH153" i="22"/>
  <c r="R155" i="22"/>
  <c r="V154" i="22"/>
  <c r="T177" i="27"/>
  <c r="S178" i="27"/>
  <c r="BK222" i="27"/>
  <c r="S131" i="27"/>
  <c r="T130" i="27"/>
  <c r="BK216" i="26"/>
  <c r="S176" i="26"/>
  <c r="T175" i="26"/>
  <c r="AT173" i="26"/>
  <c r="S130" i="26"/>
  <c r="T129" i="26"/>
  <c r="R130" i="26" s="1"/>
  <c r="T144" i="25"/>
  <c r="S145" i="25"/>
  <c r="BM184" i="25"/>
  <c r="BM184" i="24"/>
  <c r="T144" i="24"/>
  <c r="S145" i="24"/>
  <c r="AH157" i="23"/>
  <c r="T159" i="23"/>
  <c r="S160" i="23"/>
  <c r="AK210" i="23"/>
  <c r="V158" i="23"/>
  <c r="R159" i="23"/>
  <c r="AK207" i="22"/>
  <c r="T155" i="22"/>
  <c r="S156" i="22"/>
  <c r="D67" i="21"/>
  <c r="E12" i="21"/>
  <c r="BH115" i="21" s="1"/>
  <c r="BI115" i="21" s="1"/>
  <c r="E33" i="21"/>
  <c r="D12" i="21"/>
  <c r="D14" i="21"/>
  <c r="D33" i="21"/>
  <c r="BG116" i="21"/>
  <c r="S143" i="21"/>
  <c r="T142" i="21"/>
  <c r="R143" i="21" s="1"/>
  <c r="T111" i="21"/>
  <c r="R112" i="21" s="1"/>
  <c r="S112" i="21"/>
  <c r="AX79" i="21"/>
  <c r="AZ79" i="21" s="1"/>
  <c r="BB79" i="21" s="1"/>
  <c r="AW79" i="21"/>
  <c r="AY79" i="21" s="1"/>
  <c r="BA79" i="21" s="1"/>
  <c r="S129" i="20"/>
  <c r="T128" i="20"/>
  <c r="R129" i="20" s="1"/>
  <c r="AE94" i="20"/>
  <c r="AS94" i="20"/>
  <c r="V95" i="20"/>
  <c r="R96" i="20"/>
  <c r="BE98" i="20"/>
  <c r="S97" i="20"/>
  <c r="T96" i="20"/>
  <c r="AE129" i="27" l="1"/>
  <c r="AT129" i="27"/>
  <c r="R131" i="27"/>
  <c r="V130" i="27"/>
  <c r="R147" i="28"/>
  <c r="V146" i="28"/>
  <c r="BJ126" i="28"/>
  <c r="AS145" i="28"/>
  <c r="S148" i="28"/>
  <c r="T147" i="28"/>
  <c r="AS143" i="25"/>
  <c r="R145" i="25"/>
  <c r="V144" i="25"/>
  <c r="AT176" i="27"/>
  <c r="R178" i="27"/>
  <c r="V177" i="27"/>
  <c r="AT174" i="26"/>
  <c r="R176" i="26"/>
  <c r="V175" i="26"/>
  <c r="AS143" i="24"/>
  <c r="R145" i="24"/>
  <c r="V144" i="24"/>
  <c r="R156" i="22"/>
  <c r="V155" i="22"/>
  <c r="AH154" i="22"/>
  <c r="BK223" i="27"/>
  <c r="T178" i="27"/>
  <c r="S179" i="27"/>
  <c r="S132" i="27"/>
  <c r="T131" i="27"/>
  <c r="BK217" i="26"/>
  <c r="S131" i="26"/>
  <c r="T130" i="26"/>
  <c r="R131" i="26" s="1"/>
  <c r="S177" i="26"/>
  <c r="T176" i="26"/>
  <c r="BM185" i="25"/>
  <c r="T145" i="25"/>
  <c r="S146" i="25"/>
  <c r="BM185" i="24"/>
  <c r="S146" i="24"/>
  <c r="T145" i="24"/>
  <c r="R160" i="23"/>
  <c r="V159" i="23"/>
  <c r="AK211" i="23"/>
  <c r="AH158" i="23"/>
  <c r="S161" i="23"/>
  <c r="T160" i="23"/>
  <c r="AK208" i="22"/>
  <c r="S157" i="22"/>
  <c r="T156" i="22"/>
  <c r="S113" i="21"/>
  <c r="T112" i="21"/>
  <c r="R113" i="21" s="1"/>
  <c r="BG117" i="21"/>
  <c r="BH116" i="21"/>
  <c r="BI116" i="21" s="1"/>
  <c r="BU6" i="21"/>
  <c r="E14" i="21"/>
  <c r="CG39" i="21"/>
  <c r="CL6" i="21"/>
  <c r="BU39" i="21"/>
  <c r="BH100" i="21"/>
  <c r="BH101" i="21"/>
  <c r="BI101" i="21" s="1"/>
  <c r="BH102" i="21"/>
  <c r="BI102" i="21" s="1"/>
  <c r="BH103" i="21"/>
  <c r="BI103" i="21" s="1"/>
  <c r="BH104" i="21"/>
  <c r="BI104" i="21" s="1"/>
  <c r="BH105" i="21"/>
  <c r="BI105" i="21" s="1"/>
  <c r="BH106" i="21"/>
  <c r="BI106" i="21" s="1"/>
  <c r="BH107" i="21"/>
  <c r="BI107" i="21" s="1"/>
  <c r="BH108" i="21"/>
  <c r="BI108" i="21" s="1"/>
  <c r="BH109" i="21"/>
  <c r="BI109" i="21" s="1"/>
  <c r="BH110" i="21"/>
  <c r="BI110" i="21" s="1"/>
  <c r="BH111" i="21"/>
  <c r="BI111" i="21" s="1"/>
  <c r="BH112" i="21"/>
  <c r="BI112" i="21" s="1"/>
  <c r="BH113" i="21"/>
  <c r="BI113" i="21" s="1"/>
  <c r="BH114" i="21"/>
  <c r="BI114" i="21" s="1"/>
  <c r="S144" i="21"/>
  <c r="T143" i="21"/>
  <c r="R144" i="21" s="1"/>
  <c r="V96" i="20"/>
  <c r="R97" i="20"/>
  <c r="S98" i="20"/>
  <c r="T97" i="20"/>
  <c r="AS95" i="20"/>
  <c r="AE95" i="20"/>
  <c r="BE99" i="20"/>
  <c r="S130" i="20"/>
  <c r="T129" i="20"/>
  <c r="R130" i="20" s="1"/>
  <c r="AE130" i="27" l="1"/>
  <c r="AT130" i="27"/>
  <c r="R132" i="27"/>
  <c r="V131" i="27"/>
  <c r="BJ127" i="28"/>
  <c r="AS146" i="28"/>
  <c r="R148" i="28"/>
  <c r="V147" i="28"/>
  <c r="T148" i="28"/>
  <c r="S149" i="28"/>
  <c r="AS144" i="25"/>
  <c r="R146" i="25"/>
  <c r="V145" i="25"/>
  <c r="R179" i="27"/>
  <c r="V178" i="27"/>
  <c r="AT177" i="27"/>
  <c r="R177" i="26"/>
  <c r="V176" i="26"/>
  <c r="AT175" i="26"/>
  <c r="R146" i="24"/>
  <c r="V145" i="24"/>
  <c r="AS144" i="24"/>
  <c r="R157" i="22"/>
  <c r="V156" i="22"/>
  <c r="AH155" i="22"/>
  <c r="BK224" i="27"/>
  <c r="T179" i="27"/>
  <c r="S180" i="27"/>
  <c r="S133" i="27"/>
  <c r="T133" i="27" s="1"/>
  <c r="V133" i="27" s="1"/>
  <c r="T132" i="27"/>
  <c r="BK218" i="26"/>
  <c r="S178" i="26"/>
  <c r="T177" i="26"/>
  <c r="T131" i="26"/>
  <c r="R132" i="26" s="1"/>
  <c r="S132" i="26"/>
  <c r="T146" i="25"/>
  <c r="S147" i="25"/>
  <c r="BM186" i="25"/>
  <c r="BM186" i="24"/>
  <c r="S147" i="24"/>
  <c r="T146" i="24"/>
  <c r="AK212" i="23"/>
  <c r="AH159" i="23"/>
  <c r="T161" i="23"/>
  <c r="S162" i="23"/>
  <c r="V160" i="23"/>
  <c r="R161" i="23"/>
  <c r="AK209" i="22"/>
  <c r="T157" i="22"/>
  <c r="S158" i="22"/>
  <c r="CN6" i="21"/>
  <c r="CN39" i="21"/>
  <c r="BN6" i="21"/>
  <c r="BN39" i="21"/>
  <c r="BG118" i="21"/>
  <c r="BH117" i="21"/>
  <c r="BI117" i="21" s="1"/>
  <c r="BN64" i="21"/>
  <c r="BI100" i="21"/>
  <c r="BP3" i="21"/>
  <c r="CG3" i="21"/>
  <c r="S145" i="21"/>
  <c r="T144" i="21"/>
  <c r="R145" i="21" s="1"/>
  <c r="T113" i="21"/>
  <c r="R114" i="21" s="1"/>
  <c r="S114" i="21"/>
  <c r="V97" i="20"/>
  <c r="R98" i="20"/>
  <c r="T130" i="20"/>
  <c r="R131" i="20" s="1"/>
  <c r="S131" i="20"/>
  <c r="T98" i="20"/>
  <c r="R99" i="20" s="1"/>
  <c r="S99" i="20"/>
  <c r="BE100" i="20"/>
  <c r="AE96" i="20"/>
  <c r="AS96" i="20"/>
  <c r="AF96" i="20"/>
  <c r="R133" i="27" l="1"/>
  <c r="V132" i="27"/>
  <c r="AF114" i="27" s="1"/>
  <c r="AE131" i="27"/>
  <c r="AT131" i="27"/>
  <c r="AF121" i="27"/>
  <c r="AF133" i="27"/>
  <c r="AE133" i="27"/>
  <c r="AT133" i="27"/>
  <c r="T106" i="27"/>
  <c r="AF129" i="27"/>
  <c r="AF116" i="27"/>
  <c r="AF112" i="27"/>
  <c r="T149" i="28"/>
  <c r="S150" i="28"/>
  <c r="R149" i="28"/>
  <c r="V148" i="28"/>
  <c r="BJ128" i="28"/>
  <c r="AS147" i="28"/>
  <c r="R147" i="25"/>
  <c r="V146" i="25"/>
  <c r="AS145" i="25"/>
  <c r="R180" i="27"/>
  <c r="V179" i="27"/>
  <c r="AT178" i="27"/>
  <c r="R178" i="26"/>
  <c r="V177" i="26"/>
  <c r="AT176" i="26"/>
  <c r="R147" i="24"/>
  <c r="V146" i="24"/>
  <c r="AS145" i="24"/>
  <c r="R158" i="22"/>
  <c r="V157" i="22"/>
  <c r="AH156" i="22"/>
  <c r="T180" i="27"/>
  <c r="S181" i="27"/>
  <c r="BK225" i="27"/>
  <c r="BK219" i="26"/>
  <c r="T132" i="26"/>
  <c r="R133" i="26" s="1"/>
  <c r="S133" i="26"/>
  <c r="T133" i="26" s="1"/>
  <c r="S179" i="26"/>
  <c r="T178" i="26"/>
  <c r="BM187" i="25"/>
  <c r="T147" i="25"/>
  <c r="S148" i="25"/>
  <c r="BM187" i="24"/>
  <c r="S148" i="24"/>
  <c r="T147" i="24"/>
  <c r="S163" i="23"/>
  <c r="T162" i="23"/>
  <c r="AH160" i="23"/>
  <c r="AK213" i="23"/>
  <c r="V161" i="23"/>
  <c r="R162" i="23"/>
  <c r="AK210" i="22"/>
  <c r="T158" i="22"/>
  <c r="S159" i="22"/>
  <c r="BN3" i="21"/>
  <c r="BM39" i="21" s="1"/>
  <c r="D34" i="21" s="1"/>
  <c r="B68" i="21" s="1"/>
  <c r="CN3" i="21"/>
  <c r="CO39" i="21" s="1"/>
  <c r="E34" i="21" s="1"/>
  <c r="BH118" i="21"/>
  <c r="BI118" i="21" s="1"/>
  <c r="BG119" i="21"/>
  <c r="S115" i="21"/>
  <c r="T114" i="21"/>
  <c r="R115" i="21" s="1"/>
  <c r="S146" i="21"/>
  <c r="T145" i="21"/>
  <c r="R146" i="21" s="1"/>
  <c r="D70" i="21"/>
  <c r="D72" i="21"/>
  <c r="BE101" i="20"/>
  <c r="S132" i="20"/>
  <c r="T131" i="20"/>
  <c r="R132" i="20" s="1"/>
  <c r="T99" i="20"/>
  <c r="R100" i="20" s="1"/>
  <c r="S100" i="20"/>
  <c r="AS97" i="20"/>
  <c r="AE97" i="20"/>
  <c r="AF97" i="20"/>
  <c r="AF83" i="20"/>
  <c r="T79" i="20"/>
  <c r="AF86" i="20"/>
  <c r="AF85" i="20"/>
  <c r="AF84" i="20"/>
  <c r="AF87" i="20"/>
  <c r="AF88" i="20"/>
  <c r="AF91" i="20"/>
  <c r="AF93" i="20"/>
  <c r="AF92" i="20"/>
  <c r="AF94" i="20"/>
  <c r="AF95" i="20"/>
  <c r="AF89" i="20"/>
  <c r="AF90" i="20"/>
  <c r="AF113" i="27" l="1"/>
  <c r="AF127" i="27"/>
  <c r="AF122" i="27"/>
  <c r="AF120" i="27"/>
  <c r="AF115" i="27"/>
  <c r="AF131" i="27"/>
  <c r="AF130" i="27"/>
  <c r="AF123" i="27"/>
  <c r="AE132" i="27"/>
  <c r="AD114" i="27" s="1"/>
  <c r="AC114" i="27" s="1"/>
  <c r="AF132" i="27"/>
  <c r="AT132" i="27"/>
  <c r="AF111" i="27"/>
  <c r="AF117" i="27"/>
  <c r="AF124" i="27"/>
  <c r="AF119" i="27"/>
  <c r="AF126" i="27"/>
  <c r="AF128" i="27"/>
  <c r="AF118" i="27"/>
  <c r="AF110" i="27"/>
  <c r="AF125" i="27"/>
  <c r="BJ129" i="28"/>
  <c r="S151" i="28"/>
  <c r="T151" i="28" s="1"/>
  <c r="V151" i="28" s="1"/>
  <c r="T150" i="28"/>
  <c r="R150" i="28"/>
  <c r="V149" i="28"/>
  <c r="AS148" i="28"/>
  <c r="R181" i="27"/>
  <c r="V180" i="27"/>
  <c r="R148" i="25"/>
  <c r="V147" i="25"/>
  <c r="AS146" i="25"/>
  <c r="AT179" i="27"/>
  <c r="R179" i="26"/>
  <c r="V178" i="26"/>
  <c r="AT177" i="26"/>
  <c r="R148" i="24"/>
  <c r="V147" i="24"/>
  <c r="AS146" i="24"/>
  <c r="AH157" i="22"/>
  <c r="R159" i="22"/>
  <c r="V158" i="22"/>
  <c r="BK226" i="27"/>
  <c r="T181" i="27"/>
  <c r="S182" i="27"/>
  <c r="BK220" i="26"/>
  <c r="T179" i="26"/>
  <c r="S180" i="26"/>
  <c r="T148" i="25"/>
  <c r="S149" i="25"/>
  <c r="BM188" i="25"/>
  <c r="BM188" i="24"/>
  <c r="S149" i="24"/>
  <c r="T148" i="24"/>
  <c r="AK214" i="23"/>
  <c r="T163" i="23"/>
  <c r="S164" i="23"/>
  <c r="AH161" i="23"/>
  <c r="V162" i="23"/>
  <c r="R163" i="23"/>
  <c r="AK211" i="22"/>
  <c r="T159" i="22"/>
  <c r="S160" i="22"/>
  <c r="D28" i="21"/>
  <c r="S147" i="21"/>
  <c r="T146" i="21"/>
  <c r="R147" i="21" s="1"/>
  <c r="BG120" i="21"/>
  <c r="BH119" i="21"/>
  <c r="BI119" i="21" s="1"/>
  <c r="T115" i="21"/>
  <c r="R116" i="21" s="1"/>
  <c r="S116" i="21"/>
  <c r="D68" i="21"/>
  <c r="E28" i="21" s="1"/>
  <c r="E68" i="21"/>
  <c r="T100" i="20"/>
  <c r="R101" i="20" s="1"/>
  <c r="S101" i="20"/>
  <c r="T132" i="20"/>
  <c r="R133" i="20" s="1"/>
  <c r="S133" i="20"/>
  <c r="BE102" i="20"/>
  <c r="AD105" i="20"/>
  <c r="AC105" i="20" s="1"/>
  <c r="AD94" i="20"/>
  <c r="AC94" i="20" s="1"/>
  <c r="AD92" i="20"/>
  <c r="AC92" i="20" s="1"/>
  <c r="AD102" i="20"/>
  <c r="AC102" i="20" s="1"/>
  <c r="AD85" i="20"/>
  <c r="AC85" i="20" s="1"/>
  <c r="AD89" i="20"/>
  <c r="AC89" i="20" s="1"/>
  <c r="AD106" i="20"/>
  <c r="AC106" i="20" s="1"/>
  <c r="AD90" i="20"/>
  <c r="AC90" i="20" s="1"/>
  <c r="AD84" i="20"/>
  <c r="AC84" i="20" s="1"/>
  <c r="AD91" i="20"/>
  <c r="AC91" i="20" s="1"/>
  <c r="AD99" i="20"/>
  <c r="AC99" i="20" s="1"/>
  <c r="AD96" i="20"/>
  <c r="AC96" i="20" s="1"/>
  <c r="AD88" i="20"/>
  <c r="AC88" i="20" s="1"/>
  <c r="AD103" i="20"/>
  <c r="AC103" i="20" s="1"/>
  <c r="AD95" i="20"/>
  <c r="AC95" i="20" s="1"/>
  <c r="AD93" i="20"/>
  <c r="AC93" i="20" s="1"/>
  <c r="AD104" i="20"/>
  <c r="AC104" i="20" s="1"/>
  <c r="AD97" i="20"/>
  <c r="AC97" i="20" s="1"/>
  <c r="AD87" i="20"/>
  <c r="AC87" i="20" s="1"/>
  <c r="AD83" i="20"/>
  <c r="AC83" i="20" s="1"/>
  <c r="AD100" i="20"/>
  <c r="AC100" i="20" s="1"/>
  <c r="AD98" i="20"/>
  <c r="AC98" i="20" s="1"/>
  <c r="AD101" i="20"/>
  <c r="AC101" i="20" s="1"/>
  <c r="AD86" i="20"/>
  <c r="AC86" i="20" s="1"/>
  <c r="AD117" i="27" l="1"/>
  <c r="AC117" i="27" s="1"/>
  <c r="AD124" i="27"/>
  <c r="AC124" i="27" s="1"/>
  <c r="AD116" i="27"/>
  <c r="AC116" i="27" s="1"/>
  <c r="AD131" i="27"/>
  <c r="AC131" i="27" s="1"/>
  <c r="AD112" i="27"/>
  <c r="AC112" i="27" s="1"/>
  <c r="AD126" i="27"/>
  <c r="AC126" i="27" s="1"/>
  <c r="AD115" i="27"/>
  <c r="AC115" i="27" s="1"/>
  <c r="AD120" i="27"/>
  <c r="AC120" i="27" s="1"/>
  <c r="AD130" i="27"/>
  <c r="AC130" i="27" s="1"/>
  <c r="AD127" i="27"/>
  <c r="AC127" i="27" s="1"/>
  <c r="AD122" i="27"/>
  <c r="AC122" i="27" s="1"/>
  <c r="AD132" i="27"/>
  <c r="AC132" i="27" s="1"/>
  <c r="AD125" i="27"/>
  <c r="AC125" i="27" s="1"/>
  <c r="AD121" i="27"/>
  <c r="AC121" i="27" s="1"/>
  <c r="AD111" i="27"/>
  <c r="AC111" i="27" s="1"/>
  <c r="AD110" i="27"/>
  <c r="AC110" i="27" s="1"/>
  <c r="AD133" i="27"/>
  <c r="AC133" i="27" s="1"/>
  <c r="AD123" i="27"/>
  <c r="AC123" i="27" s="1"/>
  <c r="AD128" i="27"/>
  <c r="AC128" i="27" s="1"/>
  <c r="AD119" i="27"/>
  <c r="AC119" i="27" s="1"/>
  <c r="AD118" i="27"/>
  <c r="AC118" i="27" s="1"/>
  <c r="AD113" i="27"/>
  <c r="AC113" i="27" s="1"/>
  <c r="AD129" i="27"/>
  <c r="AC129" i="27" s="1"/>
  <c r="V150" i="28"/>
  <c r="AF131" i="28" s="1"/>
  <c r="AU131" i="28" s="1"/>
  <c r="R151" i="28"/>
  <c r="AS151" i="28"/>
  <c r="AF151" i="28"/>
  <c r="AU151" i="28" s="1"/>
  <c r="AS149" i="28"/>
  <c r="R182" i="27"/>
  <c r="V181" i="27"/>
  <c r="AT180" i="27"/>
  <c r="AS147" i="25"/>
  <c r="R149" i="25"/>
  <c r="V148" i="25"/>
  <c r="AT178" i="26"/>
  <c r="R180" i="26"/>
  <c r="V179" i="26"/>
  <c r="AF170" i="26" s="1"/>
  <c r="AV170" i="26" s="1"/>
  <c r="AS147" i="24"/>
  <c r="R149" i="24"/>
  <c r="V148" i="24"/>
  <c r="AH158" i="22"/>
  <c r="R160" i="22"/>
  <c r="V159" i="22"/>
  <c r="BK227" i="27"/>
  <c r="T182" i="27"/>
  <c r="S183" i="27"/>
  <c r="BK221" i="26"/>
  <c r="T180" i="26"/>
  <c r="R181" i="26" s="1"/>
  <c r="S181" i="26"/>
  <c r="BM189" i="25"/>
  <c r="T149" i="25"/>
  <c r="S150" i="25"/>
  <c r="BM189" i="24"/>
  <c r="S150" i="24"/>
  <c r="T149" i="24"/>
  <c r="AH162" i="23"/>
  <c r="S165" i="23"/>
  <c r="T165" i="23" s="1"/>
  <c r="V165" i="23" s="1"/>
  <c r="T164" i="23"/>
  <c r="AK215" i="23"/>
  <c r="R164" i="23"/>
  <c r="V163" i="23"/>
  <c r="AK212" i="22"/>
  <c r="T160" i="22"/>
  <c r="S161" i="22"/>
  <c r="T161" i="22" s="1"/>
  <c r="V161" i="22" s="1"/>
  <c r="S148" i="21"/>
  <c r="T147" i="21"/>
  <c r="R148" i="21" s="1"/>
  <c r="BH120" i="21"/>
  <c r="BI120" i="21" s="1"/>
  <c r="BG121" i="21"/>
  <c r="D27" i="21"/>
  <c r="B53" i="21" s="1"/>
  <c r="S117" i="21"/>
  <c r="T116" i="21"/>
  <c r="R117" i="21" s="1"/>
  <c r="D54" i="21"/>
  <c r="E53" i="21" s="1"/>
  <c r="AC82" i="20"/>
  <c r="AA83" i="20" s="1"/>
  <c r="S134" i="20"/>
  <c r="T133" i="20"/>
  <c r="R134" i="20" s="1"/>
  <c r="BE103" i="20"/>
  <c r="T101" i="20"/>
  <c r="R102" i="20" s="1"/>
  <c r="S102" i="20"/>
  <c r="AC109" i="27" l="1"/>
  <c r="AA110" i="27" s="1"/>
  <c r="AG143" i="27" s="1"/>
  <c r="AF128" i="28"/>
  <c r="AO117" i="28" s="1"/>
  <c r="AT117" i="28" s="1"/>
  <c r="AF149" i="28"/>
  <c r="AU149" i="28" s="1"/>
  <c r="AW149" i="28" s="1"/>
  <c r="AY149" i="28" s="1"/>
  <c r="AF136" i="28"/>
  <c r="AU136" i="28" s="1"/>
  <c r="AV136" i="28" s="1"/>
  <c r="AX136" i="28" s="1"/>
  <c r="AZ136" i="28" s="1"/>
  <c r="AF129" i="28"/>
  <c r="AU129" i="28" s="1"/>
  <c r="AF132" i="28"/>
  <c r="AU132" i="28" s="1"/>
  <c r="AW132" i="28" s="1"/>
  <c r="AY132" i="28" s="1"/>
  <c r="AF137" i="28"/>
  <c r="AU137" i="28" s="1"/>
  <c r="AW137" i="28" s="1"/>
  <c r="AY137" i="28" s="1"/>
  <c r="AF148" i="28"/>
  <c r="AU148" i="28" s="1"/>
  <c r="AW148" i="28" s="1"/>
  <c r="AY148" i="28" s="1"/>
  <c r="AF135" i="28"/>
  <c r="AU135" i="28" s="1"/>
  <c r="AW135" i="28" s="1"/>
  <c r="AY135" i="28" s="1"/>
  <c r="T124" i="28"/>
  <c r="AF130" i="28"/>
  <c r="AU130" i="28" s="1"/>
  <c r="AV130" i="28" s="1"/>
  <c r="AX130" i="28" s="1"/>
  <c r="AZ130" i="28" s="1"/>
  <c r="AF144" i="28"/>
  <c r="AU144" i="28" s="1"/>
  <c r="AV144" i="28" s="1"/>
  <c r="AX144" i="28" s="1"/>
  <c r="AZ144" i="28" s="1"/>
  <c r="AF133" i="28"/>
  <c r="AU133" i="28" s="1"/>
  <c r="AW133" i="28" s="1"/>
  <c r="AY133" i="28" s="1"/>
  <c r="AF138" i="28"/>
  <c r="AU138" i="28" s="1"/>
  <c r="AV138" i="28" s="1"/>
  <c r="AX138" i="28" s="1"/>
  <c r="AZ138" i="28" s="1"/>
  <c r="AF145" i="28"/>
  <c r="AU145" i="28" s="1"/>
  <c r="AV145" i="28" s="1"/>
  <c r="AX145" i="28" s="1"/>
  <c r="AZ145" i="28" s="1"/>
  <c r="AF140" i="28"/>
  <c r="AU140" i="28" s="1"/>
  <c r="AW140" i="28" s="1"/>
  <c r="AY140" i="28" s="1"/>
  <c r="AF134" i="28"/>
  <c r="AU134" i="28" s="1"/>
  <c r="AW134" i="28" s="1"/>
  <c r="AY134" i="28" s="1"/>
  <c r="AF147" i="28"/>
  <c r="AU147" i="28" s="1"/>
  <c r="AW147" i="28" s="1"/>
  <c r="AY147" i="28" s="1"/>
  <c r="AF139" i="28"/>
  <c r="AU139" i="28" s="1"/>
  <c r="AV139" i="28" s="1"/>
  <c r="AX139" i="28" s="1"/>
  <c r="AZ139" i="28" s="1"/>
  <c r="AF142" i="28"/>
  <c r="AU142" i="28" s="1"/>
  <c r="AW142" i="28" s="1"/>
  <c r="AY142" i="28" s="1"/>
  <c r="AF141" i="28"/>
  <c r="AU141" i="28" s="1"/>
  <c r="AW141" i="28" s="1"/>
  <c r="AY141" i="28" s="1"/>
  <c r="AU128" i="28"/>
  <c r="AO118" i="28"/>
  <c r="AT118" i="28" s="1"/>
  <c r="AO116" i="28"/>
  <c r="AT116" i="28" s="1"/>
  <c r="AO113" i="28"/>
  <c r="AT113" i="28" s="1"/>
  <c r="AO114" i="28"/>
  <c r="AT114" i="28" s="1"/>
  <c r="AO108" i="28"/>
  <c r="AT108" i="28" s="1"/>
  <c r="AO110" i="28"/>
  <c r="AT110" i="28" s="1"/>
  <c r="AO107" i="28"/>
  <c r="AO109" i="28"/>
  <c r="AT109" i="28" s="1"/>
  <c r="AO112" i="28"/>
  <c r="AT112" i="28" s="1"/>
  <c r="AW136" i="28"/>
  <c r="AY136" i="28" s="1"/>
  <c r="AW129" i="28"/>
  <c r="AY129" i="28" s="1"/>
  <c r="AV129" i="28"/>
  <c r="AX129" i="28" s="1"/>
  <c r="AZ129" i="28" s="1"/>
  <c r="AW151" i="28"/>
  <c r="AY151" i="28" s="1"/>
  <c r="AV151" i="28"/>
  <c r="AX151" i="28" s="1"/>
  <c r="AZ151" i="28" s="1"/>
  <c r="AW131" i="28"/>
  <c r="AY131" i="28" s="1"/>
  <c r="AV131" i="28"/>
  <c r="AX131" i="28" s="1"/>
  <c r="AZ131" i="28" s="1"/>
  <c r="AF150" i="28"/>
  <c r="AS150" i="28"/>
  <c r="AF143" i="28"/>
  <c r="AU143" i="28" s="1"/>
  <c r="AF146" i="28"/>
  <c r="AU146" i="28" s="1"/>
  <c r="AT181" i="27"/>
  <c r="R183" i="27"/>
  <c r="V182" i="27"/>
  <c r="R150" i="25"/>
  <c r="V149" i="25"/>
  <c r="AS148" i="25"/>
  <c r="AF179" i="26"/>
  <c r="AT179" i="26"/>
  <c r="AF175" i="26"/>
  <c r="AV175" i="26" s="1"/>
  <c r="AF173" i="26"/>
  <c r="AV173" i="26" s="1"/>
  <c r="AF166" i="26"/>
  <c r="AV166" i="26" s="1"/>
  <c r="AF177" i="26"/>
  <c r="AV177" i="26" s="1"/>
  <c r="AX170" i="26"/>
  <c r="AZ170" i="26" s="1"/>
  <c r="AW170" i="26"/>
  <c r="AY170" i="26" s="1"/>
  <c r="BA170" i="26" s="1"/>
  <c r="AF164" i="26"/>
  <c r="AF165" i="26"/>
  <c r="AV165" i="26" s="1"/>
  <c r="AF176" i="26"/>
  <c r="AV176" i="26" s="1"/>
  <c r="AF169" i="26"/>
  <c r="AV169" i="26" s="1"/>
  <c r="T160" i="26"/>
  <c r="AF178" i="26"/>
  <c r="AV178" i="26" s="1"/>
  <c r="AF172" i="26"/>
  <c r="AV172" i="26" s="1"/>
  <c r="AF171" i="26"/>
  <c r="AV171" i="26" s="1"/>
  <c r="AF167" i="26"/>
  <c r="AV167" i="26" s="1"/>
  <c r="AF174" i="26"/>
  <c r="AV174" i="26" s="1"/>
  <c r="AF168" i="26"/>
  <c r="AV168" i="26" s="1"/>
  <c r="R150" i="24"/>
  <c r="V149" i="24"/>
  <c r="AS148" i="24"/>
  <c r="R161" i="22"/>
  <c r="V160" i="22"/>
  <c r="X144" i="22" s="1"/>
  <c r="AI144" i="22" s="1"/>
  <c r="X161" i="22"/>
  <c r="AH161" i="22"/>
  <c r="AH159" i="22"/>
  <c r="T183" i="27"/>
  <c r="S184" i="27"/>
  <c r="BK228" i="27"/>
  <c r="BK222" i="26"/>
  <c r="T181" i="26"/>
  <c r="R182" i="26" s="1"/>
  <c r="S182" i="26"/>
  <c r="BM190" i="25"/>
  <c r="T150" i="25"/>
  <c r="S151" i="25"/>
  <c r="BM190" i="24"/>
  <c r="S151" i="24"/>
  <c r="T150" i="24"/>
  <c r="V164" i="23"/>
  <c r="X148" i="23" s="1"/>
  <c r="AI148" i="23" s="1"/>
  <c r="R165" i="23"/>
  <c r="X165" i="23"/>
  <c r="AH165" i="23"/>
  <c r="AH163" i="23"/>
  <c r="AK216" i="23"/>
  <c r="AK213" i="22"/>
  <c r="T117" i="21"/>
  <c r="R118" i="21" s="1"/>
  <c r="S118" i="21"/>
  <c r="BH121" i="21"/>
  <c r="BI121" i="21" s="1"/>
  <c r="BG122" i="21"/>
  <c r="S149" i="21"/>
  <c r="T148" i="21"/>
  <c r="R149" i="21" s="1"/>
  <c r="BE104" i="20"/>
  <c r="T102" i="20"/>
  <c r="R103" i="20" s="1"/>
  <c r="S103" i="20"/>
  <c r="T134" i="20"/>
  <c r="R135" i="20" s="1"/>
  <c r="S135" i="20"/>
  <c r="AO103" i="20"/>
  <c r="AT103" i="20" s="1"/>
  <c r="AO101" i="20"/>
  <c r="AT101" i="20" s="1"/>
  <c r="AO104" i="20"/>
  <c r="AT104" i="20" s="1"/>
  <c r="AO99" i="20"/>
  <c r="AT99" i="20" s="1"/>
  <c r="AO105" i="20"/>
  <c r="AT105" i="20" s="1"/>
  <c r="AO100" i="20"/>
  <c r="AT100" i="20" s="1"/>
  <c r="AO106" i="20"/>
  <c r="AT106" i="20" s="1"/>
  <c r="AO98" i="20"/>
  <c r="AT98" i="20" s="1"/>
  <c r="AO102" i="20"/>
  <c r="AT102" i="20" s="1"/>
  <c r="AO96" i="20"/>
  <c r="AT96" i="20" s="1"/>
  <c r="AO90" i="20"/>
  <c r="AT90" i="20" s="1"/>
  <c r="AO93" i="20"/>
  <c r="AT93" i="20" s="1"/>
  <c r="AO91" i="20"/>
  <c r="AT91" i="20" s="1"/>
  <c r="AO92" i="20"/>
  <c r="AT92" i="20" s="1"/>
  <c r="AO84" i="20"/>
  <c r="AT84" i="20" s="1"/>
  <c r="AO85" i="20"/>
  <c r="AT85" i="20" s="1"/>
  <c r="AO94" i="20"/>
  <c r="AT94" i="20" s="1"/>
  <c r="AO87" i="20"/>
  <c r="AT87" i="20" s="1"/>
  <c r="AO83" i="20"/>
  <c r="AO97" i="20"/>
  <c r="AT97" i="20" s="1"/>
  <c r="AO88" i="20"/>
  <c r="AT88" i="20" s="1"/>
  <c r="AO89" i="20"/>
  <c r="AT89" i="20" s="1"/>
  <c r="AO95" i="20"/>
  <c r="AT95" i="20" s="1"/>
  <c r="AO86" i="20"/>
  <c r="AT86" i="20" s="1"/>
  <c r="AV147" i="28" l="1"/>
  <c r="AX147" i="28" s="1"/>
  <c r="AZ147" i="28" s="1"/>
  <c r="AW144" i="28"/>
  <c r="AY144" i="28" s="1"/>
  <c r="AV142" i="28"/>
  <c r="AX142" i="28" s="1"/>
  <c r="AZ142" i="28" s="1"/>
  <c r="AV132" i="28"/>
  <c r="AX132" i="28" s="1"/>
  <c r="AZ132" i="28" s="1"/>
  <c r="AW138" i="28"/>
  <c r="AY138" i="28" s="1"/>
  <c r="AB138" i="28" s="1"/>
  <c r="AW139" i="28"/>
  <c r="AY139" i="28" s="1"/>
  <c r="AB139" i="28" s="1"/>
  <c r="AO111" i="28"/>
  <c r="AT111" i="28" s="1"/>
  <c r="AV111" i="28" s="1"/>
  <c r="AX111" i="28" s="1"/>
  <c r="AZ111" i="28" s="1"/>
  <c r="AO115" i="28"/>
  <c r="AT115" i="28" s="1"/>
  <c r="AV115" i="28" s="1"/>
  <c r="AX115" i="28" s="1"/>
  <c r="AZ115" i="28" s="1"/>
  <c r="AV141" i="28"/>
  <c r="AX141" i="28" s="1"/>
  <c r="AZ141" i="28" s="1"/>
  <c r="AV137" i="28"/>
  <c r="AX137" i="28" s="1"/>
  <c r="AZ137" i="28" s="1"/>
  <c r="AW130" i="28"/>
  <c r="AY130" i="28" s="1"/>
  <c r="BB130" i="28" s="1"/>
  <c r="G130" i="28" s="1"/>
  <c r="F130" i="28" s="1"/>
  <c r="AW145" i="28"/>
  <c r="AY145" i="28" s="1"/>
  <c r="BB145" i="28" s="1"/>
  <c r="G145" i="28" s="1"/>
  <c r="F145" i="28" s="1"/>
  <c r="AV133" i="28"/>
  <c r="AX133" i="28" s="1"/>
  <c r="AZ133" i="28" s="1"/>
  <c r="AV134" i="28"/>
  <c r="AX134" i="28" s="1"/>
  <c r="AZ134" i="28" s="1"/>
  <c r="AV135" i="28"/>
  <c r="AX135" i="28" s="1"/>
  <c r="AZ135" i="28" s="1"/>
  <c r="AV149" i="28"/>
  <c r="AX149" i="28" s="1"/>
  <c r="AZ149" i="28" s="1"/>
  <c r="AV148" i="28"/>
  <c r="AX148" i="28" s="1"/>
  <c r="AZ148" i="28" s="1"/>
  <c r="AV140" i="28"/>
  <c r="AX140" i="28" s="1"/>
  <c r="AZ140" i="28" s="1"/>
  <c r="AU150" i="28"/>
  <c r="AW150" i="28" s="1"/>
  <c r="AY150" i="28" s="1"/>
  <c r="AB148" i="28"/>
  <c r="BB148" i="28"/>
  <c r="G148" i="28" s="1"/>
  <c r="F148" i="28" s="1"/>
  <c r="BA148" i="28"/>
  <c r="BA134" i="28"/>
  <c r="AB134" i="28"/>
  <c r="BB134" i="28"/>
  <c r="G134" i="28" s="1"/>
  <c r="F134" i="28" s="1"/>
  <c r="BA144" i="28"/>
  <c r="AB144" i="28"/>
  <c r="BB144" i="28"/>
  <c r="G144" i="28" s="1"/>
  <c r="F144" i="28" s="1"/>
  <c r="BA136" i="28"/>
  <c r="AB136" i="28"/>
  <c r="BB136" i="28"/>
  <c r="G136" i="28" s="1"/>
  <c r="F136" i="28" s="1"/>
  <c r="AW112" i="28"/>
  <c r="AY112" i="28" s="1"/>
  <c r="BA112" i="28" s="1"/>
  <c r="AV112" i="28"/>
  <c r="AX112" i="28" s="1"/>
  <c r="AZ112" i="28" s="1"/>
  <c r="AW113" i="28"/>
  <c r="AY113" i="28" s="1"/>
  <c r="BA113" i="28" s="1"/>
  <c r="AV113" i="28"/>
  <c r="AX113" i="28" s="1"/>
  <c r="AZ113" i="28" s="1"/>
  <c r="BA132" i="28"/>
  <c r="AB132" i="28"/>
  <c r="BB132" i="28"/>
  <c r="G132" i="28" s="1"/>
  <c r="F132" i="28" s="1"/>
  <c r="AB131" i="28"/>
  <c r="BB131" i="28"/>
  <c r="G131" i="28" s="1"/>
  <c r="F131" i="28" s="1"/>
  <c r="BA131" i="28"/>
  <c r="BA140" i="28"/>
  <c r="BB140" i="28"/>
  <c r="G140" i="28" s="1"/>
  <c r="F140" i="28" s="1"/>
  <c r="AB140" i="28"/>
  <c r="AB135" i="28"/>
  <c r="BB135" i="28"/>
  <c r="G135" i="28" s="1"/>
  <c r="F135" i="28" s="1"/>
  <c r="BA135" i="28"/>
  <c r="AW109" i="28"/>
  <c r="AY109" i="28" s="1"/>
  <c r="BA109" i="28" s="1"/>
  <c r="AV109" i="28"/>
  <c r="AX109" i="28" s="1"/>
  <c r="AZ109" i="28" s="1"/>
  <c r="AW116" i="28"/>
  <c r="AY116" i="28" s="1"/>
  <c r="BA116" i="28" s="1"/>
  <c r="AV116" i="28"/>
  <c r="AX116" i="28" s="1"/>
  <c r="AZ116" i="28" s="1"/>
  <c r="BB139" i="28"/>
  <c r="G139" i="28" s="1"/>
  <c r="F139" i="28" s="1"/>
  <c r="C9" i="28"/>
  <c r="AT107" i="28"/>
  <c r="AW118" i="28"/>
  <c r="AY118" i="28" s="1"/>
  <c r="BA118" i="28" s="1"/>
  <c r="AV118" i="28"/>
  <c r="AX118" i="28" s="1"/>
  <c r="AZ118" i="28" s="1"/>
  <c r="BA138" i="28"/>
  <c r="AB141" i="28"/>
  <c r="BA141" i="28"/>
  <c r="BB141" i="28"/>
  <c r="G141" i="28" s="1"/>
  <c r="F141" i="28" s="1"/>
  <c r="BB151" i="28"/>
  <c r="G151" i="28" s="1"/>
  <c r="F151" i="28" s="1"/>
  <c r="BA151" i="28"/>
  <c r="AB151" i="28"/>
  <c r="BA149" i="28"/>
  <c r="AB149" i="28"/>
  <c r="BB149" i="28"/>
  <c r="G149" i="28" s="1"/>
  <c r="F149" i="28" s="1"/>
  <c r="AW117" i="28"/>
  <c r="AY117" i="28" s="1"/>
  <c r="BA117" i="28" s="1"/>
  <c r="AV117" i="28"/>
  <c r="AX117" i="28" s="1"/>
  <c r="AZ117" i="28" s="1"/>
  <c r="BA142" i="28"/>
  <c r="AB142" i="28"/>
  <c r="BB142" i="28"/>
  <c r="G142" i="28" s="1"/>
  <c r="F142" i="28" s="1"/>
  <c r="AW110" i="28"/>
  <c r="AY110" i="28" s="1"/>
  <c r="BA110" i="28" s="1"/>
  <c r="AV110" i="28"/>
  <c r="AX110" i="28" s="1"/>
  <c r="AZ110" i="28" s="1"/>
  <c r="AW128" i="28"/>
  <c r="AY128" i="28" s="1"/>
  <c r="AV128" i="28"/>
  <c r="AX128" i="28" s="1"/>
  <c r="AZ128" i="28" s="1"/>
  <c r="AW143" i="28"/>
  <c r="AY143" i="28" s="1"/>
  <c r="AV143" i="28"/>
  <c r="AX143" i="28" s="1"/>
  <c r="AZ143" i="28" s="1"/>
  <c r="BA147" i="28"/>
  <c r="AB147" i="28"/>
  <c r="BB147" i="28"/>
  <c r="G147" i="28" s="1"/>
  <c r="F147" i="28" s="1"/>
  <c r="BB133" i="28"/>
  <c r="G133" i="28" s="1"/>
  <c r="F133" i="28" s="1"/>
  <c r="AB133" i="28"/>
  <c r="BA133" i="28"/>
  <c r="BA129" i="28"/>
  <c r="AB129" i="28"/>
  <c r="BB129" i="28"/>
  <c r="G129" i="28" s="1"/>
  <c r="F129" i="28" s="1"/>
  <c r="AW108" i="28"/>
  <c r="AY108" i="28" s="1"/>
  <c r="BA108" i="28" s="1"/>
  <c r="AV108" i="28"/>
  <c r="AX108" i="28" s="1"/>
  <c r="AZ108" i="28" s="1"/>
  <c r="AW146" i="28"/>
  <c r="AY146" i="28" s="1"/>
  <c r="AV146" i="28"/>
  <c r="AX146" i="28" s="1"/>
  <c r="AZ146" i="28" s="1"/>
  <c r="AW114" i="28"/>
  <c r="AY114" i="28" s="1"/>
  <c r="BA114" i="28" s="1"/>
  <c r="AV114" i="28"/>
  <c r="AX114" i="28" s="1"/>
  <c r="AZ114" i="28" s="1"/>
  <c r="BB137" i="28"/>
  <c r="G137" i="28" s="1"/>
  <c r="F137" i="28" s="1"/>
  <c r="BA137" i="28"/>
  <c r="AB137" i="28"/>
  <c r="R184" i="27"/>
  <c r="V183" i="27"/>
  <c r="AF178" i="27" s="1"/>
  <c r="AV178" i="27" s="1"/>
  <c r="AT182" i="27"/>
  <c r="C15" i="23"/>
  <c r="C5" i="23" s="1"/>
  <c r="AS149" i="25"/>
  <c r="R151" i="25"/>
  <c r="V150" i="25"/>
  <c r="AF137" i="25" s="1"/>
  <c r="AU137" i="25" s="1"/>
  <c r="AV179" i="26"/>
  <c r="AX179" i="26" s="1"/>
  <c r="AZ179" i="26" s="1"/>
  <c r="AX178" i="26"/>
  <c r="AZ178" i="26" s="1"/>
  <c r="AW178" i="26"/>
  <c r="AY178" i="26" s="1"/>
  <c r="BA178" i="26" s="1"/>
  <c r="BC170" i="26"/>
  <c r="G170" i="26" s="1"/>
  <c r="F170" i="26" s="1"/>
  <c r="BB170" i="26"/>
  <c r="AB170" i="26"/>
  <c r="AW173" i="26"/>
  <c r="AY173" i="26" s="1"/>
  <c r="BA173" i="26" s="1"/>
  <c r="AX173" i="26"/>
  <c r="AZ173" i="26" s="1"/>
  <c r="AX167" i="26"/>
  <c r="AZ167" i="26" s="1"/>
  <c r="AW167" i="26"/>
  <c r="AY167" i="26" s="1"/>
  <c r="BA167" i="26" s="1"/>
  <c r="AW175" i="26"/>
  <c r="AY175" i="26" s="1"/>
  <c r="BA175" i="26" s="1"/>
  <c r="AX175" i="26"/>
  <c r="AZ175" i="26" s="1"/>
  <c r="AW174" i="26"/>
  <c r="AY174" i="26" s="1"/>
  <c r="BA174" i="26" s="1"/>
  <c r="AX174" i="26"/>
  <c r="AZ174" i="26" s="1"/>
  <c r="AW171" i="26"/>
  <c r="AY171" i="26" s="1"/>
  <c r="BA171" i="26" s="1"/>
  <c r="AX171" i="26"/>
  <c r="AZ171" i="26" s="1"/>
  <c r="AX169" i="26"/>
  <c r="AZ169" i="26" s="1"/>
  <c r="AW169" i="26"/>
  <c r="AY169" i="26" s="1"/>
  <c r="BA169" i="26" s="1"/>
  <c r="AG164" i="26"/>
  <c r="AP150" i="26"/>
  <c r="AU150" i="26" s="1"/>
  <c r="AP153" i="26"/>
  <c r="AU153" i="26" s="1"/>
  <c r="AP144" i="26"/>
  <c r="AU144" i="26" s="1"/>
  <c r="AP151" i="26"/>
  <c r="AU151" i="26" s="1"/>
  <c r="AV164" i="26"/>
  <c r="AP148" i="26"/>
  <c r="AU148" i="26" s="1"/>
  <c r="AP147" i="26"/>
  <c r="AU147" i="26" s="1"/>
  <c r="AP143" i="26"/>
  <c r="AP145" i="26"/>
  <c r="AU145" i="26" s="1"/>
  <c r="AP154" i="26"/>
  <c r="AU154" i="26" s="1"/>
  <c r="AP146" i="26"/>
  <c r="AU146" i="26" s="1"/>
  <c r="AP149" i="26"/>
  <c r="AU149" i="26" s="1"/>
  <c r="AP152" i="26"/>
  <c r="AU152" i="26" s="1"/>
  <c r="AX177" i="26"/>
  <c r="AZ177" i="26" s="1"/>
  <c r="AW177" i="26"/>
  <c r="AY177" i="26" s="1"/>
  <c r="BA177" i="26" s="1"/>
  <c r="AW165" i="26"/>
  <c r="AY165" i="26" s="1"/>
  <c r="BA165" i="26" s="1"/>
  <c r="AX165" i="26"/>
  <c r="AZ165" i="26" s="1"/>
  <c r="AW168" i="26"/>
  <c r="AY168" i="26" s="1"/>
  <c r="BA168" i="26" s="1"/>
  <c r="AX168" i="26"/>
  <c r="AZ168" i="26" s="1"/>
  <c r="AX172" i="26"/>
  <c r="AZ172" i="26" s="1"/>
  <c r="AW172" i="26"/>
  <c r="AY172" i="26" s="1"/>
  <c r="BA172" i="26" s="1"/>
  <c r="AW176" i="26"/>
  <c r="AY176" i="26" s="1"/>
  <c r="BA176" i="26" s="1"/>
  <c r="AX176" i="26"/>
  <c r="AZ176" i="26" s="1"/>
  <c r="AX166" i="26"/>
  <c r="AZ166" i="26" s="1"/>
  <c r="AW166" i="26"/>
  <c r="AY166" i="26" s="1"/>
  <c r="BA166" i="26" s="1"/>
  <c r="AS149" i="24"/>
  <c r="R151" i="24"/>
  <c r="V150" i="24"/>
  <c r="AF149" i="24" s="1"/>
  <c r="X153" i="23"/>
  <c r="AI153" i="23" s="1"/>
  <c r="X149" i="23"/>
  <c r="AI149" i="23" s="1"/>
  <c r="AJ149" i="23" s="1"/>
  <c r="AL149" i="23" s="1"/>
  <c r="AN149" i="23" s="1"/>
  <c r="X161" i="23"/>
  <c r="AI161" i="23" s="1"/>
  <c r="AJ161" i="23" s="1"/>
  <c r="AL161" i="23" s="1"/>
  <c r="AN161" i="23" s="1"/>
  <c r="X152" i="23"/>
  <c r="AI152" i="23" s="1"/>
  <c r="AJ152" i="23" s="1"/>
  <c r="AL152" i="23" s="1"/>
  <c r="AN152" i="23" s="1"/>
  <c r="X143" i="23"/>
  <c r="AI143" i="23" s="1"/>
  <c r="AK143" i="23" s="1"/>
  <c r="AM143" i="23" s="1"/>
  <c r="X139" i="22"/>
  <c r="AI139" i="22" s="1"/>
  <c r="AJ139" i="22" s="1"/>
  <c r="AL139" i="22" s="1"/>
  <c r="AN139" i="22" s="1"/>
  <c r="X142" i="22"/>
  <c r="AI142" i="22" s="1"/>
  <c r="AJ142" i="22" s="1"/>
  <c r="AL142" i="22" s="1"/>
  <c r="AN142" i="22" s="1"/>
  <c r="X154" i="22"/>
  <c r="AI154" i="22" s="1"/>
  <c r="AJ154" i="22" s="1"/>
  <c r="AL154" i="22" s="1"/>
  <c r="AN154" i="22" s="1"/>
  <c r="X143" i="22"/>
  <c r="AI143" i="22" s="1"/>
  <c r="AJ143" i="22" s="1"/>
  <c r="AL143" i="22" s="1"/>
  <c r="AN143" i="22" s="1"/>
  <c r="X151" i="22"/>
  <c r="AI151" i="22" s="1"/>
  <c r="AJ151" i="22" s="1"/>
  <c r="AL151" i="22" s="1"/>
  <c r="AN151" i="22" s="1"/>
  <c r="X155" i="23"/>
  <c r="AI155" i="23" s="1"/>
  <c r="AK155" i="23" s="1"/>
  <c r="AM155" i="23" s="1"/>
  <c r="AI165" i="23"/>
  <c r="AK165" i="23" s="1"/>
  <c r="AM165" i="23" s="1"/>
  <c r="X156" i="22"/>
  <c r="AI156" i="22" s="1"/>
  <c r="AJ156" i="22" s="1"/>
  <c r="AL156" i="22" s="1"/>
  <c r="AN156" i="22" s="1"/>
  <c r="X147" i="22"/>
  <c r="AI147" i="22" s="1"/>
  <c r="AK147" i="22" s="1"/>
  <c r="AM147" i="22" s="1"/>
  <c r="X146" i="22"/>
  <c r="AI146" i="22" s="1"/>
  <c r="AJ146" i="22" s="1"/>
  <c r="AL146" i="22" s="1"/>
  <c r="AN146" i="22" s="1"/>
  <c r="X153" i="22"/>
  <c r="AI153" i="22" s="1"/>
  <c r="AJ153" i="22" s="1"/>
  <c r="AL153" i="22" s="1"/>
  <c r="AN153" i="22" s="1"/>
  <c r="X145" i="22"/>
  <c r="AI145" i="22" s="1"/>
  <c r="AJ145" i="22" s="1"/>
  <c r="AL145" i="22" s="1"/>
  <c r="AN145" i="22" s="1"/>
  <c r="X141" i="22"/>
  <c r="AI141" i="22" s="1"/>
  <c r="AJ141" i="22" s="1"/>
  <c r="AL141" i="22" s="1"/>
  <c r="AN141" i="22" s="1"/>
  <c r="X148" i="22"/>
  <c r="AI148" i="22" s="1"/>
  <c r="AJ148" i="22" s="1"/>
  <c r="AL148" i="22" s="1"/>
  <c r="AN148" i="22" s="1"/>
  <c r="X155" i="22"/>
  <c r="AI155" i="22" s="1"/>
  <c r="AK155" i="22" s="1"/>
  <c r="AM155" i="22" s="1"/>
  <c r="X160" i="22"/>
  <c r="AH160" i="22"/>
  <c r="X140" i="22"/>
  <c r="AI140" i="22" s="1"/>
  <c r="X159" i="22"/>
  <c r="AI159" i="22" s="1"/>
  <c r="X149" i="22"/>
  <c r="AI149" i="22" s="1"/>
  <c r="C15" i="22"/>
  <c r="X138" i="22"/>
  <c r="AI138" i="22" s="1"/>
  <c r="X150" i="22"/>
  <c r="AI150" i="22" s="1"/>
  <c r="AI161" i="22"/>
  <c r="X152" i="22"/>
  <c r="AI152" i="22" s="1"/>
  <c r="AK144" i="22"/>
  <c r="AM144" i="22" s="1"/>
  <c r="AJ144" i="22"/>
  <c r="AL144" i="22" s="1"/>
  <c r="AN144" i="22" s="1"/>
  <c r="X157" i="22"/>
  <c r="AI157" i="22" s="1"/>
  <c r="X158" i="22"/>
  <c r="AI158" i="22" s="1"/>
  <c r="BK229" i="27"/>
  <c r="S185" i="27"/>
  <c r="T184" i="27"/>
  <c r="R185" i="27" s="1"/>
  <c r="BK223" i="26"/>
  <c r="T182" i="26"/>
  <c r="R183" i="26" s="1"/>
  <c r="S183" i="26"/>
  <c r="S152" i="25"/>
  <c r="T151" i="25"/>
  <c r="R152" i="25" s="1"/>
  <c r="BM191" i="25"/>
  <c r="BM191" i="24"/>
  <c r="S152" i="24"/>
  <c r="T151" i="24"/>
  <c r="R152" i="24" s="1"/>
  <c r="AK217" i="23"/>
  <c r="X164" i="23"/>
  <c r="AH164" i="23"/>
  <c r="X156" i="23"/>
  <c r="AI156" i="23" s="1"/>
  <c r="X158" i="23"/>
  <c r="AI158" i="23" s="1"/>
  <c r="X157" i="23"/>
  <c r="AI157" i="23" s="1"/>
  <c r="X162" i="23"/>
  <c r="AI162" i="23" s="1"/>
  <c r="X159" i="23"/>
  <c r="AI159" i="23" s="1"/>
  <c r="X163" i="23"/>
  <c r="AI163" i="23" s="1"/>
  <c r="X151" i="23"/>
  <c r="AI151" i="23" s="1"/>
  <c r="X146" i="23"/>
  <c r="AI146" i="23" s="1"/>
  <c r="X144" i="23"/>
  <c r="AI144" i="23" s="1"/>
  <c r="AK148" i="23"/>
  <c r="AM148" i="23" s="1"/>
  <c r="AJ148" i="23"/>
  <c r="AL148" i="23" s="1"/>
  <c r="AN148" i="23" s="1"/>
  <c r="X145" i="23"/>
  <c r="AI145" i="23" s="1"/>
  <c r="X160" i="23"/>
  <c r="AI160" i="23" s="1"/>
  <c r="X154" i="23"/>
  <c r="AI154" i="23" s="1"/>
  <c r="X150" i="23"/>
  <c r="AI150" i="23" s="1"/>
  <c r="X147" i="23"/>
  <c r="AI147" i="23" s="1"/>
  <c r="X142" i="23"/>
  <c r="AI142" i="23" s="1"/>
  <c r="AK153" i="23"/>
  <c r="AM153" i="23" s="1"/>
  <c r="AJ153" i="23"/>
  <c r="AL153" i="23" s="1"/>
  <c r="AN153" i="23" s="1"/>
  <c r="AK214" i="22"/>
  <c r="BH122" i="21"/>
  <c r="BI122" i="21" s="1"/>
  <c r="BG123" i="21"/>
  <c r="BH123" i="21" s="1"/>
  <c r="S119" i="21"/>
  <c r="T118" i="21"/>
  <c r="R119" i="21" s="1"/>
  <c r="S150" i="21"/>
  <c r="T149" i="21"/>
  <c r="R150" i="21" s="1"/>
  <c r="AW89" i="20"/>
  <c r="AY89" i="20" s="1"/>
  <c r="AV89" i="20"/>
  <c r="AX89" i="20" s="1"/>
  <c r="AZ89" i="20" s="1"/>
  <c r="AW87" i="20"/>
  <c r="AY87" i="20" s="1"/>
  <c r="AV87" i="20"/>
  <c r="AX87" i="20" s="1"/>
  <c r="AZ87" i="20" s="1"/>
  <c r="AW92" i="20"/>
  <c r="AY92" i="20" s="1"/>
  <c r="AV92" i="20"/>
  <c r="AX92" i="20" s="1"/>
  <c r="AZ92" i="20" s="1"/>
  <c r="AW96" i="20"/>
  <c r="AY96" i="20" s="1"/>
  <c r="AV96" i="20"/>
  <c r="AX96" i="20" s="1"/>
  <c r="AZ96" i="20" s="1"/>
  <c r="AW100" i="20"/>
  <c r="AY100" i="20" s="1"/>
  <c r="AV100" i="20"/>
  <c r="AX100" i="20" s="1"/>
  <c r="AZ100" i="20" s="1"/>
  <c r="AW101" i="20"/>
  <c r="AY101" i="20" s="1"/>
  <c r="AV101" i="20"/>
  <c r="AX101" i="20" s="1"/>
  <c r="AZ101" i="20" s="1"/>
  <c r="S104" i="20"/>
  <c r="T103" i="20"/>
  <c r="R104" i="20" s="1"/>
  <c r="AW88" i="20"/>
  <c r="AY88" i="20" s="1"/>
  <c r="AV88" i="20"/>
  <c r="AX88" i="20" s="1"/>
  <c r="AZ88" i="20" s="1"/>
  <c r="AW94" i="20"/>
  <c r="AY94" i="20" s="1"/>
  <c r="AV94" i="20"/>
  <c r="AX94" i="20" s="1"/>
  <c r="AZ94" i="20" s="1"/>
  <c r="AW91" i="20"/>
  <c r="AY91" i="20" s="1"/>
  <c r="AV91" i="20"/>
  <c r="AX91" i="20" s="1"/>
  <c r="AZ91" i="20" s="1"/>
  <c r="AW102" i="20"/>
  <c r="AY102" i="20" s="1"/>
  <c r="AV102" i="20"/>
  <c r="AX102" i="20" s="1"/>
  <c r="AZ102" i="20" s="1"/>
  <c r="AW105" i="20"/>
  <c r="AY105" i="20" s="1"/>
  <c r="AV105" i="20"/>
  <c r="AX105" i="20" s="1"/>
  <c r="AZ105" i="20" s="1"/>
  <c r="AW103" i="20"/>
  <c r="AY103" i="20" s="1"/>
  <c r="AV103" i="20"/>
  <c r="AX103" i="20" s="1"/>
  <c r="AZ103" i="20" s="1"/>
  <c r="AW86" i="20"/>
  <c r="AY86" i="20" s="1"/>
  <c r="AV86" i="20"/>
  <c r="AX86" i="20" s="1"/>
  <c r="AZ86" i="20" s="1"/>
  <c r="AW97" i="20"/>
  <c r="AY97" i="20" s="1"/>
  <c r="AV97" i="20"/>
  <c r="AX97" i="20" s="1"/>
  <c r="AZ97" i="20" s="1"/>
  <c r="AW85" i="20"/>
  <c r="AY85" i="20" s="1"/>
  <c r="AV85" i="20"/>
  <c r="AX85" i="20" s="1"/>
  <c r="AZ85" i="20" s="1"/>
  <c r="AW93" i="20"/>
  <c r="AY93" i="20" s="1"/>
  <c r="AV93" i="20"/>
  <c r="AX93" i="20" s="1"/>
  <c r="AZ93" i="20" s="1"/>
  <c r="AW98" i="20"/>
  <c r="AY98" i="20" s="1"/>
  <c r="AV98" i="20"/>
  <c r="AX98" i="20" s="1"/>
  <c r="AZ98" i="20" s="1"/>
  <c r="AW99" i="20"/>
  <c r="AY99" i="20" s="1"/>
  <c r="AV99" i="20"/>
  <c r="AX99" i="20" s="1"/>
  <c r="AZ99" i="20" s="1"/>
  <c r="S136" i="20"/>
  <c r="T135" i="20"/>
  <c r="R136" i="20" s="1"/>
  <c r="AW95" i="20"/>
  <c r="AY95" i="20" s="1"/>
  <c r="AV95" i="20"/>
  <c r="AX95" i="20" s="1"/>
  <c r="AZ95" i="20" s="1"/>
  <c r="AT83" i="20"/>
  <c r="D24" i="20"/>
  <c r="AW84" i="20"/>
  <c r="AY84" i="20" s="1"/>
  <c r="AV84" i="20"/>
  <c r="AX84" i="20" s="1"/>
  <c r="AZ84" i="20" s="1"/>
  <c r="AW90" i="20"/>
  <c r="AY90" i="20" s="1"/>
  <c r="AV90" i="20"/>
  <c r="AX90" i="20" s="1"/>
  <c r="AZ90" i="20" s="1"/>
  <c r="AW106" i="20"/>
  <c r="AY106" i="20" s="1"/>
  <c r="AV106" i="20"/>
  <c r="AX106" i="20" s="1"/>
  <c r="AZ106" i="20" s="1"/>
  <c r="AW104" i="20"/>
  <c r="AY104" i="20" s="1"/>
  <c r="AV104" i="20"/>
  <c r="AX104" i="20" s="1"/>
  <c r="AZ104" i="20" s="1"/>
  <c r="BE105" i="20"/>
  <c r="BB138" i="28" l="1"/>
  <c r="G138" i="28" s="1"/>
  <c r="F138" i="28" s="1"/>
  <c r="BA139" i="28"/>
  <c r="D3" i="23"/>
  <c r="C10" i="23"/>
  <c r="D10" i="23"/>
  <c r="C3" i="23"/>
  <c r="AW115" i="28"/>
  <c r="AY115" i="28" s="1"/>
  <c r="BA115" i="28" s="1"/>
  <c r="BA130" i="28"/>
  <c r="AK149" i="23"/>
  <c r="AM149" i="23" s="1"/>
  <c r="AB145" i="28"/>
  <c r="AB130" i="28"/>
  <c r="AW111" i="28"/>
  <c r="AY111" i="28" s="1"/>
  <c r="BA111" i="28" s="1"/>
  <c r="BA145" i="28"/>
  <c r="AV150" i="28"/>
  <c r="AX150" i="28" s="1"/>
  <c r="AZ150" i="28" s="1"/>
  <c r="D22" i="28"/>
  <c r="C5" i="28"/>
  <c r="C3" i="28"/>
  <c r="D3" i="28"/>
  <c r="C22" i="28"/>
  <c r="BA146" i="28"/>
  <c r="AB146" i="28"/>
  <c r="BB146" i="28"/>
  <c r="G146" i="28" s="1"/>
  <c r="F146" i="28" s="1"/>
  <c r="AB143" i="28"/>
  <c r="BA143" i="28"/>
  <c r="BB143" i="28"/>
  <c r="G143" i="28" s="1"/>
  <c r="F143" i="28" s="1"/>
  <c r="BA128" i="28"/>
  <c r="AB128" i="28"/>
  <c r="AW107" i="28"/>
  <c r="AY107" i="28" s="1"/>
  <c r="BA107" i="28" s="1"/>
  <c r="AV107" i="28"/>
  <c r="AX107" i="28" s="1"/>
  <c r="AZ107" i="28" s="1"/>
  <c r="BA150" i="28"/>
  <c r="AB150" i="28"/>
  <c r="BB150" i="28"/>
  <c r="G150" i="28" s="1"/>
  <c r="F150" i="28" s="1"/>
  <c r="AW179" i="26"/>
  <c r="AY179" i="26" s="1"/>
  <c r="BA179" i="26" s="1"/>
  <c r="AF173" i="27"/>
  <c r="AV173" i="27" s="1"/>
  <c r="AW173" i="27" s="1"/>
  <c r="AY173" i="27" s="1"/>
  <c r="BA173" i="27" s="1"/>
  <c r="AF166" i="27"/>
  <c r="AV166" i="27" s="1"/>
  <c r="AW166" i="27" s="1"/>
  <c r="AY166" i="27" s="1"/>
  <c r="BA166" i="27" s="1"/>
  <c r="T160" i="27"/>
  <c r="AF167" i="27"/>
  <c r="AV167" i="27" s="1"/>
  <c r="AW167" i="27" s="1"/>
  <c r="AY167" i="27" s="1"/>
  <c r="BA167" i="27" s="1"/>
  <c r="AF179" i="27"/>
  <c r="AV179" i="27" s="1"/>
  <c r="AX179" i="27" s="1"/>
  <c r="AZ179" i="27" s="1"/>
  <c r="AF174" i="27"/>
  <c r="AV174" i="27" s="1"/>
  <c r="AX174" i="27" s="1"/>
  <c r="AZ174" i="27" s="1"/>
  <c r="AF169" i="27"/>
  <c r="AV169" i="27" s="1"/>
  <c r="AX169" i="27" s="1"/>
  <c r="AZ169" i="27" s="1"/>
  <c r="AF172" i="27"/>
  <c r="AV172" i="27" s="1"/>
  <c r="AX172" i="27" s="1"/>
  <c r="AZ172" i="27" s="1"/>
  <c r="AF164" i="27"/>
  <c r="AP143" i="27" s="1"/>
  <c r="AF181" i="27"/>
  <c r="AV181" i="27" s="1"/>
  <c r="AW181" i="27" s="1"/>
  <c r="AY181" i="27" s="1"/>
  <c r="BA181" i="27" s="1"/>
  <c r="AF180" i="27"/>
  <c r="AV180" i="27" s="1"/>
  <c r="AW180" i="27" s="1"/>
  <c r="AY180" i="27" s="1"/>
  <c r="BA180" i="27" s="1"/>
  <c r="AF165" i="27"/>
  <c r="AV165" i="27" s="1"/>
  <c r="AX165" i="27" s="1"/>
  <c r="AZ165" i="27" s="1"/>
  <c r="AF182" i="27"/>
  <c r="AV182" i="27" s="1"/>
  <c r="AF183" i="27"/>
  <c r="AT183" i="27"/>
  <c r="AF171" i="27"/>
  <c r="AV171" i="27" s="1"/>
  <c r="AF176" i="27"/>
  <c r="AV176" i="27" s="1"/>
  <c r="AF177" i="27"/>
  <c r="AV177" i="27" s="1"/>
  <c r="AF170" i="27"/>
  <c r="AV170" i="27" s="1"/>
  <c r="AF168" i="27"/>
  <c r="AV168" i="27" s="1"/>
  <c r="AW174" i="27"/>
  <c r="AY174" i="27" s="1"/>
  <c r="BA174" i="27" s="1"/>
  <c r="AW178" i="27"/>
  <c r="AY178" i="27" s="1"/>
  <c r="BA178" i="27" s="1"/>
  <c r="AX178" i="27"/>
  <c r="AZ178" i="27" s="1"/>
  <c r="AF175" i="27"/>
  <c r="AV175" i="27" s="1"/>
  <c r="AK146" i="22"/>
  <c r="AM146" i="22" s="1"/>
  <c r="AO146" i="22" s="1"/>
  <c r="AK142" i="22"/>
  <c r="AM142" i="22" s="1"/>
  <c r="AK148" i="22"/>
  <c r="AM148" i="22" s="1"/>
  <c r="W148" i="22" s="1"/>
  <c r="AV137" i="25"/>
  <c r="AX137" i="25" s="1"/>
  <c r="AZ137" i="25" s="1"/>
  <c r="AW137" i="25"/>
  <c r="AY137" i="25" s="1"/>
  <c r="AF150" i="25"/>
  <c r="AS150" i="25"/>
  <c r="AF143" i="25"/>
  <c r="AU143" i="25" s="1"/>
  <c r="AF138" i="25"/>
  <c r="AU138" i="25" s="1"/>
  <c r="AF139" i="25"/>
  <c r="AU139" i="25" s="1"/>
  <c r="AF133" i="25"/>
  <c r="AU133" i="25" s="1"/>
  <c r="AF131" i="25"/>
  <c r="AF141" i="25"/>
  <c r="AU141" i="25" s="1"/>
  <c r="AF135" i="25"/>
  <c r="AU135" i="25" s="1"/>
  <c r="AF136" i="25"/>
  <c r="AU136" i="25" s="1"/>
  <c r="AF142" i="25"/>
  <c r="AU142" i="25" s="1"/>
  <c r="T127" i="25"/>
  <c r="AF132" i="25"/>
  <c r="AU132" i="25" s="1"/>
  <c r="AF146" i="25"/>
  <c r="AU146" i="25" s="1"/>
  <c r="AF144" i="25"/>
  <c r="AU144" i="25" s="1"/>
  <c r="AF147" i="25"/>
  <c r="AU147" i="25" s="1"/>
  <c r="AF148" i="25"/>
  <c r="AU148" i="25" s="1"/>
  <c r="AF145" i="25"/>
  <c r="AU145" i="25" s="1"/>
  <c r="AF140" i="25"/>
  <c r="AU140" i="25" s="1"/>
  <c r="AF149" i="25"/>
  <c r="AU149" i="25" s="1"/>
  <c r="AF134" i="25"/>
  <c r="AU134" i="25" s="1"/>
  <c r="AJ155" i="23"/>
  <c r="AL155" i="23" s="1"/>
  <c r="AN155" i="23" s="1"/>
  <c r="AK161" i="23"/>
  <c r="AM161" i="23" s="1"/>
  <c r="AP161" i="23" s="1"/>
  <c r="G161" i="23" s="1"/>
  <c r="F161" i="23" s="1"/>
  <c r="AB176" i="26"/>
  <c r="BB176" i="26"/>
  <c r="BC176" i="26"/>
  <c r="G176" i="26" s="1"/>
  <c r="F176" i="26" s="1"/>
  <c r="AW152" i="26"/>
  <c r="AY152" i="26" s="1"/>
  <c r="BA152" i="26" s="1"/>
  <c r="AX152" i="26"/>
  <c r="AZ152" i="26" s="1"/>
  <c r="BB152" i="26" s="1"/>
  <c r="AX150" i="26"/>
  <c r="AZ150" i="26" s="1"/>
  <c r="BB150" i="26" s="1"/>
  <c r="AW150" i="26"/>
  <c r="AY150" i="26" s="1"/>
  <c r="BA150" i="26" s="1"/>
  <c r="BC175" i="26"/>
  <c r="G175" i="26" s="1"/>
  <c r="F175" i="26" s="1"/>
  <c r="BB175" i="26"/>
  <c r="AB175" i="26"/>
  <c r="BB179" i="26"/>
  <c r="AB179" i="26"/>
  <c r="BC179" i="26"/>
  <c r="G179" i="26" s="1"/>
  <c r="F179" i="26" s="1"/>
  <c r="AW149" i="26"/>
  <c r="AY149" i="26" s="1"/>
  <c r="BA149" i="26" s="1"/>
  <c r="AX149" i="26"/>
  <c r="AZ149" i="26" s="1"/>
  <c r="BB149" i="26" s="1"/>
  <c r="AU143" i="26"/>
  <c r="AT158" i="26"/>
  <c r="AW151" i="26"/>
  <c r="AY151" i="26" s="1"/>
  <c r="BA151" i="26" s="1"/>
  <c r="AX151" i="26"/>
  <c r="AZ151" i="26" s="1"/>
  <c r="BB151" i="26" s="1"/>
  <c r="AP121" i="26"/>
  <c r="AU121" i="26" s="1"/>
  <c r="AP116" i="26"/>
  <c r="AU116" i="26" s="1"/>
  <c r="AP112" i="26"/>
  <c r="AU112" i="26" s="1"/>
  <c r="AP124" i="26"/>
  <c r="AU124" i="26" s="1"/>
  <c r="AP120" i="26"/>
  <c r="AU120" i="26" s="1"/>
  <c r="AP117" i="26"/>
  <c r="AU117" i="26" s="1"/>
  <c r="AP114" i="26"/>
  <c r="AU114" i="26" s="1"/>
  <c r="AP130" i="26"/>
  <c r="AU130" i="26" s="1"/>
  <c r="AP127" i="26"/>
  <c r="AU127" i="26" s="1"/>
  <c r="AP123" i="26"/>
  <c r="AU123" i="26" s="1"/>
  <c r="AP132" i="26"/>
  <c r="AU132" i="26" s="1"/>
  <c r="AP115" i="26"/>
  <c r="AU115" i="26" s="1"/>
  <c r="AP128" i="26"/>
  <c r="AU128" i="26" s="1"/>
  <c r="AP113" i="26"/>
  <c r="AU113" i="26" s="1"/>
  <c r="AP111" i="26"/>
  <c r="AU111" i="26" s="1"/>
  <c r="AP133" i="26"/>
  <c r="AU133" i="26" s="1"/>
  <c r="AP131" i="26"/>
  <c r="AU131" i="26" s="1"/>
  <c r="AP118" i="26"/>
  <c r="AU118" i="26" s="1"/>
  <c r="AP126" i="26"/>
  <c r="AU126" i="26" s="1"/>
  <c r="AP122" i="26"/>
  <c r="AU122" i="26" s="1"/>
  <c r="AP129" i="26"/>
  <c r="AU129" i="26" s="1"/>
  <c r="AP110" i="26"/>
  <c r="AP119" i="26"/>
  <c r="AU119" i="26" s="1"/>
  <c r="AP125" i="26"/>
  <c r="AU125" i="26" s="1"/>
  <c r="AB173" i="26"/>
  <c r="BB173" i="26"/>
  <c r="BC173" i="26"/>
  <c r="G173" i="26" s="1"/>
  <c r="F173" i="26" s="1"/>
  <c r="AX164" i="26"/>
  <c r="AZ164" i="26" s="1"/>
  <c r="AW164" i="26"/>
  <c r="AY164" i="26" s="1"/>
  <c r="BA164" i="26" s="1"/>
  <c r="AB165" i="26"/>
  <c r="BC165" i="26"/>
  <c r="G165" i="26" s="1"/>
  <c r="F165" i="26" s="1"/>
  <c r="BB165" i="26"/>
  <c r="AX146" i="26"/>
  <c r="AZ146" i="26" s="1"/>
  <c r="BB146" i="26" s="1"/>
  <c r="AW146" i="26"/>
  <c r="AY146" i="26" s="1"/>
  <c r="BA146" i="26" s="1"/>
  <c r="AX147" i="26"/>
  <c r="AZ147" i="26" s="1"/>
  <c r="BB147" i="26" s="1"/>
  <c r="AW147" i="26"/>
  <c r="AY147" i="26" s="1"/>
  <c r="BA147" i="26" s="1"/>
  <c r="AX144" i="26"/>
  <c r="AZ144" i="26" s="1"/>
  <c r="BB144" i="26" s="1"/>
  <c r="AW144" i="26"/>
  <c r="AY144" i="26" s="1"/>
  <c r="BA144" i="26" s="1"/>
  <c r="BC174" i="26"/>
  <c r="G174" i="26" s="1"/>
  <c r="F174" i="26" s="1"/>
  <c r="BB174" i="26"/>
  <c r="AB174" i="26"/>
  <c r="AB168" i="26"/>
  <c r="BC168" i="26"/>
  <c r="G168" i="26" s="1"/>
  <c r="F168" i="26" s="1"/>
  <c r="BB168" i="26"/>
  <c r="AX145" i="26"/>
  <c r="AZ145" i="26" s="1"/>
  <c r="BB145" i="26" s="1"/>
  <c r="AW145" i="26"/>
  <c r="AY145" i="26" s="1"/>
  <c r="BA145" i="26" s="1"/>
  <c r="BC171" i="26"/>
  <c r="G171" i="26" s="1"/>
  <c r="F171" i="26" s="1"/>
  <c r="BB171" i="26"/>
  <c r="AB171" i="26"/>
  <c r="BC166" i="26"/>
  <c r="G166" i="26" s="1"/>
  <c r="F166" i="26" s="1"/>
  <c r="BB166" i="26"/>
  <c r="AB166" i="26"/>
  <c r="AB172" i="26"/>
  <c r="BB172" i="26"/>
  <c r="BC172" i="26"/>
  <c r="G172" i="26" s="1"/>
  <c r="F172" i="26" s="1"/>
  <c r="BB177" i="26"/>
  <c r="BC177" i="26"/>
  <c r="G177" i="26" s="1"/>
  <c r="F177" i="26" s="1"/>
  <c r="AB177" i="26"/>
  <c r="AW154" i="26"/>
  <c r="AY154" i="26" s="1"/>
  <c r="BA154" i="26" s="1"/>
  <c r="AX154" i="26"/>
  <c r="AZ154" i="26" s="1"/>
  <c r="BB154" i="26" s="1"/>
  <c r="AX148" i="26"/>
  <c r="AZ148" i="26" s="1"/>
  <c r="BB148" i="26" s="1"/>
  <c r="AW148" i="26"/>
  <c r="AY148" i="26" s="1"/>
  <c r="BA148" i="26" s="1"/>
  <c r="AX153" i="26"/>
  <c r="AZ153" i="26" s="1"/>
  <c r="BB153" i="26" s="1"/>
  <c r="AW153" i="26"/>
  <c r="AY153" i="26" s="1"/>
  <c r="BA153" i="26" s="1"/>
  <c r="AB169" i="26"/>
  <c r="BC169" i="26"/>
  <c r="G169" i="26" s="1"/>
  <c r="F169" i="26" s="1"/>
  <c r="BB169" i="26"/>
  <c r="BB167" i="26"/>
  <c r="AB167" i="26"/>
  <c r="BC167" i="26"/>
  <c r="G167" i="26" s="1"/>
  <c r="F167" i="26" s="1"/>
  <c r="BB178" i="26"/>
  <c r="BC178" i="26"/>
  <c r="G178" i="26" s="1"/>
  <c r="F178" i="26" s="1"/>
  <c r="AB178" i="26"/>
  <c r="AF135" i="24"/>
  <c r="AU135" i="24" s="1"/>
  <c r="AW135" i="24" s="1"/>
  <c r="AY135" i="24" s="1"/>
  <c r="AF146" i="24"/>
  <c r="AU146" i="24" s="1"/>
  <c r="AU149" i="24"/>
  <c r="AF147" i="24"/>
  <c r="AU147" i="24" s="1"/>
  <c r="AF138" i="24"/>
  <c r="AU138" i="24" s="1"/>
  <c r="AF150" i="24"/>
  <c r="AS150" i="24"/>
  <c r="AF137" i="24"/>
  <c r="AU137" i="24" s="1"/>
  <c r="AF141" i="24"/>
  <c r="AU141" i="24" s="1"/>
  <c r="AF134" i="24"/>
  <c r="AU134" i="24" s="1"/>
  <c r="AF143" i="24"/>
  <c r="AU143" i="24" s="1"/>
  <c r="AF139" i="24"/>
  <c r="AU139" i="24" s="1"/>
  <c r="AF144" i="24"/>
  <c r="AU144" i="24" s="1"/>
  <c r="AF132" i="24"/>
  <c r="AU132" i="24" s="1"/>
  <c r="AF142" i="24"/>
  <c r="AU142" i="24" s="1"/>
  <c r="AF131" i="24"/>
  <c r="AF136" i="24"/>
  <c r="AU136" i="24" s="1"/>
  <c r="T127" i="24"/>
  <c r="AF133" i="24"/>
  <c r="AU133" i="24" s="1"/>
  <c r="AF148" i="24"/>
  <c r="AU148" i="24" s="1"/>
  <c r="AF140" i="24"/>
  <c r="AU140" i="24" s="1"/>
  <c r="AF145" i="24"/>
  <c r="AU145" i="24" s="1"/>
  <c r="AK152" i="23"/>
  <c r="AM152" i="23" s="1"/>
  <c r="W152" i="23" s="1"/>
  <c r="AJ165" i="23"/>
  <c r="AL165" i="23" s="1"/>
  <c r="AN165" i="23" s="1"/>
  <c r="AJ143" i="23"/>
  <c r="AL143" i="23" s="1"/>
  <c r="AN143" i="23" s="1"/>
  <c r="AK139" i="22"/>
  <c r="AM139" i="22" s="1"/>
  <c r="W139" i="22" s="1"/>
  <c r="AK153" i="22"/>
  <c r="AM153" i="22" s="1"/>
  <c r="W153" i="22" s="1"/>
  <c r="AJ155" i="22"/>
  <c r="AL155" i="22" s="1"/>
  <c r="AN155" i="22" s="1"/>
  <c r="AK154" i="22"/>
  <c r="AM154" i="22" s="1"/>
  <c r="W154" i="22" s="1"/>
  <c r="AK151" i="22"/>
  <c r="AM151" i="22" s="1"/>
  <c r="AP151" i="22" s="1"/>
  <c r="G151" i="22" s="1"/>
  <c r="F151" i="22" s="1"/>
  <c r="AK143" i="22"/>
  <c r="AM143" i="22" s="1"/>
  <c r="AO143" i="22" s="1"/>
  <c r="AK145" i="22"/>
  <c r="AM145" i="22" s="1"/>
  <c r="AP145" i="22" s="1"/>
  <c r="G145" i="22" s="1"/>
  <c r="F145" i="22" s="1"/>
  <c r="AJ147" i="22"/>
  <c r="AL147" i="22" s="1"/>
  <c r="AN147" i="22" s="1"/>
  <c r="AK156" i="22"/>
  <c r="AM156" i="22" s="1"/>
  <c r="AP156" i="22" s="1"/>
  <c r="G156" i="22" s="1"/>
  <c r="F156" i="22" s="1"/>
  <c r="AI164" i="23"/>
  <c r="AJ164" i="23" s="1"/>
  <c r="AL164" i="23" s="1"/>
  <c r="AN164" i="23" s="1"/>
  <c r="AL216" i="23"/>
  <c r="AM216" i="23" s="1"/>
  <c r="AL191" i="23"/>
  <c r="AK141" i="22"/>
  <c r="AM141" i="22" s="1"/>
  <c r="AO141" i="22" s="1"/>
  <c r="AK159" i="22"/>
  <c r="AM159" i="22" s="1"/>
  <c r="AJ159" i="22"/>
  <c r="AL159" i="22" s="1"/>
  <c r="AN159" i="22" s="1"/>
  <c r="AO147" i="22"/>
  <c r="W147" i="22"/>
  <c r="AP147" i="22"/>
  <c r="G147" i="22" s="1"/>
  <c r="F147" i="22" s="1"/>
  <c r="AK138" i="22"/>
  <c r="AM138" i="22" s="1"/>
  <c r="AJ138" i="22"/>
  <c r="AL138" i="22" s="1"/>
  <c r="AN138" i="22" s="1"/>
  <c r="AK140" i="22"/>
  <c r="AM140" i="22" s="1"/>
  <c r="AJ140" i="22"/>
  <c r="AL140" i="22" s="1"/>
  <c r="AN140" i="22" s="1"/>
  <c r="AK158" i="22"/>
  <c r="AM158" i="22" s="1"/>
  <c r="AJ158" i="22"/>
  <c r="AL158" i="22" s="1"/>
  <c r="AN158" i="22" s="1"/>
  <c r="AJ152" i="22"/>
  <c r="AL152" i="22" s="1"/>
  <c r="AN152" i="22" s="1"/>
  <c r="AK152" i="22"/>
  <c r="AM152" i="22" s="1"/>
  <c r="C10" i="22"/>
  <c r="D3" i="22"/>
  <c r="AL214" i="22" s="1"/>
  <c r="AM214" i="22" s="1"/>
  <c r="C3" i="22"/>
  <c r="C5" i="22"/>
  <c r="D10" i="22"/>
  <c r="AP155" i="22"/>
  <c r="G155" i="22" s="1"/>
  <c r="F155" i="22" s="1"/>
  <c r="W155" i="22"/>
  <c r="AO155" i="22"/>
  <c r="AP142" i="22"/>
  <c r="G142" i="22" s="1"/>
  <c r="F142" i="22" s="1"/>
  <c r="W142" i="22"/>
  <c r="AO142" i="22"/>
  <c r="AJ150" i="22"/>
  <c r="AL150" i="22" s="1"/>
  <c r="AN150" i="22" s="1"/>
  <c r="AK150" i="22"/>
  <c r="AM150" i="22" s="1"/>
  <c r="AJ157" i="22"/>
  <c r="AL157" i="22" s="1"/>
  <c r="AN157" i="22" s="1"/>
  <c r="AK157" i="22"/>
  <c r="AM157" i="22" s="1"/>
  <c r="W144" i="22"/>
  <c r="AP144" i="22"/>
  <c r="G144" i="22" s="1"/>
  <c r="F144" i="22" s="1"/>
  <c r="AO144" i="22"/>
  <c r="AK161" i="22"/>
  <c r="AM161" i="22" s="1"/>
  <c r="AJ161" i="22"/>
  <c r="AL161" i="22" s="1"/>
  <c r="AN161" i="22" s="1"/>
  <c r="AP139" i="22"/>
  <c r="G139" i="22" s="1"/>
  <c r="F139" i="22" s="1"/>
  <c r="AK149" i="22"/>
  <c r="AM149" i="22" s="1"/>
  <c r="AJ149" i="22"/>
  <c r="AL149" i="22" s="1"/>
  <c r="AN149" i="22" s="1"/>
  <c r="AI160" i="22"/>
  <c r="T185" i="27"/>
  <c r="R186" i="27" s="1"/>
  <c r="S186" i="27"/>
  <c r="BK230" i="27"/>
  <c r="BK224" i="26"/>
  <c r="T183" i="26"/>
  <c r="R184" i="26" s="1"/>
  <c r="S184" i="26"/>
  <c r="BM192" i="25"/>
  <c r="T152" i="25"/>
  <c r="R153" i="25" s="1"/>
  <c r="S153" i="25"/>
  <c r="BM192" i="24"/>
  <c r="S153" i="24"/>
  <c r="T152" i="24"/>
  <c r="R153" i="24" s="1"/>
  <c r="AO165" i="23"/>
  <c r="AP165" i="23"/>
  <c r="G165" i="23" s="1"/>
  <c r="F165" i="23" s="1"/>
  <c r="W165" i="23"/>
  <c r="AP153" i="23"/>
  <c r="G153" i="23" s="1"/>
  <c r="F153" i="23" s="1"/>
  <c r="AO153" i="23"/>
  <c r="W153" i="23"/>
  <c r="AK154" i="23"/>
  <c r="AM154" i="23" s="1"/>
  <c r="AJ154" i="23"/>
  <c r="AL154" i="23" s="1"/>
  <c r="AN154" i="23" s="1"/>
  <c r="AK145" i="23"/>
  <c r="AM145" i="23" s="1"/>
  <c r="AJ145" i="23"/>
  <c r="AL145" i="23" s="1"/>
  <c r="AN145" i="23" s="1"/>
  <c r="W149" i="23"/>
  <c r="AP149" i="23"/>
  <c r="G149" i="23" s="1"/>
  <c r="F149" i="23" s="1"/>
  <c r="AO149" i="23"/>
  <c r="AK163" i="23"/>
  <c r="AM163" i="23" s="1"/>
  <c r="AJ163" i="23"/>
  <c r="AL163" i="23" s="1"/>
  <c r="AN163" i="23" s="1"/>
  <c r="AK158" i="23"/>
  <c r="AM158" i="23" s="1"/>
  <c r="AJ158" i="23"/>
  <c r="AL158" i="23" s="1"/>
  <c r="AN158" i="23" s="1"/>
  <c r="AO152" i="23"/>
  <c r="AK150" i="23"/>
  <c r="AM150" i="23" s="1"/>
  <c r="AJ150" i="23"/>
  <c r="AL150" i="23" s="1"/>
  <c r="AN150" i="23" s="1"/>
  <c r="AK151" i="23"/>
  <c r="AM151" i="23" s="1"/>
  <c r="AJ151" i="23"/>
  <c r="AL151" i="23" s="1"/>
  <c r="AN151" i="23" s="1"/>
  <c r="AK157" i="23"/>
  <c r="AM157" i="23" s="1"/>
  <c r="AJ157" i="23"/>
  <c r="AL157" i="23" s="1"/>
  <c r="AN157" i="23" s="1"/>
  <c r="AK160" i="23"/>
  <c r="AM160" i="23" s="1"/>
  <c r="AJ160" i="23"/>
  <c r="AL160" i="23" s="1"/>
  <c r="AN160" i="23" s="1"/>
  <c r="AK144" i="23"/>
  <c r="AM144" i="23" s="1"/>
  <c r="AJ144" i="23"/>
  <c r="AL144" i="23" s="1"/>
  <c r="AN144" i="23" s="1"/>
  <c r="AK159" i="23"/>
  <c r="AM159" i="23" s="1"/>
  <c r="AJ159" i="23"/>
  <c r="AL159" i="23" s="1"/>
  <c r="AN159" i="23" s="1"/>
  <c r="AK156" i="23"/>
  <c r="AM156" i="23" s="1"/>
  <c r="AJ156" i="23"/>
  <c r="AL156" i="23" s="1"/>
  <c r="AN156" i="23" s="1"/>
  <c r="AK142" i="23"/>
  <c r="AM142" i="23" s="1"/>
  <c r="AJ142" i="23"/>
  <c r="AL142" i="23" s="1"/>
  <c r="AN142" i="23" s="1"/>
  <c r="AK147" i="23"/>
  <c r="AM147" i="23" s="1"/>
  <c r="AJ147" i="23"/>
  <c r="AL147" i="23" s="1"/>
  <c r="AN147" i="23" s="1"/>
  <c r="AO148" i="23"/>
  <c r="W148" i="23"/>
  <c r="AP148" i="23"/>
  <c r="G148" i="23" s="1"/>
  <c r="F148" i="23" s="1"/>
  <c r="AP155" i="23"/>
  <c r="G155" i="23" s="1"/>
  <c r="F155" i="23" s="1"/>
  <c r="AO155" i="23"/>
  <c r="W155" i="23"/>
  <c r="AK146" i="23"/>
  <c r="AM146" i="23" s="1"/>
  <c r="AJ146" i="23"/>
  <c r="AL146" i="23" s="1"/>
  <c r="AN146" i="23" s="1"/>
  <c r="AK162" i="23"/>
  <c r="AM162" i="23" s="1"/>
  <c r="AJ162" i="23"/>
  <c r="AL162" i="23" s="1"/>
  <c r="AN162" i="23" s="1"/>
  <c r="CK54" i="23"/>
  <c r="CB57" i="23"/>
  <c r="D5" i="23"/>
  <c r="BM54" i="23"/>
  <c r="BM57" i="23"/>
  <c r="AL192" i="23"/>
  <c r="AM192" i="23" s="1"/>
  <c r="AL193" i="23"/>
  <c r="AM193" i="23" s="1"/>
  <c r="AL194" i="23"/>
  <c r="AM194" i="23" s="1"/>
  <c r="AL195" i="23"/>
  <c r="AM195" i="23" s="1"/>
  <c r="AL196" i="23"/>
  <c r="AM196" i="23" s="1"/>
  <c r="AL197" i="23"/>
  <c r="AM197" i="23" s="1"/>
  <c r="AL198" i="23"/>
  <c r="AM198" i="23" s="1"/>
  <c r="AL199" i="23"/>
  <c r="AM199" i="23" s="1"/>
  <c r="AL200" i="23"/>
  <c r="AM200" i="23" s="1"/>
  <c r="AL201" i="23"/>
  <c r="AM201" i="23" s="1"/>
  <c r="AL202" i="23"/>
  <c r="AM202" i="23" s="1"/>
  <c r="AL203" i="23"/>
  <c r="AM203" i="23" s="1"/>
  <c r="AL204" i="23"/>
  <c r="AM204" i="23" s="1"/>
  <c r="AL205" i="23"/>
  <c r="AM205" i="23" s="1"/>
  <c r="AL206" i="23"/>
  <c r="AM206" i="23" s="1"/>
  <c r="AL207" i="23"/>
  <c r="AM207" i="23" s="1"/>
  <c r="AL208" i="23"/>
  <c r="AM208" i="23" s="1"/>
  <c r="AL209" i="23"/>
  <c r="AM209" i="23" s="1"/>
  <c r="AL210" i="23"/>
  <c r="AM210" i="23" s="1"/>
  <c r="AL211" i="23"/>
  <c r="AM211" i="23" s="1"/>
  <c r="AL212" i="23"/>
  <c r="AM212" i="23" s="1"/>
  <c r="AL213" i="23"/>
  <c r="AM213" i="23" s="1"/>
  <c r="AL214" i="23"/>
  <c r="AM214" i="23" s="1"/>
  <c r="AL215" i="23"/>
  <c r="AM215" i="23" s="1"/>
  <c r="AP143" i="23"/>
  <c r="G143" i="23" s="1"/>
  <c r="F143" i="23" s="1"/>
  <c r="AO143" i="23"/>
  <c r="W143" i="23"/>
  <c r="AK218" i="23"/>
  <c r="AL217" i="23"/>
  <c r="AM217" i="23" s="1"/>
  <c r="AK215" i="22"/>
  <c r="T119" i="21"/>
  <c r="R120" i="21" s="1"/>
  <c r="S120" i="21"/>
  <c r="S151" i="21"/>
  <c r="T150" i="21"/>
  <c r="R151" i="21" s="1"/>
  <c r="BI123" i="21"/>
  <c r="BJ100" i="21" s="1"/>
  <c r="CO64" i="21"/>
  <c r="D66" i="20"/>
  <c r="F32" i="20"/>
  <c r="D50" i="20" s="1"/>
  <c r="D11" i="20"/>
  <c r="D13" i="20"/>
  <c r="E11" i="20"/>
  <c r="D32" i="20"/>
  <c r="BB104" i="20"/>
  <c r="G104" i="20" s="1"/>
  <c r="F104" i="20" s="1"/>
  <c r="AB104" i="20"/>
  <c r="BA104" i="20"/>
  <c r="AB90" i="20"/>
  <c r="BA90" i="20"/>
  <c r="BB90" i="20"/>
  <c r="G90" i="20" s="1"/>
  <c r="F90" i="20" s="1"/>
  <c r="AW83" i="20"/>
  <c r="AY83" i="20" s="1"/>
  <c r="AV83" i="20"/>
  <c r="AX83" i="20" s="1"/>
  <c r="AZ83" i="20" s="1"/>
  <c r="T136" i="20"/>
  <c r="R137" i="20" s="1"/>
  <c r="S137" i="20"/>
  <c r="BA98" i="20"/>
  <c r="BB98" i="20"/>
  <c r="G98" i="20" s="1"/>
  <c r="F98" i="20" s="1"/>
  <c r="AB98" i="20"/>
  <c r="BB85" i="20"/>
  <c r="G85" i="20" s="1"/>
  <c r="F85" i="20" s="1"/>
  <c r="AB85" i="20"/>
  <c r="BA85" i="20"/>
  <c r="BB86" i="20"/>
  <c r="G86" i="20" s="1"/>
  <c r="F86" i="20" s="1"/>
  <c r="BA86" i="20"/>
  <c r="AB86" i="20"/>
  <c r="BA105" i="20"/>
  <c r="AB105" i="20"/>
  <c r="BB105" i="20"/>
  <c r="G105" i="20" s="1"/>
  <c r="F105" i="20" s="1"/>
  <c r="BB91" i="20"/>
  <c r="G91" i="20" s="1"/>
  <c r="F91" i="20" s="1"/>
  <c r="BA91" i="20"/>
  <c r="AB91" i="20"/>
  <c r="BA88" i="20"/>
  <c r="BB88" i="20"/>
  <c r="G88" i="20" s="1"/>
  <c r="F88" i="20" s="1"/>
  <c r="AB88" i="20"/>
  <c r="BB101" i="20"/>
  <c r="G101" i="20" s="1"/>
  <c r="F101" i="20" s="1"/>
  <c r="BA101" i="20"/>
  <c r="AB101" i="20"/>
  <c r="BB96" i="20"/>
  <c r="G96" i="20" s="1"/>
  <c r="F96" i="20" s="1"/>
  <c r="BA96" i="20"/>
  <c r="AB96" i="20"/>
  <c r="BB87" i="20"/>
  <c r="G87" i="20" s="1"/>
  <c r="F87" i="20" s="1"/>
  <c r="AB87" i="20"/>
  <c r="BA87" i="20"/>
  <c r="BE106" i="20"/>
  <c r="BF105" i="20"/>
  <c r="BG105" i="20" s="1"/>
  <c r="BB106" i="20"/>
  <c r="G106" i="20" s="1"/>
  <c r="F106" i="20" s="1"/>
  <c r="BA106" i="20"/>
  <c r="AB106" i="20"/>
  <c r="AB84" i="20"/>
  <c r="BB84" i="20"/>
  <c r="G84" i="20" s="1"/>
  <c r="F84" i="20" s="1"/>
  <c r="BA84" i="20"/>
  <c r="BB95" i="20"/>
  <c r="G95" i="20" s="1"/>
  <c r="F95" i="20" s="1"/>
  <c r="BA95" i="20"/>
  <c r="AB95" i="20"/>
  <c r="BB99" i="20"/>
  <c r="G99" i="20" s="1"/>
  <c r="F99" i="20" s="1"/>
  <c r="BA99" i="20"/>
  <c r="AB99" i="20"/>
  <c r="BB93" i="20"/>
  <c r="G93" i="20" s="1"/>
  <c r="F93" i="20" s="1"/>
  <c r="AB93" i="20"/>
  <c r="BA93" i="20"/>
  <c r="BB97" i="20"/>
  <c r="G97" i="20" s="1"/>
  <c r="F97" i="20" s="1"/>
  <c r="BA97" i="20"/>
  <c r="AB97" i="20"/>
  <c r="BB103" i="20"/>
  <c r="G103" i="20" s="1"/>
  <c r="F103" i="20" s="1"/>
  <c r="BA103" i="20"/>
  <c r="AB103" i="20"/>
  <c r="BA102" i="20"/>
  <c r="AB102" i="20"/>
  <c r="BB102" i="20"/>
  <c r="G102" i="20" s="1"/>
  <c r="F102" i="20" s="1"/>
  <c r="BB94" i="20"/>
  <c r="G94" i="20" s="1"/>
  <c r="F94" i="20" s="1"/>
  <c r="BA94" i="20"/>
  <c r="AB94" i="20"/>
  <c r="T104" i="20"/>
  <c r="R105" i="20" s="1"/>
  <c r="S105" i="20"/>
  <c r="BA100" i="20"/>
  <c r="AB100" i="20"/>
  <c r="BB100" i="20"/>
  <c r="G100" i="20" s="1"/>
  <c r="F100" i="20" s="1"/>
  <c r="AB92" i="20"/>
  <c r="BB92" i="20"/>
  <c r="G92" i="20" s="1"/>
  <c r="F92" i="20" s="1"/>
  <c r="BA92" i="20"/>
  <c r="BB89" i="20"/>
  <c r="G89" i="20" s="1"/>
  <c r="F89" i="20" s="1"/>
  <c r="BA89" i="20"/>
  <c r="AB89" i="20"/>
  <c r="AP146" i="22" l="1"/>
  <c r="G146" i="22" s="1"/>
  <c r="F146" i="22" s="1"/>
  <c r="AX173" i="27"/>
  <c r="AZ173" i="27" s="1"/>
  <c r="AB173" i="27" s="1"/>
  <c r="AX166" i="27"/>
  <c r="AZ166" i="27" s="1"/>
  <c r="BC166" i="27" s="1"/>
  <c r="G166" i="27" s="1"/>
  <c r="F166" i="27" s="1"/>
  <c r="AP145" i="27"/>
  <c r="AU145" i="27" s="1"/>
  <c r="AW145" i="27" s="1"/>
  <c r="AY145" i="27" s="1"/>
  <c r="BA145" i="27" s="1"/>
  <c r="AP150" i="27"/>
  <c r="AU150" i="27" s="1"/>
  <c r="AW150" i="27" s="1"/>
  <c r="AY150" i="27" s="1"/>
  <c r="BA150" i="27" s="1"/>
  <c r="AP151" i="27"/>
  <c r="AU151" i="27" s="1"/>
  <c r="AW151" i="27" s="1"/>
  <c r="AY151" i="27" s="1"/>
  <c r="BA151" i="27" s="1"/>
  <c r="AP147" i="27"/>
  <c r="AU147" i="27" s="1"/>
  <c r="AX147" i="27" s="1"/>
  <c r="AZ147" i="27" s="1"/>
  <c r="BB147" i="27" s="1"/>
  <c r="AP152" i="27"/>
  <c r="AU152" i="27" s="1"/>
  <c r="AW152" i="27" s="1"/>
  <c r="AY152" i="27" s="1"/>
  <c r="BA152" i="27" s="1"/>
  <c r="AP149" i="27"/>
  <c r="AU149" i="27" s="1"/>
  <c r="AW149" i="27" s="1"/>
  <c r="AY149" i="27" s="1"/>
  <c r="BA149" i="27" s="1"/>
  <c r="AP153" i="27"/>
  <c r="AU153" i="27" s="1"/>
  <c r="AW153" i="27" s="1"/>
  <c r="AY153" i="27" s="1"/>
  <c r="BA153" i="27" s="1"/>
  <c r="AP146" i="27"/>
  <c r="AU146" i="27" s="1"/>
  <c r="AW146" i="27" s="1"/>
  <c r="AY146" i="27" s="1"/>
  <c r="BA146" i="27" s="1"/>
  <c r="AW179" i="27"/>
  <c r="AY179" i="27" s="1"/>
  <c r="BA179" i="27" s="1"/>
  <c r="AP148" i="22"/>
  <c r="G148" i="22" s="1"/>
  <c r="F148" i="22" s="1"/>
  <c r="W161" i="23"/>
  <c r="W146" i="22"/>
  <c r="AP144" i="27"/>
  <c r="AU144" i="27" s="1"/>
  <c r="AX144" i="27" s="1"/>
  <c r="AZ144" i="27" s="1"/>
  <c r="BB144" i="27" s="1"/>
  <c r="AX181" i="27"/>
  <c r="AZ181" i="27" s="1"/>
  <c r="BB181" i="27" s="1"/>
  <c r="AG164" i="27"/>
  <c r="AP115" i="27" s="1"/>
  <c r="AU115" i="27" s="1"/>
  <c r="AP148" i="27"/>
  <c r="AU148" i="27" s="1"/>
  <c r="AX148" i="27" s="1"/>
  <c r="AZ148" i="27" s="1"/>
  <c r="BB148" i="27" s="1"/>
  <c r="BK100" i="28"/>
  <c r="CJ68" i="28"/>
  <c r="CR31" i="28"/>
  <c r="D5" i="28"/>
  <c r="BK101" i="28"/>
  <c r="BL101" i="28" s="1"/>
  <c r="BX68" i="28"/>
  <c r="BX31" i="28"/>
  <c r="BK102" i="28"/>
  <c r="BL102" i="28" s="1"/>
  <c r="BK103" i="28"/>
  <c r="BL103" i="28" s="1"/>
  <c r="BK104" i="28"/>
  <c r="BL104" i="28" s="1"/>
  <c r="BK105" i="28"/>
  <c r="BL105" i="28" s="1"/>
  <c r="BK106" i="28"/>
  <c r="BL106" i="28" s="1"/>
  <c r="BK107" i="28"/>
  <c r="BL107" i="28" s="1"/>
  <c r="BK108" i="28"/>
  <c r="BL108" i="28" s="1"/>
  <c r="BK109" i="28"/>
  <c r="BL109" i="28" s="1"/>
  <c r="BK110" i="28"/>
  <c r="BL110" i="28" s="1"/>
  <c r="BK111" i="28"/>
  <c r="BL111" i="28" s="1"/>
  <c r="BK112" i="28"/>
  <c r="BL112" i="28" s="1"/>
  <c r="BK113" i="28"/>
  <c r="BL113" i="28" s="1"/>
  <c r="BK114" i="28"/>
  <c r="BL114" i="28" s="1"/>
  <c r="BK115" i="28"/>
  <c r="BL115" i="28" s="1"/>
  <c r="BK116" i="28"/>
  <c r="BL116" i="28" s="1"/>
  <c r="BK117" i="28"/>
  <c r="BL117" i="28" s="1"/>
  <c r="BK118" i="28"/>
  <c r="BL118" i="28" s="1"/>
  <c r="BK119" i="28"/>
  <c r="BL119" i="28" s="1"/>
  <c r="BK120" i="28"/>
  <c r="BL120" i="28" s="1"/>
  <c r="BK121" i="28"/>
  <c r="BL121" i="28" s="1"/>
  <c r="BK122" i="28"/>
  <c r="BL122" i="28" s="1"/>
  <c r="BK123" i="28"/>
  <c r="BL123" i="28" s="1"/>
  <c r="BK124" i="28"/>
  <c r="BL124" i="28" s="1"/>
  <c r="BK125" i="28"/>
  <c r="BL125" i="28" s="1"/>
  <c r="BK126" i="28"/>
  <c r="BL126" i="28" s="1"/>
  <c r="BK127" i="28"/>
  <c r="BL127" i="28" s="1"/>
  <c r="BK128" i="28"/>
  <c r="BL128" i="28" s="1"/>
  <c r="BK129" i="28"/>
  <c r="AO148" i="22"/>
  <c r="AX167" i="27"/>
  <c r="AZ167" i="27" s="1"/>
  <c r="BB167" i="27" s="1"/>
  <c r="AK164" i="23"/>
  <c r="AM164" i="23" s="1"/>
  <c r="AO164" i="23" s="1"/>
  <c r="AV183" i="27"/>
  <c r="AX183" i="27" s="1"/>
  <c r="AZ183" i="27" s="1"/>
  <c r="AW172" i="27"/>
  <c r="AY172" i="27" s="1"/>
  <c r="BA172" i="27" s="1"/>
  <c r="AW165" i="27"/>
  <c r="AY165" i="27" s="1"/>
  <c r="BA165" i="27" s="1"/>
  <c r="AW169" i="27"/>
  <c r="AY169" i="27" s="1"/>
  <c r="BA169" i="27" s="1"/>
  <c r="AX180" i="27"/>
  <c r="AZ180" i="27" s="1"/>
  <c r="AB180" i="27" s="1"/>
  <c r="AP154" i="27"/>
  <c r="AU154" i="27" s="1"/>
  <c r="AW154" i="27" s="1"/>
  <c r="AY154" i="27" s="1"/>
  <c r="BA154" i="27" s="1"/>
  <c r="AV164" i="27"/>
  <c r="AX164" i="27" s="1"/>
  <c r="AZ164" i="27" s="1"/>
  <c r="AX182" i="27"/>
  <c r="AZ182" i="27" s="1"/>
  <c r="AW182" i="27"/>
  <c r="AY182" i="27" s="1"/>
  <c r="BA182" i="27" s="1"/>
  <c r="AW170" i="27"/>
  <c r="AY170" i="27" s="1"/>
  <c r="BA170" i="27" s="1"/>
  <c r="AX170" i="27"/>
  <c r="AZ170" i="27" s="1"/>
  <c r="BB178" i="27"/>
  <c r="BC178" i="27"/>
  <c r="G178" i="27" s="1"/>
  <c r="F178" i="27" s="1"/>
  <c r="AB178" i="27"/>
  <c r="BC179" i="27"/>
  <c r="G179" i="27" s="1"/>
  <c r="F179" i="27" s="1"/>
  <c r="BB179" i="27"/>
  <c r="AB179" i="27"/>
  <c r="AW177" i="27"/>
  <c r="AY177" i="27" s="1"/>
  <c r="BA177" i="27" s="1"/>
  <c r="AX177" i="27"/>
  <c r="AZ177" i="27" s="1"/>
  <c r="BB166" i="27"/>
  <c r="AB166" i="27"/>
  <c r="AU143" i="27"/>
  <c r="AT158" i="27"/>
  <c r="BC174" i="27"/>
  <c r="G174" i="27" s="1"/>
  <c r="F174" i="27" s="1"/>
  <c r="AB174" i="27"/>
  <c r="BB174" i="27"/>
  <c r="AB172" i="27"/>
  <c r="BB172" i="27"/>
  <c r="BC172" i="27"/>
  <c r="G172" i="27" s="1"/>
  <c r="F172" i="27" s="1"/>
  <c r="BB165" i="27"/>
  <c r="BC165" i="27"/>
  <c r="G165" i="27" s="1"/>
  <c r="F165" i="27" s="1"/>
  <c r="AB165" i="27"/>
  <c r="AW176" i="27"/>
  <c r="AY176" i="27" s="1"/>
  <c r="BA176" i="27" s="1"/>
  <c r="AX176" i="27"/>
  <c r="AZ176" i="27" s="1"/>
  <c r="BC173" i="27"/>
  <c r="G173" i="27" s="1"/>
  <c r="F173" i="27" s="1"/>
  <c r="BC169" i="27"/>
  <c r="G169" i="27" s="1"/>
  <c r="F169" i="27" s="1"/>
  <c r="AB169" i="27"/>
  <c r="BB169" i="27"/>
  <c r="AX146" i="27"/>
  <c r="AZ146" i="27" s="1"/>
  <c r="BB146" i="27" s="1"/>
  <c r="AW175" i="27"/>
  <c r="AY175" i="27" s="1"/>
  <c r="BA175" i="27" s="1"/>
  <c r="AX175" i="27"/>
  <c r="AZ175" i="27" s="1"/>
  <c r="AX168" i="27"/>
  <c r="AZ168" i="27" s="1"/>
  <c r="AW168" i="27"/>
  <c r="AY168" i="27" s="1"/>
  <c r="BA168" i="27" s="1"/>
  <c r="AW171" i="27"/>
  <c r="AY171" i="27" s="1"/>
  <c r="BA171" i="27" s="1"/>
  <c r="AX171" i="27"/>
  <c r="AZ171" i="27" s="1"/>
  <c r="AP119" i="27"/>
  <c r="AU119" i="27" s="1"/>
  <c r="AP131" i="27"/>
  <c r="AU131" i="27" s="1"/>
  <c r="AP112" i="27"/>
  <c r="AU112" i="27" s="1"/>
  <c r="AP117" i="27"/>
  <c r="AU117" i="27" s="1"/>
  <c r="AX153" i="27"/>
  <c r="AZ153" i="27" s="1"/>
  <c r="BB153" i="27" s="1"/>
  <c r="AO161" i="23"/>
  <c r="AP152" i="23"/>
  <c r="G152" i="23" s="1"/>
  <c r="F152" i="23" s="1"/>
  <c r="AV149" i="25"/>
  <c r="AX149" i="25" s="1"/>
  <c r="AZ149" i="25" s="1"/>
  <c r="AW149" i="25"/>
  <c r="AY149" i="25" s="1"/>
  <c r="AW148" i="25"/>
  <c r="AY148" i="25" s="1"/>
  <c r="AV148" i="25"/>
  <c r="AX148" i="25" s="1"/>
  <c r="AZ148" i="25" s="1"/>
  <c r="AW135" i="25"/>
  <c r="AY135" i="25" s="1"/>
  <c r="AV135" i="25"/>
  <c r="AX135" i="25" s="1"/>
  <c r="AZ135" i="25" s="1"/>
  <c r="AW147" i="25"/>
  <c r="AY147" i="25" s="1"/>
  <c r="AV147" i="25"/>
  <c r="AX147" i="25" s="1"/>
  <c r="AZ147" i="25" s="1"/>
  <c r="AW141" i="25"/>
  <c r="AY141" i="25" s="1"/>
  <c r="AV141" i="25"/>
  <c r="AX141" i="25" s="1"/>
  <c r="AZ141" i="25" s="1"/>
  <c r="AV138" i="25"/>
  <c r="AX138" i="25" s="1"/>
  <c r="AZ138" i="25" s="1"/>
  <c r="AW138" i="25"/>
  <c r="AY138" i="25" s="1"/>
  <c r="AW134" i="25"/>
  <c r="AY134" i="25" s="1"/>
  <c r="AV134" i="25"/>
  <c r="AX134" i="25" s="1"/>
  <c r="AZ134" i="25" s="1"/>
  <c r="AV132" i="25"/>
  <c r="AX132" i="25" s="1"/>
  <c r="AZ132" i="25" s="1"/>
  <c r="AW132" i="25"/>
  <c r="AY132" i="25" s="1"/>
  <c r="AW139" i="25"/>
  <c r="AY139" i="25" s="1"/>
  <c r="AV139" i="25"/>
  <c r="AX139" i="25" s="1"/>
  <c r="AZ139" i="25" s="1"/>
  <c r="AV140" i="25"/>
  <c r="AX140" i="25" s="1"/>
  <c r="AZ140" i="25" s="1"/>
  <c r="AW140" i="25"/>
  <c r="AY140" i="25" s="1"/>
  <c r="AW144" i="25"/>
  <c r="AY144" i="25" s="1"/>
  <c r="AV144" i="25"/>
  <c r="AX144" i="25" s="1"/>
  <c r="AZ144" i="25" s="1"/>
  <c r="AV142" i="25"/>
  <c r="AX142" i="25" s="1"/>
  <c r="AZ142" i="25" s="1"/>
  <c r="AW142" i="25"/>
  <c r="AY142" i="25" s="1"/>
  <c r="AO121" i="25"/>
  <c r="AT121" i="25" s="1"/>
  <c r="AO110" i="25"/>
  <c r="AU131" i="25"/>
  <c r="AO119" i="25"/>
  <c r="AT119" i="25" s="1"/>
  <c r="AO111" i="25"/>
  <c r="AT111" i="25" s="1"/>
  <c r="AO113" i="25"/>
  <c r="AT113" i="25" s="1"/>
  <c r="AO116" i="25"/>
  <c r="AT116" i="25" s="1"/>
  <c r="AO118" i="25"/>
  <c r="AT118" i="25" s="1"/>
  <c r="AO117" i="25"/>
  <c r="AT117" i="25" s="1"/>
  <c r="AO120" i="25"/>
  <c r="AT120" i="25" s="1"/>
  <c r="AO114" i="25"/>
  <c r="AT114" i="25" s="1"/>
  <c r="AO115" i="25"/>
  <c r="AT115" i="25" s="1"/>
  <c r="AO112" i="25"/>
  <c r="AT112" i="25" s="1"/>
  <c r="AW143" i="25"/>
  <c r="AY143" i="25" s="1"/>
  <c r="AV143" i="25"/>
  <c r="AX143" i="25" s="1"/>
  <c r="AZ143" i="25" s="1"/>
  <c r="BA137" i="25"/>
  <c r="BB137" i="25"/>
  <c r="G137" i="25" s="1"/>
  <c r="F137" i="25" s="1"/>
  <c r="AB137" i="25"/>
  <c r="AV145" i="25"/>
  <c r="AX145" i="25" s="1"/>
  <c r="AZ145" i="25" s="1"/>
  <c r="AW145" i="25"/>
  <c r="AY145" i="25" s="1"/>
  <c r="AW146" i="25"/>
  <c r="AY146" i="25" s="1"/>
  <c r="AV146" i="25"/>
  <c r="AX146" i="25" s="1"/>
  <c r="AZ146" i="25" s="1"/>
  <c r="AW136" i="25"/>
  <c r="AY136" i="25" s="1"/>
  <c r="AV136" i="25"/>
  <c r="AX136" i="25" s="1"/>
  <c r="AZ136" i="25" s="1"/>
  <c r="AW133" i="25"/>
  <c r="AY133" i="25" s="1"/>
  <c r="AV133" i="25"/>
  <c r="AX133" i="25" s="1"/>
  <c r="AZ133" i="25" s="1"/>
  <c r="AU150" i="25"/>
  <c r="AW129" i="26"/>
  <c r="AY129" i="26" s="1"/>
  <c r="BA129" i="26" s="1"/>
  <c r="AX129" i="26"/>
  <c r="AZ129" i="26" s="1"/>
  <c r="AW128" i="26"/>
  <c r="AY128" i="26" s="1"/>
  <c r="BA128" i="26" s="1"/>
  <c r="AX128" i="26"/>
  <c r="AZ128" i="26" s="1"/>
  <c r="AX121" i="26"/>
  <c r="AZ121" i="26" s="1"/>
  <c r="AW121" i="26"/>
  <c r="AY121" i="26" s="1"/>
  <c r="BA121" i="26" s="1"/>
  <c r="AX125" i="26"/>
  <c r="AZ125" i="26" s="1"/>
  <c r="AW125" i="26"/>
  <c r="AY125" i="26" s="1"/>
  <c r="BA125" i="26" s="1"/>
  <c r="AX122" i="26"/>
  <c r="AZ122" i="26" s="1"/>
  <c r="AW122" i="26"/>
  <c r="AY122" i="26" s="1"/>
  <c r="BA122" i="26" s="1"/>
  <c r="AW133" i="26"/>
  <c r="AY133" i="26" s="1"/>
  <c r="BA133" i="26" s="1"/>
  <c r="AX133" i="26"/>
  <c r="AZ133" i="26" s="1"/>
  <c r="AX115" i="26"/>
  <c r="AZ115" i="26" s="1"/>
  <c r="AW115" i="26"/>
  <c r="AY115" i="26" s="1"/>
  <c r="BA115" i="26" s="1"/>
  <c r="AX130" i="26"/>
  <c r="AZ130" i="26" s="1"/>
  <c r="AW130" i="26"/>
  <c r="AY130" i="26" s="1"/>
  <c r="BA130" i="26" s="1"/>
  <c r="AW124" i="26"/>
  <c r="AY124" i="26" s="1"/>
  <c r="BA124" i="26" s="1"/>
  <c r="AX124" i="26"/>
  <c r="AZ124" i="26" s="1"/>
  <c r="AX120" i="26"/>
  <c r="AZ120" i="26" s="1"/>
  <c r="AW120" i="26"/>
  <c r="AY120" i="26" s="1"/>
  <c r="BA120" i="26" s="1"/>
  <c r="AW119" i="26"/>
  <c r="AY119" i="26" s="1"/>
  <c r="BA119" i="26" s="1"/>
  <c r="AX119" i="26"/>
  <c r="AZ119" i="26" s="1"/>
  <c r="AW126" i="26"/>
  <c r="AY126" i="26" s="1"/>
  <c r="BA126" i="26" s="1"/>
  <c r="AX126" i="26"/>
  <c r="AZ126" i="26" s="1"/>
  <c r="AW111" i="26"/>
  <c r="AY111" i="26" s="1"/>
  <c r="BA111" i="26" s="1"/>
  <c r="AX111" i="26"/>
  <c r="AZ111" i="26" s="1"/>
  <c r="AW132" i="26"/>
  <c r="AY132" i="26" s="1"/>
  <c r="BA132" i="26" s="1"/>
  <c r="AX132" i="26"/>
  <c r="AZ132" i="26" s="1"/>
  <c r="AW114" i="26"/>
  <c r="AY114" i="26" s="1"/>
  <c r="BA114" i="26" s="1"/>
  <c r="AX114" i="26"/>
  <c r="AZ114" i="26" s="1"/>
  <c r="AX112" i="26"/>
  <c r="AZ112" i="26" s="1"/>
  <c r="AW112" i="26"/>
  <c r="AY112" i="26" s="1"/>
  <c r="BA112" i="26" s="1"/>
  <c r="AB164" i="26"/>
  <c r="BB164" i="26"/>
  <c r="AW131" i="26"/>
  <c r="AY131" i="26" s="1"/>
  <c r="BA131" i="26" s="1"/>
  <c r="AX131" i="26"/>
  <c r="AZ131" i="26" s="1"/>
  <c r="AW127" i="26"/>
  <c r="AY127" i="26" s="1"/>
  <c r="BA127" i="26" s="1"/>
  <c r="AX127" i="26"/>
  <c r="AZ127" i="26" s="1"/>
  <c r="AW143" i="26"/>
  <c r="AY143" i="26" s="1"/>
  <c r="BA143" i="26" s="1"/>
  <c r="AX143" i="26"/>
  <c r="AZ143" i="26" s="1"/>
  <c r="BB143" i="26" s="1"/>
  <c r="AU110" i="26"/>
  <c r="C9" i="26"/>
  <c r="AX118" i="26"/>
  <c r="AZ118" i="26" s="1"/>
  <c r="AW118" i="26"/>
  <c r="AY118" i="26" s="1"/>
  <c r="BA118" i="26" s="1"/>
  <c r="AX113" i="26"/>
  <c r="AZ113" i="26" s="1"/>
  <c r="AW113" i="26"/>
  <c r="AY113" i="26" s="1"/>
  <c r="BA113" i="26" s="1"/>
  <c r="AX123" i="26"/>
  <c r="AZ123" i="26" s="1"/>
  <c r="AW123" i="26"/>
  <c r="AY123" i="26" s="1"/>
  <c r="BA123" i="26" s="1"/>
  <c r="AW117" i="26"/>
  <c r="AY117" i="26" s="1"/>
  <c r="BA117" i="26" s="1"/>
  <c r="AX117" i="26"/>
  <c r="AZ117" i="26" s="1"/>
  <c r="AW116" i="26"/>
  <c r="AY116" i="26" s="1"/>
  <c r="BA116" i="26" s="1"/>
  <c r="AX116" i="26"/>
  <c r="AZ116" i="26" s="1"/>
  <c r="AV135" i="24"/>
  <c r="AX135" i="24" s="1"/>
  <c r="AZ135" i="24" s="1"/>
  <c r="AU150" i="24"/>
  <c r="AW150" i="24" s="1"/>
  <c r="AY150" i="24" s="1"/>
  <c r="AW143" i="24"/>
  <c r="AY143" i="24" s="1"/>
  <c r="AV143" i="24"/>
  <c r="AX143" i="24" s="1"/>
  <c r="AZ143" i="24" s="1"/>
  <c r="AV145" i="24"/>
  <c r="AX145" i="24" s="1"/>
  <c r="AZ145" i="24" s="1"/>
  <c r="AW145" i="24"/>
  <c r="AY145" i="24" s="1"/>
  <c r="AW132" i="24"/>
  <c r="AY132" i="24" s="1"/>
  <c r="AV132" i="24"/>
  <c r="AX132" i="24" s="1"/>
  <c r="AZ132" i="24" s="1"/>
  <c r="AW134" i="24"/>
  <c r="AY134" i="24" s="1"/>
  <c r="AV134" i="24"/>
  <c r="AX134" i="24" s="1"/>
  <c r="AZ134" i="24" s="1"/>
  <c r="AB135" i="24"/>
  <c r="BB135" i="24"/>
  <c r="G135" i="24" s="1"/>
  <c r="F135" i="24" s="1"/>
  <c r="BA135" i="24"/>
  <c r="AV140" i="24"/>
  <c r="AX140" i="24" s="1"/>
  <c r="AZ140" i="24" s="1"/>
  <c r="AW140" i="24"/>
  <c r="AY140" i="24" s="1"/>
  <c r="AV136" i="24"/>
  <c r="AX136" i="24" s="1"/>
  <c r="AZ136" i="24" s="1"/>
  <c r="AW136" i="24"/>
  <c r="AY136" i="24" s="1"/>
  <c r="AV144" i="24"/>
  <c r="AX144" i="24" s="1"/>
  <c r="AZ144" i="24" s="1"/>
  <c r="AW144" i="24"/>
  <c r="AY144" i="24" s="1"/>
  <c r="AV141" i="24"/>
  <c r="AX141" i="24" s="1"/>
  <c r="AZ141" i="24" s="1"/>
  <c r="AW141" i="24"/>
  <c r="AY141" i="24" s="1"/>
  <c r="AV138" i="24"/>
  <c r="AX138" i="24" s="1"/>
  <c r="AZ138" i="24" s="1"/>
  <c r="AW138" i="24"/>
  <c r="AY138" i="24" s="1"/>
  <c r="AW149" i="24"/>
  <c r="AY149" i="24" s="1"/>
  <c r="AV149" i="24"/>
  <c r="AX149" i="24" s="1"/>
  <c r="AZ149" i="24" s="1"/>
  <c r="AW133" i="24"/>
  <c r="AY133" i="24" s="1"/>
  <c r="AV133" i="24"/>
  <c r="AX133" i="24" s="1"/>
  <c r="AZ133" i="24" s="1"/>
  <c r="AW142" i="24"/>
  <c r="AY142" i="24" s="1"/>
  <c r="AV142" i="24"/>
  <c r="AX142" i="24" s="1"/>
  <c r="AZ142" i="24" s="1"/>
  <c r="AW148" i="24"/>
  <c r="AY148" i="24" s="1"/>
  <c r="AV148" i="24"/>
  <c r="AX148" i="24" s="1"/>
  <c r="AZ148" i="24" s="1"/>
  <c r="AU131" i="24"/>
  <c r="AO116" i="24"/>
  <c r="AT116" i="24" s="1"/>
  <c r="AO113" i="24"/>
  <c r="AT113" i="24" s="1"/>
  <c r="AO115" i="24"/>
  <c r="AT115" i="24" s="1"/>
  <c r="AO117" i="24"/>
  <c r="AT117" i="24" s="1"/>
  <c r="AO120" i="24"/>
  <c r="AT120" i="24" s="1"/>
  <c r="AO118" i="24"/>
  <c r="AT118" i="24" s="1"/>
  <c r="AO110" i="24"/>
  <c r="AO111" i="24"/>
  <c r="AT111" i="24" s="1"/>
  <c r="AO121" i="24"/>
  <c r="AT121" i="24" s="1"/>
  <c r="AO119" i="24"/>
  <c r="AT119" i="24" s="1"/>
  <c r="AO112" i="24"/>
  <c r="AT112" i="24" s="1"/>
  <c r="AO114" i="24"/>
  <c r="AT114" i="24" s="1"/>
  <c r="AW139" i="24"/>
  <c r="AY139" i="24" s="1"/>
  <c r="AV139" i="24"/>
  <c r="AX139" i="24" s="1"/>
  <c r="AZ139" i="24" s="1"/>
  <c r="AW137" i="24"/>
  <c r="AY137" i="24" s="1"/>
  <c r="AV137" i="24"/>
  <c r="AX137" i="24" s="1"/>
  <c r="AZ137" i="24" s="1"/>
  <c r="AW147" i="24"/>
  <c r="AY147" i="24" s="1"/>
  <c r="AV147" i="24"/>
  <c r="AX147" i="24" s="1"/>
  <c r="AZ147" i="24" s="1"/>
  <c r="AV146" i="24"/>
  <c r="AX146" i="24" s="1"/>
  <c r="AZ146" i="24" s="1"/>
  <c r="AW146" i="24"/>
  <c r="AY146" i="24" s="1"/>
  <c r="AO139" i="22"/>
  <c r="AX127" i="22"/>
  <c r="AY127" i="22" s="1"/>
  <c r="AP153" i="22"/>
  <c r="G153" i="22" s="1"/>
  <c r="W141" i="22"/>
  <c r="AO153" i="22"/>
  <c r="AO151" i="22"/>
  <c r="W151" i="22"/>
  <c r="W143" i="22"/>
  <c r="AO154" i="22"/>
  <c r="AP143" i="22"/>
  <c r="G143" i="22" s="1"/>
  <c r="F143" i="22" s="1"/>
  <c r="AP154" i="22"/>
  <c r="G154" i="22" s="1"/>
  <c r="F154" i="22" s="1"/>
  <c r="W145" i="22"/>
  <c r="AO145" i="22"/>
  <c r="AO156" i="22"/>
  <c r="W156" i="22"/>
  <c r="AP141" i="22"/>
  <c r="G141" i="22" s="1"/>
  <c r="F141" i="22" s="1"/>
  <c r="AL215" i="22"/>
  <c r="AM215" i="22" s="1"/>
  <c r="W149" i="22"/>
  <c r="AO149" i="22"/>
  <c r="AP149" i="22"/>
  <c r="G149" i="22" s="1"/>
  <c r="F149" i="22" s="1"/>
  <c r="W161" i="22"/>
  <c r="AP161" i="22"/>
  <c r="G161" i="22" s="1"/>
  <c r="F161" i="22" s="1"/>
  <c r="AO161" i="22"/>
  <c r="AL188" i="22"/>
  <c r="AM188" i="22" s="1"/>
  <c r="AL191" i="22"/>
  <c r="AM191" i="22" s="1"/>
  <c r="AL195" i="22"/>
  <c r="AM195" i="22" s="1"/>
  <c r="AL199" i="22"/>
  <c r="AM199" i="22" s="1"/>
  <c r="AL204" i="22"/>
  <c r="AM204" i="22" s="1"/>
  <c r="D5" i="22"/>
  <c r="AL190" i="22"/>
  <c r="AM190" i="22" s="1"/>
  <c r="AL198" i="22"/>
  <c r="AM198" i="22" s="1"/>
  <c r="AL203" i="22"/>
  <c r="AM203" i="22" s="1"/>
  <c r="AL187" i="22"/>
  <c r="AL192" i="22"/>
  <c r="AM192" i="22" s="1"/>
  <c r="AL196" i="22"/>
  <c r="AM196" i="22" s="1"/>
  <c r="AL200" i="22"/>
  <c r="AM200" i="22" s="1"/>
  <c r="BM54" i="22"/>
  <c r="CK54" i="22"/>
  <c r="BM57" i="22"/>
  <c r="AL189" i="22"/>
  <c r="AM189" i="22" s="1"/>
  <c r="AL193" i="22"/>
  <c r="AM193" i="22" s="1"/>
  <c r="AL197" i="22"/>
  <c r="AM197" i="22" s="1"/>
  <c r="AL201" i="22"/>
  <c r="AM201" i="22" s="1"/>
  <c r="CB57" i="22"/>
  <c r="AL194" i="22"/>
  <c r="AM194" i="22" s="1"/>
  <c r="AL202" i="22"/>
  <c r="AM202" i="22" s="1"/>
  <c r="AL205" i="22"/>
  <c r="AM205" i="22" s="1"/>
  <c r="AL206" i="22"/>
  <c r="AM206" i="22" s="1"/>
  <c r="AL207" i="22"/>
  <c r="AM207" i="22" s="1"/>
  <c r="AL208" i="22"/>
  <c r="AM208" i="22" s="1"/>
  <c r="AL209" i="22"/>
  <c r="AM209" i="22" s="1"/>
  <c r="AL210" i="22"/>
  <c r="AM210" i="22" s="1"/>
  <c r="AL211" i="22"/>
  <c r="AM211" i="22" s="1"/>
  <c r="AL212" i="22"/>
  <c r="AM212" i="22" s="1"/>
  <c r="AL213" i="22"/>
  <c r="AM213" i="22" s="1"/>
  <c r="AP140" i="22"/>
  <c r="G140" i="22" s="1"/>
  <c r="F140" i="22" s="1"/>
  <c r="W140" i="22"/>
  <c r="AO140" i="22"/>
  <c r="AP157" i="22"/>
  <c r="G157" i="22" s="1"/>
  <c r="F157" i="22" s="1"/>
  <c r="W157" i="22"/>
  <c r="AO157" i="22"/>
  <c r="AJ160" i="22"/>
  <c r="AL160" i="22" s="1"/>
  <c r="AN160" i="22" s="1"/>
  <c r="AK160" i="22"/>
  <c r="AM160" i="22" s="1"/>
  <c r="W158" i="22"/>
  <c r="AP158" i="22"/>
  <c r="G158" i="22" s="1"/>
  <c r="F158" i="22" s="1"/>
  <c r="AO158" i="22"/>
  <c r="W150" i="22"/>
  <c r="AO150" i="22"/>
  <c r="AP150" i="22"/>
  <c r="G150" i="22" s="1"/>
  <c r="F150" i="22" s="1"/>
  <c r="AO152" i="22"/>
  <c r="W152" i="22"/>
  <c r="AP152" i="22"/>
  <c r="G152" i="22" s="1"/>
  <c r="F152" i="22" s="1"/>
  <c r="W138" i="22"/>
  <c r="AO138" i="22"/>
  <c r="AX86" i="22" s="1"/>
  <c r="AY86" i="22" s="1"/>
  <c r="AO159" i="22"/>
  <c r="W159" i="22"/>
  <c r="AP159" i="22"/>
  <c r="G159" i="22" s="1"/>
  <c r="F159" i="22" s="1"/>
  <c r="BK231" i="27"/>
  <c r="S187" i="27"/>
  <c r="T187" i="27" s="1"/>
  <c r="T186" i="27"/>
  <c r="R187" i="27" s="1"/>
  <c r="BK225" i="26"/>
  <c r="T184" i="26"/>
  <c r="R185" i="26" s="1"/>
  <c r="S185" i="26"/>
  <c r="T153" i="25"/>
  <c r="R154" i="25" s="1"/>
  <c r="S154" i="25"/>
  <c r="T154" i="25" s="1"/>
  <c r="BM193" i="25"/>
  <c r="BM193" i="24"/>
  <c r="S154" i="24"/>
  <c r="T154" i="24" s="1"/>
  <c r="T153" i="24"/>
  <c r="R154" i="24" s="1"/>
  <c r="AP144" i="23"/>
  <c r="G144" i="23" s="1"/>
  <c r="F144" i="23" s="1"/>
  <c r="AO144" i="23"/>
  <c r="W144" i="23"/>
  <c r="AO150" i="23"/>
  <c r="W150" i="23"/>
  <c r="AP150" i="23"/>
  <c r="G150" i="23" s="1"/>
  <c r="F150" i="23" s="1"/>
  <c r="AK219" i="23"/>
  <c r="AL218" i="23"/>
  <c r="AM218" i="23" s="1"/>
  <c r="AX56" i="23"/>
  <c r="AY56" i="23" s="1"/>
  <c r="AZ57" i="23"/>
  <c r="AP158" i="23"/>
  <c r="G158" i="23" s="1"/>
  <c r="F158" i="23" s="1"/>
  <c r="W158" i="23"/>
  <c r="AO158" i="23"/>
  <c r="W154" i="23"/>
  <c r="AP154" i="23"/>
  <c r="G154" i="23" s="1"/>
  <c r="F154" i="23" s="1"/>
  <c r="AO154" i="23"/>
  <c r="W162" i="23"/>
  <c r="AP162" i="23"/>
  <c r="G162" i="23" s="1"/>
  <c r="F162" i="23" s="1"/>
  <c r="AO162" i="23"/>
  <c r="W156" i="23"/>
  <c r="AP156" i="23"/>
  <c r="G156" i="23" s="1"/>
  <c r="F156" i="23" s="1"/>
  <c r="AO156" i="23"/>
  <c r="AZ54" i="23"/>
  <c r="AX53" i="23"/>
  <c r="AY53" i="23" s="1"/>
  <c r="AM191" i="23"/>
  <c r="AW131" i="23"/>
  <c r="W146" i="23"/>
  <c r="AO146" i="23"/>
  <c r="AP146" i="23"/>
  <c r="G146" i="23" s="1"/>
  <c r="F146" i="23" s="1"/>
  <c r="AO147" i="23"/>
  <c r="W147" i="23"/>
  <c r="AP147" i="23"/>
  <c r="G147" i="23" s="1"/>
  <c r="F147" i="23" s="1"/>
  <c r="AP164" i="23"/>
  <c r="G164" i="23" s="1"/>
  <c r="F164" i="23" s="1"/>
  <c r="AP159" i="23"/>
  <c r="G159" i="23" s="1"/>
  <c r="F159" i="23" s="1"/>
  <c r="AO159" i="23"/>
  <c r="W159" i="23"/>
  <c r="AP160" i="23"/>
  <c r="G160" i="23" s="1"/>
  <c r="F160" i="23" s="1"/>
  <c r="W160" i="23"/>
  <c r="AO160" i="23"/>
  <c r="W151" i="23"/>
  <c r="AP151" i="23"/>
  <c r="G151" i="23" s="1"/>
  <c r="F151" i="23" s="1"/>
  <c r="AO151" i="23"/>
  <c r="AO142" i="23"/>
  <c r="AX85" i="23" s="1"/>
  <c r="W142" i="23"/>
  <c r="AP157" i="23"/>
  <c r="G157" i="23" s="1"/>
  <c r="AO157" i="23"/>
  <c r="W157" i="23"/>
  <c r="BZ51" i="23"/>
  <c r="BB51" i="23"/>
  <c r="AO163" i="23"/>
  <c r="AP163" i="23"/>
  <c r="G163" i="23" s="1"/>
  <c r="F163" i="23" s="1"/>
  <c r="W163" i="23"/>
  <c r="AP145" i="23"/>
  <c r="G145" i="23" s="1"/>
  <c r="F145" i="23" s="1"/>
  <c r="AO145" i="23"/>
  <c r="W145" i="23"/>
  <c r="AK216" i="22"/>
  <c r="AL216" i="22" s="1"/>
  <c r="BF106" i="20"/>
  <c r="CN63" i="20" s="1"/>
  <c r="T151" i="21"/>
  <c r="R152" i="21" s="1"/>
  <c r="S152" i="21"/>
  <c r="D73" i="21"/>
  <c r="D71" i="21"/>
  <c r="S121" i="21"/>
  <c r="T120" i="21"/>
  <c r="R121" i="21" s="1"/>
  <c r="BJ101" i="21"/>
  <c r="BK100" i="21"/>
  <c r="BP55" i="21" s="1"/>
  <c r="BP56" i="21" s="1"/>
  <c r="BP58" i="21" s="1"/>
  <c r="S138" i="20"/>
  <c r="T137" i="20"/>
  <c r="R138" i="20" s="1"/>
  <c r="S106" i="20"/>
  <c r="T106" i="20" s="1"/>
  <c r="T105" i="20"/>
  <c r="R106" i="20" s="1"/>
  <c r="AB83" i="20"/>
  <c r="BA83" i="20"/>
  <c r="CF38" i="20"/>
  <c r="E13" i="20"/>
  <c r="CK5" i="20"/>
  <c r="BT5" i="20"/>
  <c r="BT38" i="20"/>
  <c r="BF83" i="20"/>
  <c r="BF84" i="20"/>
  <c r="BG84" i="20" s="1"/>
  <c r="BF85" i="20"/>
  <c r="BG85" i="20" s="1"/>
  <c r="BF86" i="20"/>
  <c r="BG86" i="20" s="1"/>
  <c r="BF87" i="20"/>
  <c r="BG87" i="20" s="1"/>
  <c r="BF88" i="20"/>
  <c r="BG88" i="20" s="1"/>
  <c r="BF89" i="20"/>
  <c r="BG89" i="20" s="1"/>
  <c r="BF90" i="20"/>
  <c r="BG90" i="20" s="1"/>
  <c r="BF91" i="20"/>
  <c r="BG91" i="20" s="1"/>
  <c r="BF92" i="20"/>
  <c r="BG92" i="20" s="1"/>
  <c r="BF93" i="20"/>
  <c r="BG93" i="20" s="1"/>
  <c r="BF94" i="20"/>
  <c r="BG94" i="20" s="1"/>
  <c r="BF95" i="20"/>
  <c r="BG95" i="20" s="1"/>
  <c r="BF96" i="20"/>
  <c r="BG96" i="20" s="1"/>
  <c r="BF97" i="20"/>
  <c r="BG97" i="20" s="1"/>
  <c r="BF98" i="20"/>
  <c r="BG98" i="20" s="1"/>
  <c r="BF99" i="20"/>
  <c r="BG99" i="20" s="1"/>
  <c r="BF100" i="20"/>
  <c r="BG100" i="20" s="1"/>
  <c r="BF101" i="20"/>
  <c r="BG101" i="20" s="1"/>
  <c r="BF102" i="20"/>
  <c r="BG102" i="20" s="1"/>
  <c r="BF103" i="20"/>
  <c r="BG103" i="20" s="1"/>
  <c r="BF104" i="20"/>
  <c r="BG104" i="20" s="1"/>
  <c r="AX150" i="27" l="1"/>
  <c r="AZ150" i="27" s="1"/>
  <c r="BB150" i="27" s="1"/>
  <c r="AX149" i="27"/>
  <c r="AZ149" i="27" s="1"/>
  <c r="BB149" i="27" s="1"/>
  <c r="AP111" i="27"/>
  <c r="AU111" i="27" s="1"/>
  <c r="AP116" i="27"/>
  <c r="AU116" i="27" s="1"/>
  <c r="AW116" i="27" s="1"/>
  <c r="AY116" i="27" s="1"/>
  <c r="BA116" i="27" s="1"/>
  <c r="AP118" i="27"/>
  <c r="AU118" i="27" s="1"/>
  <c r="AP113" i="27"/>
  <c r="AU113" i="27" s="1"/>
  <c r="AX113" i="27" s="1"/>
  <c r="AZ113" i="27" s="1"/>
  <c r="AX151" i="27"/>
  <c r="AZ151" i="27" s="1"/>
  <c r="BB151" i="27" s="1"/>
  <c r="BB173" i="27"/>
  <c r="AP114" i="27"/>
  <c r="AU114" i="27" s="1"/>
  <c r="AP132" i="27"/>
  <c r="AU132" i="27" s="1"/>
  <c r="AX132" i="27" s="1"/>
  <c r="AZ132" i="27" s="1"/>
  <c r="AP129" i="27"/>
  <c r="AU129" i="27" s="1"/>
  <c r="AX152" i="27"/>
  <c r="AZ152" i="27" s="1"/>
  <c r="BB152" i="27" s="1"/>
  <c r="AP125" i="27"/>
  <c r="AU125" i="27" s="1"/>
  <c r="AW125" i="27" s="1"/>
  <c r="AY125" i="27" s="1"/>
  <c r="BA125" i="27" s="1"/>
  <c r="AP128" i="27"/>
  <c r="AU128" i="27" s="1"/>
  <c r="AW128" i="27" s="1"/>
  <c r="AY128" i="27" s="1"/>
  <c r="BA128" i="27" s="1"/>
  <c r="AP130" i="27"/>
  <c r="AU130" i="27" s="1"/>
  <c r="AW130" i="27" s="1"/>
  <c r="AY130" i="27" s="1"/>
  <c r="BA130" i="27" s="1"/>
  <c r="AX145" i="27"/>
  <c r="AZ145" i="27" s="1"/>
  <c r="BB145" i="27" s="1"/>
  <c r="AP120" i="27"/>
  <c r="AU120" i="27" s="1"/>
  <c r="AW120" i="27" s="1"/>
  <c r="AY120" i="27" s="1"/>
  <c r="BA120" i="27" s="1"/>
  <c r="AP121" i="27"/>
  <c r="AU121" i="27" s="1"/>
  <c r="AX121" i="27" s="1"/>
  <c r="AZ121" i="27" s="1"/>
  <c r="AP124" i="27"/>
  <c r="AU124" i="27" s="1"/>
  <c r="AX124" i="27" s="1"/>
  <c r="AZ124" i="27" s="1"/>
  <c r="AP133" i="27"/>
  <c r="AU133" i="27" s="1"/>
  <c r="AW133" i="27" s="1"/>
  <c r="AY133" i="27" s="1"/>
  <c r="BA133" i="27" s="1"/>
  <c r="AP127" i="27"/>
  <c r="AU127" i="27" s="1"/>
  <c r="AX127" i="27" s="1"/>
  <c r="AZ127" i="27" s="1"/>
  <c r="AP122" i="27"/>
  <c r="AU122" i="27" s="1"/>
  <c r="AW122" i="27" s="1"/>
  <c r="AY122" i="27" s="1"/>
  <c r="BA122" i="27" s="1"/>
  <c r="AW147" i="27"/>
  <c r="AY147" i="27" s="1"/>
  <c r="BA147" i="27" s="1"/>
  <c r="AP123" i="27"/>
  <c r="AU123" i="27" s="1"/>
  <c r="AX123" i="27" s="1"/>
  <c r="AZ123" i="27" s="1"/>
  <c r="AP126" i="27"/>
  <c r="AU126" i="27" s="1"/>
  <c r="AX126" i="27" s="1"/>
  <c r="AZ126" i="27" s="1"/>
  <c r="AP110" i="27"/>
  <c r="AU110" i="27" s="1"/>
  <c r="CT31" i="28"/>
  <c r="CT68" i="28"/>
  <c r="AB167" i="27"/>
  <c r="BC167" i="27"/>
  <c r="G167" i="27" s="1"/>
  <c r="F167" i="27" s="1"/>
  <c r="AW144" i="27"/>
  <c r="AY144" i="27" s="1"/>
  <c r="BA144" i="27" s="1"/>
  <c r="AW183" i="27"/>
  <c r="AY183" i="27" s="1"/>
  <c r="BA183" i="27" s="1"/>
  <c r="BC181" i="27"/>
  <c r="G181" i="27" s="1"/>
  <c r="F181" i="27" s="1"/>
  <c r="AB181" i="27"/>
  <c r="AW164" i="27"/>
  <c r="AY164" i="27" s="1"/>
  <c r="BA164" i="27" s="1"/>
  <c r="AW148" i="27"/>
  <c r="AY148" i="27" s="1"/>
  <c r="BA148" i="27" s="1"/>
  <c r="CM38" i="20"/>
  <c r="BG106" i="20"/>
  <c r="W164" i="23"/>
  <c r="CJ28" i="28"/>
  <c r="BP28" i="28"/>
  <c r="BL129" i="28"/>
  <c r="CU93" i="28"/>
  <c r="BN31" i="28"/>
  <c r="BN68" i="28"/>
  <c r="BL100" i="28"/>
  <c r="BN93" i="28"/>
  <c r="AV150" i="24"/>
  <c r="AX150" i="24" s="1"/>
  <c r="AZ150" i="24" s="1"/>
  <c r="BC180" i="27"/>
  <c r="G180" i="27" s="1"/>
  <c r="F180" i="27" s="1"/>
  <c r="BB180" i="27"/>
  <c r="AX154" i="27"/>
  <c r="AZ154" i="27" s="1"/>
  <c r="BB154" i="27" s="1"/>
  <c r="AW112" i="27"/>
  <c r="AY112" i="27" s="1"/>
  <c r="BA112" i="27" s="1"/>
  <c r="AX112" i="27"/>
  <c r="AZ112" i="27" s="1"/>
  <c r="AX116" i="27"/>
  <c r="AZ116" i="27" s="1"/>
  <c r="BB170" i="27"/>
  <c r="AB170" i="27"/>
  <c r="BC170" i="27"/>
  <c r="G170" i="27" s="1"/>
  <c r="F170" i="27" s="1"/>
  <c r="AX117" i="27"/>
  <c r="AZ117" i="27" s="1"/>
  <c r="AW117" i="27"/>
  <c r="AY117" i="27" s="1"/>
  <c r="BA117" i="27" s="1"/>
  <c r="AW113" i="27"/>
  <c r="AY113" i="27" s="1"/>
  <c r="BA113" i="27" s="1"/>
  <c r="AW119" i="27"/>
  <c r="AY119" i="27" s="1"/>
  <c r="BA119" i="27" s="1"/>
  <c r="AX119" i="27"/>
  <c r="AZ119" i="27" s="1"/>
  <c r="AB176" i="27"/>
  <c r="BC176" i="27"/>
  <c r="G176" i="27" s="1"/>
  <c r="F176" i="27" s="1"/>
  <c r="BB176" i="27"/>
  <c r="BB164" i="27"/>
  <c r="AB164" i="27"/>
  <c r="AW118" i="27"/>
  <c r="AY118" i="27" s="1"/>
  <c r="BA118" i="27" s="1"/>
  <c r="AX118" i="27"/>
  <c r="AZ118" i="27" s="1"/>
  <c r="AX131" i="27"/>
  <c r="AZ131" i="27" s="1"/>
  <c r="AW131" i="27"/>
  <c r="AY131" i="27" s="1"/>
  <c r="BA131" i="27" s="1"/>
  <c r="AW114" i="27"/>
  <c r="AY114" i="27" s="1"/>
  <c r="BA114" i="27" s="1"/>
  <c r="AX114" i="27"/>
  <c r="AZ114" i="27" s="1"/>
  <c r="AX129" i="27"/>
  <c r="AZ129" i="27" s="1"/>
  <c r="AW129" i="27"/>
  <c r="AY129" i="27" s="1"/>
  <c r="BA129" i="27" s="1"/>
  <c r="AB168" i="27"/>
  <c r="BC168" i="27"/>
  <c r="G168" i="27" s="1"/>
  <c r="F168" i="27" s="1"/>
  <c r="BB168" i="27"/>
  <c r="AX111" i="27"/>
  <c r="AZ111" i="27" s="1"/>
  <c r="AW111" i="27"/>
  <c r="AY111" i="27" s="1"/>
  <c r="BA111" i="27" s="1"/>
  <c r="AX115" i="27"/>
  <c r="AZ115" i="27" s="1"/>
  <c r="AW115" i="27"/>
  <c r="AY115" i="27" s="1"/>
  <c r="BA115" i="27" s="1"/>
  <c r="AB171" i="27"/>
  <c r="BC171" i="27"/>
  <c r="G171" i="27" s="1"/>
  <c r="F171" i="27" s="1"/>
  <c r="BB171" i="27"/>
  <c r="BC175" i="27"/>
  <c r="G175" i="27" s="1"/>
  <c r="F175" i="27" s="1"/>
  <c r="BB175" i="27"/>
  <c r="AB175" i="27"/>
  <c r="BB183" i="27"/>
  <c r="AB183" i="27"/>
  <c r="BC183" i="27"/>
  <c r="G183" i="27" s="1"/>
  <c r="F183" i="27" s="1"/>
  <c r="AX143" i="27"/>
  <c r="AZ143" i="27" s="1"/>
  <c r="BB143" i="27" s="1"/>
  <c r="AW143" i="27"/>
  <c r="AY143" i="27" s="1"/>
  <c r="BA143" i="27" s="1"/>
  <c r="BB177" i="27"/>
  <c r="BC177" i="27"/>
  <c r="G177" i="27" s="1"/>
  <c r="F177" i="27" s="1"/>
  <c r="AB177" i="27"/>
  <c r="BC182" i="27"/>
  <c r="G182" i="27" s="1"/>
  <c r="F182" i="27" s="1"/>
  <c r="BB182" i="27"/>
  <c r="AB182" i="27"/>
  <c r="AV115" i="25"/>
  <c r="AX115" i="25" s="1"/>
  <c r="AZ115" i="25" s="1"/>
  <c r="AW115" i="25"/>
  <c r="AY115" i="25" s="1"/>
  <c r="BA115" i="25" s="1"/>
  <c r="AV119" i="25"/>
  <c r="AX119" i="25" s="1"/>
  <c r="AZ119" i="25" s="1"/>
  <c r="AW119" i="25"/>
  <c r="AY119" i="25" s="1"/>
  <c r="BA119" i="25" s="1"/>
  <c r="AB142" i="25"/>
  <c r="BB142" i="25"/>
  <c r="G142" i="25" s="1"/>
  <c r="F142" i="25" s="1"/>
  <c r="BA142" i="25"/>
  <c r="BA132" i="25"/>
  <c r="BB132" i="25"/>
  <c r="G132" i="25" s="1"/>
  <c r="F132" i="25" s="1"/>
  <c r="AB132" i="25"/>
  <c r="AV150" i="25"/>
  <c r="AX150" i="25" s="1"/>
  <c r="AZ150" i="25" s="1"/>
  <c r="AW150" i="25"/>
  <c r="AY150" i="25" s="1"/>
  <c r="BB136" i="25"/>
  <c r="G136" i="25" s="1"/>
  <c r="F136" i="25" s="1"/>
  <c r="AB136" i="25"/>
  <c r="BA136" i="25"/>
  <c r="AV114" i="25"/>
  <c r="AX114" i="25" s="1"/>
  <c r="AZ114" i="25" s="1"/>
  <c r="AW114" i="25"/>
  <c r="AY114" i="25" s="1"/>
  <c r="BA114" i="25" s="1"/>
  <c r="AV116" i="25"/>
  <c r="AX116" i="25" s="1"/>
  <c r="AZ116" i="25" s="1"/>
  <c r="AW116" i="25"/>
  <c r="AY116" i="25" s="1"/>
  <c r="BA116" i="25" s="1"/>
  <c r="AW131" i="25"/>
  <c r="AY131" i="25" s="1"/>
  <c r="AV131" i="25"/>
  <c r="AX131" i="25" s="1"/>
  <c r="AZ131" i="25" s="1"/>
  <c r="BA147" i="25"/>
  <c r="AB147" i="25"/>
  <c r="BB147" i="25"/>
  <c r="G147" i="25" s="1"/>
  <c r="F147" i="25" s="1"/>
  <c r="BA148" i="25"/>
  <c r="AB148" i="25"/>
  <c r="BB148" i="25"/>
  <c r="G148" i="25" s="1"/>
  <c r="F148" i="25" s="1"/>
  <c r="BB145" i="25"/>
  <c r="G145" i="25" s="1"/>
  <c r="F145" i="25" s="1"/>
  <c r="AB145" i="25"/>
  <c r="BA145" i="25"/>
  <c r="AV118" i="25"/>
  <c r="AX118" i="25" s="1"/>
  <c r="AZ118" i="25" s="1"/>
  <c r="AW118" i="25"/>
  <c r="AY118" i="25" s="1"/>
  <c r="BA118" i="25" s="1"/>
  <c r="AB140" i="25"/>
  <c r="BA140" i="25"/>
  <c r="BB140" i="25"/>
  <c r="G140" i="25" s="1"/>
  <c r="F140" i="25" s="1"/>
  <c r="BB138" i="25"/>
  <c r="G138" i="25" s="1"/>
  <c r="F138" i="25" s="1"/>
  <c r="AB138" i="25"/>
  <c r="BA138" i="25"/>
  <c r="AB143" i="25"/>
  <c r="BB143" i="25"/>
  <c r="G143" i="25" s="1"/>
  <c r="F143" i="25" s="1"/>
  <c r="BA143" i="25"/>
  <c r="AW120" i="25"/>
  <c r="AY120" i="25" s="1"/>
  <c r="BA120" i="25" s="1"/>
  <c r="AV120" i="25"/>
  <c r="AX120" i="25" s="1"/>
  <c r="AZ120" i="25" s="1"/>
  <c r="AV113" i="25"/>
  <c r="AX113" i="25" s="1"/>
  <c r="AZ113" i="25" s="1"/>
  <c r="AW113" i="25"/>
  <c r="AY113" i="25" s="1"/>
  <c r="BA113" i="25" s="1"/>
  <c r="AT110" i="25"/>
  <c r="C9" i="25"/>
  <c r="AB149" i="25"/>
  <c r="BA149" i="25"/>
  <c r="BB149" i="25"/>
  <c r="G149" i="25" s="1"/>
  <c r="F149" i="25" s="1"/>
  <c r="BB133" i="25"/>
  <c r="G133" i="25" s="1"/>
  <c r="F133" i="25" s="1"/>
  <c r="AB133" i="25"/>
  <c r="BA133" i="25"/>
  <c r="BA146" i="25"/>
  <c r="AB146" i="25"/>
  <c r="BB146" i="25"/>
  <c r="G146" i="25" s="1"/>
  <c r="F146" i="25" s="1"/>
  <c r="AW112" i="25"/>
  <c r="AY112" i="25" s="1"/>
  <c r="BA112" i="25" s="1"/>
  <c r="AV112" i="25"/>
  <c r="AX112" i="25" s="1"/>
  <c r="AZ112" i="25" s="1"/>
  <c r="AW117" i="25"/>
  <c r="AY117" i="25" s="1"/>
  <c r="BA117" i="25" s="1"/>
  <c r="AV117" i="25"/>
  <c r="AX117" i="25" s="1"/>
  <c r="AZ117" i="25" s="1"/>
  <c r="AV111" i="25"/>
  <c r="AX111" i="25" s="1"/>
  <c r="AZ111" i="25" s="1"/>
  <c r="AW111" i="25"/>
  <c r="AY111" i="25" s="1"/>
  <c r="BA111" i="25" s="1"/>
  <c r="AW121" i="25"/>
  <c r="AY121" i="25" s="1"/>
  <c r="BA121" i="25" s="1"/>
  <c r="AV121" i="25"/>
  <c r="AX121" i="25" s="1"/>
  <c r="AZ121" i="25" s="1"/>
  <c r="BA144" i="25"/>
  <c r="BB144" i="25"/>
  <c r="G144" i="25" s="1"/>
  <c r="F144" i="25" s="1"/>
  <c r="AB144" i="25"/>
  <c r="AB139" i="25"/>
  <c r="BB139" i="25"/>
  <c r="G139" i="25" s="1"/>
  <c r="F139" i="25" s="1"/>
  <c r="BA139" i="25"/>
  <c r="AB134" i="25"/>
  <c r="BB134" i="25"/>
  <c r="G134" i="25" s="1"/>
  <c r="F134" i="25" s="1"/>
  <c r="BA134" i="25"/>
  <c r="BA141" i="25"/>
  <c r="AB141" i="25"/>
  <c r="BB141" i="25"/>
  <c r="G141" i="25" s="1"/>
  <c r="F141" i="25" s="1"/>
  <c r="BB135" i="25"/>
  <c r="G135" i="25" s="1"/>
  <c r="F135" i="25" s="1"/>
  <c r="AB135" i="25"/>
  <c r="BA135" i="25"/>
  <c r="BC123" i="26"/>
  <c r="G123" i="26" s="1"/>
  <c r="F123" i="26" s="1"/>
  <c r="BB123" i="26"/>
  <c r="AB123" i="26"/>
  <c r="BB132" i="26"/>
  <c r="AB132" i="26"/>
  <c r="BC132" i="26"/>
  <c r="G132" i="26" s="1"/>
  <c r="F132" i="26" s="1"/>
  <c r="BB128" i="26"/>
  <c r="BC128" i="26"/>
  <c r="G128" i="26" s="1"/>
  <c r="F128" i="26" s="1"/>
  <c r="AB128" i="26"/>
  <c r="BB117" i="26"/>
  <c r="AB117" i="26"/>
  <c r="BC117" i="26"/>
  <c r="G117" i="26" s="1"/>
  <c r="F117" i="26" s="1"/>
  <c r="C3" i="26"/>
  <c r="C5" i="26"/>
  <c r="D22" i="26"/>
  <c r="D3" i="26"/>
  <c r="BL225" i="26" s="1"/>
  <c r="BM225" i="26" s="1"/>
  <c r="C22" i="26"/>
  <c r="AB127" i="26"/>
  <c r="BC127" i="26"/>
  <c r="G127" i="26" s="1"/>
  <c r="F127" i="26" s="1"/>
  <c r="BB127" i="26"/>
  <c r="BB112" i="26"/>
  <c r="AB112" i="26"/>
  <c r="BC112" i="26"/>
  <c r="G112" i="26" s="1"/>
  <c r="F112" i="26" s="1"/>
  <c r="AB120" i="26"/>
  <c r="BB120" i="26"/>
  <c r="BC120" i="26"/>
  <c r="G120" i="26" s="1"/>
  <c r="F120" i="26" s="1"/>
  <c r="BC130" i="26"/>
  <c r="G130" i="26" s="1"/>
  <c r="F130" i="26" s="1"/>
  <c r="AB130" i="26"/>
  <c r="BB130" i="26"/>
  <c r="AB125" i="26"/>
  <c r="BB125" i="26"/>
  <c r="BC125" i="26"/>
  <c r="G125" i="26" s="1"/>
  <c r="F125" i="26" s="1"/>
  <c r="AB113" i="26"/>
  <c r="BB113" i="26"/>
  <c r="BC113" i="26"/>
  <c r="G113" i="26" s="1"/>
  <c r="F113" i="26" s="1"/>
  <c r="AW110" i="26"/>
  <c r="AY110" i="26" s="1"/>
  <c r="BA110" i="26" s="1"/>
  <c r="AX110" i="26"/>
  <c r="AZ110" i="26" s="1"/>
  <c r="BC114" i="26"/>
  <c r="G114" i="26" s="1"/>
  <c r="F114" i="26" s="1"/>
  <c r="BB114" i="26"/>
  <c r="AB114" i="26"/>
  <c r="BC111" i="26"/>
  <c r="G111" i="26" s="1"/>
  <c r="F111" i="26" s="1"/>
  <c r="BB111" i="26"/>
  <c r="AB111" i="26"/>
  <c r="BC119" i="26"/>
  <c r="G119" i="26" s="1"/>
  <c r="F119" i="26" s="1"/>
  <c r="BB119" i="26"/>
  <c r="AB119" i="26"/>
  <c r="BB124" i="26"/>
  <c r="BC124" i="26"/>
  <c r="G124" i="26" s="1"/>
  <c r="F124" i="26" s="1"/>
  <c r="AB124" i="26"/>
  <c r="AB129" i="26"/>
  <c r="BC129" i="26"/>
  <c r="G129" i="26" s="1"/>
  <c r="F129" i="26" s="1"/>
  <c r="BB129" i="26"/>
  <c r="BC118" i="26"/>
  <c r="G118" i="26" s="1"/>
  <c r="F118" i="26" s="1"/>
  <c r="BB118" i="26"/>
  <c r="AB118" i="26"/>
  <c r="AB126" i="26"/>
  <c r="BB126" i="26"/>
  <c r="BC126" i="26"/>
  <c r="G126" i="26" s="1"/>
  <c r="F126" i="26" s="1"/>
  <c r="BB133" i="26"/>
  <c r="AB133" i="26"/>
  <c r="BC133" i="26"/>
  <c r="G133" i="26" s="1"/>
  <c r="F133" i="26" s="1"/>
  <c r="BC116" i="26"/>
  <c r="G116" i="26" s="1"/>
  <c r="F116" i="26" s="1"/>
  <c r="BB116" i="26"/>
  <c r="AB116" i="26"/>
  <c r="AB131" i="26"/>
  <c r="BC131" i="26"/>
  <c r="G131" i="26" s="1"/>
  <c r="F131" i="26" s="1"/>
  <c r="BB131" i="26"/>
  <c r="AB115" i="26"/>
  <c r="BB115" i="26"/>
  <c r="BC115" i="26"/>
  <c r="G115" i="26" s="1"/>
  <c r="F115" i="26" s="1"/>
  <c r="BC122" i="26"/>
  <c r="G122" i="26" s="1"/>
  <c r="F122" i="26" s="1"/>
  <c r="AB122" i="26"/>
  <c r="BB122" i="26"/>
  <c r="AB121" i="26"/>
  <c r="BC121" i="26"/>
  <c r="G121" i="26" s="1"/>
  <c r="F121" i="26" s="1"/>
  <c r="BB121" i="26"/>
  <c r="AW114" i="24"/>
  <c r="AY114" i="24" s="1"/>
  <c r="BA114" i="24" s="1"/>
  <c r="AV114" i="24"/>
  <c r="AX114" i="24" s="1"/>
  <c r="AZ114" i="24" s="1"/>
  <c r="BB137" i="24"/>
  <c r="G137" i="24" s="1"/>
  <c r="F137" i="24" s="1"/>
  <c r="BA137" i="24"/>
  <c r="AB137" i="24"/>
  <c r="AW112" i="24"/>
  <c r="AY112" i="24" s="1"/>
  <c r="BA112" i="24" s="1"/>
  <c r="AV112" i="24"/>
  <c r="AX112" i="24" s="1"/>
  <c r="AZ112" i="24" s="1"/>
  <c r="AT110" i="24"/>
  <c r="C9" i="24"/>
  <c r="AW115" i="24"/>
  <c r="AY115" i="24" s="1"/>
  <c r="BA115" i="24" s="1"/>
  <c r="AV115" i="24"/>
  <c r="AX115" i="24" s="1"/>
  <c r="AZ115" i="24" s="1"/>
  <c r="BB141" i="24"/>
  <c r="G141" i="24" s="1"/>
  <c r="F141" i="24" s="1"/>
  <c r="AB141" i="24"/>
  <c r="BA141" i="24"/>
  <c r="AB136" i="24"/>
  <c r="BA136" i="24"/>
  <c r="BB136" i="24"/>
  <c r="G136" i="24" s="1"/>
  <c r="F136" i="24" s="1"/>
  <c r="BB134" i="24"/>
  <c r="G134" i="24" s="1"/>
  <c r="F134" i="24" s="1"/>
  <c r="AB134" i="24"/>
  <c r="BA134" i="24"/>
  <c r="AB146" i="24"/>
  <c r="BB146" i="24"/>
  <c r="G146" i="24" s="1"/>
  <c r="F146" i="24" s="1"/>
  <c r="BA146" i="24"/>
  <c r="AW111" i="24"/>
  <c r="AY111" i="24" s="1"/>
  <c r="BA111" i="24" s="1"/>
  <c r="AV111" i="24"/>
  <c r="AX111" i="24" s="1"/>
  <c r="AZ111" i="24" s="1"/>
  <c r="AV131" i="24"/>
  <c r="AX131" i="24" s="1"/>
  <c r="AZ131" i="24" s="1"/>
  <c r="AW131" i="24"/>
  <c r="AY131" i="24" s="1"/>
  <c r="AV119" i="24"/>
  <c r="AX119" i="24" s="1"/>
  <c r="AZ119" i="24" s="1"/>
  <c r="AW119" i="24"/>
  <c r="AY119" i="24" s="1"/>
  <c r="BA119" i="24" s="1"/>
  <c r="AV118" i="24"/>
  <c r="AX118" i="24" s="1"/>
  <c r="AZ118" i="24" s="1"/>
  <c r="AW118" i="24"/>
  <c r="AY118" i="24" s="1"/>
  <c r="BA118" i="24" s="1"/>
  <c r="AW113" i="24"/>
  <c r="AY113" i="24" s="1"/>
  <c r="BA113" i="24" s="1"/>
  <c r="AV113" i="24"/>
  <c r="AX113" i="24" s="1"/>
  <c r="AZ113" i="24" s="1"/>
  <c r="BB148" i="24"/>
  <c r="G148" i="24" s="1"/>
  <c r="F148" i="24" s="1"/>
  <c r="BA148" i="24"/>
  <c r="AB148" i="24"/>
  <c r="BA142" i="24"/>
  <c r="AB142" i="24"/>
  <c r="BB142" i="24"/>
  <c r="G142" i="24" s="1"/>
  <c r="F142" i="24" s="1"/>
  <c r="BB149" i="24"/>
  <c r="G149" i="24" s="1"/>
  <c r="F149" i="24" s="1"/>
  <c r="BA149" i="24"/>
  <c r="AB149" i="24"/>
  <c r="AW117" i="24"/>
  <c r="AY117" i="24" s="1"/>
  <c r="BA117" i="24" s="1"/>
  <c r="AV117" i="24"/>
  <c r="AX117" i="24" s="1"/>
  <c r="AZ117" i="24" s="1"/>
  <c r="BB133" i="24"/>
  <c r="G133" i="24" s="1"/>
  <c r="F133" i="24" s="1"/>
  <c r="AB133" i="24"/>
  <c r="BA133" i="24"/>
  <c r="AB145" i="24"/>
  <c r="BB145" i="24"/>
  <c r="G145" i="24" s="1"/>
  <c r="F145" i="24" s="1"/>
  <c r="BA145" i="24"/>
  <c r="AB147" i="24"/>
  <c r="BB147" i="24"/>
  <c r="G147" i="24" s="1"/>
  <c r="F147" i="24" s="1"/>
  <c r="BA147" i="24"/>
  <c r="BA139" i="24"/>
  <c r="BB139" i="24"/>
  <c r="G139" i="24" s="1"/>
  <c r="F139" i="24" s="1"/>
  <c r="AB139" i="24"/>
  <c r="AW121" i="24"/>
  <c r="AY121" i="24" s="1"/>
  <c r="BA121" i="24" s="1"/>
  <c r="AV121" i="24"/>
  <c r="AX121" i="24" s="1"/>
  <c r="AZ121" i="24" s="1"/>
  <c r="AW120" i="24"/>
  <c r="AY120" i="24" s="1"/>
  <c r="BA120" i="24" s="1"/>
  <c r="AV120" i="24"/>
  <c r="AX120" i="24" s="1"/>
  <c r="AZ120" i="24" s="1"/>
  <c r="AV116" i="24"/>
  <c r="AX116" i="24" s="1"/>
  <c r="AZ116" i="24" s="1"/>
  <c r="AW116" i="24"/>
  <c r="AY116" i="24" s="1"/>
  <c r="BA116" i="24" s="1"/>
  <c r="BB150" i="24"/>
  <c r="G150" i="24" s="1"/>
  <c r="F150" i="24" s="1"/>
  <c r="BA150" i="24"/>
  <c r="AB150" i="24"/>
  <c r="AB138" i="24"/>
  <c r="BA138" i="24"/>
  <c r="BB138" i="24"/>
  <c r="G138" i="24" s="1"/>
  <c r="F138" i="24" s="1"/>
  <c r="AB144" i="24"/>
  <c r="BA144" i="24"/>
  <c r="BB144" i="24"/>
  <c r="G144" i="24" s="1"/>
  <c r="F144" i="24" s="1"/>
  <c r="BB140" i="24"/>
  <c r="G140" i="24" s="1"/>
  <c r="F140" i="24" s="1"/>
  <c r="AB140" i="24"/>
  <c r="BA140" i="24"/>
  <c r="AB132" i="24"/>
  <c r="BB132" i="24"/>
  <c r="G132" i="24" s="1"/>
  <c r="F132" i="24" s="1"/>
  <c r="BA132" i="24"/>
  <c r="BB143" i="24"/>
  <c r="G143" i="24" s="1"/>
  <c r="F143" i="24" s="1"/>
  <c r="BA143" i="24"/>
  <c r="AB143" i="24"/>
  <c r="AX57" i="23"/>
  <c r="AY57" i="23" s="1"/>
  <c r="AY85" i="23"/>
  <c r="AX80" i="23"/>
  <c r="AY80" i="23" s="1"/>
  <c r="AZ51" i="23"/>
  <c r="AX51" i="23" s="1"/>
  <c r="AY51" i="23" s="1"/>
  <c r="AX54" i="23"/>
  <c r="AY54" i="23" s="1"/>
  <c r="AX53" i="22"/>
  <c r="AY53" i="22" s="1"/>
  <c r="AZ54" i="22"/>
  <c r="AX54" i="22" s="1"/>
  <c r="AY54" i="22" s="1"/>
  <c r="AW132" i="22"/>
  <c r="AM187" i="22"/>
  <c r="AX81" i="22"/>
  <c r="AY81" i="22" s="1"/>
  <c r="W160" i="22"/>
  <c r="AO160" i="22"/>
  <c r="AP160" i="22"/>
  <c r="G160" i="22" s="1"/>
  <c r="F160" i="22" s="1"/>
  <c r="AX56" i="22"/>
  <c r="AY56" i="22" s="1"/>
  <c r="AZ57" i="22"/>
  <c r="AX57" i="22" s="1"/>
  <c r="AY57" i="22" s="1"/>
  <c r="BZ51" i="22"/>
  <c r="BB51" i="22"/>
  <c r="BK232" i="27"/>
  <c r="BK226" i="26"/>
  <c r="T185" i="26"/>
  <c r="R186" i="26" s="1"/>
  <c r="S186" i="26"/>
  <c r="BM194" i="25"/>
  <c r="BM194" i="24"/>
  <c r="AX126" i="23"/>
  <c r="AY126" i="23" s="1"/>
  <c r="AK220" i="23"/>
  <c r="AL219" i="23"/>
  <c r="AM219" i="23" s="1"/>
  <c r="AX50" i="23"/>
  <c r="AY50" i="23" s="1"/>
  <c r="D137" i="23"/>
  <c r="D135" i="23"/>
  <c r="AK217" i="22"/>
  <c r="AL217" i="22" s="1"/>
  <c r="AM216" i="22"/>
  <c r="BM5" i="20"/>
  <c r="BJ102" i="21"/>
  <c r="BK101" i="21"/>
  <c r="BQ55" i="21" s="1"/>
  <c r="S153" i="21"/>
  <c r="T152" i="21"/>
  <c r="R153" i="21" s="1"/>
  <c r="T121" i="21"/>
  <c r="R122" i="21" s="1"/>
  <c r="S122" i="21"/>
  <c r="BG83" i="20"/>
  <c r="BM63" i="20"/>
  <c r="CF3" i="20"/>
  <c r="BO3" i="20"/>
  <c r="T138" i="20"/>
  <c r="R139" i="20" s="1"/>
  <c r="S139" i="20"/>
  <c r="BM38" i="20"/>
  <c r="D72" i="20"/>
  <c r="D70" i="20"/>
  <c r="CM5" i="20"/>
  <c r="BH83" i="20" l="1"/>
  <c r="BI83" i="20" s="1"/>
  <c r="BO54" i="20" s="1"/>
  <c r="BO55" i="20" s="1"/>
  <c r="BO56" i="20" s="1"/>
  <c r="AW132" i="27"/>
  <c r="AY132" i="27" s="1"/>
  <c r="BA132" i="27" s="1"/>
  <c r="AX128" i="27"/>
  <c r="AZ128" i="27" s="1"/>
  <c r="BC128" i="27" s="1"/>
  <c r="G128" i="27" s="1"/>
  <c r="F128" i="27" s="1"/>
  <c r="AW123" i="27"/>
  <c r="AY123" i="27" s="1"/>
  <c r="BA123" i="27" s="1"/>
  <c r="AX122" i="27"/>
  <c r="AZ122" i="27" s="1"/>
  <c r="BB122" i="27" s="1"/>
  <c r="AX120" i="27"/>
  <c r="AZ120" i="27" s="1"/>
  <c r="AB120" i="27" s="1"/>
  <c r="AX130" i="27"/>
  <c r="AZ130" i="27" s="1"/>
  <c r="BB130" i="27" s="1"/>
  <c r="AW124" i="27"/>
  <c r="AY124" i="27" s="1"/>
  <c r="BA124" i="27" s="1"/>
  <c r="AX125" i="27"/>
  <c r="AZ125" i="27" s="1"/>
  <c r="BC125" i="27" s="1"/>
  <c r="G125" i="27" s="1"/>
  <c r="F125" i="27" s="1"/>
  <c r="AW127" i="27"/>
  <c r="AY127" i="27" s="1"/>
  <c r="BA127" i="27" s="1"/>
  <c r="AW126" i="27"/>
  <c r="AY126" i="27" s="1"/>
  <c r="BA126" i="27" s="1"/>
  <c r="C9" i="27"/>
  <c r="C22" i="27" s="1"/>
  <c r="AW121" i="27"/>
  <c r="AY121" i="27" s="1"/>
  <c r="BA121" i="27" s="1"/>
  <c r="AX133" i="27"/>
  <c r="AZ133" i="27" s="1"/>
  <c r="BC133" i="27" s="1"/>
  <c r="G133" i="27" s="1"/>
  <c r="F133" i="27" s="1"/>
  <c r="BM100" i="28"/>
  <c r="BN100" i="28" s="1"/>
  <c r="BP85" i="28" s="1"/>
  <c r="BP86" i="28" s="1"/>
  <c r="BP87" i="28" s="1"/>
  <c r="CT28" i="28"/>
  <c r="CU68" i="28" s="1"/>
  <c r="D85" i="28" s="1"/>
  <c r="D87" i="28" s="1"/>
  <c r="D100" i="28"/>
  <c r="D98" i="28"/>
  <c r="D101" i="28"/>
  <c r="D99" i="28"/>
  <c r="BN28" i="28"/>
  <c r="BM68" i="28" s="1"/>
  <c r="B85" i="28" s="1"/>
  <c r="B87" i="28" s="1"/>
  <c r="BB120" i="27"/>
  <c r="BC120" i="27"/>
  <c r="G120" i="27" s="1"/>
  <c r="F120" i="27" s="1"/>
  <c r="D3" i="27"/>
  <c r="BL232" i="27" s="1"/>
  <c r="BM232" i="27" s="1"/>
  <c r="C5" i="27"/>
  <c r="BB127" i="27"/>
  <c r="AB127" i="27"/>
  <c r="BC127" i="27"/>
  <c r="G127" i="27" s="1"/>
  <c r="F127" i="27" s="1"/>
  <c r="BC131" i="27"/>
  <c r="G131" i="27" s="1"/>
  <c r="F131" i="27" s="1"/>
  <c r="AB131" i="27"/>
  <c r="BB131" i="27"/>
  <c r="BB119" i="27"/>
  <c r="AB119" i="27"/>
  <c r="BC119" i="27"/>
  <c r="G119" i="27" s="1"/>
  <c r="F119" i="27" s="1"/>
  <c r="BB113" i="27"/>
  <c r="AB113" i="27"/>
  <c r="BC113" i="27"/>
  <c r="G113" i="27" s="1"/>
  <c r="F113" i="27" s="1"/>
  <c r="AB116" i="27"/>
  <c r="BC116" i="27"/>
  <c r="G116" i="27" s="1"/>
  <c r="F116" i="27" s="1"/>
  <c r="BB116" i="27"/>
  <c r="AB121" i="27"/>
  <c r="BC121" i="27"/>
  <c r="G121" i="27" s="1"/>
  <c r="F121" i="27" s="1"/>
  <c r="BB121" i="27"/>
  <c r="BB111" i="27"/>
  <c r="AB111" i="27"/>
  <c r="BC111" i="27"/>
  <c r="G111" i="27" s="1"/>
  <c r="F111" i="27" s="1"/>
  <c r="AX110" i="27"/>
  <c r="AZ110" i="27" s="1"/>
  <c r="AW110" i="27"/>
  <c r="AY110" i="27" s="1"/>
  <c r="BA110" i="27" s="1"/>
  <c r="BB126" i="27"/>
  <c r="AB126" i="27"/>
  <c r="BC126" i="27"/>
  <c r="G126" i="27" s="1"/>
  <c r="F126" i="27" s="1"/>
  <c r="BB123" i="27"/>
  <c r="AB123" i="27"/>
  <c r="BC123" i="27"/>
  <c r="G123" i="27" s="1"/>
  <c r="F123" i="27" s="1"/>
  <c r="AB115" i="27"/>
  <c r="BB115" i="27"/>
  <c r="BC115" i="27"/>
  <c r="G115" i="27" s="1"/>
  <c r="F115" i="27" s="1"/>
  <c r="BC132" i="27"/>
  <c r="G132" i="27" s="1"/>
  <c r="F132" i="27" s="1"/>
  <c r="AB132" i="27"/>
  <c r="BB132" i="27"/>
  <c r="BC114" i="27"/>
  <c r="G114" i="27" s="1"/>
  <c r="F114" i="27" s="1"/>
  <c r="BB114" i="27"/>
  <c r="AB114" i="27"/>
  <c r="BB118" i="27"/>
  <c r="AB118" i="27"/>
  <c r="BC118" i="27"/>
  <c r="G118" i="27" s="1"/>
  <c r="F118" i="27" s="1"/>
  <c r="AB117" i="27"/>
  <c r="BC117" i="27"/>
  <c r="G117" i="27" s="1"/>
  <c r="F117" i="27" s="1"/>
  <c r="BB117" i="27"/>
  <c r="AB112" i="27"/>
  <c r="BB112" i="27"/>
  <c r="BC112" i="27"/>
  <c r="G112" i="27" s="1"/>
  <c r="F112" i="27" s="1"/>
  <c r="BC124" i="27"/>
  <c r="G124" i="27" s="1"/>
  <c r="F124" i="27" s="1"/>
  <c r="BB124" i="27"/>
  <c r="AB124" i="27"/>
  <c r="AB129" i="27"/>
  <c r="BB129" i="27"/>
  <c r="BC129" i="27"/>
  <c r="G129" i="27" s="1"/>
  <c r="F129" i="27" s="1"/>
  <c r="BB128" i="27"/>
  <c r="BA150" i="25"/>
  <c r="AB150" i="25"/>
  <c r="BB150" i="25"/>
  <c r="G150" i="25" s="1"/>
  <c r="F150" i="25" s="1"/>
  <c r="C5" i="25"/>
  <c r="C22" i="25"/>
  <c r="D3" i="25"/>
  <c r="C3" i="25"/>
  <c r="D22" i="25"/>
  <c r="BA131" i="25"/>
  <c r="AB131" i="25"/>
  <c r="AV110" i="25"/>
  <c r="AX110" i="25" s="1"/>
  <c r="AZ110" i="25" s="1"/>
  <c r="AW110" i="25"/>
  <c r="AY110" i="25" s="1"/>
  <c r="BA110" i="25" s="1"/>
  <c r="BL220" i="26"/>
  <c r="BM220" i="26" s="1"/>
  <c r="BL197" i="26"/>
  <c r="BM197" i="26" s="1"/>
  <c r="BL201" i="26"/>
  <c r="BM201" i="26" s="1"/>
  <c r="BL205" i="26"/>
  <c r="BM205" i="26" s="1"/>
  <c r="BL209" i="26"/>
  <c r="BM209" i="26" s="1"/>
  <c r="BL213" i="26"/>
  <c r="BM213" i="26" s="1"/>
  <c r="BL217" i="26"/>
  <c r="BM217" i="26" s="1"/>
  <c r="BZ30" i="26"/>
  <c r="BZ33" i="26"/>
  <c r="BL198" i="26"/>
  <c r="BM198" i="26" s="1"/>
  <c r="BL202" i="26"/>
  <c r="BM202" i="26" s="1"/>
  <c r="BL206" i="26"/>
  <c r="BM206" i="26" s="1"/>
  <c r="BL210" i="26"/>
  <c r="BM210" i="26" s="1"/>
  <c r="BL214" i="26"/>
  <c r="BM214" i="26" s="1"/>
  <c r="BL218" i="26"/>
  <c r="BM218" i="26" s="1"/>
  <c r="CX30" i="26"/>
  <c r="BL212" i="26"/>
  <c r="BM212" i="26" s="1"/>
  <c r="BL194" i="26"/>
  <c r="BL195" i="26"/>
  <c r="BM195" i="26" s="1"/>
  <c r="BL199" i="26"/>
  <c r="BM199" i="26" s="1"/>
  <c r="BL203" i="26"/>
  <c r="BM203" i="26" s="1"/>
  <c r="BL207" i="26"/>
  <c r="BM207" i="26" s="1"/>
  <c r="BL211" i="26"/>
  <c r="BM211" i="26" s="1"/>
  <c r="BL215" i="26"/>
  <c r="BM215" i="26" s="1"/>
  <c r="BL219" i="26"/>
  <c r="BM219" i="26" s="1"/>
  <c r="D5" i="26"/>
  <c r="CO33" i="26"/>
  <c r="BL196" i="26"/>
  <c r="BM196" i="26" s="1"/>
  <c r="BL200" i="26"/>
  <c r="BM200" i="26" s="1"/>
  <c r="BL204" i="26"/>
  <c r="BM204" i="26" s="1"/>
  <c r="BL208" i="26"/>
  <c r="BM208" i="26" s="1"/>
  <c r="BL216" i="26"/>
  <c r="BM216" i="26" s="1"/>
  <c r="BL221" i="26"/>
  <c r="BM221" i="26" s="1"/>
  <c r="BL222" i="26"/>
  <c r="BM222" i="26" s="1"/>
  <c r="BL223" i="26"/>
  <c r="BM223" i="26" s="1"/>
  <c r="BL224" i="26"/>
  <c r="BM224" i="26" s="1"/>
  <c r="BL226" i="26"/>
  <c r="BM226" i="26" s="1"/>
  <c r="BB110" i="26"/>
  <c r="BK56" i="26" s="1"/>
  <c r="BL56" i="26" s="1"/>
  <c r="AB110" i="26"/>
  <c r="AB131" i="24"/>
  <c r="BA131" i="24"/>
  <c r="AW110" i="24"/>
  <c r="AY110" i="24" s="1"/>
  <c r="BA110" i="24" s="1"/>
  <c r="AV110" i="24"/>
  <c r="AX110" i="24" s="1"/>
  <c r="AZ110" i="24" s="1"/>
  <c r="D3" i="24"/>
  <c r="BN194" i="24" s="1"/>
  <c r="BO194" i="24" s="1"/>
  <c r="C5" i="24"/>
  <c r="C22" i="24"/>
  <c r="C3" i="24"/>
  <c r="D22" i="24"/>
  <c r="AX50" i="22"/>
  <c r="AY50" i="22" s="1"/>
  <c r="AZ51" i="22"/>
  <c r="AX51" i="22" s="1"/>
  <c r="AY51" i="22" s="1"/>
  <c r="D133" i="22"/>
  <c r="D131" i="22"/>
  <c r="BK233" i="27"/>
  <c r="BK227" i="26"/>
  <c r="BL227" i="26" s="1"/>
  <c r="T186" i="26"/>
  <c r="R187" i="26" s="1"/>
  <c r="S187" i="26"/>
  <c r="T187" i="26" s="1"/>
  <c r="BM195" i="25"/>
  <c r="BN194" i="25"/>
  <c r="BO194" i="25" s="1"/>
  <c r="BM195" i="24"/>
  <c r="AK221" i="23"/>
  <c r="AL220" i="23"/>
  <c r="AM220" i="23" s="1"/>
  <c r="AK218" i="22"/>
  <c r="AL218" i="22" s="1"/>
  <c r="AM217" i="22"/>
  <c r="CM3" i="20"/>
  <c r="CN38" i="20" s="1"/>
  <c r="T153" i="21"/>
  <c r="R154" i="21" s="1"/>
  <c r="S154" i="21"/>
  <c r="S123" i="21"/>
  <c r="T123" i="21" s="1"/>
  <c r="T122" i="21"/>
  <c r="R123" i="21" s="1"/>
  <c r="BQ56" i="21"/>
  <c r="BQ58" i="21" s="1"/>
  <c r="BR34" i="21"/>
  <c r="BP34" i="21"/>
  <c r="BJ103" i="21"/>
  <c r="BK102" i="21"/>
  <c r="BR55" i="21" s="1"/>
  <c r="BM3" i="20"/>
  <c r="BL38" i="20" s="1"/>
  <c r="B50" i="20" s="1"/>
  <c r="S140" i="20"/>
  <c r="T139" i="20"/>
  <c r="R140" i="20" s="1"/>
  <c r="D69" i="20"/>
  <c r="D71" i="20"/>
  <c r="BH84" i="20"/>
  <c r="AB128" i="27" l="1"/>
  <c r="AB122" i="27"/>
  <c r="BC122" i="27"/>
  <c r="G122" i="27" s="1"/>
  <c r="F122" i="27" s="1"/>
  <c r="BB125" i="27"/>
  <c r="AB130" i="27"/>
  <c r="BC130" i="27"/>
  <c r="G130" i="27" s="1"/>
  <c r="F130" i="27" s="1"/>
  <c r="C3" i="27"/>
  <c r="AB133" i="27"/>
  <c r="BB133" i="27"/>
  <c r="D22" i="27"/>
  <c r="AB125" i="27"/>
  <c r="BM101" i="28"/>
  <c r="BM102" i="28" s="1"/>
  <c r="E87" i="28"/>
  <c r="E66" i="28" s="1"/>
  <c r="E69" i="28" s="1"/>
  <c r="B66" i="28"/>
  <c r="B69" i="28" s="1"/>
  <c r="BL229" i="27"/>
  <c r="BM229" i="27" s="1"/>
  <c r="BL206" i="27"/>
  <c r="BM206" i="27" s="1"/>
  <c r="BL222" i="27"/>
  <c r="BM222" i="27" s="1"/>
  <c r="BZ33" i="27"/>
  <c r="BL212" i="27"/>
  <c r="BM212" i="27" s="1"/>
  <c r="CX30" i="27"/>
  <c r="BL213" i="27"/>
  <c r="BM213" i="27" s="1"/>
  <c r="CO33" i="27"/>
  <c r="BL225" i="27"/>
  <c r="BM225" i="27" s="1"/>
  <c r="BL230" i="27"/>
  <c r="BM230" i="27" s="1"/>
  <c r="BL202" i="27"/>
  <c r="BM202" i="27" s="1"/>
  <c r="BL215" i="27"/>
  <c r="BM215" i="27" s="1"/>
  <c r="BL209" i="27"/>
  <c r="BM209" i="27" s="1"/>
  <c r="BL219" i="27"/>
  <c r="BM219" i="27" s="1"/>
  <c r="BL228" i="27"/>
  <c r="BM228" i="27" s="1"/>
  <c r="BL210" i="27"/>
  <c r="BM210" i="27" s="1"/>
  <c r="BL200" i="27"/>
  <c r="BZ30" i="27"/>
  <c r="BL216" i="27"/>
  <c r="BM216" i="27" s="1"/>
  <c r="BL201" i="27"/>
  <c r="BM201" i="27" s="1"/>
  <c r="BL217" i="27"/>
  <c r="BM217" i="27" s="1"/>
  <c r="BL203" i="27"/>
  <c r="BM203" i="27" s="1"/>
  <c r="BL226" i="27"/>
  <c r="BM226" i="27" s="1"/>
  <c r="BL218" i="27"/>
  <c r="BM218" i="27" s="1"/>
  <c r="BL208" i="27"/>
  <c r="BM208" i="27" s="1"/>
  <c r="BL223" i="27"/>
  <c r="BM223" i="27" s="1"/>
  <c r="D5" i="27"/>
  <c r="BL214" i="27"/>
  <c r="BM214" i="27" s="1"/>
  <c r="BL207" i="27"/>
  <c r="BM207" i="27" s="1"/>
  <c r="BL204" i="27"/>
  <c r="BM204" i="27" s="1"/>
  <c r="BL220" i="27"/>
  <c r="BM220" i="27" s="1"/>
  <c r="BL205" i="27"/>
  <c r="BM205" i="27" s="1"/>
  <c r="BL221" i="27"/>
  <c r="BM221" i="27" s="1"/>
  <c r="BL211" i="27"/>
  <c r="BM211" i="27" s="1"/>
  <c r="BL227" i="27"/>
  <c r="BM227" i="27" s="1"/>
  <c r="BL224" i="27"/>
  <c r="BM224" i="27" s="1"/>
  <c r="BL231" i="27"/>
  <c r="BM231" i="27" s="1"/>
  <c r="BB110" i="27"/>
  <c r="BK56" i="27" s="1"/>
  <c r="BL56" i="27" s="1"/>
  <c r="AB110" i="27"/>
  <c r="BM56" i="25"/>
  <c r="BN56" i="25" s="1"/>
  <c r="BM103" i="25"/>
  <c r="BN103" i="25" s="1"/>
  <c r="BM61" i="25"/>
  <c r="BN61" i="25" s="1"/>
  <c r="BN165" i="25"/>
  <c r="BN169" i="25"/>
  <c r="BO169" i="25" s="1"/>
  <c r="CB30" i="25"/>
  <c r="BN166" i="25"/>
  <c r="BO166" i="25" s="1"/>
  <c r="BN170" i="25"/>
  <c r="BO170" i="25" s="1"/>
  <c r="BN174" i="25"/>
  <c r="BO174" i="25" s="1"/>
  <c r="BN178" i="25"/>
  <c r="BO178" i="25" s="1"/>
  <c r="BN182" i="25"/>
  <c r="BO182" i="25" s="1"/>
  <c r="BN184" i="25"/>
  <c r="BO184" i="25" s="1"/>
  <c r="CZ30" i="25"/>
  <c r="BN168" i="25"/>
  <c r="BO168" i="25" s="1"/>
  <c r="BN176" i="25"/>
  <c r="BO176" i="25" s="1"/>
  <c r="CB33" i="25"/>
  <c r="BN177" i="25"/>
  <c r="BO177" i="25" s="1"/>
  <c r="D5" i="25"/>
  <c r="BN167" i="25"/>
  <c r="BO167" i="25" s="1"/>
  <c r="BN171" i="25"/>
  <c r="BO171" i="25" s="1"/>
  <c r="BN175" i="25"/>
  <c r="BO175" i="25" s="1"/>
  <c r="BN179" i="25"/>
  <c r="BO179" i="25" s="1"/>
  <c r="BN183" i="25"/>
  <c r="BO183" i="25" s="1"/>
  <c r="BN172" i="25"/>
  <c r="BO172" i="25" s="1"/>
  <c r="BN180" i="25"/>
  <c r="BO180" i="25" s="1"/>
  <c r="BN185" i="25"/>
  <c r="BO185" i="25" s="1"/>
  <c r="CQ33" i="25"/>
  <c r="BN173" i="25"/>
  <c r="BO173" i="25" s="1"/>
  <c r="BN181" i="25"/>
  <c r="BO181" i="25" s="1"/>
  <c r="BN186" i="25"/>
  <c r="BO186" i="25" s="1"/>
  <c r="BN187" i="25"/>
  <c r="BO187" i="25" s="1"/>
  <c r="BN188" i="25"/>
  <c r="BO188" i="25" s="1"/>
  <c r="BN189" i="25"/>
  <c r="BO189" i="25" s="1"/>
  <c r="BN190" i="25"/>
  <c r="BO190" i="25" s="1"/>
  <c r="BN191" i="25"/>
  <c r="BO191" i="25" s="1"/>
  <c r="BN192" i="25"/>
  <c r="BO192" i="25" s="1"/>
  <c r="BN193" i="25"/>
  <c r="BO193" i="25" s="1"/>
  <c r="BM33" i="26"/>
  <c r="BK33" i="26" s="1"/>
  <c r="BL33" i="26" s="1"/>
  <c r="BK32" i="26"/>
  <c r="BL32" i="26" s="1"/>
  <c r="BO27" i="26"/>
  <c r="CM27" i="26"/>
  <c r="BK29" i="26"/>
  <c r="BL29" i="26" s="1"/>
  <c r="BM30" i="26"/>
  <c r="BK30" i="26" s="1"/>
  <c r="BL30" i="26" s="1"/>
  <c r="BK105" i="26"/>
  <c r="BL105" i="26" s="1"/>
  <c r="BM194" i="26"/>
  <c r="BJ110" i="26"/>
  <c r="BK61" i="26"/>
  <c r="BL61" i="26" s="1"/>
  <c r="BM61" i="24"/>
  <c r="BN61" i="24" s="1"/>
  <c r="BM56" i="24"/>
  <c r="BN56" i="24" s="1"/>
  <c r="BM102" i="24"/>
  <c r="BN102" i="24" s="1"/>
  <c r="BN166" i="24"/>
  <c r="BO166" i="24" s="1"/>
  <c r="BN170" i="24"/>
  <c r="BO170" i="24" s="1"/>
  <c r="BN174" i="24"/>
  <c r="BO174" i="24" s="1"/>
  <c r="BN178" i="24"/>
  <c r="BO178" i="24" s="1"/>
  <c r="BN182" i="24"/>
  <c r="BO182" i="24" s="1"/>
  <c r="BN184" i="24"/>
  <c r="BO184" i="24" s="1"/>
  <c r="CB30" i="24"/>
  <c r="BN171" i="24"/>
  <c r="BO171" i="24" s="1"/>
  <c r="BN179" i="24"/>
  <c r="BO179" i="24" s="1"/>
  <c r="CZ30" i="24"/>
  <c r="BN169" i="24"/>
  <c r="BO169" i="24" s="1"/>
  <c r="BN177" i="24"/>
  <c r="BO177" i="24" s="1"/>
  <c r="BN167" i="24"/>
  <c r="BO167" i="24" s="1"/>
  <c r="BN175" i="24"/>
  <c r="BO175" i="24" s="1"/>
  <c r="BN183" i="24"/>
  <c r="BO183" i="24" s="1"/>
  <c r="CB33" i="24"/>
  <c r="BN165" i="24"/>
  <c r="BN181" i="24"/>
  <c r="BO181" i="24" s="1"/>
  <c r="BN168" i="24"/>
  <c r="BO168" i="24" s="1"/>
  <c r="BN172" i="24"/>
  <c r="BO172" i="24" s="1"/>
  <c r="BN176" i="24"/>
  <c r="BO176" i="24" s="1"/>
  <c r="BN180" i="24"/>
  <c r="BO180" i="24" s="1"/>
  <c r="BN185" i="24"/>
  <c r="BO185" i="24" s="1"/>
  <c r="D5" i="24"/>
  <c r="BN173" i="24"/>
  <c r="BO173" i="24" s="1"/>
  <c r="CQ33" i="24"/>
  <c r="BN186" i="24"/>
  <c r="BO186" i="24" s="1"/>
  <c r="BN187" i="24"/>
  <c r="BO187" i="24" s="1"/>
  <c r="BN188" i="24"/>
  <c r="BO188" i="24" s="1"/>
  <c r="BN189" i="24"/>
  <c r="BO189" i="24" s="1"/>
  <c r="BN190" i="24"/>
  <c r="BO190" i="24" s="1"/>
  <c r="BN191" i="24"/>
  <c r="BO191" i="24" s="1"/>
  <c r="BN192" i="24"/>
  <c r="BO192" i="24" s="1"/>
  <c r="BN193" i="24"/>
  <c r="BO193" i="24" s="1"/>
  <c r="BK234" i="27"/>
  <c r="BL233" i="27"/>
  <c r="BM233" i="27" s="1"/>
  <c r="BM227" i="26"/>
  <c r="BK228" i="26"/>
  <c r="BL228" i="26" s="1"/>
  <c r="BM196" i="25"/>
  <c r="BN195" i="25"/>
  <c r="BO195" i="25" s="1"/>
  <c r="BN195" i="24"/>
  <c r="BO195" i="24" s="1"/>
  <c r="BM196" i="24"/>
  <c r="AK222" i="23"/>
  <c r="AL221" i="23"/>
  <c r="AM221" i="23" s="1"/>
  <c r="AK219" i="22"/>
  <c r="AL219" i="22" s="1"/>
  <c r="AM218" i="22"/>
  <c r="BJ104" i="21"/>
  <c r="BK103" i="21"/>
  <c r="BS55" i="21" s="1"/>
  <c r="S155" i="21"/>
  <c r="T154" i="21"/>
  <c r="R155" i="21" s="1"/>
  <c r="BT33" i="21"/>
  <c r="BP33" i="21"/>
  <c r="BR56" i="21"/>
  <c r="BR58" i="21" s="1"/>
  <c r="BI84" i="20"/>
  <c r="BP54" i="20" s="1"/>
  <c r="BH85" i="20"/>
  <c r="S141" i="20"/>
  <c r="T141" i="20" s="1"/>
  <c r="T140" i="20"/>
  <c r="R141" i="20" s="1"/>
  <c r="D61" i="20"/>
  <c r="E27" i="20" s="1"/>
  <c r="B61" i="20"/>
  <c r="E61" i="20"/>
  <c r="BK61" i="27" l="1"/>
  <c r="BL61" i="27" s="1"/>
  <c r="BN101" i="28"/>
  <c r="BQ85" i="28" s="1"/>
  <c r="BQ86" i="28" s="1"/>
  <c r="BQ87" i="28" s="1"/>
  <c r="BN102" i="28"/>
  <c r="BR85" i="28" s="1"/>
  <c r="BM103" i="28"/>
  <c r="BK32" i="27"/>
  <c r="BL32" i="27" s="1"/>
  <c r="BM33" i="27"/>
  <c r="BK33" i="27" s="1"/>
  <c r="BL33" i="27" s="1"/>
  <c r="BO27" i="27"/>
  <c r="CM27" i="27"/>
  <c r="BM30" i="27"/>
  <c r="BK30" i="27" s="1"/>
  <c r="BL30" i="27" s="1"/>
  <c r="BK29" i="27"/>
  <c r="BL29" i="27" s="1"/>
  <c r="BK105" i="27"/>
  <c r="BL105" i="27" s="1"/>
  <c r="BJ110" i="27"/>
  <c r="BM200" i="27"/>
  <c r="BM32" i="25"/>
  <c r="BN32" i="25" s="1"/>
  <c r="BO33" i="25"/>
  <c r="BM33" i="25" s="1"/>
  <c r="BN33" i="25" s="1"/>
  <c r="BL108" i="25"/>
  <c r="BO165" i="25"/>
  <c r="CO27" i="25"/>
  <c r="BQ27" i="25"/>
  <c r="BO30" i="25"/>
  <c r="BM30" i="25" s="1"/>
  <c r="BN30" i="25" s="1"/>
  <c r="BM29" i="25"/>
  <c r="BN29" i="25" s="1"/>
  <c r="BM27" i="26"/>
  <c r="BK27" i="26" s="1"/>
  <c r="BL27" i="26" s="1"/>
  <c r="BK26" i="26"/>
  <c r="BL26" i="26" s="1"/>
  <c r="D103" i="26"/>
  <c r="D99" i="26"/>
  <c r="BL107" i="24"/>
  <c r="BO165" i="24"/>
  <c r="CO27" i="24"/>
  <c r="BQ27" i="24"/>
  <c r="BO33" i="24"/>
  <c r="BM33" i="24" s="1"/>
  <c r="BN33" i="24" s="1"/>
  <c r="BM32" i="24"/>
  <c r="BN32" i="24" s="1"/>
  <c r="BO30" i="24"/>
  <c r="BM30" i="24" s="1"/>
  <c r="BN30" i="24" s="1"/>
  <c r="BM29" i="24"/>
  <c r="BN29" i="24" s="1"/>
  <c r="BK235" i="27"/>
  <c r="BL234" i="27"/>
  <c r="BM234" i="27" s="1"/>
  <c r="BK229" i="26"/>
  <c r="BL229" i="26" s="1"/>
  <c r="BM228" i="26"/>
  <c r="BM197" i="25"/>
  <c r="BN196" i="25"/>
  <c r="BO196" i="25" s="1"/>
  <c r="BN196" i="24"/>
  <c r="BO196" i="24" s="1"/>
  <c r="BM197" i="24"/>
  <c r="AK223" i="23"/>
  <c r="AL222" i="23"/>
  <c r="AM222" i="23" s="1"/>
  <c r="AK220" i="22"/>
  <c r="AL220" i="22" s="1"/>
  <c r="AM219" i="22"/>
  <c r="S156" i="21"/>
  <c r="T155" i="21"/>
  <c r="R156" i="21" s="1"/>
  <c r="BS56" i="21"/>
  <c r="BS58" i="21" s="1"/>
  <c r="BP32" i="21"/>
  <c r="BV32" i="21"/>
  <c r="BJ105" i="21"/>
  <c r="BK104" i="21"/>
  <c r="BT55" i="21" s="1"/>
  <c r="D57" i="20"/>
  <c r="E56" i="20" s="1"/>
  <c r="D26" i="20"/>
  <c r="B56" i="20" s="1"/>
  <c r="D27" i="20"/>
  <c r="BH86" i="20"/>
  <c r="BI85" i="20"/>
  <c r="BQ54" i="20" s="1"/>
  <c r="BP55" i="20"/>
  <c r="BP56" i="20" s="1"/>
  <c r="BO33" i="20"/>
  <c r="BQ33" i="20"/>
  <c r="BR62" i="28" l="1"/>
  <c r="BP62" i="28"/>
  <c r="BN103" i="28"/>
  <c r="BS85" i="28" s="1"/>
  <c r="BM104" i="28"/>
  <c r="BR86" i="28"/>
  <c r="BR87" i="28" s="1"/>
  <c r="BP61" i="28"/>
  <c r="BT61" i="28"/>
  <c r="BT63" i="28" s="1"/>
  <c r="BT64" i="28" s="1"/>
  <c r="D103" i="27"/>
  <c r="D101" i="27"/>
  <c r="BM27" i="27"/>
  <c r="BK27" i="27" s="1"/>
  <c r="BL27" i="27" s="1"/>
  <c r="BK26" i="27"/>
  <c r="BL26" i="27" s="1"/>
  <c r="D103" i="25"/>
  <c r="D101" i="25"/>
  <c r="BM26" i="25"/>
  <c r="BN26" i="25" s="1"/>
  <c r="BO27" i="25"/>
  <c r="BM27" i="25" s="1"/>
  <c r="BN27" i="25" s="1"/>
  <c r="BO27" i="24"/>
  <c r="BM27" i="24" s="1"/>
  <c r="BN27" i="24" s="1"/>
  <c r="BM26" i="24"/>
  <c r="BN26" i="24" s="1"/>
  <c r="D103" i="24"/>
  <c r="D101" i="24"/>
  <c r="BK236" i="27"/>
  <c r="BL236" i="27" s="1"/>
  <c r="BL235" i="27"/>
  <c r="BM235" i="27" s="1"/>
  <c r="BM229" i="26"/>
  <c r="BK230" i="26"/>
  <c r="BL230" i="26" s="1"/>
  <c r="BM198" i="25"/>
  <c r="BN197" i="25"/>
  <c r="BO197" i="25" s="1"/>
  <c r="BN197" i="24"/>
  <c r="BO197" i="24" s="1"/>
  <c r="BM198" i="24"/>
  <c r="AK224" i="23"/>
  <c r="AL223" i="23"/>
  <c r="AM223" i="23" s="1"/>
  <c r="AK221" i="22"/>
  <c r="AL221" i="22" s="1"/>
  <c r="AM220" i="22"/>
  <c r="BT56" i="21"/>
  <c r="BT58" i="21" s="1"/>
  <c r="BQ31" i="21"/>
  <c r="BW31" i="21"/>
  <c r="BJ106" i="21"/>
  <c r="BK105" i="21"/>
  <c r="BU55" i="21" s="1"/>
  <c r="S157" i="21"/>
  <c r="T156" i="21"/>
  <c r="R157" i="21" s="1"/>
  <c r="BI86" i="20"/>
  <c r="BR54" i="20" s="1"/>
  <c r="BH87" i="20"/>
  <c r="BO32" i="20"/>
  <c r="BQ55" i="20"/>
  <c r="BQ56" i="20" s="1"/>
  <c r="BS32" i="20"/>
  <c r="BN104" i="28" l="1"/>
  <c r="BT85" i="28" s="1"/>
  <c r="BM105" i="28"/>
  <c r="BP60" i="28"/>
  <c r="BS86" i="28"/>
  <c r="BS87" i="28" s="1"/>
  <c r="BV60" i="28"/>
  <c r="BV63" i="28" s="1"/>
  <c r="BV64" i="28" s="1"/>
  <c r="BM236" i="27"/>
  <c r="BN200" i="27" s="1"/>
  <c r="DB110" i="27"/>
  <c r="DB110" i="26"/>
  <c r="BM230" i="26"/>
  <c r="BN194" i="26" s="1"/>
  <c r="BM199" i="25"/>
  <c r="BN198" i="25"/>
  <c r="BO198" i="25" s="1"/>
  <c r="BN198" i="24"/>
  <c r="BO198" i="24" s="1"/>
  <c r="BM199" i="24"/>
  <c r="AK225" i="23"/>
  <c r="AL224" i="23"/>
  <c r="AM224" i="23" s="1"/>
  <c r="AK222" i="22"/>
  <c r="AL222" i="22" s="1"/>
  <c r="AM221" i="22"/>
  <c r="BJ107" i="21"/>
  <c r="BK106" i="21"/>
  <c r="BV55" i="21" s="1"/>
  <c r="S158" i="21"/>
  <c r="T158" i="21" s="1"/>
  <c r="T157" i="21"/>
  <c r="R158" i="21" s="1"/>
  <c r="BU56" i="21"/>
  <c r="BU58" i="21" s="1"/>
  <c r="BZ30" i="21"/>
  <c r="BP30" i="21"/>
  <c r="BI87" i="20"/>
  <c r="BS54" i="20" s="1"/>
  <c r="BH88" i="20"/>
  <c r="BU31" i="20"/>
  <c r="BO31" i="20"/>
  <c r="BR55" i="20"/>
  <c r="BR56" i="20" s="1"/>
  <c r="BM106" i="28" l="1"/>
  <c r="BN105" i="28"/>
  <c r="BU85" i="28" s="1"/>
  <c r="BT86" i="28"/>
  <c r="BT87" i="28" s="1"/>
  <c r="BX59" i="28"/>
  <c r="BP59" i="28"/>
  <c r="D104" i="27"/>
  <c r="D102" i="27"/>
  <c r="BN201" i="27"/>
  <c r="BO200" i="27"/>
  <c r="BO57" i="27" s="1"/>
  <c r="BO58" i="27" s="1"/>
  <c r="BO60" i="27" s="1"/>
  <c r="D104" i="26"/>
  <c r="D102" i="26"/>
  <c r="BN195" i="26"/>
  <c r="BO194" i="26"/>
  <c r="BO57" i="26" s="1"/>
  <c r="BO58" i="26" s="1"/>
  <c r="BO60" i="26" s="1"/>
  <c r="BM200" i="25"/>
  <c r="BN199" i="25"/>
  <c r="BO199" i="25" s="1"/>
  <c r="BN199" i="24"/>
  <c r="BO199" i="24" s="1"/>
  <c r="BM200" i="24"/>
  <c r="AK226" i="23"/>
  <c r="AL225" i="23"/>
  <c r="AM225" i="23" s="1"/>
  <c r="AK223" i="22"/>
  <c r="AL223" i="22" s="1"/>
  <c r="AM222" i="22"/>
  <c r="BZ29" i="21"/>
  <c r="BW51" i="21"/>
  <c r="BW53" i="21" s="1"/>
  <c r="BQ29" i="21"/>
  <c r="BQ35" i="21" s="1"/>
  <c r="BQ36" i="21" s="1"/>
  <c r="BV56" i="21"/>
  <c r="BV58" i="21" s="1"/>
  <c r="BU51" i="21"/>
  <c r="BJ108" i="21"/>
  <c r="BK107" i="21"/>
  <c r="BW55" i="21" s="1"/>
  <c r="BI88" i="20"/>
  <c r="BT54" i="20" s="1"/>
  <c r="BH89" i="20"/>
  <c r="BS55" i="20"/>
  <c r="BS56" i="20" s="1"/>
  <c r="BV30" i="20"/>
  <c r="BP30" i="20"/>
  <c r="BU86" i="28" l="1"/>
  <c r="BU87" i="28" s="1"/>
  <c r="BP58" i="28"/>
  <c r="BZ58" i="28"/>
  <c r="BZ63" i="28" s="1"/>
  <c r="BZ64" i="28" s="1"/>
  <c r="BN106" i="28"/>
  <c r="BV85" i="28" s="1"/>
  <c r="BM107" i="28"/>
  <c r="BO201" i="27"/>
  <c r="BP57" i="27" s="1"/>
  <c r="BN202" i="27"/>
  <c r="BN196" i="26"/>
  <c r="BO195" i="26"/>
  <c r="BP57" i="26" s="1"/>
  <c r="BM201" i="25"/>
  <c r="BN201" i="25" s="1"/>
  <c r="BN200" i="25"/>
  <c r="BO200" i="25" s="1"/>
  <c r="BN200" i="24"/>
  <c r="BO200" i="24" s="1"/>
  <c r="BM201" i="24"/>
  <c r="BN201" i="24" s="1"/>
  <c r="AK227" i="23"/>
  <c r="AL227" i="23" s="1"/>
  <c r="AL226" i="23"/>
  <c r="AM226" i="23" s="1"/>
  <c r="CO132" i="22"/>
  <c r="AM223" i="22"/>
  <c r="AN187" i="22" s="1"/>
  <c r="BJ109" i="21"/>
  <c r="BK108" i="21"/>
  <c r="BX55" i="21" s="1"/>
  <c r="BW56" i="21"/>
  <c r="BW58" i="21" s="1"/>
  <c r="BU50" i="21"/>
  <c r="BY50" i="21"/>
  <c r="BY53" i="21" s="1"/>
  <c r="BP28" i="21"/>
  <c r="CD28" i="21"/>
  <c r="BI89" i="20"/>
  <c r="BU54" i="20" s="1"/>
  <c r="BH90" i="20"/>
  <c r="BY29" i="20"/>
  <c r="BT55" i="20"/>
  <c r="BT56" i="20" s="1"/>
  <c r="BO29" i="20"/>
  <c r="BM108" i="28" l="1"/>
  <c r="BN107" i="28"/>
  <c r="BW85" i="28" s="1"/>
  <c r="CA57" i="28"/>
  <c r="BQ57" i="28"/>
  <c r="BV86" i="28"/>
  <c r="BV87" i="28" s="1"/>
  <c r="BN203" i="27"/>
  <c r="BO202" i="27"/>
  <c r="BQ57" i="27" s="1"/>
  <c r="BO98" i="27"/>
  <c r="BP58" i="27"/>
  <c r="BP60" i="27" s="1"/>
  <c r="BQ98" i="27"/>
  <c r="BQ99" i="26"/>
  <c r="BO99" i="26"/>
  <c r="BP58" i="26"/>
  <c r="BP60" i="26" s="1"/>
  <c r="BN197" i="26"/>
  <c r="BO196" i="26"/>
  <c r="BQ57" i="26" s="1"/>
  <c r="BO201" i="25"/>
  <c r="BP165" i="25" s="1"/>
  <c r="DD108" i="25"/>
  <c r="D104" i="25" s="1"/>
  <c r="BO201" i="24"/>
  <c r="BP165" i="24" s="1"/>
  <c r="DD107" i="24"/>
  <c r="D104" i="24" s="1"/>
  <c r="AM227" i="23"/>
  <c r="AN191" i="23" s="1"/>
  <c r="CO131" i="23"/>
  <c r="D132" i="22"/>
  <c r="D134" i="22"/>
  <c r="AO187" i="22"/>
  <c r="BB82" i="22" s="1"/>
  <c r="BB83" i="22" s="1"/>
  <c r="BB85" i="22" s="1"/>
  <c r="AN188" i="22"/>
  <c r="BZ49" i="21"/>
  <c r="BP27" i="21"/>
  <c r="BX56" i="21"/>
  <c r="BX58" i="21" s="1"/>
  <c r="BV49" i="21"/>
  <c r="CF27" i="21"/>
  <c r="CF35" i="21" s="1"/>
  <c r="CF36" i="21" s="1"/>
  <c r="BJ110" i="21"/>
  <c r="BK109" i="21"/>
  <c r="BY55" i="21" s="1"/>
  <c r="BI90" i="20"/>
  <c r="BV54" i="20" s="1"/>
  <c r="BH91" i="20"/>
  <c r="BT50" i="20"/>
  <c r="BV50" i="20"/>
  <c r="BV52" i="20" s="1"/>
  <c r="BU55" i="20"/>
  <c r="BU56" i="20" s="1"/>
  <c r="BY28" i="20"/>
  <c r="BP28" i="20"/>
  <c r="BP34" i="20" s="1"/>
  <c r="BP35" i="20" s="1"/>
  <c r="BR56" i="28" l="1"/>
  <c r="BR63" i="28" s="1"/>
  <c r="BR64" i="28" s="1"/>
  <c r="BW86" i="28"/>
  <c r="BW87" i="28" s="1"/>
  <c r="CB56" i="28"/>
  <c r="CB63" i="28" s="1"/>
  <c r="CB64" i="28" s="1"/>
  <c r="BM109" i="28"/>
  <c r="BN108" i="28"/>
  <c r="BX85" i="28" s="1"/>
  <c r="BS97" i="27"/>
  <c r="BO97" i="27"/>
  <c r="BQ58" i="27"/>
  <c r="BQ60" i="27" s="1"/>
  <c r="BO203" i="27"/>
  <c r="BR57" i="27" s="1"/>
  <c r="BN204" i="27"/>
  <c r="BN198" i="26"/>
  <c r="BO197" i="26"/>
  <c r="BR57" i="26" s="1"/>
  <c r="BO98" i="26"/>
  <c r="BS98" i="26"/>
  <c r="BQ58" i="26"/>
  <c r="BQ60" i="26" s="1"/>
  <c r="D102" i="25"/>
  <c r="BQ165" i="25"/>
  <c r="BQ57" i="25" s="1"/>
  <c r="BQ58" i="25" s="1"/>
  <c r="BQ60" i="25" s="1"/>
  <c r="BP166" i="25"/>
  <c r="D102" i="24"/>
  <c r="BP166" i="24"/>
  <c r="BQ165" i="24"/>
  <c r="BQ57" i="24" s="1"/>
  <c r="BQ58" i="24" s="1"/>
  <c r="BQ60" i="24" s="1"/>
  <c r="D136" i="23"/>
  <c r="D138" i="23"/>
  <c r="AN192" i="23"/>
  <c r="AO191" i="23"/>
  <c r="BB81" i="23" s="1"/>
  <c r="BB82" i="23" s="1"/>
  <c r="BB84" i="23" s="1"/>
  <c r="AN189" i="22"/>
  <c r="AO188" i="22"/>
  <c r="BC82" i="22" s="1"/>
  <c r="BX48" i="21"/>
  <c r="BY56" i="21"/>
  <c r="BY58" i="21" s="1"/>
  <c r="CH26" i="21"/>
  <c r="BZ48" i="21"/>
  <c r="BP26" i="21"/>
  <c r="BP35" i="21" s="1"/>
  <c r="BP36" i="21" s="1"/>
  <c r="BJ111" i="21"/>
  <c r="BK110" i="21"/>
  <c r="BZ55" i="21" s="1"/>
  <c r="BH92" i="20"/>
  <c r="BI91" i="20"/>
  <c r="BW54" i="20" s="1"/>
  <c r="BX49" i="20"/>
  <c r="BX52" i="20" s="1"/>
  <c r="CC27" i="20"/>
  <c r="BO27" i="20"/>
  <c r="BV55" i="20"/>
  <c r="BV56" i="20" s="1"/>
  <c r="BT49" i="20"/>
  <c r="BN109" i="28" l="1"/>
  <c r="BY85" i="28" s="1"/>
  <c r="BM110" i="28"/>
  <c r="CF55" i="28"/>
  <c r="CF63" i="28" s="1"/>
  <c r="CF64" i="28" s="1"/>
  <c r="BP55" i="28"/>
  <c r="BX86" i="28"/>
  <c r="BX87" i="28" s="1"/>
  <c r="BU96" i="27"/>
  <c r="BO96" i="27"/>
  <c r="BR58" i="27"/>
  <c r="BR60" i="27" s="1"/>
  <c r="BN205" i="27"/>
  <c r="BO204" i="27"/>
  <c r="BS57" i="27" s="1"/>
  <c r="BU97" i="26"/>
  <c r="BO97" i="26"/>
  <c r="BR58" i="26"/>
  <c r="BR60" i="26" s="1"/>
  <c r="BN199" i="26"/>
  <c r="BO198" i="26"/>
  <c r="BS57" i="26" s="1"/>
  <c r="BQ166" i="25"/>
  <c r="BR57" i="25" s="1"/>
  <c r="BP167" i="25"/>
  <c r="BP167" i="24"/>
  <c r="BQ166" i="24"/>
  <c r="BR57" i="24" s="1"/>
  <c r="AO192" i="23"/>
  <c r="BC81" i="23" s="1"/>
  <c r="AN193" i="23"/>
  <c r="BD123" i="22"/>
  <c r="BB123" i="22"/>
  <c r="BC83" i="22"/>
  <c r="BC85" i="22" s="1"/>
  <c r="AO189" i="22"/>
  <c r="BD82" i="22" s="1"/>
  <c r="AN190" i="22"/>
  <c r="BZ56" i="21"/>
  <c r="BZ58" i="21" s="1"/>
  <c r="BR25" i="21"/>
  <c r="BR35" i="21" s="1"/>
  <c r="BR36" i="21" s="1"/>
  <c r="CE47" i="21"/>
  <c r="CE53" i="21" s="1"/>
  <c r="BU47" i="21"/>
  <c r="CH25" i="21"/>
  <c r="BJ112" i="21"/>
  <c r="BK111" i="21"/>
  <c r="CA55" i="21" s="1"/>
  <c r="BW55" i="20"/>
  <c r="BW56" i="20" s="1"/>
  <c r="CE26" i="20"/>
  <c r="CE34" i="20" s="1"/>
  <c r="CE35" i="20" s="1"/>
  <c r="BU48" i="20"/>
  <c r="BY48" i="20"/>
  <c r="BO26" i="20"/>
  <c r="BI92" i="20"/>
  <c r="BX54" i="20" s="1"/>
  <c r="BH93" i="20"/>
  <c r="BM111" i="28" l="1"/>
  <c r="BN110" i="28"/>
  <c r="BZ85" i="28" s="1"/>
  <c r="BY86" i="28"/>
  <c r="BY87" i="28" s="1"/>
  <c r="BP54" i="28"/>
  <c r="BZ81" i="28"/>
  <c r="CH54" i="28"/>
  <c r="CH63" i="28" s="1"/>
  <c r="CH64" i="28" s="1"/>
  <c r="BX81" i="28"/>
  <c r="BO205" i="27"/>
  <c r="BT57" i="27" s="1"/>
  <c r="BN206" i="27"/>
  <c r="BW95" i="27"/>
  <c r="BS58" i="27"/>
  <c r="BS60" i="27" s="1"/>
  <c r="BO95" i="27"/>
  <c r="BN200" i="26"/>
  <c r="BO199" i="26"/>
  <c r="BT57" i="26" s="1"/>
  <c r="BO96" i="26"/>
  <c r="BS58" i="26"/>
  <c r="BS60" i="26" s="1"/>
  <c r="BW96" i="26"/>
  <c r="BQ167" i="25"/>
  <c r="BS57" i="25" s="1"/>
  <c r="BP168" i="25"/>
  <c r="BQ98" i="25"/>
  <c r="BS98" i="25"/>
  <c r="BR58" i="25"/>
  <c r="BR60" i="25" s="1"/>
  <c r="BR58" i="24"/>
  <c r="BR60" i="24" s="1"/>
  <c r="BS98" i="24"/>
  <c r="BQ98" i="24"/>
  <c r="BQ167" i="24"/>
  <c r="BS57" i="24" s="1"/>
  <c r="BP168" i="24"/>
  <c r="AO193" i="23"/>
  <c r="BD81" i="23" s="1"/>
  <c r="AN194" i="23"/>
  <c r="BD122" i="23"/>
  <c r="BB122" i="23"/>
  <c r="BC82" i="23"/>
  <c r="BC84" i="23" s="1"/>
  <c r="BF122" i="22"/>
  <c r="BD83" i="22"/>
  <c r="BD85" i="22" s="1"/>
  <c r="BB122" i="22"/>
  <c r="AN191" i="22"/>
  <c r="AO190" i="22"/>
  <c r="BE82" i="22" s="1"/>
  <c r="CA56" i="21"/>
  <c r="CA58" i="21" s="1"/>
  <c r="BU46" i="21"/>
  <c r="BU53" i="21" s="1"/>
  <c r="BT24" i="21"/>
  <c r="BT35" i="21" s="1"/>
  <c r="BT36" i="21" s="1"/>
  <c r="CH24" i="21"/>
  <c r="CG46" i="21"/>
  <c r="CG53" i="21" s="1"/>
  <c r="BJ113" i="21"/>
  <c r="BK112" i="21"/>
  <c r="CB55" i="21" s="1"/>
  <c r="BH94" i="20"/>
  <c r="BI93" i="20"/>
  <c r="BY54" i="20" s="1"/>
  <c r="BY47" i="20"/>
  <c r="BO25" i="20"/>
  <c r="BO34" i="20" s="1"/>
  <c r="BO35" i="20" s="1"/>
  <c r="BX55" i="20"/>
  <c r="BX56" i="20" s="1"/>
  <c r="CG25" i="20"/>
  <c r="BW47" i="20"/>
  <c r="BX80" i="28" l="1"/>
  <c r="BZ86" i="28"/>
  <c r="BZ87" i="28" s="1"/>
  <c r="BP53" i="28"/>
  <c r="BP63" i="28" s="1"/>
  <c r="BP64" i="28" s="1"/>
  <c r="CJ53" i="28"/>
  <c r="CJ63" i="28" s="1"/>
  <c r="CJ64" i="28" s="1"/>
  <c r="CB80" i="28"/>
  <c r="BM112" i="28"/>
  <c r="BN111" i="28"/>
  <c r="CA85" i="28" s="1"/>
  <c r="BN207" i="27"/>
  <c r="BO206" i="27"/>
  <c r="BU57" i="27" s="1"/>
  <c r="BY94" i="27"/>
  <c r="BY99" i="27" s="1"/>
  <c r="BY104" i="27" s="1"/>
  <c r="BT58" i="27"/>
  <c r="BT60" i="27" s="1"/>
  <c r="BO94" i="27"/>
  <c r="BY95" i="26"/>
  <c r="BY100" i="26" s="1"/>
  <c r="BY104" i="26" s="1"/>
  <c r="BO95" i="26"/>
  <c r="BT58" i="26"/>
  <c r="BT60" i="26" s="1"/>
  <c r="BN201" i="26"/>
  <c r="BO200" i="26"/>
  <c r="BU57" i="26" s="1"/>
  <c r="BQ168" i="25"/>
  <c r="BT57" i="25" s="1"/>
  <c r="BP169" i="25"/>
  <c r="BU97" i="25"/>
  <c r="BQ97" i="25"/>
  <c r="BS58" i="25"/>
  <c r="BS60" i="25" s="1"/>
  <c r="BQ168" i="24"/>
  <c r="BT57" i="24" s="1"/>
  <c r="BP169" i="24"/>
  <c r="BU97" i="24"/>
  <c r="BQ97" i="24"/>
  <c r="BS58" i="24"/>
  <c r="BS60" i="24" s="1"/>
  <c r="AO194" i="23"/>
  <c r="BE81" i="23" s="1"/>
  <c r="AN195" i="23"/>
  <c r="BF121" i="23"/>
  <c r="BD82" i="23"/>
  <c r="BD84" i="23" s="1"/>
  <c r="BB121" i="23"/>
  <c r="AO191" i="22"/>
  <c r="BF82" i="22" s="1"/>
  <c r="AN192" i="22"/>
  <c r="BH121" i="22"/>
  <c r="BB121" i="22"/>
  <c r="BE83" i="22"/>
  <c r="BE85" i="22" s="1"/>
  <c r="CH45" i="21"/>
  <c r="CH23" i="21"/>
  <c r="BV45" i="21"/>
  <c r="BV53" i="21" s="1"/>
  <c r="BV23" i="21"/>
  <c r="BV35" i="21" s="1"/>
  <c r="BV36" i="21" s="1"/>
  <c r="CB56" i="21"/>
  <c r="CB58" i="21" s="1"/>
  <c r="BJ114" i="21"/>
  <c r="BK113" i="21"/>
  <c r="CC55" i="21" s="1"/>
  <c r="BT46" i="20"/>
  <c r="BY55" i="20"/>
  <c r="BY56" i="20" s="1"/>
  <c r="CD46" i="20"/>
  <c r="CD52" i="20" s="1"/>
  <c r="BQ24" i="20"/>
  <c r="BQ34" i="20" s="1"/>
  <c r="BQ35" i="20" s="1"/>
  <c r="CG24" i="20"/>
  <c r="BI94" i="20"/>
  <c r="BZ54" i="20" s="1"/>
  <c r="BH95" i="20"/>
  <c r="BQ52" i="28" l="1"/>
  <c r="BQ63" i="28" s="1"/>
  <c r="BQ64" i="28" s="1"/>
  <c r="CB79" i="28"/>
  <c r="CB83" i="28" s="1"/>
  <c r="CA86" i="28"/>
  <c r="CA87" i="28" s="1"/>
  <c r="BZ79" i="28"/>
  <c r="BZ83" i="28" s="1"/>
  <c r="CK52" i="28"/>
  <c r="BM113" i="28"/>
  <c r="BN112" i="28"/>
  <c r="CB85" i="28" s="1"/>
  <c r="CA93" i="27"/>
  <c r="CA99" i="27" s="1"/>
  <c r="CA104" i="27" s="1"/>
  <c r="BO93" i="27"/>
  <c r="BU58" i="27"/>
  <c r="BU60" i="27" s="1"/>
  <c r="BO207" i="27"/>
  <c r="BV57" i="27" s="1"/>
  <c r="BN208" i="27"/>
  <c r="BN202" i="26"/>
  <c r="BO201" i="26"/>
  <c r="BV57" i="26" s="1"/>
  <c r="BO94" i="26"/>
  <c r="CA94" i="26"/>
  <c r="CA100" i="26" s="1"/>
  <c r="CA104" i="26" s="1"/>
  <c r="BU58" i="26"/>
  <c r="BU60" i="26" s="1"/>
  <c r="BQ169" i="25"/>
  <c r="BU57" i="25" s="1"/>
  <c r="BP170" i="25"/>
  <c r="BQ96" i="25"/>
  <c r="BW96" i="25"/>
  <c r="BT58" i="25"/>
  <c r="BT60" i="25" s="1"/>
  <c r="BW96" i="24"/>
  <c r="BT58" i="24"/>
  <c r="BT60" i="24" s="1"/>
  <c r="BQ96" i="24"/>
  <c r="BP170" i="24"/>
  <c r="BQ169" i="24"/>
  <c r="BU57" i="24" s="1"/>
  <c r="AO195" i="23"/>
  <c r="BF81" i="23" s="1"/>
  <c r="AN196" i="23"/>
  <c r="BE82" i="23"/>
  <c r="BE84" i="23" s="1"/>
  <c r="BB120" i="23"/>
  <c r="BH120" i="23"/>
  <c r="AN193" i="22"/>
  <c r="AO192" i="22"/>
  <c r="BG82" i="22" s="1"/>
  <c r="BJ120" i="22"/>
  <c r="BF83" i="22"/>
  <c r="BF85" i="22" s="1"/>
  <c r="BB120" i="22"/>
  <c r="BJ115" i="21"/>
  <c r="BK114" i="21"/>
  <c r="CD55" i="21" s="1"/>
  <c r="BX44" i="21"/>
  <c r="BX53" i="21" s="1"/>
  <c r="CH22" i="21"/>
  <c r="CH44" i="21"/>
  <c r="BX22" i="21"/>
  <c r="BX35" i="21" s="1"/>
  <c r="BX36" i="21" s="1"/>
  <c r="CC56" i="21"/>
  <c r="CC58" i="21" s="1"/>
  <c r="BI95" i="20"/>
  <c r="CA54" i="20" s="1"/>
  <c r="BH96" i="20"/>
  <c r="CF45" i="20"/>
  <c r="CF52" i="20" s="1"/>
  <c r="CG23" i="20"/>
  <c r="BS23" i="20"/>
  <c r="BS34" i="20" s="1"/>
  <c r="BS35" i="20" s="1"/>
  <c r="BT45" i="20"/>
  <c r="BT52" i="20" s="1"/>
  <c r="BZ55" i="20"/>
  <c r="BZ56" i="20" s="1"/>
  <c r="BN113" i="28" l="1"/>
  <c r="CC85" i="28" s="1"/>
  <c r="BM114" i="28"/>
  <c r="CB86" i="28"/>
  <c r="CB87" i="28" s="1"/>
  <c r="CK51" i="28"/>
  <c r="BS51" i="28"/>
  <c r="BS63" i="28" s="1"/>
  <c r="BS64" i="28" s="1"/>
  <c r="BX78" i="28"/>
  <c r="CF78" i="28"/>
  <c r="CF83" i="28" s="1"/>
  <c r="CC92" i="27"/>
  <c r="CC99" i="27" s="1"/>
  <c r="CC104" i="27" s="1"/>
  <c r="BV58" i="27"/>
  <c r="BV60" i="27" s="1"/>
  <c r="BO92" i="27"/>
  <c r="BN209" i="27"/>
  <c r="BO208" i="27"/>
  <c r="BW57" i="27" s="1"/>
  <c r="CC93" i="26"/>
  <c r="CC100" i="26" s="1"/>
  <c r="CC104" i="26" s="1"/>
  <c r="BO93" i="26"/>
  <c r="BV58" i="26"/>
  <c r="BV60" i="26" s="1"/>
  <c r="BN203" i="26"/>
  <c r="BO202" i="26"/>
  <c r="BW57" i="26" s="1"/>
  <c r="BQ170" i="25"/>
  <c r="BV57" i="25" s="1"/>
  <c r="BP171" i="25"/>
  <c r="BQ95" i="25"/>
  <c r="BU58" i="25"/>
  <c r="BU60" i="25" s="1"/>
  <c r="BY95" i="25"/>
  <c r="BQ95" i="24"/>
  <c r="BY95" i="24"/>
  <c r="BU58" i="24"/>
  <c r="BU60" i="24" s="1"/>
  <c r="BP171" i="24"/>
  <c r="BQ170" i="24"/>
  <c r="BV57" i="24" s="1"/>
  <c r="AO196" i="23"/>
  <c r="BG81" i="23" s="1"/>
  <c r="AN197" i="23"/>
  <c r="BB119" i="23"/>
  <c r="BJ119" i="23"/>
  <c r="BF82" i="23"/>
  <c r="BF84" i="23" s="1"/>
  <c r="BL119" i="22"/>
  <c r="BL124" i="22" s="1"/>
  <c r="BL126" i="22" s="1"/>
  <c r="BB119" i="22"/>
  <c r="BG83" i="22"/>
  <c r="BG85" i="22" s="1"/>
  <c r="AO193" i="22"/>
  <c r="BH82" i="22" s="1"/>
  <c r="AN194" i="22"/>
  <c r="CD56" i="21"/>
  <c r="CD58" i="21" s="1"/>
  <c r="CH43" i="21"/>
  <c r="BZ43" i="21"/>
  <c r="BZ53" i="21" s="1"/>
  <c r="CH21" i="21"/>
  <c r="CH35" i="21" s="1"/>
  <c r="CH36" i="21" s="1"/>
  <c r="BZ21" i="21"/>
  <c r="BZ35" i="21" s="1"/>
  <c r="BZ36" i="21" s="1"/>
  <c r="BJ116" i="21"/>
  <c r="BK115" i="21"/>
  <c r="CE55" i="21" s="1"/>
  <c r="BI96" i="20"/>
  <c r="CB54" i="20" s="1"/>
  <c r="BH97" i="20"/>
  <c r="CA55" i="20"/>
  <c r="CA56" i="20" s="1"/>
  <c r="BU22" i="20"/>
  <c r="BU34" i="20" s="1"/>
  <c r="BU35" i="20" s="1"/>
  <c r="BU44" i="20"/>
  <c r="BU52" i="20" s="1"/>
  <c r="CG44" i="20"/>
  <c r="CG22" i="20"/>
  <c r="BM115" i="28" l="1"/>
  <c r="BN114" i="28"/>
  <c r="CD85" i="28" s="1"/>
  <c r="CC86" i="28"/>
  <c r="CC87" i="28" s="1"/>
  <c r="BU50" i="28"/>
  <c r="BU63" i="28" s="1"/>
  <c r="BU64" i="28" s="1"/>
  <c r="CH77" i="28"/>
  <c r="CH83" i="28" s="1"/>
  <c r="CK50" i="28"/>
  <c r="BX77" i="28"/>
  <c r="BN210" i="27"/>
  <c r="BO209" i="27"/>
  <c r="BX57" i="27" s="1"/>
  <c r="CE91" i="27"/>
  <c r="BW58" i="27"/>
  <c r="BW60" i="27" s="1"/>
  <c r="BO91" i="27"/>
  <c r="BO99" i="27" s="1"/>
  <c r="BO104" i="27" s="1"/>
  <c r="BN204" i="26"/>
  <c r="BO203" i="26"/>
  <c r="BX57" i="26" s="1"/>
  <c r="BO92" i="26"/>
  <c r="BO100" i="26" s="1"/>
  <c r="BO104" i="26" s="1"/>
  <c r="BW58" i="26"/>
  <c r="BW60" i="26" s="1"/>
  <c r="CE92" i="26"/>
  <c r="BQ171" i="25"/>
  <c r="BW57" i="25" s="1"/>
  <c r="BP172" i="25"/>
  <c r="BQ94" i="25"/>
  <c r="CA94" i="25"/>
  <c r="CA99" i="25" s="1"/>
  <c r="CA102" i="25" s="1"/>
  <c r="BV58" i="25"/>
  <c r="BV60" i="25" s="1"/>
  <c r="BQ94" i="24"/>
  <c r="BV58" i="24"/>
  <c r="BV60" i="24" s="1"/>
  <c r="CA94" i="24"/>
  <c r="CA99" i="24" s="1"/>
  <c r="CA101" i="24" s="1"/>
  <c r="BQ171" i="24"/>
  <c r="BW57" i="24" s="1"/>
  <c r="BP172" i="24"/>
  <c r="AN198" i="23"/>
  <c r="AO197" i="23"/>
  <c r="BH81" i="23" s="1"/>
  <c r="BL118" i="23"/>
  <c r="BB118" i="23"/>
  <c r="BG82" i="23"/>
  <c r="BG84" i="23" s="1"/>
  <c r="BN118" i="22"/>
  <c r="BN124" i="22" s="1"/>
  <c r="BN126" i="22" s="1"/>
  <c r="BH83" i="22"/>
  <c r="BH85" i="22" s="1"/>
  <c r="BB118" i="22"/>
  <c r="AN195" i="22"/>
  <c r="AO194" i="22"/>
  <c r="BI82" i="22" s="1"/>
  <c r="BJ117" i="21"/>
  <c r="BK116" i="21"/>
  <c r="CF55" i="21" s="1"/>
  <c r="CE56" i="21"/>
  <c r="CE58" i="21" s="1"/>
  <c r="CD42" i="21"/>
  <c r="CM20" i="21"/>
  <c r="BW20" i="21"/>
  <c r="BW35" i="21" s="1"/>
  <c r="BW36" i="21" s="1"/>
  <c r="CF42" i="21"/>
  <c r="BH98" i="20"/>
  <c r="BI97" i="20"/>
  <c r="CC54" i="20" s="1"/>
  <c r="CG43" i="20"/>
  <c r="CB55" i="20"/>
  <c r="CB56" i="20" s="1"/>
  <c r="CG21" i="20"/>
  <c r="BW43" i="20"/>
  <c r="BW52" i="20" s="1"/>
  <c r="BW21" i="20"/>
  <c r="BW34" i="20" s="1"/>
  <c r="BW35" i="20" s="1"/>
  <c r="BX76" i="28" l="1"/>
  <c r="BX83" i="28" s="1"/>
  <c r="CK49" i="28"/>
  <c r="CD86" i="28"/>
  <c r="CD87" i="28" s="1"/>
  <c r="BW49" i="28"/>
  <c r="BW63" i="28" s="1"/>
  <c r="BW64" i="28" s="1"/>
  <c r="CJ76" i="28"/>
  <c r="CJ83" i="28" s="1"/>
  <c r="BM116" i="28"/>
  <c r="BN115" i="28"/>
  <c r="CE85" i="28" s="1"/>
  <c r="CE90" i="27"/>
  <c r="BQ90" i="27"/>
  <c r="BQ99" i="27" s="1"/>
  <c r="BQ104" i="27" s="1"/>
  <c r="BX58" i="27"/>
  <c r="BX60" i="27" s="1"/>
  <c r="BO210" i="27"/>
  <c r="BY57" i="27" s="1"/>
  <c r="BN211" i="27"/>
  <c r="CE91" i="26"/>
  <c r="BQ91" i="26"/>
  <c r="BQ100" i="26" s="1"/>
  <c r="BQ104" i="26" s="1"/>
  <c r="BX58" i="26"/>
  <c r="BX60" i="26" s="1"/>
  <c r="BN205" i="26"/>
  <c r="BO204" i="26"/>
  <c r="BY57" i="26" s="1"/>
  <c r="BQ172" i="25"/>
  <c r="BX57" i="25" s="1"/>
  <c r="BP173" i="25"/>
  <c r="BQ93" i="25"/>
  <c r="BW58" i="25"/>
  <c r="BW60" i="25" s="1"/>
  <c r="CC93" i="25"/>
  <c r="CC99" i="25" s="1"/>
  <c r="CC102" i="25" s="1"/>
  <c r="BP173" i="24"/>
  <c r="BQ172" i="24"/>
  <c r="BX57" i="24" s="1"/>
  <c r="BW58" i="24"/>
  <c r="BW60" i="24" s="1"/>
  <c r="CC93" i="24"/>
  <c r="CC99" i="24" s="1"/>
  <c r="CC101" i="24" s="1"/>
  <c r="BQ93" i="24"/>
  <c r="BB117" i="23"/>
  <c r="BN117" i="23"/>
  <c r="BH82" i="23"/>
  <c r="BH84" i="23" s="1"/>
  <c r="AO198" i="23"/>
  <c r="BI81" i="23" s="1"/>
  <c r="AN199" i="23"/>
  <c r="AO195" i="22"/>
  <c r="BJ82" i="22" s="1"/>
  <c r="AN196" i="22"/>
  <c r="BP117" i="22"/>
  <c r="BP124" i="22" s="1"/>
  <c r="BP126" i="22" s="1"/>
  <c r="BB117" i="22"/>
  <c r="BI83" i="22"/>
  <c r="BI85" i="22" s="1"/>
  <c r="CF56" i="21"/>
  <c r="CF58" i="21" s="1"/>
  <c r="BY19" i="21"/>
  <c r="BY35" i="21" s="1"/>
  <c r="BY36" i="21" s="1"/>
  <c r="CH41" i="21"/>
  <c r="CD41" i="21"/>
  <c r="CD53" i="21" s="1"/>
  <c r="CM19" i="21"/>
  <c r="BK117" i="21"/>
  <c r="CG55" i="21" s="1"/>
  <c r="BJ118" i="21"/>
  <c r="CG20" i="20"/>
  <c r="CG34" i="20" s="1"/>
  <c r="CG35" i="20" s="1"/>
  <c r="BY42" i="20"/>
  <c r="BY52" i="20" s="1"/>
  <c r="CG42" i="20"/>
  <c r="CC55" i="20"/>
  <c r="CC56" i="20" s="1"/>
  <c r="BY20" i="20"/>
  <c r="BY34" i="20" s="1"/>
  <c r="BY35" i="20" s="1"/>
  <c r="BH99" i="20"/>
  <c r="BI98" i="20"/>
  <c r="CD54" i="20" s="1"/>
  <c r="BM117" i="28" l="1"/>
  <c r="BN116" i="28"/>
  <c r="CF85" i="28" s="1"/>
  <c r="BX48" i="28"/>
  <c r="CK75" i="28"/>
  <c r="BY75" i="28"/>
  <c r="BY83" i="28" s="1"/>
  <c r="CL48" i="28"/>
  <c r="CL63" i="28" s="1"/>
  <c r="CL64" i="28" s="1"/>
  <c r="CE86" i="28"/>
  <c r="CE87" i="28" s="1"/>
  <c r="CE89" i="27"/>
  <c r="BS89" i="27"/>
  <c r="BS99" i="27" s="1"/>
  <c r="BS104" i="27" s="1"/>
  <c r="BY58" i="27"/>
  <c r="BY60" i="27" s="1"/>
  <c r="BN212" i="27"/>
  <c r="BO211" i="27"/>
  <c r="BZ57" i="27" s="1"/>
  <c r="BN206" i="26"/>
  <c r="BO205" i="26"/>
  <c r="BZ57" i="26" s="1"/>
  <c r="BS90" i="26"/>
  <c r="BS100" i="26" s="1"/>
  <c r="BS104" i="26" s="1"/>
  <c r="CE90" i="26"/>
  <c r="BY58" i="26"/>
  <c r="BY60" i="26" s="1"/>
  <c r="BQ173" i="25"/>
  <c r="BY57" i="25" s="1"/>
  <c r="BP174" i="25"/>
  <c r="CE92" i="25"/>
  <c r="CE99" i="25" s="1"/>
  <c r="CE102" i="25" s="1"/>
  <c r="BQ92" i="25"/>
  <c r="BX58" i="25"/>
  <c r="BX60" i="25" s="1"/>
  <c r="BQ92" i="24"/>
  <c r="CE92" i="24"/>
  <c r="CE99" i="24" s="1"/>
  <c r="CE101" i="24" s="1"/>
  <c r="BX58" i="24"/>
  <c r="BX60" i="24" s="1"/>
  <c r="BP174" i="24"/>
  <c r="BQ173" i="24"/>
  <c r="BY57" i="24" s="1"/>
  <c r="BI82" i="23"/>
  <c r="BI84" i="23" s="1"/>
  <c r="BP116" i="23"/>
  <c r="BB116" i="23"/>
  <c r="AN200" i="23"/>
  <c r="AO199" i="23"/>
  <c r="BJ81" i="23" s="1"/>
  <c r="AN197" i="22"/>
  <c r="AO196" i="22"/>
  <c r="BK82" i="22" s="1"/>
  <c r="BR116" i="22"/>
  <c r="BJ83" i="22"/>
  <c r="BJ85" i="22" s="1"/>
  <c r="BB116" i="22"/>
  <c r="BB124" i="22" s="1"/>
  <c r="BB126" i="22" s="1"/>
  <c r="BJ119" i="21"/>
  <c r="BK118" i="21"/>
  <c r="CH55" i="21" s="1"/>
  <c r="CF40" i="21"/>
  <c r="CF53" i="21" s="1"/>
  <c r="CJ18" i="21"/>
  <c r="CJ35" i="21" s="1"/>
  <c r="CJ36" i="21" s="1"/>
  <c r="CG56" i="21"/>
  <c r="CG58" i="21" s="1"/>
  <c r="CH40" i="21"/>
  <c r="CH53" i="21" s="1"/>
  <c r="CD18" i="21"/>
  <c r="CE41" i="20"/>
  <c r="CL19" i="20"/>
  <c r="CC41" i="20"/>
  <c r="BV19" i="20"/>
  <c r="BV34" i="20" s="1"/>
  <c r="BV35" i="20" s="1"/>
  <c r="CD55" i="20"/>
  <c r="CD56" i="20" s="1"/>
  <c r="BI99" i="20"/>
  <c r="CE54" i="20" s="1"/>
  <c r="BH100" i="20"/>
  <c r="CN47" i="28" l="1"/>
  <c r="CN63" i="28" s="1"/>
  <c r="CN64" i="28" s="1"/>
  <c r="BX47" i="28"/>
  <c r="CA74" i="28"/>
  <c r="CA83" i="28" s="1"/>
  <c r="CK74" i="28"/>
  <c r="CF86" i="28"/>
  <c r="CF87" i="28" s="1"/>
  <c r="BM118" i="28"/>
  <c r="BN117" i="28"/>
  <c r="CG85" i="28" s="1"/>
  <c r="BO212" i="27"/>
  <c r="CA57" i="27" s="1"/>
  <c r="BN213" i="27"/>
  <c r="CE88" i="27"/>
  <c r="BU88" i="27"/>
  <c r="BU99" i="27" s="1"/>
  <c r="BU104" i="27" s="1"/>
  <c r="BZ58" i="27"/>
  <c r="BZ60" i="27" s="1"/>
  <c r="CE89" i="26"/>
  <c r="BU89" i="26"/>
  <c r="BU100" i="26" s="1"/>
  <c r="BU104" i="26" s="1"/>
  <c r="BZ58" i="26"/>
  <c r="BZ60" i="26" s="1"/>
  <c r="BN207" i="26"/>
  <c r="BO206" i="26"/>
  <c r="CA57" i="26" s="1"/>
  <c r="BQ174" i="25"/>
  <c r="BZ57" i="25" s="1"/>
  <c r="BP175" i="25"/>
  <c r="CG91" i="25"/>
  <c r="BQ91" i="25"/>
  <c r="BQ99" i="25" s="1"/>
  <c r="BQ102" i="25" s="1"/>
  <c r="BY58" i="25"/>
  <c r="BY60" i="25" s="1"/>
  <c r="BP175" i="24"/>
  <c r="BQ174" i="24"/>
  <c r="BZ57" i="24" s="1"/>
  <c r="BY58" i="24"/>
  <c r="BY60" i="24" s="1"/>
  <c r="CG91" i="24"/>
  <c r="BQ91" i="24"/>
  <c r="BQ99" i="24" s="1"/>
  <c r="BQ101" i="24" s="1"/>
  <c r="AN201" i="23"/>
  <c r="AO200" i="23"/>
  <c r="BK81" i="23" s="1"/>
  <c r="BR115" i="23"/>
  <c r="BB115" i="23"/>
  <c r="BJ82" i="23"/>
  <c r="BJ84" i="23" s="1"/>
  <c r="BR115" i="22"/>
  <c r="BD115" i="22"/>
  <c r="BD124" i="22" s="1"/>
  <c r="BD126" i="22" s="1"/>
  <c r="BK83" i="22"/>
  <c r="BK85" i="22" s="1"/>
  <c r="AO197" i="22"/>
  <c r="BL82" i="22" s="1"/>
  <c r="AN198" i="22"/>
  <c r="CD34" i="21"/>
  <c r="CD35" i="21" s="1"/>
  <c r="CD36" i="21" s="1"/>
  <c r="CH56" i="21"/>
  <c r="CH58" i="21" s="1"/>
  <c r="CL34" i="21"/>
  <c r="CL35" i="21" s="1"/>
  <c r="CL36" i="21" s="1"/>
  <c r="BJ120" i="21"/>
  <c r="BK119" i="21"/>
  <c r="CI55" i="21" s="1"/>
  <c r="BH101" i="20"/>
  <c r="BI100" i="20"/>
  <c r="CF54" i="20" s="1"/>
  <c r="CE55" i="20"/>
  <c r="CE56" i="20" s="1"/>
  <c r="CL18" i="20"/>
  <c r="CC40" i="20"/>
  <c r="CC52" i="20" s="1"/>
  <c r="BX18" i="20"/>
  <c r="BX34" i="20" s="1"/>
  <c r="BX35" i="20" s="1"/>
  <c r="CG40" i="20"/>
  <c r="BN118" i="28" l="1"/>
  <c r="CH85" i="28" s="1"/>
  <c r="BM119" i="28"/>
  <c r="CG86" i="28"/>
  <c r="CG87" i="28" s="1"/>
  <c r="BX46" i="28"/>
  <c r="CI73" i="28"/>
  <c r="CP46" i="28"/>
  <c r="CE73" i="28"/>
  <c r="BN214" i="27"/>
  <c r="BO213" i="27"/>
  <c r="CB57" i="27" s="1"/>
  <c r="CE87" i="27"/>
  <c r="CE99" i="27" s="1"/>
  <c r="CE104" i="27" s="1"/>
  <c r="CA58" i="27"/>
  <c r="CA60" i="27" s="1"/>
  <c r="CB53" i="27"/>
  <c r="BW87" i="27"/>
  <c r="BW99" i="27" s="1"/>
  <c r="BW104" i="27" s="1"/>
  <c r="BZ53" i="27"/>
  <c r="BN208" i="26"/>
  <c r="BO207" i="26"/>
  <c r="CB57" i="26" s="1"/>
  <c r="BW88" i="26"/>
  <c r="BW100" i="26" s="1"/>
  <c r="BW104" i="26" s="1"/>
  <c r="CA58" i="26"/>
  <c r="CA60" i="26" s="1"/>
  <c r="CB53" i="26"/>
  <c r="CE88" i="26"/>
  <c r="CE100" i="26" s="1"/>
  <c r="CE104" i="26" s="1"/>
  <c r="BZ53" i="26"/>
  <c r="BQ175" i="25"/>
  <c r="CA57" i="25" s="1"/>
  <c r="BP176" i="25"/>
  <c r="CG90" i="25"/>
  <c r="BS90" i="25"/>
  <c r="BS99" i="25" s="1"/>
  <c r="BS102" i="25" s="1"/>
  <c r="BZ58" i="25"/>
  <c r="BZ60" i="25" s="1"/>
  <c r="BZ58" i="24"/>
  <c r="BZ60" i="24" s="1"/>
  <c r="BS90" i="24"/>
  <c r="BS99" i="24" s="1"/>
  <c r="BS101" i="24" s="1"/>
  <c r="CG90" i="24"/>
  <c r="BQ175" i="24"/>
  <c r="CA57" i="24" s="1"/>
  <c r="BP176" i="24"/>
  <c r="BR114" i="23"/>
  <c r="BK82" i="23"/>
  <c r="BK84" i="23" s="1"/>
  <c r="BD114" i="23"/>
  <c r="AO201" i="23"/>
  <c r="BL81" i="23" s="1"/>
  <c r="AN202" i="23"/>
  <c r="BR114" i="22"/>
  <c r="BF114" i="22"/>
  <c r="BF124" i="22" s="1"/>
  <c r="BF126" i="22" s="1"/>
  <c r="BL83" i="22"/>
  <c r="BL85" i="22" s="1"/>
  <c r="AN199" i="22"/>
  <c r="AO198" i="22"/>
  <c r="BM82" i="22" s="1"/>
  <c r="CI56" i="21"/>
  <c r="CI58" i="21" s="1"/>
  <c r="CE33" i="21"/>
  <c r="CE35" i="21" s="1"/>
  <c r="CE36" i="21" s="1"/>
  <c r="CM33" i="21"/>
  <c r="BJ121" i="21"/>
  <c r="BK120" i="21"/>
  <c r="CJ55" i="21" s="1"/>
  <c r="CG39" i="20"/>
  <c r="CG52" i="20" s="1"/>
  <c r="CF55" i="20"/>
  <c r="CF56" i="20" s="1"/>
  <c r="CC17" i="20"/>
  <c r="CI17" i="20"/>
  <c r="CI34" i="20" s="1"/>
  <c r="CI35" i="20" s="1"/>
  <c r="CE39" i="20"/>
  <c r="CE52" i="20" s="1"/>
  <c r="BI101" i="20"/>
  <c r="CG54" i="20" s="1"/>
  <c r="BH102" i="20"/>
  <c r="BN119" i="28" l="1"/>
  <c r="CI85" i="28" s="1"/>
  <c r="BM120" i="28"/>
  <c r="CE72" i="28"/>
  <c r="CE83" i="28" s="1"/>
  <c r="CH86" i="28"/>
  <c r="CH87" i="28" s="1"/>
  <c r="CK72" i="28"/>
  <c r="BX45" i="28"/>
  <c r="BX63" i="28" s="1"/>
  <c r="BX64" i="28" s="1"/>
  <c r="CR45" i="28"/>
  <c r="CR63" i="28" s="1"/>
  <c r="CR64" i="28" s="1"/>
  <c r="CN86" i="27"/>
  <c r="CD52" i="27"/>
  <c r="CB58" i="27"/>
  <c r="CB60" i="27" s="1"/>
  <c r="BP86" i="27"/>
  <c r="BP99" i="27" s="1"/>
  <c r="BP104" i="27" s="1"/>
  <c r="BZ52" i="27"/>
  <c r="BO214" i="27"/>
  <c r="CC57" i="27" s="1"/>
  <c r="BN215" i="27"/>
  <c r="CN87" i="26"/>
  <c r="BP87" i="26"/>
  <c r="BP100" i="26" s="1"/>
  <c r="BP104" i="26" s="1"/>
  <c r="CD52" i="26"/>
  <c r="BZ52" i="26"/>
  <c r="CB58" i="26"/>
  <c r="CB60" i="26" s="1"/>
  <c r="BN209" i="26"/>
  <c r="BO208" i="26"/>
  <c r="CC57" i="26" s="1"/>
  <c r="BQ176" i="25"/>
  <c r="CB57" i="25" s="1"/>
  <c r="BP177" i="25"/>
  <c r="CG89" i="25"/>
  <c r="BU89" i="25"/>
  <c r="BU99" i="25" s="1"/>
  <c r="BU102" i="25" s="1"/>
  <c r="CA58" i="25"/>
  <c r="CA60" i="25" s="1"/>
  <c r="CG89" i="24"/>
  <c r="BU89" i="24"/>
  <c r="BU99" i="24" s="1"/>
  <c r="BU101" i="24" s="1"/>
  <c r="CA58" i="24"/>
  <c r="CA60" i="24" s="1"/>
  <c r="BQ176" i="24"/>
  <c r="CB57" i="24" s="1"/>
  <c r="BP177" i="24"/>
  <c r="BF113" i="23"/>
  <c r="BL82" i="23"/>
  <c r="BL84" i="23" s="1"/>
  <c r="BR113" i="23"/>
  <c r="AN203" i="23"/>
  <c r="AO202" i="23"/>
  <c r="BM81" i="23" s="1"/>
  <c r="AO199" i="22"/>
  <c r="BN82" i="22" s="1"/>
  <c r="AN200" i="22"/>
  <c r="BR113" i="22"/>
  <c r="BH113" i="22"/>
  <c r="BH124" i="22" s="1"/>
  <c r="BH126" i="22" s="1"/>
  <c r="BM83" i="22"/>
  <c r="BM85" i="22" s="1"/>
  <c r="BJ122" i="21"/>
  <c r="BK121" i="21"/>
  <c r="CK55" i="21" s="1"/>
  <c r="CM32" i="21"/>
  <c r="CJ56" i="21"/>
  <c r="CJ58" i="21" s="1"/>
  <c r="CG32" i="21"/>
  <c r="CG35" i="21" s="1"/>
  <c r="CG36" i="21" s="1"/>
  <c r="BI102" i="20"/>
  <c r="CH54" i="20" s="1"/>
  <c r="BH103" i="20"/>
  <c r="CK33" i="20"/>
  <c r="CK34" i="20" s="1"/>
  <c r="CK35" i="20" s="1"/>
  <c r="CG55" i="20"/>
  <c r="CG56" i="20" s="1"/>
  <c r="CC33" i="20"/>
  <c r="CC34" i="20" s="1"/>
  <c r="CC35" i="20" s="1"/>
  <c r="BM121" i="28" l="1"/>
  <c r="BN120" i="28"/>
  <c r="CJ85" i="28" s="1"/>
  <c r="BY44" i="28"/>
  <c r="BY63" i="28" s="1"/>
  <c r="BY64" i="28" s="1"/>
  <c r="CK71" i="28"/>
  <c r="CI86" i="28"/>
  <c r="CI87" i="28" s="1"/>
  <c r="CG71" i="28"/>
  <c r="CG83" i="28" s="1"/>
  <c r="CS44" i="28"/>
  <c r="BO215" i="27"/>
  <c r="CD57" i="27" s="1"/>
  <c r="BN216" i="27"/>
  <c r="CN85" i="27"/>
  <c r="BR85" i="27"/>
  <c r="BR99" i="27" s="1"/>
  <c r="BR104" i="27" s="1"/>
  <c r="CF51" i="27"/>
  <c r="BZ51" i="27"/>
  <c r="CC58" i="27"/>
  <c r="CC60" i="27" s="1"/>
  <c r="BN210" i="26"/>
  <c r="BO209" i="26"/>
  <c r="CD57" i="26" s="1"/>
  <c r="BR86" i="26"/>
  <c r="BR100" i="26" s="1"/>
  <c r="BR104" i="26" s="1"/>
  <c r="CN86" i="26"/>
  <c r="CC58" i="26"/>
  <c r="CC60" i="26" s="1"/>
  <c r="CF51" i="26"/>
  <c r="BZ51" i="26"/>
  <c r="BQ177" i="25"/>
  <c r="CC57" i="25" s="1"/>
  <c r="BP178" i="25"/>
  <c r="CG88" i="25"/>
  <c r="BW88" i="25"/>
  <c r="BW99" i="25" s="1"/>
  <c r="BW102" i="25" s="1"/>
  <c r="CB58" i="25"/>
  <c r="CB60" i="25" s="1"/>
  <c r="BW88" i="24"/>
  <c r="BW99" i="24" s="1"/>
  <c r="BW101" i="24" s="1"/>
  <c r="CB58" i="24"/>
  <c r="CB60" i="24" s="1"/>
  <c r="CG88" i="24"/>
  <c r="BQ177" i="24"/>
  <c r="CC57" i="24" s="1"/>
  <c r="BP178" i="24"/>
  <c r="AO203" i="23"/>
  <c r="BN81" i="23" s="1"/>
  <c r="AN204" i="23"/>
  <c r="BM82" i="23"/>
  <c r="BM84" i="23" s="1"/>
  <c r="BR112" i="23"/>
  <c r="BH112" i="23"/>
  <c r="AN201" i="22"/>
  <c r="AO200" i="22"/>
  <c r="BO82" i="22" s="1"/>
  <c r="BR112" i="22"/>
  <c r="BR124" i="22" s="1"/>
  <c r="BR126" i="22" s="1"/>
  <c r="BN83" i="22"/>
  <c r="BN85" i="22" s="1"/>
  <c r="BJ112" i="22"/>
  <c r="BJ124" i="22" s="1"/>
  <c r="BJ126" i="22" s="1"/>
  <c r="BO77" i="22"/>
  <c r="BM77" i="22"/>
  <c r="CK56" i="21"/>
  <c r="CK58" i="21" s="1"/>
  <c r="CM31" i="21"/>
  <c r="CI31" i="21"/>
  <c r="CI35" i="21" s="1"/>
  <c r="CI36" i="21" s="1"/>
  <c r="BJ123" i="21"/>
  <c r="BK123" i="21" s="1"/>
  <c r="CM55" i="21" s="1"/>
  <c r="CM56" i="21" s="1"/>
  <c r="CM58" i="21" s="1"/>
  <c r="BK122" i="21"/>
  <c r="CL55" i="21" s="1"/>
  <c r="BI103" i="20"/>
  <c r="CI54" i="20" s="1"/>
  <c r="BH104" i="20"/>
  <c r="CL32" i="20"/>
  <c r="CD32" i="20"/>
  <c r="CD34" i="20" s="1"/>
  <c r="CD35" i="20" s="1"/>
  <c r="CH55" i="20"/>
  <c r="CH56" i="20" s="1"/>
  <c r="CJ86" i="28" l="1"/>
  <c r="CJ87" i="28" s="1"/>
  <c r="CS43" i="28"/>
  <c r="CA43" i="28"/>
  <c r="CA63" i="28" s="1"/>
  <c r="CA64" i="28" s="1"/>
  <c r="CI70" i="28"/>
  <c r="CI83" i="28" s="1"/>
  <c r="CK70" i="28"/>
  <c r="CK83" i="28" s="1"/>
  <c r="BN121" i="28"/>
  <c r="CK85" i="28" s="1"/>
  <c r="BM122" i="28"/>
  <c r="BN217" i="27"/>
  <c r="BO216" i="27"/>
  <c r="CE57" i="27" s="1"/>
  <c r="CN84" i="27"/>
  <c r="CH50" i="27"/>
  <c r="BT84" i="27"/>
  <c r="BT99" i="27" s="1"/>
  <c r="BT104" i="27" s="1"/>
  <c r="CD58" i="27"/>
  <c r="CD60" i="27" s="1"/>
  <c r="BZ50" i="27"/>
  <c r="CN85" i="26"/>
  <c r="BT85" i="26"/>
  <c r="BT100" i="26" s="1"/>
  <c r="BT104" i="26" s="1"/>
  <c r="CH50" i="26"/>
  <c r="CD58" i="26"/>
  <c r="CD60" i="26" s="1"/>
  <c r="BZ50" i="26"/>
  <c r="BN211" i="26"/>
  <c r="BO210" i="26"/>
  <c r="CE57" i="26" s="1"/>
  <c r="BP179" i="25"/>
  <c r="BQ178" i="25"/>
  <c r="CD57" i="25" s="1"/>
  <c r="CD53" i="25"/>
  <c r="CG87" i="25"/>
  <c r="CG99" i="25" s="1"/>
  <c r="CG102" i="25" s="1"/>
  <c r="CC58" i="25"/>
  <c r="CC60" i="25" s="1"/>
  <c r="BY87" i="25"/>
  <c r="BY99" i="25" s="1"/>
  <c r="BY102" i="25" s="1"/>
  <c r="CB53" i="25"/>
  <c r="BP179" i="24"/>
  <c r="BQ178" i="24"/>
  <c r="CD57" i="24" s="1"/>
  <c r="CC58" i="24"/>
  <c r="CC60" i="24" s="1"/>
  <c r="CD53" i="24"/>
  <c r="CG87" i="24"/>
  <c r="CG99" i="24" s="1"/>
  <c r="CG101" i="24" s="1"/>
  <c r="BY87" i="24"/>
  <c r="BY99" i="24" s="1"/>
  <c r="BY101" i="24" s="1"/>
  <c r="CB53" i="24"/>
  <c r="AN205" i="23"/>
  <c r="AO204" i="23"/>
  <c r="BO81" i="23" s="1"/>
  <c r="BJ111" i="23"/>
  <c r="BR111" i="23"/>
  <c r="BN82" i="23"/>
  <c r="BN84" i="23" s="1"/>
  <c r="BO77" i="23"/>
  <c r="BM77" i="23"/>
  <c r="CA111" i="22"/>
  <c r="BQ76" i="22"/>
  <c r="BM76" i="22"/>
  <c r="BC111" i="22"/>
  <c r="BC124" i="22" s="1"/>
  <c r="BC126" i="22" s="1"/>
  <c r="BO83" i="22"/>
  <c r="BO85" i="22" s="1"/>
  <c r="AO201" i="22"/>
  <c r="BP82" i="22" s="1"/>
  <c r="AN202" i="22"/>
  <c r="CM30" i="21"/>
  <c r="CM35" i="21" s="1"/>
  <c r="CM36" i="21" s="1"/>
  <c r="CK30" i="21"/>
  <c r="CK35" i="21" s="1"/>
  <c r="CK36" i="21" s="1"/>
  <c r="CL56" i="21"/>
  <c r="CL58" i="21" s="1"/>
  <c r="BH105" i="20"/>
  <c r="BI104" i="20"/>
  <c r="CJ54" i="20" s="1"/>
  <c r="CI55" i="20"/>
  <c r="CI56" i="20" s="1"/>
  <c r="CF31" i="20"/>
  <c r="CF34" i="20" s="1"/>
  <c r="CF35" i="20" s="1"/>
  <c r="CL31" i="20"/>
  <c r="CK86" i="28" l="1"/>
  <c r="CK87" i="28" s="1"/>
  <c r="CE42" i="28"/>
  <c r="CP42" i="28"/>
  <c r="CP63" i="28" s="1"/>
  <c r="CP64" i="28" s="1"/>
  <c r="BN122" i="28"/>
  <c r="CL85" i="28" s="1"/>
  <c r="BM123" i="28"/>
  <c r="CN83" i="27"/>
  <c r="CE58" i="27"/>
  <c r="CE60" i="27" s="1"/>
  <c r="BZ49" i="27"/>
  <c r="BV83" i="27"/>
  <c r="BV99" i="27" s="1"/>
  <c r="BV104" i="27" s="1"/>
  <c r="CJ49" i="27"/>
  <c r="BO217" i="27"/>
  <c r="CF57" i="27" s="1"/>
  <c r="BN218" i="27"/>
  <c r="BV84" i="26"/>
  <c r="BV100" i="26" s="1"/>
  <c r="BV104" i="26" s="1"/>
  <c r="CE58" i="26"/>
  <c r="CE60" i="26" s="1"/>
  <c r="CN84" i="26"/>
  <c r="CJ49" i="26"/>
  <c r="BZ49" i="26"/>
  <c r="BN212" i="26"/>
  <c r="BO211" i="26"/>
  <c r="CF57" i="26" s="1"/>
  <c r="CP86" i="25"/>
  <c r="BR86" i="25"/>
  <c r="BR99" i="25" s="1"/>
  <c r="BR102" i="25" s="1"/>
  <c r="CF52" i="25"/>
  <c r="CD58" i="25"/>
  <c r="CD60" i="25" s="1"/>
  <c r="CB52" i="25"/>
  <c r="BQ179" i="25"/>
  <c r="CE57" i="25" s="1"/>
  <c r="BP180" i="25"/>
  <c r="CF52" i="24"/>
  <c r="CP86" i="24"/>
  <c r="CD58" i="24"/>
  <c r="CD60" i="24" s="1"/>
  <c r="BR86" i="24"/>
  <c r="BR99" i="24" s="1"/>
  <c r="BR101" i="24" s="1"/>
  <c r="CB52" i="24"/>
  <c r="BQ179" i="24"/>
  <c r="CE57" i="24" s="1"/>
  <c r="BP180" i="24"/>
  <c r="BM76" i="23"/>
  <c r="BC110" i="23"/>
  <c r="BQ76" i="23"/>
  <c r="BO82" i="23"/>
  <c r="BO84" i="23" s="1"/>
  <c r="CA110" i="23"/>
  <c r="AO205" i="23"/>
  <c r="BP81" i="23" s="1"/>
  <c r="AN206" i="23"/>
  <c r="AN203" i="22"/>
  <c r="AO202" i="22"/>
  <c r="BQ82" i="22" s="1"/>
  <c r="CA110" i="22"/>
  <c r="BE110" i="22"/>
  <c r="BE124" i="22" s="1"/>
  <c r="BE126" i="22" s="1"/>
  <c r="BP83" i="22"/>
  <c r="BP85" i="22" s="1"/>
  <c r="BS75" i="22"/>
  <c r="BM75" i="22"/>
  <c r="CJ55" i="20"/>
  <c r="CJ56" i="20" s="1"/>
  <c r="CH30" i="20"/>
  <c r="CH34" i="20" s="1"/>
  <c r="CH35" i="20" s="1"/>
  <c r="CL30" i="20"/>
  <c r="BI105" i="20"/>
  <c r="CK54" i="20" s="1"/>
  <c r="BH106" i="20"/>
  <c r="BI106" i="20" s="1"/>
  <c r="CL54" i="20" s="1"/>
  <c r="CL55" i="20" s="1"/>
  <c r="CL56" i="20" s="1"/>
  <c r="BM124" i="28" l="1"/>
  <c r="BN123" i="28"/>
  <c r="CM85" i="28" s="1"/>
  <c r="CE41" i="28"/>
  <c r="CE63" i="28" s="1"/>
  <c r="CE64" i="28" s="1"/>
  <c r="CS41" i="28"/>
  <c r="CL86" i="28"/>
  <c r="CL87" i="28" s="1"/>
  <c r="BO218" i="27"/>
  <c r="CG57" i="27" s="1"/>
  <c r="BN219" i="27"/>
  <c r="CN82" i="27"/>
  <c r="CL48" i="27"/>
  <c r="CF58" i="27"/>
  <c r="CF60" i="27" s="1"/>
  <c r="BZ48" i="27"/>
  <c r="BX82" i="27"/>
  <c r="BX99" i="27" s="1"/>
  <c r="BX104" i="27" s="1"/>
  <c r="BN213" i="26"/>
  <c r="BO212" i="26"/>
  <c r="CG57" i="26" s="1"/>
  <c r="CN83" i="26"/>
  <c r="BX83" i="26"/>
  <c r="BX100" i="26" s="1"/>
  <c r="BX104" i="26" s="1"/>
  <c r="CL48" i="26"/>
  <c r="BZ48" i="26"/>
  <c r="CF58" i="26"/>
  <c r="CF60" i="26" s="1"/>
  <c r="BT85" i="25"/>
  <c r="BT99" i="25" s="1"/>
  <c r="BT102" i="25" s="1"/>
  <c r="CE58" i="25"/>
  <c r="CE60" i="25" s="1"/>
  <c r="CH51" i="25"/>
  <c r="CP85" i="25"/>
  <c r="CB51" i="25"/>
  <c r="BP181" i="25"/>
  <c r="BQ180" i="25"/>
  <c r="CF57" i="25" s="1"/>
  <c r="BQ180" i="24"/>
  <c r="CF57" i="24" s="1"/>
  <c r="BP181" i="24"/>
  <c r="BT85" i="24"/>
  <c r="BT99" i="24" s="1"/>
  <c r="BT101" i="24" s="1"/>
  <c r="CE58" i="24"/>
  <c r="CE60" i="24" s="1"/>
  <c r="CP85" i="24"/>
  <c r="CH51" i="24"/>
  <c r="CB51" i="24"/>
  <c r="AN207" i="23"/>
  <c r="AO206" i="23"/>
  <c r="BQ81" i="23" s="1"/>
  <c r="BE109" i="23"/>
  <c r="BM75" i="23"/>
  <c r="BP82" i="23"/>
  <c r="BP84" i="23" s="1"/>
  <c r="CA109" i="23"/>
  <c r="BS75" i="23"/>
  <c r="CA109" i="22"/>
  <c r="BG109" i="22"/>
  <c r="BG124" i="22" s="1"/>
  <c r="BG126" i="22" s="1"/>
  <c r="BU74" i="22"/>
  <c r="BQ83" i="22"/>
  <c r="BQ85" i="22" s="1"/>
  <c r="BM74" i="22"/>
  <c r="AO203" i="22"/>
  <c r="BR82" i="22" s="1"/>
  <c r="AN204" i="22"/>
  <c r="CJ29" i="20"/>
  <c r="CJ34" i="20" s="1"/>
  <c r="CJ35" i="20" s="1"/>
  <c r="CL29" i="20"/>
  <c r="CL34" i="20" s="1"/>
  <c r="CL35" i="20" s="1"/>
  <c r="CK55" i="20"/>
  <c r="CK56" i="20" s="1"/>
  <c r="CG40" i="28" l="1"/>
  <c r="CG63" i="28" s="1"/>
  <c r="CG64" i="28" s="1"/>
  <c r="CS40" i="28"/>
  <c r="CM86" i="28"/>
  <c r="CM87" i="28" s="1"/>
  <c r="BM125" i="28"/>
  <c r="BN124" i="28"/>
  <c r="CN85" i="28" s="1"/>
  <c r="BN220" i="27"/>
  <c r="BO219" i="27"/>
  <c r="CH57" i="27" s="1"/>
  <c r="CN81" i="27"/>
  <c r="CN99" i="27" s="1"/>
  <c r="CN104" i="27" s="1"/>
  <c r="BZ81" i="27"/>
  <c r="CG58" i="27"/>
  <c r="CG60" i="27" s="1"/>
  <c r="CN47" i="27"/>
  <c r="BZ47" i="27"/>
  <c r="BZ82" i="26"/>
  <c r="CN82" i="26"/>
  <c r="CN100" i="26" s="1"/>
  <c r="CN104" i="26" s="1"/>
  <c r="CG58" i="26"/>
  <c r="CG60" i="26" s="1"/>
  <c r="CN47" i="26"/>
  <c r="BZ47" i="26"/>
  <c r="BN214" i="26"/>
  <c r="BO213" i="26"/>
  <c r="CH57" i="26" s="1"/>
  <c r="BQ181" i="25"/>
  <c r="CG57" i="25" s="1"/>
  <c r="BP182" i="25"/>
  <c r="BV84" i="25"/>
  <c r="BV99" i="25" s="1"/>
  <c r="BV102" i="25" s="1"/>
  <c r="CF58" i="25"/>
  <c r="CF60" i="25" s="1"/>
  <c r="CB50" i="25"/>
  <c r="CJ50" i="25"/>
  <c r="CP84" i="25"/>
  <c r="CJ50" i="24"/>
  <c r="CF58" i="24"/>
  <c r="CF60" i="24" s="1"/>
  <c r="CB50" i="24"/>
  <c r="CP84" i="24"/>
  <c r="BV84" i="24"/>
  <c r="BV99" i="24" s="1"/>
  <c r="BV101" i="24" s="1"/>
  <c r="BP182" i="24"/>
  <c r="BQ181" i="24"/>
  <c r="CG57" i="24" s="1"/>
  <c r="BQ82" i="23"/>
  <c r="BQ84" i="23" s="1"/>
  <c r="BM74" i="23"/>
  <c r="CA108" i="23"/>
  <c r="BG108" i="23"/>
  <c r="BU74" i="23"/>
  <c r="AO207" i="23"/>
  <c r="BR81" i="23" s="1"/>
  <c r="AN208" i="23"/>
  <c r="CA108" i="22"/>
  <c r="BR83" i="22"/>
  <c r="BR85" i="22" s="1"/>
  <c r="BI108" i="22"/>
  <c r="BI124" i="22" s="1"/>
  <c r="BI126" i="22" s="1"/>
  <c r="BW73" i="22"/>
  <c r="BM73" i="22"/>
  <c r="AN205" i="22"/>
  <c r="AO204" i="22"/>
  <c r="BS82" i="22" s="1"/>
  <c r="D2" i="17"/>
  <c r="E2" i="17"/>
  <c r="F2" i="17"/>
  <c r="D4" i="17"/>
  <c r="C11" i="17"/>
  <c r="C14" i="17"/>
  <c r="CD62" i="17"/>
  <c r="CD63" i="17" s="1"/>
  <c r="CE62" i="17"/>
  <c r="CE63" i="17" s="1"/>
  <c r="CD82" i="17"/>
  <c r="CE82" i="17"/>
  <c r="C107" i="17"/>
  <c r="O107" i="17" s="1"/>
  <c r="P107" i="17" s="1"/>
  <c r="G107" i="17"/>
  <c r="F107" i="17" s="1"/>
  <c r="AQ107" i="17"/>
  <c r="J108" i="17"/>
  <c r="K108" i="17" s="1"/>
  <c r="L108" i="17" s="1"/>
  <c r="M108" i="17" s="1"/>
  <c r="N108" i="17" s="1"/>
  <c r="AQ108" i="17"/>
  <c r="BK108" i="17"/>
  <c r="J109" i="17"/>
  <c r="K109" i="17" s="1"/>
  <c r="L109" i="17" s="1"/>
  <c r="M109" i="17" s="1"/>
  <c r="N109" i="17" s="1"/>
  <c r="AQ109" i="17"/>
  <c r="BJ109" i="17"/>
  <c r="BJ110" i="17" s="1"/>
  <c r="BJ111" i="17" s="1"/>
  <c r="BJ112" i="17" s="1"/>
  <c r="BJ113" i="17" s="1"/>
  <c r="BJ114" i="17" s="1"/>
  <c r="BJ115" i="17" s="1"/>
  <c r="BJ116" i="17" s="1"/>
  <c r="BJ117" i="17" s="1"/>
  <c r="BJ118" i="17" s="1"/>
  <c r="BJ119" i="17" s="1"/>
  <c r="BJ120" i="17" s="1"/>
  <c r="BJ121" i="17" s="1"/>
  <c r="BJ122" i="17" s="1"/>
  <c r="BJ123" i="17" s="1"/>
  <c r="BJ124" i="17" s="1"/>
  <c r="BJ125" i="17" s="1"/>
  <c r="BJ126" i="17" s="1"/>
  <c r="BJ127" i="17" s="1"/>
  <c r="BJ128" i="17" s="1"/>
  <c r="BJ129" i="17" s="1"/>
  <c r="J110" i="17"/>
  <c r="K110" i="17" s="1"/>
  <c r="L110" i="17" s="1"/>
  <c r="M110" i="17" s="1"/>
  <c r="N110" i="17" s="1"/>
  <c r="AQ110" i="17"/>
  <c r="J111" i="17"/>
  <c r="K111" i="17" s="1"/>
  <c r="L111" i="17" s="1"/>
  <c r="M111" i="17" s="1"/>
  <c r="N111" i="17" s="1"/>
  <c r="AQ111" i="17"/>
  <c r="J112" i="17"/>
  <c r="K112" i="17" s="1"/>
  <c r="L112" i="17" s="1"/>
  <c r="M112" i="17" s="1"/>
  <c r="N112" i="17" s="1"/>
  <c r="AQ112" i="17"/>
  <c r="J113" i="17"/>
  <c r="K113" i="17" s="1"/>
  <c r="L113" i="17" s="1"/>
  <c r="M113" i="17" s="1"/>
  <c r="N113" i="17" s="1"/>
  <c r="AQ113" i="17"/>
  <c r="J114" i="17"/>
  <c r="K114" i="17" s="1"/>
  <c r="L114" i="17" s="1"/>
  <c r="M114" i="17" s="1"/>
  <c r="N114" i="17" s="1"/>
  <c r="AQ114" i="17"/>
  <c r="J115" i="17"/>
  <c r="K115" i="17" s="1"/>
  <c r="L115" i="17" s="1"/>
  <c r="M115" i="17" s="1"/>
  <c r="N115" i="17" s="1"/>
  <c r="AQ115" i="17"/>
  <c r="J116" i="17"/>
  <c r="K116" i="17" s="1"/>
  <c r="L116" i="17" s="1"/>
  <c r="M116" i="17" s="1"/>
  <c r="N116" i="17" s="1"/>
  <c r="AQ116" i="17"/>
  <c r="J117" i="17"/>
  <c r="K117" i="17" s="1"/>
  <c r="L117" i="17" s="1"/>
  <c r="M117" i="17" s="1"/>
  <c r="N117" i="17" s="1"/>
  <c r="AQ117" i="17"/>
  <c r="J118" i="17"/>
  <c r="K118" i="17" s="1"/>
  <c r="L118" i="17" s="1"/>
  <c r="M118" i="17" s="1"/>
  <c r="N118" i="17" s="1"/>
  <c r="AQ118" i="17"/>
  <c r="J119" i="17"/>
  <c r="K119" i="17" s="1"/>
  <c r="L119" i="17" s="1"/>
  <c r="M119" i="17" s="1"/>
  <c r="N119" i="17" s="1"/>
  <c r="AQ119" i="17"/>
  <c r="J120" i="17"/>
  <c r="K120" i="17" s="1"/>
  <c r="L120" i="17" s="1"/>
  <c r="M120" i="17" s="1"/>
  <c r="N120" i="17" s="1"/>
  <c r="AQ120" i="17"/>
  <c r="J121" i="17"/>
  <c r="K121" i="17" s="1"/>
  <c r="L121" i="17" s="1"/>
  <c r="M121" i="17" s="1"/>
  <c r="N121" i="17" s="1"/>
  <c r="AQ121" i="17"/>
  <c r="J122" i="17"/>
  <c r="K122" i="17" s="1"/>
  <c r="L122" i="17" s="1"/>
  <c r="M122" i="17" s="1"/>
  <c r="N122" i="17" s="1"/>
  <c r="AQ122" i="17"/>
  <c r="J123" i="17"/>
  <c r="K123" i="17" s="1"/>
  <c r="L123" i="17" s="1"/>
  <c r="M123" i="17" s="1"/>
  <c r="N123" i="17" s="1"/>
  <c r="AQ123" i="17"/>
  <c r="J124" i="17"/>
  <c r="K124" i="17" s="1"/>
  <c r="L124" i="17" s="1"/>
  <c r="M124" i="17" s="1"/>
  <c r="N124" i="17" s="1"/>
  <c r="AQ124" i="17"/>
  <c r="J125" i="17"/>
  <c r="K125" i="17" s="1"/>
  <c r="L125" i="17" s="1"/>
  <c r="M125" i="17" s="1"/>
  <c r="N125" i="17" s="1"/>
  <c r="AQ125" i="17"/>
  <c r="J126" i="17"/>
  <c r="K126" i="17" s="1"/>
  <c r="L126" i="17" s="1"/>
  <c r="M126" i="17" s="1"/>
  <c r="N126" i="17" s="1"/>
  <c r="AQ126" i="17"/>
  <c r="J127" i="17"/>
  <c r="K127" i="17" s="1"/>
  <c r="L127" i="17" s="1"/>
  <c r="M127" i="17" s="1"/>
  <c r="N127" i="17" s="1"/>
  <c r="AQ127" i="17"/>
  <c r="J128" i="17"/>
  <c r="K128" i="17" s="1"/>
  <c r="L128" i="17" s="1"/>
  <c r="M128" i="17" s="1"/>
  <c r="N128" i="17" s="1"/>
  <c r="AQ128" i="17"/>
  <c r="J129" i="17"/>
  <c r="K129" i="17" s="1"/>
  <c r="L129" i="17" s="1"/>
  <c r="M129" i="17" s="1"/>
  <c r="N129" i="17" s="1"/>
  <c r="AQ129" i="17"/>
  <c r="J130" i="17"/>
  <c r="K130" i="17" s="1"/>
  <c r="L130" i="17" s="1"/>
  <c r="M130" i="17" s="1"/>
  <c r="N130" i="17" s="1"/>
  <c r="AQ130" i="17"/>
  <c r="AQ140" i="17"/>
  <c r="J141" i="17"/>
  <c r="K141" i="17" s="1"/>
  <c r="L141" i="17" s="1"/>
  <c r="M141" i="17" s="1"/>
  <c r="N141" i="17" s="1"/>
  <c r="AQ141" i="17"/>
  <c r="J142" i="17"/>
  <c r="K142" i="17" s="1"/>
  <c r="L142" i="17" s="1"/>
  <c r="M142" i="17" s="1"/>
  <c r="N142" i="17" s="1"/>
  <c r="AQ142" i="17"/>
  <c r="J143" i="17"/>
  <c r="K143" i="17" s="1"/>
  <c r="L143" i="17" s="1"/>
  <c r="M143" i="17" s="1"/>
  <c r="N143" i="17" s="1"/>
  <c r="AQ143" i="17"/>
  <c r="J144" i="17"/>
  <c r="K144" i="17" s="1"/>
  <c r="L144" i="17" s="1"/>
  <c r="M144" i="17" s="1"/>
  <c r="N144" i="17" s="1"/>
  <c r="AQ144" i="17"/>
  <c r="J145" i="17"/>
  <c r="K145" i="17" s="1"/>
  <c r="L145" i="17" s="1"/>
  <c r="M145" i="17" s="1"/>
  <c r="N145" i="17" s="1"/>
  <c r="AQ145" i="17"/>
  <c r="J146" i="17"/>
  <c r="K146" i="17" s="1"/>
  <c r="L146" i="17" s="1"/>
  <c r="M146" i="17" s="1"/>
  <c r="N146" i="17" s="1"/>
  <c r="AQ146" i="17"/>
  <c r="J147" i="17"/>
  <c r="K147" i="17" s="1"/>
  <c r="L147" i="17" s="1"/>
  <c r="M147" i="17" s="1"/>
  <c r="N147" i="17" s="1"/>
  <c r="AQ147" i="17"/>
  <c r="J148" i="17"/>
  <c r="K148" i="17" s="1"/>
  <c r="L148" i="17" s="1"/>
  <c r="M148" i="17" s="1"/>
  <c r="N148" i="17" s="1"/>
  <c r="AQ148" i="17"/>
  <c r="J149" i="17"/>
  <c r="K149" i="17" s="1"/>
  <c r="L149" i="17" s="1"/>
  <c r="M149" i="17" s="1"/>
  <c r="N149" i="17" s="1"/>
  <c r="AQ149" i="17"/>
  <c r="J150" i="17"/>
  <c r="K150" i="17" s="1"/>
  <c r="L150" i="17" s="1"/>
  <c r="M150" i="17" s="1"/>
  <c r="N150" i="17" s="1"/>
  <c r="AQ150" i="17"/>
  <c r="J151" i="17"/>
  <c r="K151" i="17" s="1"/>
  <c r="L151" i="17" s="1"/>
  <c r="M151" i="17" s="1"/>
  <c r="N151" i="17" s="1"/>
  <c r="AQ151" i="17"/>
  <c r="G161" i="17"/>
  <c r="F161" i="17" s="1"/>
  <c r="AQ161" i="17"/>
  <c r="J162" i="17"/>
  <c r="K162" i="17" s="1"/>
  <c r="L162" i="17" s="1"/>
  <c r="M162" i="17" s="1"/>
  <c r="N162" i="17" s="1"/>
  <c r="AQ162" i="17"/>
  <c r="J163" i="17"/>
  <c r="K163" i="17" s="1"/>
  <c r="L163" i="17" s="1"/>
  <c r="M163" i="17" s="1"/>
  <c r="N163" i="17" s="1"/>
  <c r="AQ163" i="17"/>
  <c r="J164" i="17"/>
  <c r="K164" i="17"/>
  <c r="L164" i="17" s="1"/>
  <c r="M164" i="17" s="1"/>
  <c r="N164" i="17" s="1"/>
  <c r="AQ164" i="17"/>
  <c r="J165" i="17"/>
  <c r="K165" i="17" s="1"/>
  <c r="L165" i="17" s="1"/>
  <c r="M165" i="17" s="1"/>
  <c r="N165" i="17" s="1"/>
  <c r="AQ165" i="17"/>
  <c r="J166" i="17"/>
  <c r="K166" i="17" s="1"/>
  <c r="L166" i="17" s="1"/>
  <c r="M166" i="17" s="1"/>
  <c r="N166" i="17" s="1"/>
  <c r="AQ166" i="17"/>
  <c r="J167" i="17"/>
  <c r="K167" i="17" s="1"/>
  <c r="L167" i="17" s="1"/>
  <c r="M167" i="17" s="1"/>
  <c r="N167" i="17" s="1"/>
  <c r="AQ167" i="17"/>
  <c r="J168" i="17"/>
  <c r="K168" i="17" s="1"/>
  <c r="L168" i="17" s="1"/>
  <c r="M168" i="17" s="1"/>
  <c r="N168" i="17" s="1"/>
  <c r="AQ168" i="17"/>
  <c r="J169" i="17"/>
  <c r="K169" i="17" s="1"/>
  <c r="L169" i="17" s="1"/>
  <c r="M169" i="17" s="1"/>
  <c r="N169" i="17" s="1"/>
  <c r="AQ169" i="17"/>
  <c r="J170" i="17"/>
  <c r="K170" i="17" s="1"/>
  <c r="L170" i="17" s="1"/>
  <c r="M170" i="17" s="1"/>
  <c r="N170" i="17" s="1"/>
  <c r="AQ170" i="17"/>
  <c r="J171" i="17"/>
  <c r="K171" i="17" s="1"/>
  <c r="L171" i="17" s="1"/>
  <c r="M171" i="17" s="1"/>
  <c r="N171" i="17" s="1"/>
  <c r="AQ171" i="17"/>
  <c r="J172" i="17"/>
  <c r="K172" i="17" s="1"/>
  <c r="L172" i="17" s="1"/>
  <c r="M172" i="17" s="1"/>
  <c r="N172" i="17" s="1"/>
  <c r="AQ172" i="17"/>
  <c r="J173" i="17"/>
  <c r="K173" i="17" s="1"/>
  <c r="L173" i="17" s="1"/>
  <c r="M173" i="17" s="1"/>
  <c r="N173" i="17" s="1"/>
  <c r="AQ173" i="17"/>
  <c r="J174" i="17"/>
  <c r="K174" i="17" s="1"/>
  <c r="L174" i="17" s="1"/>
  <c r="M174" i="17" s="1"/>
  <c r="N174" i="17" s="1"/>
  <c r="AQ174" i="17"/>
  <c r="J175" i="17"/>
  <c r="K175" i="17" s="1"/>
  <c r="L175" i="17" s="1"/>
  <c r="M175" i="17" s="1"/>
  <c r="N175" i="17" s="1"/>
  <c r="AQ175" i="17"/>
  <c r="J176" i="17"/>
  <c r="K176" i="17" s="1"/>
  <c r="L176" i="17" s="1"/>
  <c r="M176" i="17" s="1"/>
  <c r="N176" i="17" s="1"/>
  <c r="AQ176" i="17"/>
  <c r="J177" i="17"/>
  <c r="K177" i="17" s="1"/>
  <c r="L177" i="17" s="1"/>
  <c r="M177" i="17" s="1"/>
  <c r="N177" i="17" s="1"/>
  <c r="AQ177" i="17"/>
  <c r="J178" i="17"/>
  <c r="K178" i="17" s="1"/>
  <c r="L178" i="17" s="1"/>
  <c r="M178" i="17" s="1"/>
  <c r="N178" i="17" s="1"/>
  <c r="AQ178" i="17"/>
  <c r="J179" i="17"/>
  <c r="K179" i="17" s="1"/>
  <c r="L179" i="17" s="1"/>
  <c r="M179" i="17" s="1"/>
  <c r="N179" i="17" s="1"/>
  <c r="AQ179" i="17"/>
  <c r="J180" i="17"/>
  <c r="K180" i="17" s="1"/>
  <c r="L180" i="17" s="1"/>
  <c r="M180" i="17" s="1"/>
  <c r="N180" i="17" s="1"/>
  <c r="AQ180" i="17"/>
  <c r="J181" i="17"/>
  <c r="K181" i="17" s="1"/>
  <c r="L181" i="17" s="1"/>
  <c r="M181" i="17" s="1"/>
  <c r="N181" i="17" s="1"/>
  <c r="V181" i="17"/>
  <c r="AQ181" i="17"/>
  <c r="J182" i="17"/>
  <c r="K182" i="17" s="1"/>
  <c r="L182" i="17" s="1"/>
  <c r="M182" i="17" s="1"/>
  <c r="N182" i="17" s="1"/>
  <c r="V182" i="17"/>
  <c r="AQ182" i="17"/>
  <c r="J183" i="17"/>
  <c r="K183" i="17" s="1"/>
  <c r="L183" i="17" s="1"/>
  <c r="M183" i="17" s="1"/>
  <c r="N183" i="17" s="1"/>
  <c r="V183" i="17"/>
  <c r="AQ183" i="17"/>
  <c r="J184" i="17"/>
  <c r="K184" i="17" s="1"/>
  <c r="L184" i="17" s="1"/>
  <c r="M184" i="17" s="1"/>
  <c r="N184" i="17" s="1"/>
  <c r="V184" i="17"/>
  <c r="AQ184" i="17"/>
  <c r="D2" i="16"/>
  <c r="E2" i="16"/>
  <c r="F2" i="16"/>
  <c r="D4" i="16"/>
  <c r="C11" i="16"/>
  <c r="C14" i="16"/>
  <c r="CC62" i="16"/>
  <c r="CC63" i="16" s="1"/>
  <c r="CD62" i="16"/>
  <c r="CD63" i="16" s="1"/>
  <c r="CC82" i="16"/>
  <c r="CD82" i="16"/>
  <c r="BJ99" i="16"/>
  <c r="BJ100" i="16" s="1"/>
  <c r="BJ101" i="16" s="1"/>
  <c r="BJ102" i="16" s="1"/>
  <c r="BI100" i="16"/>
  <c r="BI101" i="16" s="1"/>
  <c r="BI102" i="16" s="1"/>
  <c r="BI103" i="16" s="1"/>
  <c r="BI104" i="16" s="1"/>
  <c r="BI105" i="16" s="1"/>
  <c r="BI106" i="16" s="1"/>
  <c r="BI107" i="16" s="1"/>
  <c r="BI108" i="16" s="1"/>
  <c r="BI109" i="16" s="1"/>
  <c r="BI110" i="16" s="1"/>
  <c r="BI111" i="16" s="1"/>
  <c r="BI112" i="16" s="1"/>
  <c r="BI113" i="16" s="1"/>
  <c r="BI114" i="16" s="1"/>
  <c r="BI115" i="16" s="1"/>
  <c r="BI116" i="16" s="1"/>
  <c r="BI117" i="16" s="1"/>
  <c r="BI118" i="16" s="1"/>
  <c r="BI119" i="16" s="1"/>
  <c r="BI120" i="16" s="1"/>
  <c r="BI121" i="16" s="1"/>
  <c r="BI122" i="16" s="1"/>
  <c r="BI123" i="16" s="1"/>
  <c r="BI124" i="16" s="1"/>
  <c r="BI125" i="16" s="1"/>
  <c r="BI126" i="16" s="1"/>
  <c r="BI127" i="16" s="1"/>
  <c r="BI128" i="16" s="1"/>
  <c r="C106" i="16"/>
  <c r="J106" i="16" s="1"/>
  <c r="P106" i="16" s="1"/>
  <c r="Q106" i="16" s="1"/>
  <c r="S106" i="16" s="1"/>
  <c r="T106" i="16" s="1"/>
  <c r="AP106" i="16"/>
  <c r="J107" i="16"/>
  <c r="K107" i="16" s="1"/>
  <c r="L107" i="16" s="1"/>
  <c r="M107" i="16" s="1"/>
  <c r="N107" i="16" s="1"/>
  <c r="AP107" i="16"/>
  <c r="J108" i="16"/>
  <c r="K108" i="16" s="1"/>
  <c r="L108" i="16" s="1"/>
  <c r="M108" i="16" s="1"/>
  <c r="N108" i="16" s="1"/>
  <c r="AP108" i="16"/>
  <c r="J109" i="16"/>
  <c r="K109" i="16" s="1"/>
  <c r="L109" i="16" s="1"/>
  <c r="M109" i="16" s="1"/>
  <c r="N109" i="16" s="1"/>
  <c r="AP109" i="16"/>
  <c r="J110" i="16"/>
  <c r="K110" i="16" s="1"/>
  <c r="L110" i="16" s="1"/>
  <c r="M110" i="16" s="1"/>
  <c r="N110" i="16" s="1"/>
  <c r="AP110" i="16"/>
  <c r="J111" i="16"/>
  <c r="K111" i="16" s="1"/>
  <c r="L111" i="16" s="1"/>
  <c r="M111" i="16" s="1"/>
  <c r="N111" i="16" s="1"/>
  <c r="AP111" i="16"/>
  <c r="J112" i="16"/>
  <c r="K112" i="16"/>
  <c r="L112" i="16" s="1"/>
  <c r="M112" i="16" s="1"/>
  <c r="N112" i="16" s="1"/>
  <c r="AP112" i="16"/>
  <c r="J113" i="16"/>
  <c r="K113" i="16" s="1"/>
  <c r="L113" i="16" s="1"/>
  <c r="M113" i="16" s="1"/>
  <c r="N113" i="16" s="1"/>
  <c r="AP113" i="16"/>
  <c r="J114" i="16"/>
  <c r="K114" i="16"/>
  <c r="L114" i="16" s="1"/>
  <c r="M114" i="16" s="1"/>
  <c r="N114" i="16" s="1"/>
  <c r="AP114" i="16"/>
  <c r="J115" i="16"/>
  <c r="K115" i="16" s="1"/>
  <c r="L115" i="16" s="1"/>
  <c r="M115" i="16" s="1"/>
  <c r="N115" i="16" s="1"/>
  <c r="AP115" i="16"/>
  <c r="J116" i="16"/>
  <c r="K116" i="16" s="1"/>
  <c r="L116" i="16" s="1"/>
  <c r="M116" i="16" s="1"/>
  <c r="N116" i="16" s="1"/>
  <c r="AP116" i="16"/>
  <c r="J117" i="16"/>
  <c r="K117" i="16" s="1"/>
  <c r="L117" i="16" s="1"/>
  <c r="M117" i="16" s="1"/>
  <c r="N117" i="16" s="1"/>
  <c r="AP117" i="16"/>
  <c r="G127" i="16"/>
  <c r="F127" i="16" s="1"/>
  <c r="AP127" i="16"/>
  <c r="J128" i="16"/>
  <c r="K128" i="16"/>
  <c r="L128" i="16" s="1"/>
  <c r="M128" i="16" s="1"/>
  <c r="N128" i="16" s="1"/>
  <c r="AP128" i="16"/>
  <c r="J129" i="16"/>
  <c r="K129" i="16" s="1"/>
  <c r="L129" i="16" s="1"/>
  <c r="M129" i="16" s="1"/>
  <c r="N129" i="16" s="1"/>
  <c r="AP129" i="16"/>
  <c r="J130" i="16"/>
  <c r="K130" i="16" s="1"/>
  <c r="L130" i="16" s="1"/>
  <c r="M130" i="16" s="1"/>
  <c r="N130" i="16" s="1"/>
  <c r="AP130" i="16"/>
  <c r="J131" i="16"/>
  <c r="K131" i="16" s="1"/>
  <c r="L131" i="16" s="1"/>
  <c r="M131" i="16" s="1"/>
  <c r="N131" i="16" s="1"/>
  <c r="AP131" i="16"/>
  <c r="J132" i="16"/>
  <c r="K132" i="16" s="1"/>
  <c r="L132" i="16" s="1"/>
  <c r="M132" i="16" s="1"/>
  <c r="N132" i="16" s="1"/>
  <c r="AP132" i="16"/>
  <c r="J133" i="16"/>
  <c r="K133" i="16" s="1"/>
  <c r="L133" i="16"/>
  <c r="M133" i="16" s="1"/>
  <c r="N133" i="16" s="1"/>
  <c r="AP133" i="16"/>
  <c r="J134" i="16"/>
  <c r="K134" i="16" s="1"/>
  <c r="L134" i="16" s="1"/>
  <c r="M134" i="16" s="1"/>
  <c r="N134" i="16" s="1"/>
  <c r="AP134" i="16"/>
  <c r="J135" i="16"/>
  <c r="K135" i="16" s="1"/>
  <c r="L135" i="16" s="1"/>
  <c r="M135" i="16" s="1"/>
  <c r="N135" i="16" s="1"/>
  <c r="AP135" i="16"/>
  <c r="J136" i="16"/>
  <c r="K136" i="16" s="1"/>
  <c r="L136" i="16" s="1"/>
  <c r="M136" i="16" s="1"/>
  <c r="N136" i="16" s="1"/>
  <c r="AP136" i="16"/>
  <c r="J137" i="16"/>
  <c r="K137" i="16" s="1"/>
  <c r="L137" i="16" s="1"/>
  <c r="M137" i="16" s="1"/>
  <c r="N137" i="16" s="1"/>
  <c r="AP137" i="16"/>
  <c r="J138" i="16"/>
  <c r="K138" i="16" s="1"/>
  <c r="L138" i="16" s="1"/>
  <c r="M138" i="16" s="1"/>
  <c r="N138" i="16" s="1"/>
  <c r="AP138" i="16"/>
  <c r="J139" i="16"/>
  <c r="K139" i="16" s="1"/>
  <c r="L139" i="16" s="1"/>
  <c r="M139" i="16" s="1"/>
  <c r="N139" i="16" s="1"/>
  <c r="AP139" i="16"/>
  <c r="J140" i="16"/>
  <c r="K140" i="16" s="1"/>
  <c r="L140" i="16" s="1"/>
  <c r="M140" i="16" s="1"/>
  <c r="N140" i="16" s="1"/>
  <c r="AP140" i="16"/>
  <c r="J141" i="16"/>
  <c r="K141" i="16" s="1"/>
  <c r="L141" i="16" s="1"/>
  <c r="M141" i="16" s="1"/>
  <c r="N141" i="16" s="1"/>
  <c r="AP141" i="16"/>
  <c r="J142" i="16"/>
  <c r="K142" i="16"/>
  <c r="L142" i="16" s="1"/>
  <c r="M142" i="16" s="1"/>
  <c r="N142" i="16" s="1"/>
  <c r="AP142" i="16"/>
  <c r="J143" i="16"/>
  <c r="K143" i="16" s="1"/>
  <c r="L143" i="16" s="1"/>
  <c r="M143" i="16" s="1"/>
  <c r="N143" i="16" s="1"/>
  <c r="AP143" i="16"/>
  <c r="J144" i="16"/>
  <c r="K144" i="16" s="1"/>
  <c r="L144" i="16" s="1"/>
  <c r="M144" i="16" s="1"/>
  <c r="N144" i="16" s="1"/>
  <c r="AP144" i="16"/>
  <c r="J145" i="16"/>
  <c r="K145" i="16" s="1"/>
  <c r="L145" i="16" s="1"/>
  <c r="M145" i="16" s="1"/>
  <c r="N145" i="16" s="1"/>
  <c r="AP145" i="16"/>
  <c r="J146" i="16"/>
  <c r="K146" i="16" s="1"/>
  <c r="L146" i="16" s="1"/>
  <c r="M146" i="16" s="1"/>
  <c r="N146" i="16" s="1"/>
  <c r="AP146" i="16"/>
  <c r="J147" i="16"/>
  <c r="K147" i="16" s="1"/>
  <c r="L147" i="16" s="1"/>
  <c r="M147" i="16" s="1"/>
  <c r="N147" i="16" s="1"/>
  <c r="AP147" i="16"/>
  <c r="J148" i="16"/>
  <c r="K148" i="16" s="1"/>
  <c r="L148" i="16" s="1"/>
  <c r="M148" i="16" s="1"/>
  <c r="N148" i="16" s="1"/>
  <c r="AP148" i="16"/>
  <c r="J149" i="16"/>
  <c r="K149" i="16" s="1"/>
  <c r="L149" i="16"/>
  <c r="M149" i="16" s="1"/>
  <c r="N149" i="16" s="1"/>
  <c r="AP149" i="16"/>
  <c r="J150" i="16"/>
  <c r="K150" i="16" s="1"/>
  <c r="L150" i="16" s="1"/>
  <c r="M150" i="16" s="1"/>
  <c r="N150" i="16" s="1"/>
  <c r="AP150" i="16"/>
  <c r="D2" i="15"/>
  <c r="E2" i="15"/>
  <c r="F2" i="15"/>
  <c r="D4" i="15"/>
  <c r="C7" i="15"/>
  <c r="BA26" i="15" s="1"/>
  <c r="E91" i="15" s="1"/>
  <c r="BN62" i="15"/>
  <c r="BN63" i="15" s="1"/>
  <c r="BO62" i="15"/>
  <c r="BO63" i="15" s="1"/>
  <c r="BN82" i="15"/>
  <c r="BO82" i="15"/>
  <c r="CV108" i="15"/>
  <c r="CV109" i="15" s="1"/>
  <c r="AT110" i="15"/>
  <c r="AS111" i="15"/>
  <c r="AS112" i="15" s="1"/>
  <c r="AS113" i="15" s="1"/>
  <c r="AS114" i="15" s="1"/>
  <c r="AS115" i="15" s="1"/>
  <c r="AS116" i="15" s="1"/>
  <c r="AS117" i="15" s="1"/>
  <c r="AS118" i="15" s="1"/>
  <c r="AS119" i="15" s="1"/>
  <c r="AS120" i="15" s="1"/>
  <c r="AS121" i="15" s="1"/>
  <c r="AS122" i="15" s="1"/>
  <c r="AS123" i="15" s="1"/>
  <c r="AS124" i="15" s="1"/>
  <c r="AS125" i="15" s="1"/>
  <c r="AS126" i="15" s="1"/>
  <c r="AS127" i="15" s="1"/>
  <c r="AS128" i="15" s="1"/>
  <c r="AS129" i="15" s="1"/>
  <c r="AS130" i="15" s="1"/>
  <c r="AS131" i="15" s="1"/>
  <c r="AS132" i="15" s="1"/>
  <c r="AS133" i="15" s="1"/>
  <c r="AS134" i="15" s="1"/>
  <c r="AS135" i="15" s="1"/>
  <c r="AS136" i="15" s="1"/>
  <c r="AS137" i="15" s="1"/>
  <c r="AS138" i="15" s="1"/>
  <c r="AS139" i="15" s="1"/>
  <c r="C114" i="15"/>
  <c r="I114" i="15" s="1"/>
  <c r="O114" i="15" s="1"/>
  <c r="P114" i="15" s="1"/>
  <c r="R114" i="15" s="1"/>
  <c r="S114" i="15" s="1"/>
  <c r="AF114" i="15"/>
  <c r="I115" i="15"/>
  <c r="J115" i="15" s="1"/>
  <c r="K115" i="15" s="1"/>
  <c r="L115" i="15" s="1"/>
  <c r="M115" i="15" s="1"/>
  <c r="AF115" i="15"/>
  <c r="I116" i="15"/>
  <c r="J116" i="15" s="1"/>
  <c r="K116" i="15" s="1"/>
  <c r="L116" i="15" s="1"/>
  <c r="M116" i="15" s="1"/>
  <c r="AF116" i="15"/>
  <c r="I117" i="15"/>
  <c r="J117" i="15" s="1"/>
  <c r="K117" i="15" s="1"/>
  <c r="L117" i="15" s="1"/>
  <c r="M117" i="15" s="1"/>
  <c r="AF117" i="15"/>
  <c r="I118" i="15"/>
  <c r="J118" i="15" s="1"/>
  <c r="K118" i="15" s="1"/>
  <c r="L118" i="15" s="1"/>
  <c r="M118" i="15" s="1"/>
  <c r="AF118" i="15"/>
  <c r="I119" i="15"/>
  <c r="J119" i="15"/>
  <c r="K119" i="15" s="1"/>
  <c r="L119" i="15" s="1"/>
  <c r="M119" i="15" s="1"/>
  <c r="AF119" i="15"/>
  <c r="I120" i="15"/>
  <c r="J120" i="15" s="1"/>
  <c r="K120" i="15" s="1"/>
  <c r="L120" i="15" s="1"/>
  <c r="M120" i="15" s="1"/>
  <c r="AF120" i="15"/>
  <c r="I121" i="15"/>
  <c r="J121" i="15" s="1"/>
  <c r="K121" i="15" s="1"/>
  <c r="L121" i="15" s="1"/>
  <c r="M121" i="15" s="1"/>
  <c r="AF121" i="15"/>
  <c r="I122" i="15"/>
  <c r="J122" i="15" s="1"/>
  <c r="K122" i="15" s="1"/>
  <c r="L122" i="15" s="1"/>
  <c r="M122" i="15" s="1"/>
  <c r="AF122" i="15"/>
  <c r="I123" i="15"/>
  <c r="J123" i="15" s="1"/>
  <c r="K123" i="15" s="1"/>
  <c r="L123" i="15" s="1"/>
  <c r="M123" i="15" s="1"/>
  <c r="AF123" i="15"/>
  <c r="I124" i="15"/>
  <c r="J124" i="15" s="1"/>
  <c r="K124" i="15" s="1"/>
  <c r="L124" i="15" s="1"/>
  <c r="M124" i="15" s="1"/>
  <c r="V124" i="15"/>
  <c r="AF124" i="15"/>
  <c r="I125" i="15"/>
  <c r="J125" i="15" s="1"/>
  <c r="K125" i="15" s="1"/>
  <c r="L125" i="15" s="1"/>
  <c r="M125" i="15" s="1"/>
  <c r="V125" i="15"/>
  <c r="X125" i="15" s="1"/>
  <c r="AF125" i="15"/>
  <c r="O116" i="16" l="1"/>
  <c r="P116" i="16" s="1"/>
  <c r="AG113" i="16"/>
  <c r="AH113" i="16" s="1"/>
  <c r="AL113" i="16" s="1"/>
  <c r="AM113" i="16" s="1"/>
  <c r="O115" i="16"/>
  <c r="P115" i="16" s="1"/>
  <c r="O117" i="16"/>
  <c r="P117" i="16" s="1"/>
  <c r="AG112" i="16"/>
  <c r="AH112" i="16" s="1"/>
  <c r="AL112" i="16" s="1"/>
  <c r="AM112" i="16" s="1"/>
  <c r="O109" i="16"/>
  <c r="P109" i="16" s="1"/>
  <c r="Q109" i="16" s="1"/>
  <c r="O114" i="16"/>
  <c r="P114" i="16" s="1"/>
  <c r="O113" i="16"/>
  <c r="P113" i="16" s="1"/>
  <c r="O112" i="16"/>
  <c r="P112" i="16" s="1"/>
  <c r="Q112" i="16" s="1"/>
  <c r="O107" i="16"/>
  <c r="P107" i="16" s="1"/>
  <c r="Q107" i="16" s="1"/>
  <c r="AG111" i="16"/>
  <c r="AH111" i="16" s="1"/>
  <c r="AL111" i="16" s="1"/>
  <c r="AM111" i="16" s="1"/>
  <c r="AN111" i="16" s="1"/>
  <c r="AG110" i="16"/>
  <c r="AH110" i="16" s="1"/>
  <c r="AI110" i="16" s="1"/>
  <c r="AJ110" i="16" s="1"/>
  <c r="AK110" i="16" s="1"/>
  <c r="O108" i="16"/>
  <c r="P108" i="16" s="1"/>
  <c r="AG107" i="16"/>
  <c r="AH107" i="16" s="1"/>
  <c r="AL107" i="16" s="1"/>
  <c r="AM107" i="16" s="1"/>
  <c r="AN107" i="16" s="1"/>
  <c r="AG117" i="16"/>
  <c r="AH117" i="16" s="1"/>
  <c r="AI117" i="16" s="1"/>
  <c r="AJ117" i="16" s="1"/>
  <c r="AK117" i="16" s="1"/>
  <c r="AG116" i="16"/>
  <c r="AH116" i="16" s="1"/>
  <c r="AL116" i="16" s="1"/>
  <c r="AM116" i="16" s="1"/>
  <c r="AG115" i="16"/>
  <c r="AH115" i="16" s="1"/>
  <c r="AG114" i="16"/>
  <c r="AH114" i="16" s="1"/>
  <c r="AL114" i="16" s="1"/>
  <c r="AM114" i="16" s="1"/>
  <c r="AN114" i="16" s="1"/>
  <c r="O111" i="16"/>
  <c r="P111" i="16" s="1"/>
  <c r="Q111" i="16" s="1"/>
  <c r="O110" i="16"/>
  <c r="P110" i="16" s="1"/>
  <c r="AG109" i="16"/>
  <c r="AH109" i="16" s="1"/>
  <c r="AL109" i="16" s="1"/>
  <c r="AM109" i="16" s="1"/>
  <c r="AN109" i="16" s="1"/>
  <c r="AG108" i="16"/>
  <c r="AH108" i="16" s="1"/>
  <c r="AL108" i="16" s="1"/>
  <c r="AM108" i="16" s="1"/>
  <c r="AN108" i="16" s="1"/>
  <c r="AG106" i="16"/>
  <c r="AH106" i="16" s="1"/>
  <c r="AL106" i="16" s="1"/>
  <c r="AM106" i="16" s="1"/>
  <c r="AN106" i="16" s="1"/>
  <c r="CS39" i="28"/>
  <c r="CI39" i="28"/>
  <c r="CI63" i="28" s="1"/>
  <c r="CI64" i="28" s="1"/>
  <c r="CN86" i="28"/>
  <c r="CN87" i="28" s="1"/>
  <c r="BN125" i="28"/>
  <c r="CO85" i="28" s="1"/>
  <c r="BM126" i="28"/>
  <c r="AR114" i="17"/>
  <c r="Q113" i="16"/>
  <c r="CP80" i="27"/>
  <c r="CP99" i="27" s="1"/>
  <c r="CP104" i="27" s="1"/>
  <c r="CP46" i="27"/>
  <c r="BZ46" i="27"/>
  <c r="BZ55" i="27" s="1"/>
  <c r="BZ80" i="27"/>
  <c r="CH58" i="27"/>
  <c r="CH60" i="27" s="1"/>
  <c r="BO220" i="27"/>
  <c r="CI57" i="27" s="1"/>
  <c r="BN221" i="27"/>
  <c r="CP81" i="26"/>
  <c r="CP100" i="26" s="1"/>
  <c r="CP104" i="26" s="1"/>
  <c r="BZ81" i="26"/>
  <c r="CP46" i="26"/>
  <c r="CH58" i="26"/>
  <c r="CH60" i="26" s="1"/>
  <c r="BZ46" i="26"/>
  <c r="BZ55" i="26" s="1"/>
  <c r="BN215" i="26"/>
  <c r="BO214" i="26"/>
  <c r="CI57" i="26" s="1"/>
  <c r="BP183" i="25"/>
  <c r="BQ182" i="25"/>
  <c r="CH57" i="25" s="1"/>
  <c r="CL49" i="25"/>
  <c r="CG58" i="25"/>
  <c r="CG60" i="25" s="1"/>
  <c r="CP83" i="25"/>
  <c r="CB49" i="25"/>
  <c r="BX83" i="25"/>
  <c r="BX99" i="25" s="1"/>
  <c r="BX102" i="25" s="1"/>
  <c r="BX83" i="24"/>
  <c r="BX99" i="24" s="1"/>
  <c r="BX101" i="24" s="1"/>
  <c r="CL49" i="24"/>
  <c r="CP83" i="24"/>
  <c r="CG58" i="24"/>
  <c r="CG60" i="24" s="1"/>
  <c r="CB49" i="24"/>
  <c r="BP183" i="24"/>
  <c r="BQ182" i="24"/>
  <c r="CH57" i="24" s="1"/>
  <c r="AN209" i="23"/>
  <c r="AO208" i="23"/>
  <c r="BS81" i="23" s="1"/>
  <c r="BI107" i="23"/>
  <c r="BR82" i="23"/>
  <c r="BR84" i="23" s="1"/>
  <c r="CA107" i="23"/>
  <c r="BW73" i="23"/>
  <c r="BM73" i="23"/>
  <c r="CA107" i="22"/>
  <c r="BY72" i="22"/>
  <c r="BM72" i="22"/>
  <c r="BK107" i="22"/>
  <c r="BK124" i="22" s="1"/>
  <c r="BK126" i="22" s="1"/>
  <c r="BS83" i="22"/>
  <c r="BS85" i="22" s="1"/>
  <c r="AO205" i="22"/>
  <c r="BT82" i="22" s="1"/>
  <c r="AN206" i="22"/>
  <c r="AL115" i="16"/>
  <c r="AM115" i="16" s="1"/>
  <c r="AN115" i="16" s="1"/>
  <c r="AI115" i="16"/>
  <c r="AJ115" i="16" s="1"/>
  <c r="AI113" i="16"/>
  <c r="AJ113" i="16" s="1"/>
  <c r="AK113" i="16" s="1"/>
  <c r="AI109" i="16"/>
  <c r="AJ109" i="16" s="1"/>
  <c r="AK109" i="16" s="1"/>
  <c r="AL117" i="16"/>
  <c r="AM117" i="16" s="1"/>
  <c r="AI112" i="16"/>
  <c r="AJ112" i="16" s="1"/>
  <c r="AK112" i="16" s="1"/>
  <c r="AL110" i="16"/>
  <c r="AM110" i="16" s="1"/>
  <c r="AN110" i="16" s="1"/>
  <c r="AR150" i="17"/>
  <c r="AR151" i="17"/>
  <c r="AR148" i="17"/>
  <c r="AR146" i="17"/>
  <c r="AR149" i="17"/>
  <c r="AR147" i="17"/>
  <c r="AR145" i="17"/>
  <c r="AR141" i="17"/>
  <c r="AR116" i="17"/>
  <c r="AR126" i="17"/>
  <c r="BJ130" i="17"/>
  <c r="BJ131" i="17" s="1"/>
  <c r="BJ132" i="17" s="1"/>
  <c r="BJ133" i="17" s="1"/>
  <c r="BJ134" i="17" s="1"/>
  <c r="BJ135" i="17" s="1"/>
  <c r="BJ136" i="17" s="1"/>
  <c r="BJ137" i="17" s="1"/>
  <c r="BP209" i="17"/>
  <c r="AR143" i="17"/>
  <c r="AR142" i="17"/>
  <c r="AR140" i="17"/>
  <c r="AR129" i="17"/>
  <c r="AR130" i="17"/>
  <c r="AR124" i="17"/>
  <c r="AR123" i="17"/>
  <c r="AR121" i="17"/>
  <c r="AR144" i="17"/>
  <c r="AR118" i="17"/>
  <c r="AR112" i="17"/>
  <c r="C7" i="16"/>
  <c r="BP26" i="16" s="1"/>
  <c r="E84" i="16" s="1"/>
  <c r="O129" i="17"/>
  <c r="P129" i="17" s="1"/>
  <c r="Q129" i="17" s="1"/>
  <c r="O121" i="17"/>
  <c r="P121" i="17" s="1"/>
  <c r="Q121" i="17" s="1"/>
  <c r="O120" i="17"/>
  <c r="P120" i="17" s="1"/>
  <c r="Q120" i="17" s="1"/>
  <c r="AH113" i="17"/>
  <c r="AI113" i="17" s="1"/>
  <c r="AH109" i="17"/>
  <c r="AJ109" i="17" s="1"/>
  <c r="AK109" i="17" s="1"/>
  <c r="AL109" i="17" s="1"/>
  <c r="AH107" i="17"/>
  <c r="AI107" i="17" s="1"/>
  <c r="O130" i="17"/>
  <c r="P130" i="17" s="1"/>
  <c r="Q130" i="17" s="1"/>
  <c r="O123" i="17"/>
  <c r="P123" i="17" s="1"/>
  <c r="Q123" i="17" s="1"/>
  <c r="O115" i="17"/>
  <c r="P115" i="17" s="1"/>
  <c r="Q115" i="17" s="1"/>
  <c r="O111" i="17"/>
  <c r="P111" i="17" s="1"/>
  <c r="Q111" i="17" s="1"/>
  <c r="O108" i="17"/>
  <c r="P108" i="17" s="1"/>
  <c r="Q108" i="17" s="1"/>
  <c r="J107" i="17"/>
  <c r="K107" i="17" s="1"/>
  <c r="L107" i="17" s="1"/>
  <c r="M107" i="17" s="1"/>
  <c r="N107" i="17" s="1"/>
  <c r="Q107" i="17" s="1"/>
  <c r="S107" i="17" s="1"/>
  <c r="T107" i="17" s="1"/>
  <c r="V107" i="17" s="1"/>
  <c r="Q114" i="16"/>
  <c r="Q115" i="16"/>
  <c r="AH127" i="17"/>
  <c r="O124" i="17"/>
  <c r="P124" i="17" s="1"/>
  <c r="Q124" i="17" s="1"/>
  <c r="AH121" i="17"/>
  <c r="AJ121" i="17" s="1"/>
  <c r="AK121" i="17" s="1"/>
  <c r="AL121" i="17" s="1"/>
  <c r="AH119" i="17"/>
  <c r="AJ119" i="17" s="1"/>
  <c r="AK119" i="17" s="1"/>
  <c r="AL119" i="17" s="1"/>
  <c r="BK109" i="17"/>
  <c r="BK110" i="17" s="1"/>
  <c r="BK111" i="17" s="1"/>
  <c r="BK112" i="17" s="1"/>
  <c r="BK113" i="17" s="1"/>
  <c r="AH130" i="17"/>
  <c r="AH129" i="17"/>
  <c r="O128" i="17"/>
  <c r="P128" i="17" s="1"/>
  <c r="Q128" i="17" s="1"/>
  <c r="O116" i="17"/>
  <c r="P116" i="17" s="1"/>
  <c r="Q116" i="17" s="1"/>
  <c r="AH124" i="17"/>
  <c r="AJ124" i="17" s="1"/>
  <c r="AK124" i="17" s="1"/>
  <c r="AL124" i="17" s="1"/>
  <c r="AH123" i="17"/>
  <c r="AI123" i="17" s="1"/>
  <c r="O122" i="17"/>
  <c r="P122" i="17" s="1"/>
  <c r="Q122" i="17" s="1"/>
  <c r="AH120" i="17"/>
  <c r="AJ120" i="17" s="1"/>
  <c r="AK120" i="17" s="1"/>
  <c r="AL120" i="17" s="1"/>
  <c r="O119" i="17"/>
  <c r="P119" i="17" s="1"/>
  <c r="Q119" i="17" s="1"/>
  <c r="AH116" i="17"/>
  <c r="AI116" i="17" s="1"/>
  <c r="C7" i="17"/>
  <c r="BQ26" i="17" s="1"/>
  <c r="E85" i="17" s="1"/>
  <c r="AH117" i="17"/>
  <c r="AI117" i="17" s="1"/>
  <c r="AH115" i="17"/>
  <c r="O114" i="17"/>
  <c r="P114" i="17" s="1"/>
  <c r="Q114" i="17" s="1"/>
  <c r="AF183" i="17"/>
  <c r="AH128" i="17"/>
  <c r="AH126" i="17"/>
  <c r="AI126" i="17" s="1"/>
  <c r="O126" i="17"/>
  <c r="P126" i="17" s="1"/>
  <c r="Q126" i="17" s="1"/>
  <c r="AH125" i="17"/>
  <c r="O117" i="17"/>
  <c r="P117" i="17" s="1"/>
  <c r="Q117" i="17" s="1"/>
  <c r="O110" i="17"/>
  <c r="P110" i="17" s="1"/>
  <c r="Q110" i="17" s="1"/>
  <c r="O109" i="17"/>
  <c r="P109" i="17" s="1"/>
  <c r="Q109" i="17" s="1"/>
  <c r="O127" i="17"/>
  <c r="P127" i="17" s="1"/>
  <c r="Q127" i="17" s="1"/>
  <c r="O125" i="17"/>
  <c r="P125" i="17" s="1"/>
  <c r="Q125" i="17" s="1"/>
  <c r="AH122" i="17"/>
  <c r="AI122" i="17" s="1"/>
  <c r="AH118" i="17"/>
  <c r="AI118" i="17" s="1"/>
  <c r="O118" i="17"/>
  <c r="P118" i="17" s="1"/>
  <c r="Q118" i="17" s="1"/>
  <c r="AH114" i="17"/>
  <c r="AI114" i="17" s="1"/>
  <c r="O113" i="17"/>
  <c r="P113" i="17" s="1"/>
  <c r="Q113" i="17" s="1"/>
  <c r="AH112" i="17"/>
  <c r="AI112" i="17" s="1"/>
  <c r="O112" i="17"/>
  <c r="P112" i="17" s="1"/>
  <c r="Q112" i="17" s="1"/>
  <c r="AH111" i="17"/>
  <c r="AI111" i="17" s="1"/>
  <c r="AH110" i="17"/>
  <c r="AI110" i="17" s="1"/>
  <c r="AH108" i="17"/>
  <c r="AI108" i="17" s="1"/>
  <c r="AT111" i="15"/>
  <c r="AT112" i="15" s="1"/>
  <c r="AT113" i="15" s="1"/>
  <c r="AT114" i="15" s="1"/>
  <c r="X124" i="15"/>
  <c r="Y120" i="15"/>
  <c r="Y123" i="15"/>
  <c r="N124" i="15"/>
  <c r="O124" i="15" s="1"/>
  <c r="N121" i="15"/>
  <c r="O121" i="15" s="1"/>
  <c r="P121" i="15" s="1"/>
  <c r="N117" i="15"/>
  <c r="O117" i="15" s="1"/>
  <c r="P117" i="15" s="1"/>
  <c r="Y121" i="15"/>
  <c r="N118" i="15"/>
  <c r="O118" i="15" s="1"/>
  <c r="P118" i="15" s="1"/>
  <c r="Y117" i="15"/>
  <c r="N116" i="15"/>
  <c r="O116" i="15" s="1"/>
  <c r="P116" i="15" s="1"/>
  <c r="N125" i="15"/>
  <c r="O125" i="15" s="1"/>
  <c r="P125" i="15" s="1"/>
  <c r="Y124" i="15"/>
  <c r="N123" i="15"/>
  <c r="O123" i="15" s="1"/>
  <c r="P123" i="15" s="1"/>
  <c r="N120" i="15"/>
  <c r="O120" i="15" s="1"/>
  <c r="P120" i="15" s="1"/>
  <c r="Y119" i="15"/>
  <c r="Y122" i="15"/>
  <c r="Y116" i="15"/>
  <c r="Y125" i="15"/>
  <c r="N122" i="15"/>
  <c r="O122" i="15" s="1"/>
  <c r="P122" i="15" s="1"/>
  <c r="N119" i="15"/>
  <c r="O119" i="15" s="1"/>
  <c r="P119" i="15" s="1"/>
  <c r="Y118" i="15"/>
  <c r="Y114" i="15"/>
  <c r="AF182" i="17"/>
  <c r="AF181" i="17"/>
  <c r="AF184" i="17"/>
  <c r="AR127" i="17"/>
  <c r="AR122" i="17"/>
  <c r="AR119" i="17"/>
  <c r="AR110" i="17"/>
  <c r="AR111" i="17"/>
  <c r="AR113" i="17"/>
  <c r="AR115" i="17"/>
  <c r="AR128" i="17"/>
  <c r="AR125" i="17"/>
  <c r="AR120" i="17"/>
  <c r="AR117" i="17"/>
  <c r="AR109" i="17"/>
  <c r="AR107" i="17"/>
  <c r="AR108" i="17"/>
  <c r="AQ107" i="16"/>
  <c r="AQ111" i="16"/>
  <c r="AQ113" i="16"/>
  <c r="R107" i="16"/>
  <c r="V106" i="16"/>
  <c r="AQ114" i="16"/>
  <c r="AQ112" i="16"/>
  <c r="AQ117" i="16"/>
  <c r="Q117" i="16"/>
  <c r="Q116" i="16"/>
  <c r="AQ108" i="16"/>
  <c r="Q108" i="16"/>
  <c r="AQ116" i="16"/>
  <c r="AQ115" i="16"/>
  <c r="AQ109" i="16"/>
  <c r="AQ106" i="16"/>
  <c r="AQ110" i="16"/>
  <c r="Q110" i="16"/>
  <c r="BJ103" i="16"/>
  <c r="P124" i="15"/>
  <c r="V114" i="15"/>
  <c r="Q115" i="15"/>
  <c r="Y115" i="15"/>
  <c r="N115" i="15"/>
  <c r="O115" i="15" s="1"/>
  <c r="P115" i="15" s="1"/>
  <c r="AM128" i="17" l="1"/>
  <c r="AN128" i="17" s="1"/>
  <c r="AO128" i="17" s="1"/>
  <c r="AI128" i="17"/>
  <c r="AJ129" i="17"/>
  <c r="AK129" i="17" s="1"/>
  <c r="AL129" i="17" s="1"/>
  <c r="AI129" i="17"/>
  <c r="AJ130" i="17"/>
  <c r="AK130" i="17" s="1"/>
  <c r="AL130" i="17" s="1"/>
  <c r="AI130" i="17"/>
  <c r="AJ127" i="17"/>
  <c r="AK127" i="17" s="1"/>
  <c r="AL127" i="17" s="1"/>
  <c r="AI127" i="17"/>
  <c r="AI108" i="16"/>
  <c r="AJ108" i="16" s="1"/>
  <c r="AK108" i="16" s="1"/>
  <c r="AI107" i="16"/>
  <c r="AJ107" i="16" s="1"/>
  <c r="AI114" i="16"/>
  <c r="AJ114" i="16" s="1"/>
  <c r="AI116" i="16"/>
  <c r="AJ116" i="16" s="1"/>
  <c r="AK116" i="16" s="1"/>
  <c r="AI106" i="16"/>
  <c r="AJ106" i="16" s="1"/>
  <c r="AK106" i="16" s="1"/>
  <c r="AI111" i="16"/>
  <c r="AJ111" i="16" s="1"/>
  <c r="AK111" i="16" s="1"/>
  <c r="AR111" i="16" s="1"/>
  <c r="AH118" i="16"/>
  <c r="S107" i="16"/>
  <c r="S108" i="16" s="1"/>
  <c r="BM127" i="28"/>
  <c r="BN126" i="28"/>
  <c r="CP85" i="28" s="1"/>
  <c r="CO86" i="28"/>
  <c r="CO87" i="28" s="1"/>
  <c r="CK38" i="28"/>
  <c r="CK63" i="28" s="1"/>
  <c r="CK64" i="28" s="1"/>
  <c r="CS38" i="28"/>
  <c r="AC124" i="15"/>
  <c r="Z124" i="15"/>
  <c r="AA124" i="15" s="1"/>
  <c r="AC125" i="15"/>
  <c r="AD125" i="15" s="1"/>
  <c r="AE125" i="15" s="1"/>
  <c r="Z125" i="15"/>
  <c r="AC118" i="15"/>
  <c r="AD118" i="15" s="1"/>
  <c r="AE118" i="15" s="1"/>
  <c r="Z118" i="15"/>
  <c r="AA118" i="15" s="1"/>
  <c r="AB118" i="15" s="1"/>
  <c r="AA123" i="15"/>
  <c r="AB123" i="15" s="1"/>
  <c r="AC123" i="15"/>
  <c r="Z123" i="15"/>
  <c r="AC117" i="15"/>
  <c r="Z117" i="15"/>
  <c r="AJ107" i="17"/>
  <c r="AK107" i="17" s="1"/>
  <c r="AL107" i="17" s="1"/>
  <c r="AC122" i="15"/>
  <c r="AD122" i="15" s="1"/>
  <c r="AE122" i="15" s="1"/>
  <c r="Z122" i="15"/>
  <c r="AA122" i="15" s="1"/>
  <c r="AB122" i="15" s="1"/>
  <c r="AC115" i="15"/>
  <c r="Z115" i="15"/>
  <c r="AA115" i="15" s="1"/>
  <c r="AB115" i="15" s="1"/>
  <c r="AM107" i="17"/>
  <c r="AN107" i="17" s="1"/>
  <c r="AO107" i="17" s="1"/>
  <c r="AC116" i="15"/>
  <c r="Z116" i="15"/>
  <c r="Z119" i="15"/>
  <c r="AA119" i="15" s="1"/>
  <c r="AB119" i="15" s="1"/>
  <c r="AC119" i="15"/>
  <c r="AD119" i="15" s="1"/>
  <c r="AE119" i="15" s="1"/>
  <c r="Z121" i="15"/>
  <c r="AA121" i="15" s="1"/>
  <c r="AB121" i="15" s="1"/>
  <c r="AC121" i="15"/>
  <c r="Z120" i="15"/>
  <c r="AA120" i="15" s="1"/>
  <c r="AB120" i="15" s="1"/>
  <c r="AC120" i="15"/>
  <c r="Z114" i="15"/>
  <c r="AA114" i="15" s="1"/>
  <c r="AB114" i="15" s="1"/>
  <c r="AH114" i="15" s="1"/>
  <c r="AC114" i="15"/>
  <c r="AD114" i="15" s="1"/>
  <c r="BN222" i="27"/>
  <c r="BO221" i="27"/>
  <c r="CJ57" i="27" s="1"/>
  <c r="CR79" i="27"/>
  <c r="CR99" i="27" s="1"/>
  <c r="CR104" i="27" s="1"/>
  <c r="CI58" i="27"/>
  <c r="CI60" i="27" s="1"/>
  <c r="CP45" i="27"/>
  <c r="BZ79" i="27"/>
  <c r="CB45" i="27"/>
  <c r="CB55" i="27" s="1"/>
  <c r="BZ80" i="26"/>
  <c r="CI58" i="26"/>
  <c r="CI60" i="26" s="1"/>
  <c r="CR80" i="26"/>
  <c r="CR100" i="26" s="1"/>
  <c r="CR104" i="26" s="1"/>
  <c r="CP45" i="26"/>
  <c r="CB45" i="26"/>
  <c r="CB55" i="26" s="1"/>
  <c r="BN216" i="26"/>
  <c r="BO215" i="26"/>
  <c r="CJ57" i="26" s="1"/>
  <c r="CP82" i="25"/>
  <c r="CH58" i="25"/>
  <c r="CH60" i="25" s="1"/>
  <c r="CN48" i="25"/>
  <c r="BZ82" i="25"/>
  <c r="BZ99" i="25" s="1"/>
  <c r="BZ102" i="25" s="1"/>
  <c r="CB48" i="25"/>
  <c r="BQ183" i="25"/>
  <c r="CI57" i="25" s="1"/>
  <c r="BP184" i="25"/>
  <c r="BQ183" i="24"/>
  <c r="CI57" i="24" s="1"/>
  <c r="BP184" i="24"/>
  <c r="CP82" i="24"/>
  <c r="BZ82" i="24"/>
  <c r="BZ99" i="24" s="1"/>
  <c r="BZ101" i="24" s="1"/>
  <c r="CH58" i="24"/>
  <c r="CH60" i="24" s="1"/>
  <c r="CB48" i="24"/>
  <c r="CN48" i="24"/>
  <c r="BM72" i="23"/>
  <c r="BK106" i="23"/>
  <c r="BS82" i="23"/>
  <c r="BS84" i="23" s="1"/>
  <c r="CA106" i="23"/>
  <c r="BY72" i="23"/>
  <c r="AO209" i="23"/>
  <c r="BT81" i="23" s="1"/>
  <c r="AN210" i="23"/>
  <c r="AN207" i="22"/>
  <c r="AO206" i="22"/>
  <c r="BU82" i="22" s="1"/>
  <c r="CA106" i="22"/>
  <c r="CA124" i="22" s="1"/>
  <c r="CA126" i="22" s="1"/>
  <c r="BT83" i="22"/>
  <c r="BT85" i="22" s="1"/>
  <c r="CA71" i="22"/>
  <c r="BM106" i="22"/>
  <c r="BM71" i="22"/>
  <c r="AK115" i="16"/>
  <c r="AR115" i="16" s="1"/>
  <c r="AN112" i="16"/>
  <c r="AR112" i="16" s="1"/>
  <c r="AK114" i="16"/>
  <c r="AR114" i="16" s="1"/>
  <c r="AK107" i="16"/>
  <c r="AR107" i="16" s="1"/>
  <c r="AN113" i="16"/>
  <c r="AR113" i="16" s="1"/>
  <c r="AN116" i="16"/>
  <c r="AR116" i="16" s="1"/>
  <c r="AN117" i="16"/>
  <c r="AR117" i="16" s="1"/>
  <c r="AI109" i="17"/>
  <c r="AM117" i="17"/>
  <c r="AN117" i="17" s="1"/>
  <c r="AO117" i="17" s="1"/>
  <c r="AJ116" i="17"/>
  <c r="AK116" i="17" s="1"/>
  <c r="AL116" i="17" s="1"/>
  <c r="AM116" i="17"/>
  <c r="AN116" i="17" s="1"/>
  <c r="AO116" i="17" s="1"/>
  <c r="AM109" i="17"/>
  <c r="AN109" i="17" s="1"/>
  <c r="AO109" i="17" s="1"/>
  <c r="AS109" i="17" s="1"/>
  <c r="AM127" i="17"/>
  <c r="AN127" i="17" s="1"/>
  <c r="AO127" i="17" s="1"/>
  <c r="AS127" i="17" s="1"/>
  <c r="AR109" i="16"/>
  <c r="R108" i="17"/>
  <c r="S108" i="17" s="1"/>
  <c r="T108" i="17" s="1"/>
  <c r="AI121" i="17"/>
  <c r="AM129" i="17"/>
  <c r="AN129" i="17" s="1"/>
  <c r="AO129" i="17" s="1"/>
  <c r="AS129" i="17" s="1"/>
  <c r="AJ117" i="17"/>
  <c r="AK117" i="17" s="1"/>
  <c r="AL117" i="17" s="1"/>
  <c r="AI119" i="17"/>
  <c r="AJ113" i="17"/>
  <c r="AK113" i="17" s="1"/>
  <c r="AL113" i="17" s="1"/>
  <c r="AM113" i="17"/>
  <c r="AN113" i="17" s="1"/>
  <c r="AO113" i="17" s="1"/>
  <c r="AM119" i="17"/>
  <c r="AN119" i="17" s="1"/>
  <c r="AO119" i="17" s="1"/>
  <c r="AS119" i="17" s="1"/>
  <c r="AR108" i="16"/>
  <c r="AM121" i="17"/>
  <c r="AN121" i="17" s="1"/>
  <c r="AO121" i="17" s="1"/>
  <c r="AS121" i="17" s="1"/>
  <c r="AM130" i="17"/>
  <c r="AN130" i="17" s="1"/>
  <c r="AO130" i="17" s="1"/>
  <c r="AM123" i="17"/>
  <c r="AN123" i="17" s="1"/>
  <c r="AO123" i="17" s="1"/>
  <c r="AM120" i="17"/>
  <c r="AN120" i="17" s="1"/>
  <c r="AO120" i="17" s="1"/>
  <c r="AS120" i="17" s="1"/>
  <c r="AI120" i="17"/>
  <c r="AM124" i="17"/>
  <c r="AN124" i="17" s="1"/>
  <c r="AO124" i="17" s="1"/>
  <c r="AS124" i="17" s="1"/>
  <c r="AI124" i="17"/>
  <c r="AJ123" i="17"/>
  <c r="AK123" i="17" s="1"/>
  <c r="AL123" i="17" s="1"/>
  <c r="AJ125" i="17"/>
  <c r="AK125" i="17" s="1"/>
  <c r="AL125" i="17" s="1"/>
  <c r="AI125" i="17"/>
  <c r="AJ115" i="17"/>
  <c r="AK115" i="17" s="1"/>
  <c r="AL115" i="17" s="1"/>
  <c r="AI115" i="17"/>
  <c r="AM125" i="17"/>
  <c r="AN125" i="17" s="1"/>
  <c r="AO125" i="17" s="1"/>
  <c r="AM115" i="17"/>
  <c r="AN115" i="17" s="1"/>
  <c r="AO115" i="17" s="1"/>
  <c r="AJ128" i="17"/>
  <c r="AK128" i="17" s="1"/>
  <c r="AL128" i="17" s="1"/>
  <c r="AS128" i="17" s="1"/>
  <c r="AM126" i="17"/>
  <c r="AN126" i="17" s="1"/>
  <c r="AO126" i="17" s="1"/>
  <c r="AJ126" i="17"/>
  <c r="AK126" i="17" s="1"/>
  <c r="AL126" i="17" s="1"/>
  <c r="AJ108" i="17"/>
  <c r="AK108" i="17" s="1"/>
  <c r="AL108" i="17" s="1"/>
  <c r="AM108" i="17"/>
  <c r="AN108" i="17" s="1"/>
  <c r="AO108" i="17" s="1"/>
  <c r="AM122" i="17"/>
  <c r="AN122" i="17" s="1"/>
  <c r="AO122" i="17" s="1"/>
  <c r="AJ122" i="17"/>
  <c r="AK122" i="17" s="1"/>
  <c r="AL122" i="17" s="1"/>
  <c r="AM110" i="17"/>
  <c r="AN110" i="17" s="1"/>
  <c r="AO110" i="17" s="1"/>
  <c r="AJ110" i="17"/>
  <c r="AK110" i="17" s="1"/>
  <c r="AL110" i="17" s="1"/>
  <c r="AM118" i="17"/>
  <c r="AN118" i="17" s="1"/>
  <c r="AO118" i="17" s="1"/>
  <c r="AJ118" i="17"/>
  <c r="AK118" i="17" s="1"/>
  <c r="AL118" i="17" s="1"/>
  <c r="AJ112" i="17"/>
  <c r="AK112" i="17" s="1"/>
  <c r="AL112" i="17" s="1"/>
  <c r="AM112" i="17"/>
  <c r="AN112" i="17" s="1"/>
  <c r="AO112" i="17" s="1"/>
  <c r="AJ111" i="17"/>
  <c r="AK111" i="17" s="1"/>
  <c r="AL111" i="17" s="1"/>
  <c r="AM111" i="17"/>
  <c r="AN111" i="17" s="1"/>
  <c r="AO111" i="17" s="1"/>
  <c r="AJ114" i="17"/>
  <c r="AK114" i="17" s="1"/>
  <c r="AL114" i="17" s="1"/>
  <c r="AM114" i="17"/>
  <c r="AN114" i="17" s="1"/>
  <c r="AO114" i="17" s="1"/>
  <c r="AD123" i="15"/>
  <c r="AD120" i="15"/>
  <c r="AA116" i="15"/>
  <c r="AB116" i="15" s="1"/>
  <c r="AD116" i="15"/>
  <c r="AE116" i="15" s="1"/>
  <c r="AD121" i="15"/>
  <c r="AE121" i="15" s="1"/>
  <c r="AA125" i="15"/>
  <c r="AD124" i="15"/>
  <c r="AE124" i="15" s="1"/>
  <c r="AA117" i="15"/>
  <c r="AB117" i="15" s="1"/>
  <c r="AD117" i="15"/>
  <c r="AE117" i="15" s="1"/>
  <c r="AE107" i="17"/>
  <c r="BK114" i="17"/>
  <c r="T107" i="16"/>
  <c r="BJ104" i="16"/>
  <c r="C127" i="16"/>
  <c r="X106" i="16"/>
  <c r="Z106" i="16" s="1"/>
  <c r="AR110" i="16"/>
  <c r="AR106" i="16"/>
  <c r="AE106" i="16"/>
  <c r="AS106" i="16"/>
  <c r="R115" i="15"/>
  <c r="AT115" i="15"/>
  <c r="AD115" i="15"/>
  <c r="AE115" i="15" s="1"/>
  <c r="AS107" i="17" l="1"/>
  <c r="AT107" i="17"/>
  <c r="CP86" i="28"/>
  <c r="CP87" i="28" s="1"/>
  <c r="CM37" i="28"/>
  <c r="CM63" i="28" s="1"/>
  <c r="CM64" i="28" s="1"/>
  <c r="CS37" i="28"/>
  <c r="BN127" i="28"/>
  <c r="CQ85" i="28" s="1"/>
  <c r="BM128" i="28"/>
  <c r="AE114" i="15"/>
  <c r="AG114" i="15" s="1"/>
  <c r="C8" i="15" s="1"/>
  <c r="CT78" i="27"/>
  <c r="CT99" i="27" s="1"/>
  <c r="CT104" i="27" s="1"/>
  <c r="CP44" i="27"/>
  <c r="CJ58" i="27"/>
  <c r="CJ60" i="27" s="1"/>
  <c r="BZ78" i="27"/>
  <c r="CD44" i="27"/>
  <c r="CD55" i="27" s="1"/>
  <c r="BO222" i="27"/>
  <c r="CK57" i="27" s="1"/>
  <c r="BN223" i="27"/>
  <c r="CT79" i="26"/>
  <c r="CT100" i="26" s="1"/>
  <c r="CT104" i="26" s="1"/>
  <c r="BZ79" i="26"/>
  <c r="CP44" i="26"/>
  <c r="CD44" i="26"/>
  <c r="CD55" i="26" s="1"/>
  <c r="CJ58" i="26"/>
  <c r="CJ60" i="26" s="1"/>
  <c r="BN217" i="26"/>
  <c r="BO216" i="26"/>
  <c r="CK57" i="26" s="1"/>
  <c r="CI58" i="25"/>
  <c r="CI60" i="25" s="1"/>
  <c r="CP47" i="25"/>
  <c r="CB81" i="25"/>
  <c r="CB47" i="25"/>
  <c r="CP81" i="25"/>
  <c r="CP99" i="25" s="1"/>
  <c r="CP102" i="25" s="1"/>
  <c r="BP185" i="25"/>
  <c r="BQ184" i="25"/>
  <c r="CJ57" i="25" s="1"/>
  <c r="BQ184" i="24"/>
  <c r="CJ57" i="24" s="1"/>
  <c r="BP185" i="24"/>
  <c r="CI58" i="24"/>
  <c r="CI60" i="24" s="1"/>
  <c r="CB47" i="24"/>
  <c r="CP81" i="24"/>
  <c r="CP99" i="24" s="1"/>
  <c r="CP101" i="24" s="1"/>
  <c r="CP47" i="24"/>
  <c r="CB81" i="24"/>
  <c r="AN211" i="23"/>
  <c r="AO210" i="23"/>
  <c r="BU81" i="23" s="1"/>
  <c r="BM105" i="23"/>
  <c r="BM71" i="23"/>
  <c r="BT82" i="23"/>
  <c r="BT84" i="23" s="1"/>
  <c r="CA105" i="23"/>
  <c r="CA71" i="23"/>
  <c r="CC105" i="22"/>
  <c r="CC124" i="22" s="1"/>
  <c r="CC126" i="22" s="1"/>
  <c r="BM105" i="22"/>
  <c r="CC70" i="22"/>
  <c r="BU83" i="22"/>
  <c r="BU85" i="22" s="1"/>
  <c r="BM70" i="22"/>
  <c r="BM80" i="22" s="1"/>
  <c r="AO207" i="22"/>
  <c r="BV82" i="22" s="1"/>
  <c r="AN208" i="22"/>
  <c r="AB124" i="15"/>
  <c r="AH124" i="15" s="1"/>
  <c r="AI124" i="15" s="1"/>
  <c r="AB125" i="15"/>
  <c r="AH125" i="15" s="1"/>
  <c r="AI125" i="15" s="1"/>
  <c r="AE120" i="15"/>
  <c r="AG120" i="15" s="1"/>
  <c r="AE123" i="15"/>
  <c r="AG123" i="15" s="1"/>
  <c r="AS116" i="17"/>
  <c r="AS117" i="17"/>
  <c r="AS125" i="17"/>
  <c r="AS113" i="17"/>
  <c r="S109" i="17"/>
  <c r="T109" i="17" s="1"/>
  <c r="AS130" i="17"/>
  <c r="AS115" i="17"/>
  <c r="AS123" i="17"/>
  <c r="AI132" i="17"/>
  <c r="X107" i="17" s="1"/>
  <c r="Z107" i="17" s="1"/>
  <c r="R109" i="17"/>
  <c r="V108" i="17"/>
  <c r="AS126" i="17"/>
  <c r="AS118" i="17"/>
  <c r="AS112" i="17"/>
  <c r="AS108" i="17"/>
  <c r="AS111" i="17"/>
  <c r="AS122" i="17"/>
  <c r="AS114" i="17"/>
  <c r="AS110" i="17"/>
  <c r="AG121" i="15"/>
  <c r="AG119" i="15"/>
  <c r="AG118" i="15"/>
  <c r="AG115" i="15"/>
  <c r="AG117" i="15"/>
  <c r="AG122" i="15"/>
  <c r="AG116" i="15"/>
  <c r="BK115" i="17"/>
  <c r="C8" i="17"/>
  <c r="BJ105" i="16"/>
  <c r="C8" i="16"/>
  <c r="O127" i="16"/>
  <c r="P127" i="16" s="1"/>
  <c r="AG127" i="16"/>
  <c r="O130" i="16"/>
  <c r="P130" i="16" s="1"/>
  <c r="Q130" i="16" s="1"/>
  <c r="J127" i="16"/>
  <c r="K127" i="16" s="1"/>
  <c r="L127" i="16" s="1"/>
  <c r="M127" i="16" s="1"/>
  <c r="N127" i="16" s="1"/>
  <c r="O128" i="16"/>
  <c r="P128" i="16" s="1"/>
  <c r="Q128" i="16" s="1"/>
  <c r="AG128" i="16"/>
  <c r="AG130" i="16"/>
  <c r="O131" i="16"/>
  <c r="P131" i="16" s="1"/>
  <c r="Q131" i="16" s="1"/>
  <c r="O133" i="16"/>
  <c r="P133" i="16" s="1"/>
  <c r="Q133" i="16" s="1"/>
  <c r="O135" i="16"/>
  <c r="P135" i="16" s="1"/>
  <c r="Q135" i="16" s="1"/>
  <c r="O137" i="16"/>
  <c r="P137" i="16" s="1"/>
  <c r="Q137" i="16" s="1"/>
  <c r="O139" i="16"/>
  <c r="P139" i="16" s="1"/>
  <c r="Q139" i="16" s="1"/>
  <c r="O141" i="16"/>
  <c r="P141" i="16" s="1"/>
  <c r="Q141" i="16" s="1"/>
  <c r="O143" i="16"/>
  <c r="P143" i="16" s="1"/>
  <c r="Q143" i="16" s="1"/>
  <c r="O145" i="16"/>
  <c r="P145" i="16" s="1"/>
  <c r="Q145" i="16" s="1"/>
  <c r="O147" i="16"/>
  <c r="P147" i="16" s="1"/>
  <c r="Q147" i="16" s="1"/>
  <c r="O149" i="16"/>
  <c r="P149" i="16" s="1"/>
  <c r="Q149" i="16" s="1"/>
  <c r="O129" i="16"/>
  <c r="P129" i="16" s="1"/>
  <c r="Q129" i="16" s="1"/>
  <c r="AG133" i="16"/>
  <c r="O134" i="16"/>
  <c r="P134" i="16" s="1"/>
  <c r="Q134" i="16" s="1"/>
  <c r="AG134" i="16"/>
  <c r="AG141" i="16"/>
  <c r="O142" i="16"/>
  <c r="P142" i="16" s="1"/>
  <c r="Q142" i="16" s="1"/>
  <c r="AG142" i="16"/>
  <c r="AG149" i="16"/>
  <c r="O150" i="16"/>
  <c r="P150" i="16" s="1"/>
  <c r="Q150" i="16" s="1"/>
  <c r="AG150" i="16"/>
  <c r="AG135" i="16"/>
  <c r="O136" i="16"/>
  <c r="P136" i="16" s="1"/>
  <c r="Q136" i="16" s="1"/>
  <c r="AG136" i="16"/>
  <c r="AG143" i="16"/>
  <c r="O144" i="16"/>
  <c r="P144" i="16" s="1"/>
  <c r="Q144" i="16" s="1"/>
  <c r="AG144" i="16"/>
  <c r="AG137" i="16"/>
  <c r="O138" i="16"/>
  <c r="P138" i="16" s="1"/>
  <c r="Q138" i="16" s="1"/>
  <c r="AG138" i="16"/>
  <c r="AG145" i="16"/>
  <c r="O146" i="16"/>
  <c r="P146" i="16" s="1"/>
  <c r="Q146" i="16" s="1"/>
  <c r="AG146" i="16"/>
  <c r="AG129" i="16"/>
  <c r="AG131" i="16"/>
  <c r="O132" i="16"/>
  <c r="P132" i="16" s="1"/>
  <c r="Q132" i="16" s="1"/>
  <c r="AG132" i="16"/>
  <c r="O140" i="16"/>
  <c r="P140" i="16" s="1"/>
  <c r="Q140" i="16" s="1"/>
  <c r="AG148" i="16"/>
  <c r="O148" i="16"/>
  <c r="P148" i="16" s="1"/>
  <c r="Q148" i="16" s="1"/>
  <c r="AG139" i="16"/>
  <c r="AG140" i="16"/>
  <c r="AG147" i="16"/>
  <c r="R108" i="16"/>
  <c r="V107" i="16"/>
  <c r="T108" i="16"/>
  <c r="S109" i="16"/>
  <c r="S115" i="15"/>
  <c r="R116" i="15"/>
  <c r="AT116" i="15"/>
  <c r="AG125" i="15" l="1"/>
  <c r="BM129" i="28"/>
  <c r="BN129" i="28" s="1"/>
  <c r="CS85" i="28" s="1"/>
  <c r="CS86" i="28" s="1"/>
  <c r="CS87" i="28" s="1"/>
  <c r="BN128" i="28"/>
  <c r="CR85" i="28" s="1"/>
  <c r="CO36" i="28"/>
  <c r="CO63" i="28" s="1"/>
  <c r="CO64" i="28" s="1"/>
  <c r="CQ86" i="28"/>
  <c r="CQ87" i="28" s="1"/>
  <c r="CS36" i="28"/>
  <c r="S110" i="17"/>
  <c r="S111" i="17" s="1"/>
  <c r="BN224" i="27"/>
  <c r="BO223" i="27"/>
  <c r="CL57" i="27" s="1"/>
  <c r="CV77" i="27"/>
  <c r="CV99" i="27" s="1"/>
  <c r="CV104" i="27" s="1"/>
  <c r="BZ77" i="27"/>
  <c r="CP43" i="27"/>
  <c r="CK58" i="27"/>
  <c r="CK60" i="27" s="1"/>
  <c r="CF43" i="27"/>
  <c r="CF55" i="27" s="1"/>
  <c r="BN218" i="26"/>
  <c r="BO217" i="26"/>
  <c r="CL57" i="26" s="1"/>
  <c r="CV78" i="26"/>
  <c r="CV100" i="26" s="1"/>
  <c r="CV104" i="26" s="1"/>
  <c r="BZ78" i="26"/>
  <c r="CK58" i="26"/>
  <c r="CK60" i="26" s="1"/>
  <c r="CP43" i="26"/>
  <c r="CF43" i="26"/>
  <c r="CF55" i="26" s="1"/>
  <c r="BQ185" i="25"/>
  <c r="CK57" i="25" s="1"/>
  <c r="BP186" i="25"/>
  <c r="CR80" i="25"/>
  <c r="CR99" i="25" s="1"/>
  <c r="CR102" i="25" s="1"/>
  <c r="CJ58" i="25"/>
  <c r="CJ60" i="25" s="1"/>
  <c r="CR46" i="25"/>
  <c r="CB80" i="25"/>
  <c r="CB46" i="25"/>
  <c r="CB55" i="25" s="1"/>
  <c r="CB80" i="24"/>
  <c r="CB46" i="24"/>
  <c r="CB55" i="24" s="1"/>
  <c r="CJ58" i="24"/>
  <c r="CJ60" i="24" s="1"/>
  <c r="CR80" i="24"/>
  <c r="CR99" i="24" s="1"/>
  <c r="CR101" i="24" s="1"/>
  <c r="CR46" i="24"/>
  <c r="BQ185" i="24"/>
  <c r="CK57" i="24" s="1"/>
  <c r="BP186" i="24"/>
  <c r="BU82" i="23"/>
  <c r="BU84" i="23" s="1"/>
  <c r="BM70" i="23"/>
  <c r="BM79" i="23" s="1"/>
  <c r="CC104" i="23"/>
  <c r="BM104" i="23"/>
  <c r="CC70" i="23"/>
  <c r="AO211" i="23"/>
  <c r="BV81" i="23" s="1"/>
  <c r="AN212" i="23"/>
  <c r="AN209" i="22"/>
  <c r="AO208" i="22"/>
  <c r="BW82" i="22" s="1"/>
  <c r="CE104" i="22"/>
  <c r="CE124" i="22" s="1"/>
  <c r="CE126" i="22" s="1"/>
  <c r="BV83" i="22"/>
  <c r="BV85" i="22" s="1"/>
  <c r="BM104" i="22"/>
  <c r="CC69" i="22"/>
  <c r="BO69" i="22"/>
  <c r="BO80" i="22" s="1"/>
  <c r="AG124" i="15"/>
  <c r="AJ124" i="15" s="1"/>
  <c r="AL124" i="15" s="1"/>
  <c r="AN124" i="15" s="1"/>
  <c r="AJ125" i="15"/>
  <c r="AL125" i="15" s="1"/>
  <c r="AN125" i="15" s="1"/>
  <c r="C140" i="17"/>
  <c r="AH147" i="17" s="1"/>
  <c r="AI147" i="17" s="1"/>
  <c r="R110" i="17"/>
  <c r="V109" i="17"/>
  <c r="AE108" i="17"/>
  <c r="AT108" i="17"/>
  <c r="AK125" i="15"/>
  <c r="AM125" i="15" s="1"/>
  <c r="AO125" i="15" s="1"/>
  <c r="BK116" i="17"/>
  <c r="T110" i="17"/>
  <c r="AI140" i="16"/>
  <c r="AJ140" i="16" s="1"/>
  <c r="AK140" i="16" s="1"/>
  <c r="AL140" i="16"/>
  <c r="AM140" i="16" s="1"/>
  <c r="AN140" i="16" s="1"/>
  <c r="AI129" i="16"/>
  <c r="AJ129" i="16" s="1"/>
  <c r="AK129" i="16" s="1"/>
  <c r="AL129" i="16"/>
  <c r="AM129" i="16" s="1"/>
  <c r="AN129" i="16" s="1"/>
  <c r="AI138" i="16"/>
  <c r="AJ138" i="16" s="1"/>
  <c r="AK138" i="16" s="1"/>
  <c r="AL138" i="16"/>
  <c r="AM138" i="16" s="1"/>
  <c r="AN138" i="16" s="1"/>
  <c r="AL135" i="16"/>
  <c r="AM135" i="16" s="1"/>
  <c r="AN135" i="16" s="1"/>
  <c r="AI135" i="16"/>
  <c r="AJ135" i="16" s="1"/>
  <c r="AK135" i="16" s="1"/>
  <c r="AI142" i="16"/>
  <c r="AJ142" i="16" s="1"/>
  <c r="AK142" i="16" s="1"/>
  <c r="AL142" i="16"/>
  <c r="AM142" i="16" s="1"/>
  <c r="AN142" i="16" s="1"/>
  <c r="AS107" i="16"/>
  <c r="AE107" i="16"/>
  <c r="AI139" i="16"/>
  <c r="AJ139" i="16" s="1"/>
  <c r="AK139" i="16" s="1"/>
  <c r="AL139" i="16"/>
  <c r="AM139" i="16" s="1"/>
  <c r="AN139" i="16" s="1"/>
  <c r="AI132" i="16"/>
  <c r="AJ132" i="16" s="1"/>
  <c r="AK132" i="16" s="1"/>
  <c r="AL132" i="16"/>
  <c r="AM132" i="16" s="1"/>
  <c r="AN132" i="16" s="1"/>
  <c r="AI146" i="16"/>
  <c r="AJ146" i="16" s="1"/>
  <c r="AK146" i="16" s="1"/>
  <c r="AL146" i="16"/>
  <c r="AM146" i="16" s="1"/>
  <c r="AN146" i="16" s="1"/>
  <c r="AL143" i="16"/>
  <c r="AM143" i="16" s="1"/>
  <c r="AN143" i="16" s="1"/>
  <c r="AI143" i="16"/>
  <c r="AJ143" i="16" s="1"/>
  <c r="AK143" i="16" s="1"/>
  <c r="AI150" i="16"/>
  <c r="AJ150" i="16" s="1"/>
  <c r="AK150" i="16" s="1"/>
  <c r="AL150" i="16"/>
  <c r="AM150" i="16" s="1"/>
  <c r="AN150" i="16" s="1"/>
  <c r="AI133" i="16"/>
  <c r="AJ133" i="16" s="1"/>
  <c r="AK133" i="16" s="1"/>
  <c r="AL133" i="16"/>
  <c r="AM133" i="16" s="1"/>
  <c r="AN133" i="16" s="1"/>
  <c r="AL130" i="16"/>
  <c r="AM130" i="16" s="1"/>
  <c r="AN130" i="16" s="1"/>
  <c r="AI130" i="16"/>
  <c r="AJ130" i="16" s="1"/>
  <c r="AK130" i="16" s="1"/>
  <c r="T109" i="16"/>
  <c r="S110" i="16"/>
  <c r="AL137" i="16"/>
  <c r="AM137" i="16" s="1"/>
  <c r="AN137" i="16" s="1"/>
  <c r="AI137" i="16"/>
  <c r="AJ137" i="16" s="1"/>
  <c r="AK137" i="16" s="1"/>
  <c r="AI136" i="16"/>
  <c r="AJ136" i="16" s="1"/>
  <c r="AK136" i="16" s="1"/>
  <c r="AL136" i="16"/>
  <c r="AM136" i="16" s="1"/>
  <c r="AN136" i="16" s="1"/>
  <c r="AI141" i="16"/>
  <c r="AJ141" i="16" s="1"/>
  <c r="AK141" i="16" s="1"/>
  <c r="AL141" i="16"/>
  <c r="AM141" i="16" s="1"/>
  <c r="AN141" i="16" s="1"/>
  <c r="AI128" i="16"/>
  <c r="AJ128" i="16" s="1"/>
  <c r="AK128" i="16" s="1"/>
  <c r="AL128" i="16"/>
  <c r="AM128" i="16" s="1"/>
  <c r="AN128" i="16" s="1"/>
  <c r="AL127" i="16"/>
  <c r="AM127" i="16" s="1"/>
  <c r="AN127" i="16" s="1"/>
  <c r="AI127" i="16"/>
  <c r="AJ127" i="16" s="1"/>
  <c r="AK127" i="16" s="1"/>
  <c r="BJ106" i="16"/>
  <c r="V108" i="16"/>
  <c r="R109" i="16"/>
  <c r="AI147" i="16"/>
  <c r="AJ147" i="16" s="1"/>
  <c r="AK147" i="16" s="1"/>
  <c r="AL147" i="16"/>
  <c r="AM147" i="16" s="1"/>
  <c r="AN147" i="16" s="1"/>
  <c r="AI148" i="16"/>
  <c r="AJ148" i="16" s="1"/>
  <c r="AK148" i="16" s="1"/>
  <c r="AL148" i="16"/>
  <c r="AM148" i="16" s="1"/>
  <c r="AN148" i="16" s="1"/>
  <c r="AI131" i="16"/>
  <c r="AJ131" i="16" s="1"/>
  <c r="AK131" i="16" s="1"/>
  <c r="AL131" i="16"/>
  <c r="AM131" i="16" s="1"/>
  <c r="AN131" i="16" s="1"/>
  <c r="AL145" i="16"/>
  <c r="AM145" i="16" s="1"/>
  <c r="AN145" i="16" s="1"/>
  <c r="AI145" i="16"/>
  <c r="AJ145" i="16" s="1"/>
  <c r="AK145" i="16" s="1"/>
  <c r="AI144" i="16"/>
  <c r="AJ144" i="16" s="1"/>
  <c r="AK144" i="16" s="1"/>
  <c r="AL144" i="16"/>
  <c r="AM144" i="16" s="1"/>
  <c r="AN144" i="16" s="1"/>
  <c r="AI149" i="16"/>
  <c r="AJ149" i="16" s="1"/>
  <c r="AK149" i="16" s="1"/>
  <c r="AL149" i="16"/>
  <c r="AM149" i="16" s="1"/>
  <c r="AN149" i="16" s="1"/>
  <c r="AI134" i="16"/>
  <c r="AJ134" i="16" s="1"/>
  <c r="AK134" i="16" s="1"/>
  <c r="AL134" i="16"/>
  <c r="AM134" i="16" s="1"/>
  <c r="AN134" i="16" s="1"/>
  <c r="Q127" i="16"/>
  <c r="S127" i="16" s="1"/>
  <c r="T127" i="16" s="1"/>
  <c r="AT117" i="15"/>
  <c r="R117" i="15"/>
  <c r="S116" i="15"/>
  <c r="V115" i="15"/>
  <c r="Q116" i="15"/>
  <c r="CR86" i="28" l="1"/>
  <c r="CR87" i="28" s="1"/>
  <c r="CS35" i="28"/>
  <c r="CS63" i="28" s="1"/>
  <c r="CS64" i="28" s="1"/>
  <c r="CQ35" i="28"/>
  <c r="CQ63" i="28" s="1"/>
  <c r="CQ64" i="28" s="1"/>
  <c r="AK124" i="15"/>
  <c r="AM124" i="15" s="1"/>
  <c r="AO124" i="15" s="1"/>
  <c r="CX76" i="27"/>
  <c r="CX99" i="27" s="1"/>
  <c r="CX104" i="27" s="1"/>
  <c r="CP42" i="27"/>
  <c r="CL58" i="27"/>
  <c r="CL60" i="27" s="1"/>
  <c r="BZ76" i="27"/>
  <c r="BZ99" i="27" s="1"/>
  <c r="BZ104" i="27" s="1"/>
  <c r="CH42" i="27"/>
  <c r="CH55" i="27" s="1"/>
  <c r="BO224" i="27"/>
  <c r="CM57" i="27" s="1"/>
  <c r="BN225" i="27"/>
  <c r="CX77" i="26"/>
  <c r="CX100" i="26" s="1"/>
  <c r="CX104" i="26" s="1"/>
  <c r="BZ77" i="26"/>
  <c r="BZ100" i="26" s="1"/>
  <c r="BZ104" i="26" s="1"/>
  <c r="CP42" i="26"/>
  <c r="CL58" i="26"/>
  <c r="CL60" i="26" s="1"/>
  <c r="CH42" i="26"/>
  <c r="CH55" i="26" s="1"/>
  <c r="BN219" i="26"/>
  <c r="BO218" i="26"/>
  <c r="CM57" i="26" s="1"/>
  <c r="BP187" i="25"/>
  <c r="BQ186" i="25"/>
  <c r="CL57" i="25" s="1"/>
  <c r="CR45" i="25"/>
  <c r="CB79" i="25"/>
  <c r="CK58" i="25"/>
  <c r="CK60" i="25" s="1"/>
  <c r="CD45" i="25"/>
  <c r="CD55" i="25" s="1"/>
  <c r="CT79" i="25"/>
  <c r="CT99" i="25" s="1"/>
  <c r="CT102" i="25" s="1"/>
  <c r="BQ186" i="24"/>
  <c r="CL57" i="24" s="1"/>
  <c r="BP187" i="24"/>
  <c r="CK58" i="24"/>
  <c r="CK60" i="24" s="1"/>
  <c r="CR45" i="24"/>
  <c r="CT79" i="24"/>
  <c r="CT99" i="24" s="1"/>
  <c r="CT101" i="24" s="1"/>
  <c r="CD45" i="24"/>
  <c r="CD55" i="24" s="1"/>
  <c r="CB79" i="24"/>
  <c r="AN213" i="23"/>
  <c r="AO212" i="23"/>
  <c r="BW81" i="23" s="1"/>
  <c r="BM103" i="23"/>
  <c r="CE103" i="23"/>
  <c r="BO69" i="23"/>
  <c r="BO79" i="23" s="1"/>
  <c r="BV82" i="23"/>
  <c r="BV84" i="23" s="1"/>
  <c r="CC69" i="23"/>
  <c r="CG103" i="22"/>
  <c r="CG124" i="22" s="1"/>
  <c r="CG126" i="22" s="1"/>
  <c r="CC68" i="22"/>
  <c r="BQ68" i="22"/>
  <c r="BQ80" i="22" s="1"/>
  <c r="BM103" i="22"/>
  <c r="BW83" i="22"/>
  <c r="BW85" i="22" s="1"/>
  <c r="AO209" i="22"/>
  <c r="BX82" i="22" s="1"/>
  <c r="AN210" i="22"/>
  <c r="AM147" i="17"/>
  <c r="AN147" i="17" s="1"/>
  <c r="AO147" i="17" s="1"/>
  <c r="AJ147" i="17"/>
  <c r="AK147" i="17" s="1"/>
  <c r="AL147" i="17" s="1"/>
  <c r="AH144" i="17"/>
  <c r="AI144" i="17" s="1"/>
  <c r="O150" i="17"/>
  <c r="P150" i="17" s="1"/>
  <c r="Q150" i="17" s="1"/>
  <c r="O149" i="17"/>
  <c r="P149" i="17" s="1"/>
  <c r="Q149" i="17" s="1"/>
  <c r="AH143" i="17"/>
  <c r="AI143" i="17" s="1"/>
  <c r="AH148" i="17"/>
  <c r="AI148" i="17" s="1"/>
  <c r="AH145" i="17"/>
  <c r="AI145" i="17" s="1"/>
  <c r="AH151" i="17"/>
  <c r="AI151" i="17" s="1"/>
  <c r="O143" i="17"/>
  <c r="P143" i="17" s="1"/>
  <c r="Q143" i="17" s="1"/>
  <c r="O141" i="17"/>
  <c r="P141" i="17" s="1"/>
  <c r="Q141" i="17" s="1"/>
  <c r="AH150" i="17"/>
  <c r="AI150" i="17" s="1"/>
  <c r="AH146" i="17"/>
  <c r="AI146" i="17" s="1"/>
  <c r="O146" i="17"/>
  <c r="P146" i="17" s="1"/>
  <c r="Q146" i="17" s="1"/>
  <c r="O145" i="17"/>
  <c r="P145" i="17" s="1"/>
  <c r="Q145" i="17" s="1"/>
  <c r="O144" i="17"/>
  <c r="P144" i="17" s="1"/>
  <c r="Q144" i="17" s="1"/>
  <c r="O151" i="17"/>
  <c r="P151" i="17" s="1"/>
  <c r="Q151" i="17" s="1"/>
  <c r="O147" i="17"/>
  <c r="P147" i="17" s="1"/>
  <c r="Q147" i="17" s="1"/>
  <c r="O148" i="17"/>
  <c r="P148" i="17" s="1"/>
  <c r="Q148" i="17" s="1"/>
  <c r="AH141" i="17"/>
  <c r="AI141" i="17" s="1"/>
  <c r="AH149" i="17"/>
  <c r="AI149" i="17" s="1"/>
  <c r="J140" i="17"/>
  <c r="P140" i="17" s="1"/>
  <c r="Q140" i="17" s="1"/>
  <c r="S140" i="17" s="1"/>
  <c r="T140" i="17" s="1"/>
  <c r="AH142" i="17"/>
  <c r="AI142" i="17" s="1"/>
  <c r="AR127" i="16"/>
  <c r="AH140" i="17"/>
  <c r="AI140" i="17" s="1"/>
  <c r="O142" i="17"/>
  <c r="P142" i="17" s="1"/>
  <c r="Q142" i="17" s="1"/>
  <c r="R111" i="17"/>
  <c r="V110" i="17"/>
  <c r="AE109" i="17"/>
  <c r="AT109" i="17"/>
  <c r="T111" i="17"/>
  <c r="S112" i="17"/>
  <c r="BK117" i="17"/>
  <c r="V127" i="16"/>
  <c r="R128" i="16"/>
  <c r="S128" i="16" s="1"/>
  <c r="AR145" i="16"/>
  <c r="AS108" i="16"/>
  <c r="AE108" i="16"/>
  <c r="AR137" i="16"/>
  <c r="AR150" i="16"/>
  <c r="AR146" i="16"/>
  <c r="AR139" i="16"/>
  <c r="AR129" i="16"/>
  <c r="AR134" i="16"/>
  <c r="AR144" i="16"/>
  <c r="AR131" i="16"/>
  <c r="AR147" i="16"/>
  <c r="BJ107" i="16"/>
  <c r="AR128" i="16"/>
  <c r="AR136" i="16"/>
  <c r="T110" i="16"/>
  <c r="S111" i="16"/>
  <c r="AR130" i="16"/>
  <c r="AR135" i="16"/>
  <c r="V109" i="16"/>
  <c r="R110" i="16"/>
  <c r="AR133" i="16"/>
  <c r="AR132" i="16"/>
  <c r="AR142" i="16"/>
  <c r="AR138" i="16"/>
  <c r="AR140" i="16"/>
  <c r="AR149" i="16"/>
  <c r="AR148" i="16"/>
  <c r="AR141" i="16"/>
  <c r="AR143" i="16"/>
  <c r="V116" i="15"/>
  <c r="Q117" i="15"/>
  <c r="S117" i="15"/>
  <c r="R118" i="15"/>
  <c r="AH115" i="15"/>
  <c r="AT118" i="15"/>
  <c r="AS147" i="17" l="1"/>
  <c r="CQ75" i="27"/>
  <c r="CM58" i="27"/>
  <c r="CM60" i="27" s="1"/>
  <c r="CJ41" i="27"/>
  <c r="CJ55" i="27" s="1"/>
  <c r="CI75" i="27"/>
  <c r="CP41" i="27"/>
  <c r="BO225" i="27"/>
  <c r="CN57" i="27" s="1"/>
  <c r="BN226" i="27"/>
  <c r="CM58" i="26"/>
  <c r="CM60" i="26" s="1"/>
  <c r="CI76" i="26"/>
  <c r="CQ76" i="26"/>
  <c r="CP41" i="26"/>
  <c r="CJ41" i="26"/>
  <c r="CJ55" i="26" s="1"/>
  <c r="BN220" i="26"/>
  <c r="BO219" i="26"/>
  <c r="CN57" i="26" s="1"/>
  <c r="CV78" i="25"/>
  <c r="CV99" i="25" s="1"/>
  <c r="CV102" i="25" s="1"/>
  <c r="CR44" i="25"/>
  <c r="CB78" i="25"/>
  <c r="CF44" i="25"/>
  <c r="CF55" i="25" s="1"/>
  <c r="CL58" i="25"/>
  <c r="CL60" i="25" s="1"/>
  <c r="BQ187" i="25"/>
  <c r="CM57" i="25" s="1"/>
  <c r="BP188" i="25"/>
  <c r="BP188" i="24"/>
  <c r="BQ187" i="24"/>
  <c r="CM57" i="24" s="1"/>
  <c r="CV78" i="24"/>
  <c r="CV99" i="24" s="1"/>
  <c r="CV101" i="24" s="1"/>
  <c r="CF44" i="24"/>
  <c r="CF55" i="24" s="1"/>
  <c r="CL58" i="24"/>
  <c r="CL60" i="24" s="1"/>
  <c r="CB78" i="24"/>
  <c r="CR44" i="24"/>
  <c r="BQ68" i="23"/>
  <c r="BQ79" i="23" s="1"/>
  <c r="BM102" i="23"/>
  <c r="CC68" i="23"/>
  <c r="BW82" i="23"/>
  <c r="BW84" i="23" s="1"/>
  <c r="CG102" i="23"/>
  <c r="AO213" i="23"/>
  <c r="BX81" i="23" s="1"/>
  <c r="AN214" i="23"/>
  <c r="AN211" i="22"/>
  <c r="AO210" i="22"/>
  <c r="BY82" i="22" s="1"/>
  <c r="CI102" i="22"/>
  <c r="CI124" i="22" s="1"/>
  <c r="CI126" i="22" s="1"/>
  <c r="BM102" i="22"/>
  <c r="BX83" i="22"/>
  <c r="BX85" i="22" s="1"/>
  <c r="CC67" i="22"/>
  <c r="BS67" i="22"/>
  <c r="BS80" i="22" s="1"/>
  <c r="AM141" i="17"/>
  <c r="AN141" i="17" s="1"/>
  <c r="AO141" i="17" s="1"/>
  <c r="AJ141" i="17"/>
  <c r="AK141" i="17" s="1"/>
  <c r="AL141" i="17" s="1"/>
  <c r="AM150" i="17"/>
  <c r="AN150" i="17" s="1"/>
  <c r="AO150" i="17" s="1"/>
  <c r="AJ150" i="17"/>
  <c r="AK150" i="17" s="1"/>
  <c r="AL150" i="17" s="1"/>
  <c r="AM145" i="17"/>
  <c r="AN145" i="17" s="1"/>
  <c r="AO145" i="17" s="1"/>
  <c r="AJ145" i="17"/>
  <c r="AK145" i="17" s="1"/>
  <c r="AL145" i="17" s="1"/>
  <c r="AM142" i="17"/>
  <c r="AN142" i="17" s="1"/>
  <c r="AO142" i="17" s="1"/>
  <c r="AJ142" i="17"/>
  <c r="AK142" i="17" s="1"/>
  <c r="AL142" i="17" s="1"/>
  <c r="AM148" i="17"/>
  <c r="AN148" i="17" s="1"/>
  <c r="AO148" i="17" s="1"/>
  <c r="AJ148" i="17"/>
  <c r="AK148" i="17" s="1"/>
  <c r="AL148" i="17" s="1"/>
  <c r="AM144" i="17"/>
  <c r="AN144" i="17" s="1"/>
  <c r="AJ144" i="17"/>
  <c r="AK144" i="17" s="1"/>
  <c r="AL144" i="17" s="1"/>
  <c r="AJ143" i="17"/>
  <c r="AK143" i="17" s="1"/>
  <c r="AL143" i="17" s="1"/>
  <c r="AM143" i="17"/>
  <c r="AN143" i="17" s="1"/>
  <c r="AJ149" i="17"/>
  <c r="AK149" i="17" s="1"/>
  <c r="AL149" i="17" s="1"/>
  <c r="AM149" i="17"/>
  <c r="AN149" i="17" s="1"/>
  <c r="AO149" i="17" s="1"/>
  <c r="AJ146" i="17"/>
  <c r="AK146" i="17" s="1"/>
  <c r="AL146" i="17" s="1"/>
  <c r="AM146" i="17"/>
  <c r="AN146" i="17" s="1"/>
  <c r="AM151" i="17"/>
  <c r="AN151" i="17" s="1"/>
  <c r="AJ151" i="17"/>
  <c r="AK151" i="17" s="1"/>
  <c r="AL151" i="17" s="1"/>
  <c r="AM140" i="17"/>
  <c r="AN140" i="17" s="1"/>
  <c r="AO140" i="17" s="1"/>
  <c r="AJ140" i="17"/>
  <c r="AK140" i="17" s="1"/>
  <c r="AL140" i="17" s="1"/>
  <c r="R141" i="17"/>
  <c r="S141" i="17" s="1"/>
  <c r="S142" i="17" s="1"/>
  <c r="V140" i="17"/>
  <c r="AI152" i="17"/>
  <c r="R112" i="17"/>
  <c r="V111" i="17"/>
  <c r="AE110" i="17"/>
  <c r="AT110" i="17"/>
  <c r="BK118" i="17"/>
  <c r="S113" i="17"/>
  <c r="T112" i="17"/>
  <c r="AE109" i="16"/>
  <c r="AS109" i="16"/>
  <c r="T111" i="16"/>
  <c r="S112" i="16"/>
  <c r="V110" i="16"/>
  <c r="R111" i="16"/>
  <c r="T128" i="16"/>
  <c r="S129" i="16"/>
  <c r="BJ108" i="16"/>
  <c r="AS127" i="16"/>
  <c r="R119" i="15"/>
  <c r="S118" i="15"/>
  <c r="AT119" i="15"/>
  <c r="V117" i="15"/>
  <c r="Q118" i="15"/>
  <c r="AH116" i="15"/>
  <c r="AS148" i="17" l="1"/>
  <c r="AS145" i="17"/>
  <c r="AO151" i="17"/>
  <c r="AS151" i="17" s="1"/>
  <c r="AS149" i="17"/>
  <c r="AO144" i="17"/>
  <c r="AS144" i="17" s="1"/>
  <c r="AO146" i="17"/>
  <c r="AS146" i="17" s="1"/>
  <c r="AO143" i="17"/>
  <c r="AS143" i="17" s="1"/>
  <c r="CS74" i="27"/>
  <c r="CP40" i="27"/>
  <c r="CL40" i="27"/>
  <c r="CL55" i="27" s="1"/>
  <c r="CI74" i="27"/>
  <c r="CN58" i="27"/>
  <c r="CN60" i="27" s="1"/>
  <c r="BN227" i="27"/>
  <c r="BO226" i="27"/>
  <c r="CO57" i="27" s="1"/>
  <c r="BN221" i="26"/>
  <c r="BO220" i="26"/>
  <c r="CO57" i="26" s="1"/>
  <c r="CS75" i="26"/>
  <c r="CI75" i="26"/>
  <c r="CP40" i="26"/>
  <c r="CL40" i="26"/>
  <c r="CL55" i="26" s="1"/>
  <c r="CN58" i="26"/>
  <c r="CN60" i="26" s="1"/>
  <c r="CM58" i="25"/>
  <c r="CM60" i="25" s="1"/>
  <c r="CR43" i="25"/>
  <c r="CX77" i="25"/>
  <c r="CX99" i="25" s="1"/>
  <c r="CX102" i="25" s="1"/>
  <c r="CH43" i="25"/>
  <c r="CH55" i="25" s="1"/>
  <c r="CB77" i="25"/>
  <c r="BP189" i="25"/>
  <c r="BQ188" i="25"/>
  <c r="CN57" i="25" s="1"/>
  <c r="CM58" i="24"/>
  <c r="CM60" i="24" s="1"/>
  <c r="CB77" i="24"/>
  <c r="CR43" i="24"/>
  <c r="CX77" i="24"/>
  <c r="CX99" i="24" s="1"/>
  <c r="CX101" i="24" s="1"/>
  <c r="CH43" i="24"/>
  <c r="CH55" i="24" s="1"/>
  <c r="BQ188" i="24"/>
  <c r="CN57" i="24" s="1"/>
  <c r="BP189" i="24"/>
  <c r="BM101" i="23"/>
  <c r="BS67" i="23"/>
  <c r="BS79" i="23" s="1"/>
  <c r="CI101" i="23"/>
  <c r="CC67" i="23"/>
  <c r="BX82" i="23"/>
  <c r="BX84" i="23" s="1"/>
  <c r="AN215" i="23"/>
  <c r="AO214" i="23"/>
  <c r="BY81" i="23" s="1"/>
  <c r="CK101" i="22"/>
  <c r="CK124" i="22" s="1"/>
  <c r="CK126" i="22" s="1"/>
  <c r="BM101" i="22"/>
  <c r="BM124" i="22" s="1"/>
  <c r="BM126" i="22" s="1"/>
  <c r="CC66" i="22"/>
  <c r="BY83" i="22"/>
  <c r="BY85" i="22" s="1"/>
  <c r="BU66" i="22"/>
  <c r="BU80" i="22" s="1"/>
  <c r="AO211" i="22"/>
  <c r="BZ82" i="22" s="1"/>
  <c r="AN212" i="22"/>
  <c r="AS142" i="17"/>
  <c r="AS150" i="17"/>
  <c r="AS141" i="17"/>
  <c r="T141" i="17"/>
  <c r="R129" i="16"/>
  <c r="V128" i="16"/>
  <c r="T142" i="17"/>
  <c r="S143" i="17"/>
  <c r="S144" i="17" s="1"/>
  <c r="AT140" i="17"/>
  <c r="AE140" i="17"/>
  <c r="AS140" i="17"/>
  <c r="X140" i="17"/>
  <c r="Z140" i="17" s="1"/>
  <c r="AI154" i="17"/>
  <c r="C161" i="17" s="1"/>
  <c r="R113" i="17"/>
  <c r="V112" i="17"/>
  <c r="AE111" i="17"/>
  <c r="AT111" i="17"/>
  <c r="T113" i="17"/>
  <c r="S114" i="17"/>
  <c r="BK119" i="17"/>
  <c r="BJ109" i="16"/>
  <c r="S130" i="16"/>
  <c r="T129" i="16"/>
  <c r="T112" i="16"/>
  <c r="S113" i="16"/>
  <c r="AE110" i="16"/>
  <c r="AS110" i="16"/>
  <c r="R112" i="16"/>
  <c r="V111" i="16"/>
  <c r="AT120" i="15"/>
  <c r="V118" i="15"/>
  <c r="Q119" i="15"/>
  <c r="AH117" i="15"/>
  <c r="R120" i="15"/>
  <c r="S119" i="15"/>
  <c r="BO227" i="27" l="1"/>
  <c r="CP57" i="27" s="1"/>
  <c r="BN228" i="27"/>
  <c r="CO58" i="27"/>
  <c r="CO60" i="27" s="1"/>
  <c r="CU73" i="27"/>
  <c r="CI73" i="27"/>
  <c r="CP39" i="27"/>
  <c r="CP55" i="27" s="1"/>
  <c r="CN39" i="27"/>
  <c r="CN55" i="27" s="1"/>
  <c r="CU74" i="26"/>
  <c r="CI74" i="26"/>
  <c r="CO58" i="26"/>
  <c r="CO60" i="26" s="1"/>
  <c r="CP39" i="26"/>
  <c r="CP55" i="26" s="1"/>
  <c r="CN39" i="26"/>
  <c r="CN55" i="26" s="1"/>
  <c r="BN222" i="26"/>
  <c r="BO221" i="26"/>
  <c r="CP57" i="26" s="1"/>
  <c r="BQ189" i="25"/>
  <c r="CO57" i="25" s="1"/>
  <c r="BP190" i="25"/>
  <c r="CZ76" i="25"/>
  <c r="CZ99" i="25" s="1"/>
  <c r="CZ102" i="25" s="1"/>
  <c r="CB76" i="25"/>
  <c r="CB99" i="25" s="1"/>
  <c r="CB102" i="25" s="1"/>
  <c r="CJ42" i="25"/>
  <c r="CJ55" i="25" s="1"/>
  <c r="CR42" i="25"/>
  <c r="CN58" i="25"/>
  <c r="CN60" i="25" s="1"/>
  <c r="BQ189" i="24"/>
  <c r="CO57" i="24" s="1"/>
  <c r="BP190" i="24"/>
  <c r="CB76" i="24"/>
  <c r="CB99" i="24" s="1"/>
  <c r="CB101" i="24" s="1"/>
  <c r="CZ76" i="24"/>
  <c r="CZ99" i="24" s="1"/>
  <c r="CZ101" i="24" s="1"/>
  <c r="CN58" i="24"/>
  <c r="CN60" i="24" s="1"/>
  <c r="CR42" i="24"/>
  <c r="CJ42" i="24"/>
  <c r="CJ55" i="24" s="1"/>
  <c r="AO215" i="23"/>
  <c r="BZ81" i="23" s="1"/>
  <c r="AN216" i="23"/>
  <c r="BY82" i="23"/>
  <c r="BY84" i="23" s="1"/>
  <c r="BU66" i="23"/>
  <c r="BU79" i="23" s="1"/>
  <c r="CK100" i="23"/>
  <c r="BM100" i="23"/>
  <c r="CC66" i="23"/>
  <c r="BZ83" i="22"/>
  <c r="BZ85" i="22" s="1"/>
  <c r="CD100" i="22"/>
  <c r="BV100" i="22"/>
  <c r="CC65" i="22"/>
  <c r="BW65" i="22"/>
  <c r="BW80" i="22" s="1"/>
  <c r="AN213" i="22"/>
  <c r="AO212" i="22"/>
  <c r="CA82" i="22" s="1"/>
  <c r="R143" i="17"/>
  <c r="V142" i="17"/>
  <c r="R142" i="17"/>
  <c r="V141" i="17"/>
  <c r="R130" i="16"/>
  <c r="V129" i="16"/>
  <c r="AS128" i="16"/>
  <c r="T143" i="17"/>
  <c r="J161" i="17"/>
  <c r="K161" i="17" s="1"/>
  <c r="L161" i="17" s="1"/>
  <c r="M161" i="17" s="1"/>
  <c r="N161" i="17" s="1"/>
  <c r="AH169" i="17"/>
  <c r="AH180" i="17"/>
  <c r="AH172" i="17"/>
  <c r="O169" i="17"/>
  <c r="P169" i="17" s="1"/>
  <c r="Q169" i="17" s="1"/>
  <c r="O163" i="17"/>
  <c r="P163" i="17" s="1"/>
  <c r="Q163" i="17" s="1"/>
  <c r="O177" i="17"/>
  <c r="P177" i="17" s="1"/>
  <c r="Q177" i="17" s="1"/>
  <c r="O175" i="17"/>
  <c r="P175" i="17" s="1"/>
  <c r="Q175" i="17" s="1"/>
  <c r="O170" i="17"/>
  <c r="P170" i="17" s="1"/>
  <c r="Q170" i="17" s="1"/>
  <c r="O173" i="17"/>
  <c r="P173" i="17" s="1"/>
  <c r="Q173" i="17" s="1"/>
  <c r="AH163" i="17"/>
  <c r="O179" i="17"/>
  <c r="P179" i="17" s="1"/>
  <c r="Q179" i="17" s="1"/>
  <c r="AH167" i="17"/>
  <c r="AH173" i="17"/>
  <c r="O162" i="17"/>
  <c r="P162" i="17" s="1"/>
  <c r="Q162" i="17" s="1"/>
  <c r="AH175" i="17"/>
  <c r="AH177" i="17"/>
  <c r="AH184" i="17"/>
  <c r="O164" i="17"/>
  <c r="P164" i="17" s="1"/>
  <c r="Q164" i="17" s="1"/>
  <c r="O183" i="17"/>
  <c r="P183" i="17" s="1"/>
  <c r="Q183" i="17" s="1"/>
  <c r="O165" i="17"/>
  <c r="P165" i="17" s="1"/>
  <c r="Q165" i="17" s="1"/>
  <c r="O161" i="17"/>
  <c r="P161" i="17" s="1"/>
  <c r="AH183" i="17"/>
  <c r="O178" i="17"/>
  <c r="P178" i="17" s="1"/>
  <c r="Q178" i="17" s="1"/>
  <c r="AH182" i="17"/>
  <c r="O184" i="17"/>
  <c r="P184" i="17" s="1"/>
  <c r="Q184" i="17" s="1"/>
  <c r="O182" i="17"/>
  <c r="P182" i="17" s="1"/>
  <c r="Q182" i="17" s="1"/>
  <c r="O172" i="17"/>
  <c r="P172" i="17" s="1"/>
  <c r="Q172" i="17" s="1"/>
  <c r="AH166" i="17"/>
  <c r="AH179" i="17"/>
  <c r="AH181" i="17"/>
  <c r="AH170" i="17"/>
  <c r="AH165" i="17"/>
  <c r="O181" i="17"/>
  <c r="P181" i="17" s="1"/>
  <c r="Q181" i="17" s="1"/>
  <c r="AH174" i="17"/>
  <c r="O166" i="17"/>
  <c r="P166" i="17" s="1"/>
  <c r="Q166" i="17" s="1"/>
  <c r="AH168" i="17"/>
  <c r="O176" i="17"/>
  <c r="P176" i="17" s="1"/>
  <c r="Q176" i="17" s="1"/>
  <c r="AH161" i="17"/>
  <c r="AH162" i="17"/>
  <c r="O167" i="17"/>
  <c r="P167" i="17" s="1"/>
  <c r="Q167" i="17" s="1"/>
  <c r="AH178" i="17"/>
  <c r="O174" i="17"/>
  <c r="P174" i="17" s="1"/>
  <c r="Q174" i="17" s="1"/>
  <c r="O180" i="17"/>
  <c r="P180" i="17" s="1"/>
  <c r="Q180" i="17" s="1"/>
  <c r="AH164" i="17"/>
  <c r="O171" i="17"/>
  <c r="P171" i="17" s="1"/>
  <c r="Q171" i="17" s="1"/>
  <c r="AH176" i="17"/>
  <c r="AH171" i="17"/>
  <c r="O168" i="17"/>
  <c r="P168" i="17" s="1"/>
  <c r="Q168" i="17" s="1"/>
  <c r="R114" i="17"/>
  <c r="V113" i="17"/>
  <c r="AE112" i="17"/>
  <c r="AT112" i="17"/>
  <c r="S145" i="17"/>
  <c r="T144" i="17"/>
  <c r="BK120" i="17"/>
  <c r="T114" i="17"/>
  <c r="S115" i="17"/>
  <c r="AE111" i="16"/>
  <c r="AS111" i="16"/>
  <c r="T113" i="16"/>
  <c r="S114" i="16"/>
  <c r="R113" i="16"/>
  <c r="V112" i="16"/>
  <c r="S131" i="16"/>
  <c r="T130" i="16"/>
  <c r="BJ110" i="16"/>
  <c r="AH118" i="15"/>
  <c r="V119" i="15"/>
  <c r="Q120" i="15"/>
  <c r="R121" i="15"/>
  <c r="S120" i="15"/>
  <c r="AT121" i="15"/>
  <c r="BN229" i="27" l="1"/>
  <c r="BO228" i="27"/>
  <c r="CQ57" i="27" s="1"/>
  <c r="CW72" i="27"/>
  <c r="CI72" i="27"/>
  <c r="CP58" i="27"/>
  <c r="CP60" i="27" s="1"/>
  <c r="CP58" i="26"/>
  <c r="CP60" i="26" s="1"/>
  <c r="CW73" i="26"/>
  <c r="CI73" i="26"/>
  <c r="BN223" i="26"/>
  <c r="BO222" i="26"/>
  <c r="CQ57" i="26" s="1"/>
  <c r="BP191" i="25"/>
  <c r="BQ190" i="25"/>
  <c r="CP57" i="25" s="1"/>
  <c r="CK75" i="25"/>
  <c r="CR41" i="25"/>
  <c r="CO58" i="25"/>
  <c r="CO60" i="25" s="1"/>
  <c r="CL41" i="25"/>
  <c r="CL55" i="25" s="1"/>
  <c r="CS75" i="25"/>
  <c r="BP191" i="24"/>
  <c r="BQ190" i="24"/>
  <c r="CP57" i="24" s="1"/>
  <c r="CS75" i="24"/>
  <c r="CL41" i="24"/>
  <c r="CL55" i="24" s="1"/>
  <c r="CO58" i="24"/>
  <c r="CO60" i="24" s="1"/>
  <c r="CK75" i="24"/>
  <c r="CR41" i="24"/>
  <c r="AN217" i="23"/>
  <c r="AO216" i="23"/>
  <c r="CA81" i="23" s="1"/>
  <c r="BV99" i="23"/>
  <c r="CD99" i="23"/>
  <c r="CC65" i="23"/>
  <c r="BZ82" i="23"/>
  <c r="BZ84" i="23" s="1"/>
  <c r="BW65" i="23"/>
  <c r="BW79" i="23" s="1"/>
  <c r="CF99" i="22"/>
  <c r="CC64" i="22"/>
  <c r="BV99" i="22"/>
  <c r="BY64" i="22"/>
  <c r="BY80" i="22" s="1"/>
  <c r="CA83" i="22"/>
  <c r="CA85" i="22" s="1"/>
  <c r="AO213" i="22"/>
  <c r="CB82" i="22" s="1"/>
  <c r="AN214" i="22"/>
  <c r="R144" i="17"/>
  <c r="V143" i="17"/>
  <c r="AE141" i="17"/>
  <c r="AT141" i="17"/>
  <c r="R145" i="17"/>
  <c r="V144" i="17"/>
  <c r="AE142" i="17"/>
  <c r="AT142" i="17"/>
  <c r="R131" i="16"/>
  <c r="V130" i="16"/>
  <c r="AS129" i="16"/>
  <c r="Q161" i="17"/>
  <c r="S161" i="17" s="1"/>
  <c r="T161" i="17" s="1"/>
  <c r="R162" i="17" s="1"/>
  <c r="S162" i="17" s="1"/>
  <c r="AJ171" i="17"/>
  <c r="AK171" i="17" s="1"/>
  <c r="AL171" i="17" s="1"/>
  <c r="AM171" i="17"/>
  <c r="AN171" i="17" s="1"/>
  <c r="AO171" i="17" s="1"/>
  <c r="AJ162" i="17"/>
  <c r="AK162" i="17" s="1"/>
  <c r="AL162" i="17" s="1"/>
  <c r="AM162" i="17"/>
  <c r="AN162" i="17" s="1"/>
  <c r="AO162" i="17" s="1"/>
  <c r="AM170" i="17"/>
  <c r="AN170" i="17" s="1"/>
  <c r="AO170" i="17" s="1"/>
  <c r="AJ170" i="17"/>
  <c r="AK170" i="17" s="1"/>
  <c r="AL170" i="17" s="1"/>
  <c r="AJ175" i="17"/>
  <c r="AK175" i="17" s="1"/>
  <c r="AL175" i="17" s="1"/>
  <c r="AM175" i="17"/>
  <c r="AN175" i="17" s="1"/>
  <c r="AO175" i="17" s="1"/>
  <c r="AM172" i="17"/>
  <c r="AN172" i="17" s="1"/>
  <c r="AO172" i="17" s="1"/>
  <c r="AJ172" i="17"/>
  <c r="AK172" i="17" s="1"/>
  <c r="AL172" i="17" s="1"/>
  <c r="AJ174" i="17"/>
  <c r="AK174" i="17" s="1"/>
  <c r="AL174" i="17" s="1"/>
  <c r="AM174" i="17"/>
  <c r="AN174" i="17" s="1"/>
  <c r="AO174" i="17" s="1"/>
  <c r="AM176" i="17"/>
  <c r="AN176" i="17" s="1"/>
  <c r="AO176" i="17" s="1"/>
  <c r="AJ176" i="17"/>
  <c r="AK176" i="17" s="1"/>
  <c r="AL176" i="17" s="1"/>
  <c r="AJ161" i="17"/>
  <c r="AK161" i="17" s="1"/>
  <c r="AL161" i="17" s="1"/>
  <c r="AM161" i="17"/>
  <c r="AN161" i="17" s="1"/>
  <c r="AO161" i="17" s="1"/>
  <c r="AJ181" i="17"/>
  <c r="AK181" i="17" s="1"/>
  <c r="AL181" i="17" s="1"/>
  <c r="AM181" i="17"/>
  <c r="AN181" i="17" s="1"/>
  <c r="AO181" i="17" s="1"/>
  <c r="AM183" i="17"/>
  <c r="AN183" i="17" s="1"/>
  <c r="AO183" i="17" s="1"/>
  <c r="AJ183" i="17"/>
  <c r="AK183" i="17" s="1"/>
  <c r="AL183" i="17" s="1"/>
  <c r="AJ163" i="17"/>
  <c r="AK163" i="17" s="1"/>
  <c r="AL163" i="17" s="1"/>
  <c r="AM163" i="17"/>
  <c r="AN163" i="17" s="1"/>
  <c r="AO163" i="17" s="1"/>
  <c r="AJ180" i="17"/>
  <c r="AK180" i="17" s="1"/>
  <c r="AL180" i="17" s="1"/>
  <c r="AM180" i="17"/>
  <c r="AN180" i="17" s="1"/>
  <c r="AO180" i="17" s="1"/>
  <c r="AM178" i="17"/>
  <c r="AN178" i="17" s="1"/>
  <c r="AO178" i="17" s="1"/>
  <c r="AJ178" i="17"/>
  <c r="AK178" i="17" s="1"/>
  <c r="AL178" i="17" s="1"/>
  <c r="AJ179" i="17"/>
  <c r="AK179" i="17" s="1"/>
  <c r="AL179" i="17" s="1"/>
  <c r="AM179" i="17"/>
  <c r="AN179" i="17" s="1"/>
  <c r="AO179" i="17" s="1"/>
  <c r="AM184" i="17"/>
  <c r="AN184" i="17" s="1"/>
  <c r="AO184" i="17" s="1"/>
  <c r="AT184" i="17" s="1"/>
  <c r="AV184" i="17" s="1"/>
  <c r="AJ184" i="17"/>
  <c r="AK184" i="17" s="1"/>
  <c r="AL184" i="17" s="1"/>
  <c r="AM173" i="17"/>
  <c r="AN173" i="17" s="1"/>
  <c r="AO173" i="17" s="1"/>
  <c r="AJ173" i="17"/>
  <c r="AK173" i="17" s="1"/>
  <c r="AL173" i="17" s="1"/>
  <c r="AJ169" i="17"/>
  <c r="AK169" i="17" s="1"/>
  <c r="AL169" i="17" s="1"/>
  <c r="AM169" i="17"/>
  <c r="AN169" i="17" s="1"/>
  <c r="AO169" i="17" s="1"/>
  <c r="AM164" i="17"/>
  <c r="AN164" i="17" s="1"/>
  <c r="AO164" i="17" s="1"/>
  <c r="AJ164" i="17"/>
  <c r="AK164" i="17" s="1"/>
  <c r="AL164" i="17" s="1"/>
  <c r="AM168" i="17"/>
  <c r="AN168" i="17" s="1"/>
  <c r="AO168" i="17" s="1"/>
  <c r="AJ168" i="17"/>
  <c r="AK168" i="17" s="1"/>
  <c r="AL168" i="17" s="1"/>
  <c r="AM165" i="17"/>
  <c r="AN165" i="17" s="1"/>
  <c r="AO165" i="17" s="1"/>
  <c r="AJ165" i="17"/>
  <c r="AK165" i="17" s="1"/>
  <c r="AL165" i="17" s="1"/>
  <c r="AM166" i="17"/>
  <c r="AN166" i="17" s="1"/>
  <c r="AO166" i="17" s="1"/>
  <c r="AJ166" i="17"/>
  <c r="AK166" i="17" s="1"/>
  <c r="AL166" i="17" s="1"/>
  <c r="AM182" i="17"/>
  <c r="AN182" i="17" s="1"/>
  <c r="AO182" i="17" s="1"/>
  <c r="AT182" i="17" s="1"/>
  <c r="AV182" i="17" s="1"/>
  <c r="AJ182" i="17"/>
  <c r="AK182" i="17" s="1"/>
  <c r="AL182" i="17" s="1"/>
  <c r="AJ177" i="17"/>
  <c r="AK177" i="17" s="1"/>
  <c r="AL177" i="17" s="1"/>
  <c r="AM177" i="17"/>
  <c r="AN177" i="17" s="1"/>
  <c r="AO177" i="17" s="1"/>
  <c r="AJ167" i="17"/>
  <c r="AK167" i="17" s="1"/>
  <c r="AL167" i="17" s="1"/>
  <c r="AM167" i="17"/>
  <c r="AN167" i="17" s="1"/>
  <c r="AO167" i="17" s="1"/>
  <c r="R115" i="17"/>
  <c r="V114" i="17"/>
  <c r="AE113" i="17"/>
  <c r="AT113" i="17"/>
  <c r="S146" i="17"/>
  <c r="T145" i="17"/>
  <c r="BK121" i="17"/>
  <c r="T115" i="17"/>
  <c r="S116" i="17"/>
  <c r="T131" i="16"/>
  <c r="S132" i="16"/>
  <c r="AE112" i="16"/>
  <c r="AS112" i="16"/>
  <c r="S115" i="16"/>
  <c r="T114" i="16"/>
  <c r="BJ111" i="16"/>
  <c r="V113" i="16"/>
  <c r="R114" i="16"/>
  <c r="V120" i="15"/>
  <c r="Q121" i="15"/>
  <c r="S121" i="15"/>
  <c r="R122" i="15"/>
  <c r="AT122" i="15"/>
  <c r="AH119" i="15"/>
  <c r="V161" i="17" l="1"/>
  <c r="AT161" i="17" s="1"/>
  <c r="CY71" i="27"/>
  <c r="CQ58" i="27"/>
  <c r="CQ60" i="27" s="1"/>
  <c r="CI71" i="27"/>
  <c r="CI99" i="27" s="1"/>
  <c r="CI104" i="27" s="1"/>
  <c r="BO229" i="27"/>
  <c r="CR57" i="27" s="1"/>
  <c r="BN230" i="27"/>
  <c r="BN224" i="26"/>
  <c r="BO223" i="26"/>
  <c r="CR57" i="26" s="1"/>
  <c r="CY72" i="26"/>
  <c r="CQ58" i="26"/>
  <c r="CQ60" i="26" s="1"/>
  <c r="CI72" i="26"/>
  <c r="CI100" i="26" s="1"/>
  <c r="CI104" i="26" s="1"/>
  <c r="CU74" i="25"/>
  <c r="CP58" i="25"/>
  <c r="CP60" i="25" s="1"/>
  <c r="CK74" i="25"/>
  <c r="CR40" i="25"/>
  <c r="CN40" i="25"/>
  <c r="CN55" i="25" s="1"/>
  <c r="BQ191" i="25"/>
  <c r="CQ57" i="25" s="1"/>
  <c r="BP192" i="25"/>
  <c r="CK74" i="24"/>
  <c r="CN40" i="24"/>
  <c r="CN55" i="24" s="1"/>
  <c r="CP58" i="24"/>
  <c r="CP60" i="24" s="1"/>
  <c r="CR40" i="24"/>
  <c r="CU74" i="24"/>
  <c r="BQ191" i="24"/>
  <c r="CQ57" i="24" s="1"/>
  <c r="BP192" i="24"/>
  <c r="BY64" i="23"/>
  <c r="BY79" i="23" s="1"/>
  <c r="BV98" i="23"/>
  <c r="CA82" i="23"/>
  <c r="CA84" i="23" s="1"/>
  <c r="CF98" i="23"/>
  <c r="CC64" i="23"/>
  <c r="AO217" i="23"/>
  <c r="CB81" i="23" s="1"/>
  <c r="AN218" i="23"/>
  <c r="AN215" i="22"/>
  <c r="AO214" i="22"/>
  <c r="CC82" i="22" s="1"/>
  <c r="CH98" i="22"/>
  <c r="BV98" i="22"/>
  <c r="CB83" i="22"/>
  <c r="CB85" i="22" s="1"/>
  <c r="CC63" i="22"/>
  <c r="CC80" i="22" s="1"/>
  <c r="CA63" i="22"/>
  <c r="CA80" i="22" s="1"/>
  <c r="AE144" i="17"/>
  <c r="AT144" i="17"/>
  <c r="R146" i="17"/>
  <c r="V145" i="17"/>
  <c r="AE143" i="17"/>
  <c r="AT143" i="17"/>
  <c r="AS182" i="17"/>
  <c r="AW182" i="17" s="1"/>
  <c r="AY182" i="17" s="1"/>
  <c r="BA182" i="17" s="1"/>
  <c r="AS130" i="16"/>
  <c r="R132" i="16"/>
  <c r="V131" i="16"/>
  <c r="AS178" i="17"/>
  <c r="AS176" i="17"/>
  <c r="AS177" i="17"/>
  <c r="AS166" i="17"/>
  <c r="AS169" i="17"/>
  <c r="AS184" i="17"/>
  <c r="AW184" i="17" s="1"/>
  <c r="AY184" i="17" s="1"/>
  <c r="BA184" i="17" s="1"/>
  <c r="AS179" i="17"/>
  <c r="AS180" i="17"/>
  <c r="AS161" i="17"/>
  <c r="AS174" i="17"/>
  <c r="AS175" i="17"/>
  <c r="AS162" i="17"/>
  <c r="AS168" i="17"/>
  <c r="AS163" i="17"/>
  <c r="AS181" i="17"/>
  <c r="AT181" i="17"/>
  <c r="AV181" i="17" s="1"/>
  <c r="AS171" i="17"/>
  <c r="AT183" i="17"/>
  <c r="AV183" i="17" s="1"/>
  <c r="AS183" i="17"/>
  <c r="AS167" i="17"/>
  <c r="AS165" i="17"/>
  <c r="AS164" i="17"/>
  <c r="AS173" i="17"/>
  <c r="T162" i="17"/>
  <c r="S163" i="17"/>
  <c r="AS172" i="17"/>
  <c r="AS170" i="17"/>
  <c r="AE114" i="17"/>
  <c r="AT114" i="17"/>
  <c r="R116" i="17"/>
  <c r="V115" i="17"/>
  <c r="S117" i="17"/>
  <c r="T116" i="17"/>
  <c r="BK122" i="17"/>
  <c r="S147" i="17"/>
  <c r="T146" i="17"/>
  <c r="AE113" i="16"/>
  <c r="AS113" i="16"/>
  <c r="S133" i="16"/>
  <c r="T132" i="16"/>
  <c r="V114" i="16"/>
  <c r="R115" i="16"/>
  <c r="BJ112" i="16"/>
  <c r="T115" i="16"/>
  <c r="S116" i="16"/>
  <c r="V121" i="15"/>
  <c r="Q122" i="15"/>
  <c r="S122" i="15"/>
  <c r="R123" i="15"/>
  <c r="AT123" i="15"/>
  <c r="AH120" i="15"/>
  <c r="R163" i="17" l="1"/>
  <c r="V162" i="17"/>
  <c r="CY70" i="27"/>
  <c r="CR58" i="27"/>
  <c r="CR60" i="27" s="1"/>
  <c r="CK70" i="27"/>
  <c r="CK99" i="27" s="1"/>
  <c r="CK104" i="27" s="1"/>
  <c r="BN231" i="27"/>
  <c r="BO230" i="27"/>
  <c r="CS57" i="27" s="1"/>
  <c r="CY71" i="26"/>
  <c r="CK71" i="26"/>
  <c r="CK100" i="26" s="1"/>
  <c r="CK104" i="26" s="1"/>
  <c r="CR58" i="26"/>
  <c r="CR60" i="26" s="1"/>
  <c r="BN225" i="26"/>
  <c r="BO224" i="26"/>
  <c r="CS57" i="26" s="1"/>
  <c r="CQ58" i="25"/>
  <c r="CQ60" i="25" s="1"/>
  <c r="CR39" i="25"/>
  <c r="CR55" i="25" s="1"/>
  <c r="CP39" i="25"/>
  <c r="CP55" i="25" s="1"/>
  <c r="CW73" i="25"/>
  <c r="CK73" i="25"/>
  <c r="BP193" i="25"/>
  <c r="BQ192" i="25"/>
  <c r="CR57" i="25" s="1"/>
  <c r="BQ192" i="24"/>
  <c r="CR57" i="24" s="1"/>
  <c r="BP193" i="24"/>
  <c r="CQ58" i="24"/>
  <c r="CQ60" i="24" s="1"/>
  <c r="CW73" i="24"/>
  <c r="CR39" i="24"/>
  <c r="CR55" i="24" s="1"/>
  <c r="CP39" i="24"/>
  <c r="CP55" i="24" s="1"/>
  <c r="CK73" i="24"/>
  <c r="BV97" i="23"/>
  <c r="CC63" i="23"/>
  <c r="CC79" i="23" s="1"/>
  <c r="CA63" i="23"/>
  <c r="CA79" i="23" s="1"/>
  <c r="CH97" i="23"/>
  <c r="CB82" i="23"/>
  <c r="CB84" i="23" s="1"/>
  <c r="AN219" i="23"/>
  <c r="AO218" i="23"/>
  <c r="CC81" i="23" s="1"/>
  <c r="CC83" i="22"/>
  <c r="CC85" i="22" s="1"/>
  <c r="CJ97" i="22"/>
  <c r="BV97" i="22"/>
  <c r="AO215" i="22"/>
  <c r="CD82" i="22" s="1"/>
  <c r="AN216" i="22"/>
  <c r="R147" i="17"/>
  <c r="V146" i="17"/>
  <c r="AE145" i="17"/>
  <c r="AT145" i="17"/>
  <c r="AX182" i="17"/>
  <c r="AZ182" i="17" s="1"/>
  <c r="BB182" i="17" s="1"/>
  <c r="R133" i="16"/>
  <c r="V132" i="16"/>
  <c r="AS131" i="16"/>
  <c r="AX181" i="17"/>
  <c r="AZ181" i="17" s="1"/>
  <c r="AB181" i="17" s="1"/>
  <c r="AX183" i="17"/>
  <c r="AZ183" i="17" s="1"/>
  <c r="BC183" i="17" s="1"/>
  <c r="G183" i="17" s="1"/>
  <c r="F183" i="17" s="1"/>
  <c r="AW183" i="17"/>
  <c r="AY183" i="17" s="1"/>
  <c r="BA183" i="17" s="1"/>
  <c r="AX184" i="17"/>
  <c r="AZ184" i="17" s="1"/>
  <c r="AW181" i="17"/>
  <c r="AY181" i="17" s="1"/>
  <c r="BA181" i="17" s="1"/>
  <c r="S164" i="17"/>
  <c r="T163" i="17"/>
  <c r="AE115" i="17"/>
  <c r="AT115" i="17"/>
  <c r="R117" i="17"/>
  <c r="V116" i="17"/>
  <c r="T117" i="17"/>
  <c r="S118" i="17"/>
  <c r="S148" i="17"/>
  <c r="T147" i="17"/>
  <c r="BK123" i="17"/>
  <c r="R116" i="16"/>
  <c r="V115" i="16"/>
  <c r="AS114" i="16"/>
  <c r="AE114" i="16"/>
  <c r="BJ113" i="16"/>
  <c r="T116" i="16"/>
  <c r="S117" i="16"/>
  <c r="T117" i="16" s="1"/>
  <c r="V117" i="16" s="1"/>
  <c r="T133" i="16"/>
  <c r="S134" i="16"/>
  <c r="S123" i="15"/>
  <c r="R124" i="15"/>
  <c r="V122" i="15"/>
  <c r="Q123" i="15"/>
  <c r="AT124" i="15"/>
  <c r="AH121" i="15"/>
  <c r="R164" i="17" l="1"/>
  <c r="V163" i="17"/>
  <c r="BC182" i="17"/>
  <c r="G182" i="17" s="1"/>
  <c r="F182" i="17" s="1"/>
  <c r="AT162" i="17"/>
  <c r="BO231" i="27"/>
  <c r="CT57" i="27" s="1"/>
  <c r="BN232" i="27"/>
  <c r="CS58" i="27"/>
  <c r="CS60" i="27" s="1"/>
  <c r="CY69" i="27"/>
  <c r="CM69" i="27"/>
  <c r="CM99" i="27" s="1"/>
  <c r="CM104" i="27" s="1"/>
  <c r="BN226" i="26"/>
  <c r="BO225" i="26"/>
  <c r="CT57" i="26" s="1"/>
  <c r="CY70" i="26"/>
  <c r="CM70" i="26"/>
  <c r="CM100" i="26" s="1"/>
  <c r="CM104" i="26" s="1"/>
  <c r="CS58" i="26"/>
  <c r="CS60" i="26" s="1"/>
  <c r="BQ193" i="25"/>
  <c r="CS57" i="25" s="1"/>
  <c r="BP194" i="25"/>
  <c r="CY72" i="25"/>
  <c r="CK72" i="25"/>
  <c r="CR58" i="25"/>
  <c r="CR60" i="25" s="1"/>
  <c r="BP194" i="24"/>
  <c r="BQ193" i="24"/>
  <c r="CS57" i="24" s="1"/>
  <c r="CY72" i="24"/>
  <c r="CR58" i="24"/>
  <c r="CR60" i="24" s="1"/>
  <c r="CK72" i="24"/>
  <c r="AO219" i="23"/>
  <c r="CD81" i="23" s="1"/>
  <c r="AN220" i="23"/>
  <c r="CC82" i="23"/>
  <c r="CC84" i="23" s="1"/>
  <c r="CJ96" i="23"/>
  <c r="BV96" i="23"/>
  <c r="CL96" i="22"/>
  <c r="CD83" i="22"/>
  <c r="CD85" i="22" s="1"/>
  <c r="BV96" i="22"/>
  <c r="BV124" i="22" s="1"/>
  <c r="BV126" i="22" s="1"/>
  <c r="AN217" i="22"/>
  <c r="AO216" i="22"/>
  <c r="CE82" i="22" s="1"/>
  <c r="AT146" i="17"/>
  <c r="AE146" i="17"/>
  <c r="R148" i="17"/>
  <c r="V147" i="17"/>
  <c r="AB182" i="17"/>
  <c r="BB181" i="17"/>
  <c r="AB183" i="17"/>
  <c r="BB183" i="17"/>
  <c r="AS132" i="16"/>
  <c r="R134" i="16"/>
  <c r="V133" i="16"/>
  <c r="BC181" i="17"/>
  <c r="G181" i="17" s="1"/>
  <c r="F181" i="17" s="1"/>
  <c r="AB184" i="17"/>
  <c r="BB184" i="17"/>
  <c r="BC184" i="17"/>
  <c r="G184" i="17" s="1"/>
  <c r="F184" i="17" s="1"/>
  <c r="T164" i="17"/>
  <c r="S165" i="17"/>
  <c r="R118" i="17"/>
  <c r="V117" i="17"/>
  <c r="AE116" i="17"/>
  <c r="AT116" i="17"/>
  <c r="BK124" i="17"/>
  <c r="S149" i="17"/>
  <c r="T148" i="17"/>
  <c r="T118" i="17"/>
  <c r="S119" i="17"/>
  <c r="AE115" i="16"/>
  <c r="AS115" i="16"/>
  <c r="BJ114" i="16"/>
  <c r="AF117" i="16"/>
  <c r="AS117" i="16"/>
  <c r="AE117" i="16"/>
  <c r="S135" i="16"/>
  <c r="T134" i="16"/>
  <c r="V116" i="16"/>
  <c r="AF112" i="16" s="1"/>
  <c r="R117" i="16"/>
  <c r="AH122" i="15"/>
  <c r="S124" i="15"/>
  <c r="Q125" i="15" s="1"/>
  <c r="R125" i="15"/>
  <c r="S125" i="15" s="1"/>
  <c r="AT125" i="15"/>
  <c r="V123" i="15"/>
  <c r="X118" i="15" s="1"/>
  <c r="AI118" i="15" s="1"/>
  <c r="Q124" i="15"/>
  <c r="R165" i="17" l="1"/>
  <c r="V164" i="17"/>
  <c r="AT163" i="17"/>
  <c r="BO232" i="27"/>
  <c r="CU57" i="27" s="1"/>
  <c r="BN233" i="27"/>
  <c r="CY68" i="27"/>
  <c r="CT58" i="27"/>
  <c r="CT60" i="27" s="1"/>
  <c r="CO68" i="27"/>
  <c r="CO99" i="27" s="1"/>
  <c r="CO104" i="27" s="1"/>
  <c r="CT58" i="26"/>
  <c r="CT60" i="26" s="1"/>
  <c r="CO69" i="26"/>
  <c r="CO100" i="26" s="1"/>
  <c r="CO104" i="26" s="1"/>
  <c r="CY69" i="26"/>
  <c r="BN227" i="26"/>
  <c r="BO226" i="26"/>
  <c r="CU57" i="26" s="1"/>
  <c r="BP195" i="25"/>
  <c r="BQ194" i="25"/>
  <c r="CT57" i="25" s="1"/>
  <c r="DA71" i="25"/>
  <c r="CS58" i="25"/>
  <c r="CS60" i="25" s="1"/>
  <c r="CK71" i="25"/>
  <c r="CK99" i="25" s="1"/>
  <c r="CK102" i="25" s="1"/>
  <c r="CK71" i="24"/>
  <c r="CK99" i="24" s="1"/>
  <c r="CK101" i="24" s="1"/>
  <c r="DA71" i="24"/>
  <c r="CS58" i="24"/>
  <c r="CS60" i="24" s="1"/>
  <c r="BQ194" i="24"/>
  <c r="CT57" i="24" s="1"/>
  <c r="BP195" i="24"/>
  <c r="AN221" i="23"/>
  <c r="AO220" i="23"/>
  <c r="CE81" i="23" s="1"/>
  <c r="BV95" i="23"/>
  <c r="CL95" i="23"/>
  <c r="CD82" i="23"/>
  <c r="CD84" i="23" s="1"/>
  <c r="AO217" i="22"/>
  <c r="CF82" i="22" s="1"/>
  <c r="AN218" i="22"/>
  <c r="BX95" i="22"/>
  <c r="BX124" i="22" s="1"/>
  <c r="BX126" i="22" s="1"/>
  <c r="CL95" i="22"/>
  <c r="CE83" i="22"/>
  <c r="CE85" i="22" s="1"/>
  <c r="AE147" i="17"/>
  <c r="AT147" i="17"/>
  <c r="R149" i="17"/>
  <c r="V148" i="17"/>
  <c r="AS133" i="16"/>
  <c r="R135" i="16"/>
  <c r="V134" i="16"/>
  <c r="AF107" i="16"/>
  <c r="AU107" i="16" s="1"/>
  <c r="S166" i="17"/>
  <c r="T165" i="17"/>
  <c r="R119" i="17"/>
  <c r="V118" i="17"/>
  <c r="AE117" i="17"/>
  <c r="AT117" i="17"/>
  <c r="S120" i="17"/>
  <c r="T119" i="17"/>
  <c r="S150" i="17"/>
  <c r="T149" i="17"/>
  <c r="BK125" i="17"/>
  <c r="AU112" i="16"/>
  <c r="AE116" i="16"/>
  <c r="AD114" i="16" s="1"/>
  <c r="AC114" i="16" s="1"/>
  <c r="AS116" i="16"/>
  <c r="AF116" i="16"/>
  <c r="AF111" i="16"/>
  <c r="AF109" i="16"/>
  <c r="AF110" i="16"/>
  <c r="AF113" i="16"/>
  <c r="AF108" i="16"/>
  <c r="AU117" i="16"/>
  <c r="AF115" i="16"/>
  <c r="AF106" i="16"/>
  <c r="BJ115" i="16"/>
  <c r="AF114" i="16"/>
  <c r="S136" i="16"/>
  <c r="T135" i="16"/>
  <c r="AK118" i="15"/>
  <c r="AM118" i="15" s="1"/>
  <c r="AO118" i="15" s="1"/>
  <c r="AJ118" i="15"/>
  <c r="AL118" i="15" s="1"/>
  <c r="AN118" i="15" s="1"/>
  <c r="AH123" i="15"/>
  <c r="X123" i="15"/>
  <c r="X115" i="15"/>
  <c r="AI115" i="15" s="1"/>
  <c r="X114" i="15"/>
  <c r="X119" i="15"/>
  <c r="AI119" i="15" s="1"/>
  <c r="X121" i="15"/>
  <c r="AI121" i="15" s="1"/>
  <c r="X122" i="15"/>
  <c r="AI122" i="15" s="1"/>
  <c r="X117" i="15"/>
  <c r="AI117" i="15" s="1"/>
  <c r="X116" i="15"/>
  <c r="AI116" i="15" s="1"/>
  <c r="AT126" i="15"/>
  <c r="X120" i="15"/>
  <c r="AI120" i="15" s="1"/>
  <c r="R166" i="17" l="1"/>
  <c r="V165" i="17"/>
  <c r="AT164" i="17"/>
  <c r="BO233" i="27"/>
  <c r="CV57" i="27" s="1"/>
  <c r="BN234" i="27"/>
  <c r="CY67" i="27"/>
  <c r="CU58" i="27"/>
  <c r="CU60" i="27" s="1"/>
  <c r="CQ67" i="27"/>
  <c r="CQ99" i="27" s="1"/>
  <c r="CQ104" i="27" s="1"/>
  <c r="BN228" i="26"/>
  <c r="BO227" i="26"/>
  <c r="CV57" i="26" s="1"/>
  <c r="CY68" i="26"/>
  <c r="CU58" i="26"/>
  <c r="CU60" i="26" s="1"/>
  <c r="CQ68" i="26"/>
  <c r="CQ100" i="26" s="1"/>
  <c r="CQ104" i="26" s="1"/>
  <c r="DA70" i="25"/>
  <c r="CM70" i="25"/>
  <c r="CM99" i="25" s="1"/>
  <c r="CM102" i="25" s="1"/>
  <c r="CT58" i="25"/>
  <c r="CT60" i="25" s="1"/>
  <c r="BQ195" i="25"/>
  <c r="CU57" i="25" s="1"/>
  <c r="BP196" i="25"/>
  <c r="BQ195" i="24"/>
  <c r="CU57" i="24" s="1"/>
  <c r="BP196" i="24"/>
  <c r="CT58" i="24"/>
  <c r="CT60" i="24" s="1"/>
  <c r="CM70" i="24"/>
  <c r="CM99" i="24" s="1"/>
  <c r="CM101" i="24" s="1"/>
  <c r="DA70" i="24"/>
  <c r="BX94" i="23"/>
  <c r="CE82" i="23"/>
  <c r="CE84" i="23" s="1"/>
  <c r="CL94" i="23"/>
  <c r="AO221" i="23"/>
  <c r="CF81" i="23" s="1"/>
  <c r="AN222" i="23"/>
  <c r="AN219" i="22"/>
  <c r="AO218" i="22"/>
  <c r="CG82" i="22" s="1"/>
  <c r="CL94" i="22"/>
  <c r="BZ94" i="22"/>
  <c r="BZ124" i="22" s="1"/>
  <c r="BZ126" i="22" s="1"/>
  <c r="CF83" i="22"/>
  <c r="CF85" i="22" s="1"/>
  <c r="AE148" i="17"/>
  <c r="AT148" i="17"/>
  <c r="R150" i="17"/>
  <c r="V149" i="17"/>
  <c r="R136" i="16"/>
  <c r="V135" i="16"/>
  <c r="AS134" i="16"/>
  <c r="AD112" i="16"/>
  <c r="AC112" i="16" s="1"/>
  <c r="AD107" i="16"/>
  <c r="AC107" i="16" s="1"/>
  <c r="AD115" i="16"/>
  <c r="AC115" i="16" s="1"/>
  <c r="AD113" i="16"/>
  <c r="AC113" i="16" s="1"/>
  <c r="AD110" i="16"/>
  <c r="AC110" i="16" s="1"/>
  <c r="AD109" i="16"/>
  <c r="AC109" i="16" s="1"/>
  <c r="AD108" i="16"/>
  <c r="AC108" i="16" s="1"/>
  <c r="AD116" i="16"/>
  <c r="AC116" i="16" s="1"/>
  <c r="AD106" i="16"/>
  <c r="AC106" i="16" s="1"/>
  <c r="AD117" i="16"/>
  <c r="AC117" i="16" s="1"/>
  <c r="AD111" i="16"/>
  <c r="AC111" i="16" s="1"/>
  <c r="S167" i="17"/>
  <c r="T166" i="17"/>
  <c r="R120" i="17"/>
  <c r="V119" i="17"/>
  <c r="AE118" i="17"/>
  <c r="AT118" i="17"/>
  <c r="BK126" i="17"/>
  <c r="S151" i="17"/>
  <c r="T151" i="17" s="1"/>
  <c r="V151" i="17" s="1"/>
  <c r="T150" i="17"/>
  <c r="T120" i="17"/>
  <c r="S121" i="17"/>
  <c r="S137" i="16"/>
  <c r="T136" i="16"/>
  <c r="AU106" i="16"/>
  <c r="AU108" i="16"/>
  <c r="AU111" i="16"/>
  <c r="AU114" i="16"/>
  <c r="AU115" i="16"/>
  <c r="AU113" i="16"/>
  <c r="AU116" i="16"/>
  <c r="BJ116" i="16"/>
  <c r="AU110" i="16"/>
  <c r="AU109" i="16"/>
  <c r="AK116" i="15"/>
  <c r="AM116" i="15" s="1"/>
  <c r="AO116" i="15" s="1"/>
  <c r="AJ116" i="15"/>
  <c r="AL116" i="15" s="1"/>
  <c r="AN116" i="15" s="1"/>
  <c r="AK117" i="15"/>
  <c r="AM117" i="15" s="1"/>
  <c r="AO117" i="15" s="1"/>
  <c r="AJ117" i="15"/>
  <c r="AL117" i="15" s="1"/>
  <c r="AN117" i="15" s="1"/>
  <c r="AK121" i="15"/>
  <c r="AM121" i="15" s="1"/>
  <c r="AO121" i="15" s="1"/>
  <c r="AJ121" i="15"/>
  <c r="AL121" i="15" s="1"/>
  <c r="AN121" i="15" s="1"/>
  <c r="AI123" i="15"/>
  <c r="AI114" i="15"/>
  <c r="C10" i="15"/>
  <c r="AK119" i="15"/>
  <c r="AM119" i="15" s="1"/>
  <c r="AO119" i="15" s="1"/>
  <c r="AJ119" i="15"/>
  <c r="AL119" i="15" s="1"/>
  <c r="AN119" i="15" s="1"/>
  <c r="AK120" i="15"/>
  <c r="AM120" i="15" s="1"/>
  <c r="AO120" i="15" s="1"/>
  <c r="AJ120" i="15"/>
  <c r="AL120" i="15" s="1"/>
  <c r="AN120" i="15" s="1"/>
  <c r="AT127" i="15"/>
  <c r="AK122" i="15"/>
  <c r="AM122" i="15" s="1"/>
  <c r="AO122" i="15" s="1"/>
  <c r="AJ122" i="15"/>
  <c r="AL122" i="15" s="1"/>
  <c r="AN122" i="15" s="1"/>
  <c r="AK115" i="15"/>
  <c r="AM115" i="15" s="1"/>
  <c r="AO115" i="15" s="1"/>
  <c r="AJ115" i="15"/>
  <c r="AL115" i="15" s="1"/>
  <c r="AN115" i="15" s="1"/>
  <c r="AT165" i="17" l="1"/>
  <c r="R167" i="17"/>
  <c r="V166" i="17"/>
  <c r="BO234" i="27"/>
  <c r="CW57" i="27" s="1"/>
  <c r="BN235" i="27"/>
  <c r="CY66" i="27"/>
  <c r="CS66" i="27"/>
  <c r="CS99" i="27" s="1"/>
  <c r="CS104" i="27" s="1"/>
  <c r="CV58" i="27"/>
  <c r="CV60" i="27" s="1"/>
  <c r="CY67" i="26"/>
  <c r="CS67" i="26"/>
  <c r="CS100" i="26" s="1"/>
  <c r="CS104" i="26" s="1"/>
  <c r="CV58" i="26"/>
  <c r="CV60" i="26" s="1"/>
  <c r="BN229" i="26"/>
  <c r="BO228" i="26"/>
  <c r="CW57" i="26" s="1"/>
  <c r="CU58" i="25"/>
  <c r="CU60" i="25" s="1"/>
  <c r="DA69" i="25"/>
  <c r="CO69" i="25"/>
  <c r="CO99" i="25" s="1"/>
  <c r="CO102" i="25" s="1"/>
  <c r="BP197" i="25"/>
  <c r="BQ196" i="25"/>
  <c r="CV57" i="25" s="1"/>
  <c r="CU58" i="24"/>
  <c r="CU60" i="24" s="1"/>
  <c r="DA69" i="24"/>
  <c r="CO69" i="24"/>
  <c r="CO99" i="24" s="1"/>
  <c r="CO101" i="24" s="1"/>
  <c r="BP197" i="24"/>
  <c r="BQ196" i="24"/>
  <c r="CV57" i="24" s="1"/>
  <c r="BZ93" i="23"/>
  <c r="CF82" i="23"/>
  <c r="CF84" i="23" s="1"/>
  <c r="CL93" i="23"/>
  <c r="AN223" i="23"/>
  <c r="AO222" i="23"/>
  <c r="CG81" i="23" s="1"/>
  <c r="CG83" i="22"/>
  <c r="CG85" i="22" s="1"/>
  <c r="CL93" i="22"/>
  <c r="CB93" i="22"/>
  <c r="CB124" i="22" s="1"/>
  <c r="CB126" i="22" s="1"/>
  <c r="AO219" i="22"/>
  <c r="CH82" i="22" s="1"/>
  <c r="AN220" i="22"/>
  <c r="AF151" i="17"/>
  <c r="AT151" i="17"/>
  <c r="AE151" i="17"/>
  <c r="AE149" i="17"/>
  <c r="AT149" i="17"/>
  <c r="R151" i="17"/>
  <c r="V150" i="17"/>
  <c r="AF148" i="17" s="1"/>
  <c r="R137" i="16"/>
  <c r="V136" i="16"/>
  <c r="AS135" i="16"/>
  <c r="AC105" i="16"/>
  <c r="AA106" i="16" s="1"/>
  <c r="T167" i="17"/>
  <c r="S168" i="17"/>
  <c r="R121" i="17"/>
  <c r="V120" i="17"/>
  <c r="AE119" i="17"/>
  <c r="AT119" i="17"/>
  <c r="BK127" i="17"/>
  <c r="S122" i="17"/>
  <c r="T121" i="17"/>
  <c r="BJ117" i="16"/>
  <c r="S138" i="16"/>
  <c r="T137" i="16"/>
  <c r="AK114" i="15"/>
  <c r="AM114" i="15" s="1"/>
  <c r="AO114" i="15" s="1"/>
  <c r="AJ114" i="15"/>
  <c r="AL114" i="15" s="1"/>
  <c r="AN114" i="15" s="1"/>
  <c r="AT128" i="15"/>
  <c r="AK123" i="15"/>
  <c r="AM123" i="15" s="1"/>
  <c r="AO123" i="15" s="1"/>
  <c r="AJ123" i="15"/>
  <c r="AL123" i="15" s="1"/>
  <c r="AN123" i="15" s="1"/>
  <c r="D3" i="15"/>
  <c r="AU127" i="15" s="1"/>
  <c r="AV127" i="15" s="1"/>
  <c r="C18" i="15"/>
  <c r="C3" i="15"/>
  <c r="C5" i="15"/>
  <c r="B18" i="15"/>
  <c r="AF145" i="17" l="1"/>
  <c r="AF146" i="17"/>
  <c r="AF140" i="17"/>
  <c r="R168" i="17"/>
  <c r="V167" i="17"/>
  <c r="AF149" i="17"/>
  <c r="AT166" i="17"/>
  <c r="AF142" i="17"/>
  <c r="BO235" i="27"/>
  <c r="CX57" i="27" s="1"/>
  <c r="BN236" i="27"/>
  <c r="BO236" i="27" s="1"/>
  <c r="CY57" i="27" s="1"/>
  <c r="CY58" i="27" s="1"/>
  <c r="CY60" i="27" s="1"/>
  <c r="CW58" i="27"/>
  <c r="CW60" i="27" s="1"/>
  <c r="CY65" i="27"/>
  <c r="CU65" i="27"/>
  <c r="CU99" i="27" s="1"/>
  <c r="CU104" i="27" s="1"/>
  <c r="BN230" i="26"/>
  <c r="BO230" i="26" s="1"/>
  <c r="CY57" i="26" s="1"/>
  <c r="CY58" i="26" s="1"/>
  <c r="CY60" i="26" s="1"/>
  <c r="BO229" i="26"/>
  <c r="CX57" i="26" s="1"/>
  <c r="CY66" i="26"/>
  <c r="CU66" i="26"/>
  <c r="CU100" i="26" s="1"/>
  <c r="CU104" i="26" s="1"/>
  <c r="CW58" i="26"/>
  <c r="CW60" i="26" s="1"/>
  <c r="BQ197" i="25"/>
  <c r="CW57" i="25" s="1"/>
  <c r="BP198" i="25"/>
  <c r="DA68" i="25"/>
  <c r="CV58" i="25"/>
  <c r="CV60" i="25" s="1"/>
  <c r="CQ68" i="25"/>
  <c r="CQ99" i="25" s="1"/>
  <c r="CQ102" i="25" s="1"/>
  <c r="DA68" i="24"/>
  <c r="CQ68" i="24"/>
  <c r="CQ99" i="24" s="1"/>
  <c r="CQ101" i="24" s="1"/>
  <c r="CV58" i="24"/>
  <c r="CV60" i="24" s="1"/>
  <c r="BQ197" i="24"/>
  <c r="CW57" i="24" s="1"/>
  <c r="BP198" i="24"/>
  <c r="AO223" i="23"/>
  <c r="CH81" i="23" s="1"/>
  <c r="AN224" i="23"/>
  <c r="CG82" i="23"/>
  <c r="CG84" i="23" s="1"/>
  <c r="CL92" i="23"/>
  <c r="CB92" i="23"/>
  <c r="CL92" i="22"/>
  <c r="CH83" i="22"/>
  <c r="CH85" i="22" s="1"/>
  <c r="CD92" i="22"/>
  <c r="CD124" i="22" s="1"/>
  <c r="CD126" i="22" s="1"/>
  <c r="AN221" i="22"/>
  <c r="AO220" i="22"/>
  <c r="CI82" i="22" s="1"/>
  <c r="R138" i="16"/>
  <c r="V137" i="16"/>
  <c r="AF150" i="17"/>
  <c r="AE150" i="17"/>
  <c r="AD151" i="17" s="1"/>
  <c r="AC151" i="17" s="1"/>
  <c r="AT150" i="17"/>
  <c r="AF143" i="17"/>
  <c r="AF147" i="17"/>
  <c r="AF144" i="17"/>
  <c r="AF141" i="17"/>
  <c r="AS136" i="16"/>
  <c r="T168" i="17"/>
  <c r="S169" i="17"/>
  <c r="AE120" i="17"/>
  <c r="AT120" i="17"/>
  <c r="R122" i="17"/>
  <c r="V121" i="17"/>
  <c r="BK128" i="17"/>
  <c r="T122" i="17"/>
  <c r="S123" i="17"/>
  <c r="BJ118" i="16"/>
  <c r="S139" i="16"/>
  <c r="T138" i="16"/>
  <c r="CC31" i="15"/>
  <c r="BI67" i="15"/>
  <c r="D5" i="15"/>
  <c r="BU67" i="15"/>
  <c r="AU111" i="15"/>
  <c r="AV111" i="15" s="1"/>
  <c r="BI31" i="15"/>
  <c r="AU110" i="15"/>
  <c r="AU113" i="15"/>
  <c r="AV113" i="15" s="1"/>
  <c r="AU112" i="15"/>
  <c r="AV112" i="15" s="1"/>
  <c r="AU114" i="15"/>
  <c r="AV114" i="15" s="1"/>
  <c r="AU115" i="15"/>
  <c r="AV115" i="15" s="1"/>
  <c r="AU116" i="15"/>
  <c r="AV116" i="15" s="1"/>
  <c r="AU117" i="15"/>
  <c r="AV117" i="15" s="1"/>
  <c r="AU118" i="15"/>
  <c r="AV118" i="15" s="1"/>
  <c r="AU119" i="15"/>
  <c r="AV119" i="15" s="1"/>
  <c r="AU120" i="15"/>
  <c r="AV120" i="15" s="1"/>
  <c r="AU121" i="15"/>
  <c r="AV121" i="15" s="1"/>
  <c r="AU122" i="15"/>
  <c r="AV122" i="15" s="1"/>
  <c r="AU123" i="15"/>
  <c r="AV123" i="15" s="1"/>
  <c r="AU124" i="15"/>
  <c r="AV124" i="15" s="1"/>
  <c r="AU125" i="15"/>
  <c r="AV125" i="15" s="1"/>
  <c r="AU126" i="15"/>
  <c r="AV126" i="15" s="1"/>
  <c r="AU128" i="15"/>
  <c r="AV128" i="15" s="1"/>
  <c r="AT129" i="15"/>
  <c r="R169" i="17" l="1"/>
  <c r="V168" i="17"/>
  <c r="AD142" i="17"/>
  <c r="AC142" i="17" s="1"/>
  <c r="AD143" i="17"/>
  <c r="AC143" i="17" s="1"/>
  <c r="AD150" i="17"/>
  <c r="AC150" i="17" s="1"/>
  <c r="AT167" i="17"/>
  <c r="AD140" i="17"/>
  <c r="AC140" i="17" s="1"/>
  <c r="CY64" i="27"/>
  <c r="CY99" i="27" s="1"/>
  <c r="CY104" i="27" s="1"/>
  <c r="CW64" i="27"/>
  <c r="CW99" i="27" s="1"/>
  <c r="CW104" i="27" s="1"/>
  <c r="CX58" i="27"/>
  <c r="CX60" i="27" s="1"/>
  <c r="CX58" i="26"/>
  <c r="CX60" i="26" s="1"/>
  <c r="CW65" i="26"/>
  <c r="CW100" i="26" s="1"/>
  <c r="CW104" i="26" s="1"/>
  <c r="CY65" i="26"/>
  <c r="CY100" i="26" s="1"/>
  <c r="CY104" i="26" s="1"/>
  <c r="BP199" i="25"/>
  <c r="BQ198" i="25"/>
  <c r="CX57" i="25" s="1"/>
  <c r="DA67" i="25"/>
  <c r="CW58" i="25"/>
  <c r="CW60" i="25" s="1"/>
  <c r="CS67" i="25"/>
  <c r="CS99" i="25" s="1"/>
  <c r="CS102" i="25" s="1"/>
  <c r="CS67" i="24"/>
  <c r="CS99" i="24" s="1"/>
  <c r="CS101" i="24" s="1"/>
  <c r="DA67" i="24"/>
  <c r="CW58" i="24"/>
  <c r="CW60" i="24" s="1"/>
  <c r="BP199" i="24"/>
  <c r="BQ198" i="24"/>
  <c r="CX57" i="24" s="1"/>
  <c r="AN225" i="23"/>
  <c r="AO224" i="23"/>
  <c r="CI81" i="23" s="1"/>
  <c r="CD91" i="23"/>
  <c r="CH82" i="23"/>
  <c r="CH84" i="23" s="1"/>
  <c r="CL91" i="23"/>
  <c r="AO221" i="22"/>
  <c r="CJ82" i="22" s="1"/>
  <c r="AN222" i="22"/>
  <c r="CF91" i="22"/>
  <c r="CF124" i="22" s="1"/>
  <c r="CF126" i="22" s="1"/>
  <c r="CL91" i="22"/>
  <c r="CI83" i="22"/>
  <c r="CI85" i="22" s="1"/>
  <c r="R139" i="16"/>
  <c r="V138" i="16"/>
  <c r="AS137" i="16"/>
  <c r="AD146" i="17"/>
  <c r="AC146" i="17" s="1"/>
  <c r="AD145" i="17"/>
  <c r="AC145" i="17" s="1"/>
  <c r="AD144" i="17"/>
  <c r="AC144" i="17" s="1"/>
  <c r="AD141" i="17"/>
  <c r="AC141" i="17" s="1"/>
  <c r="AD148" i="17"/>
  <c r="AC148" i="17" s="1"/>
  <c r="AD149" i="17"/>
  <c r="AC149" i="17" s="1"/>
  <c r="AD147" i="17"/>
  <c r="AC147" i="17" s="1"/>
  <c r="CE31" i="15"/>
  <c r="S170" i="17"/>
  <c r="T169" i="17"/>
  <c r="R123" i="17"/>
  <c r="V122" i="17"/>
  <c r="AE121" i="17"/>
  <c r="AT121" i="17"/>
  <c r="CE67" i="15"/>
  <c r="AY67" i="15"/>
  <c r="AY31" i="15"/>
  <c r="S124" i="17"/>
  <c r="T123" i="17"/>
  <c r="BK129" i="17"/>
  <c r="T139" i="16"/>
  <c r="S140" i="16"/>
  <c r="BJ119" i="16"/>
  <c r="AY93" i="15"/>
  <c r="AV110" i="15"/>
  <c r="BA28" i="15"/>
  <c r="BU28" i="15"/>
  <c r="AU129" i="15"/>
  <c r="AV129" i="15" s="1"/>
  <c r="AT130" i="15"/>
  <c r="AC139" i="17" l="1"/>
  <c r="AA140" i="17" s="1"/>
  <c r="R170" i="17"/>
  <c r="V169" i="17"/>
  <c r="AT168" i="17"/>
  <c r="DA66" i="25"/>
  <c r="CU66" i="25"/>
  <c r="CU99" i="25" s="1"/>
  <c r="CU102" i="25" s="1"/>
  <c r="CX58" i="25"/>
  <c r="CX60" i="25" s="1"/>
  <c r="BQ199" i="25"/>
  <c r="CY57" i="25" s="1"/>
  <c r="BP200" i="25"/>
  <c r="BP200" i="24"/>
  <c r="BQ199" i="24"/>
  <c r="CY57" i="24" s="1"/>
  <c r="DA66" i="24"/>
  <c r="CU66" i="24"/>
  <c r="CU99" i="24" s="1"/>
  <c r="CU101" i="24" s="1"/>
  <c r="CX58" i="24"/>
  <c r="CX60" i="24" s="1"/>
  <c r="CF90" i="23"/>
  <c r="CI82" i="23"/>
  <c r="CI84" i="23" s="1"/>
  <c r="CL90" i="23"/>
  <c r="AO225" i="23"/>
  <c r="CJ81" i="23" s="1"/>
  <c r="AN226" i="23"/>
  <c r="AN223" i="22"/>
  <c r="AO223" i="22" s="1"/>
  <c r="CL82" i="22" s="1"/>
  <c r="CL83" i="22" s="1"/>
  <c r="CL85" i="22" s="1"/>
  <c r="AO222" i="22"/>
  <c r="CK82" i="22" s="1"/>
  <c r="CL90" i="22"/>
  <c r="CH90" i="22"/>
  <c r="CH124" i="22" s="1"/>
  <c r="CH126" i="22" s="1"/>
  <c r="CJ83" i="22"/>
  <c r="CJ85" i="22" s="1"/>
  <c r="AS138" i="16"/>
  <c r="R140" i="16"/>
  <c r="V139" i="16"/>
  <c r="T170" i="17"/>
  <c r="S171" i="17"/>
  <c r="AE122" i="17"/>
  <c r="AT122" i="17"/>
  <c r="R124" i="17"/>
  <c r="V123" i="17"/>
  <c r="CE28" i="15"/>
  <c r="CF67" i="15" s="1"/>
  <c r="AY28" i="15"/>
  <c r="AX67" i="15" s="1"/>
  <c r="B91" i="15" s="1"/>
  <c r="BK130" i="17"/>
  <c r="T124" i="17"/>
  <c r="S125" i="17"/>
  <c r="BJ120" i="16"/>
  <c r="S141" i="16"/>
  <c r="T140" i="16"/>
  <c r="AU130" i="15"/>
  <c r="AV130" i="15" s="1"/>
  <c r="AT131" i="15"/>
  <c r="D105" i="15"/>
  <c r="D107" i="15"/>
  <c r="AT169" i="17" l="1"/>
  <c r="R171" i="17"/>
  <c r="V170" i="17"/>
  <c r="CY58" i="25"/>
  <c r="CY60" i="25" s="1"/>
  <c r="CW65" i="25"/>
  <c r="CW99" i="25" s="1"/>
  <c r="CW102" i="25" s="1"/>
  <c r="DA65" i="25"/>
  <c r="BP201" i="25"/>
  <c r="BQ201" i="25" s="1"/>
  <c r="DA57" i="25" s="1"/>
  <c r="DA58" i="25" s="1"/>
  <c r="DA60" i="25" s="1"/>
  <c r="BQ200" i="25"/>
  <c r="CZ57" i="25" s="1"/>
  <c r="DA65" i="24"/>
  <c r="CW65" i="24"/>
  <c r="CW99" i="24" s="1"/>
  <c r="CW101" i="24" s="1"/>
  <c r="CY58" i="24"/>
  <c r="CY60" i="24" s="1"/>
  <c r="BP201" i="24"/>
  <c r="BQ201" i="24" s="1"/>
  <c r="DA57" i="24" s="1"/>
  <c r="DA58" i="24" s="1"/>
  <c r="DA60" i="24" s="1"/>
  <c r="BQ200" i="24"/>
  <c r="CZ57" i="24" s="1"/>
  <c r="CH89" i="23"/>
  <c r="CL89" i="23"/>
  <c r="CJ82" i="23"/>
  <c r="CJ84" i="23" s="1"/>
  <c r="AN227" i="23"/>
  <c r="AO227" i="23" s="1"/>
  <c r="CL81" i="23" s="1"/>
  <c r="CL82" i="23" s="1"/>
  <c r="CL84" i="23" s="1"/>
  <c r="AO226" i="23"/>
  <c r="CK81" i="23" s="1"/>
  <c r="CK83" i="22"/>
  <c r="CK85" i="22" s="1"/>
  <c r="CL89" i="22"/>
  <c r="CL124" i="22" s="1"/>
  <c r="CL126" i="22" s="1"/>
  <c r="CJ89" i="22"/>
  <c r="CJ124" i="22" s="1"/>
  <c r="CJ126" i="22" s="1"/>
  <c r="AS139" i="16"/>
  <c r="R141" i="16"/>
  <c r="V140" i="16"/>
  <c r="T171" i="17"/>
  <c r="S172" i="17"/>
  <c r="AE123" i="17"/>
  <c r="AT123" i="17"/>
  <c r="R125" i="17"/>
  <c r="V124" i="17"/>
  <c r="B92" i="15"/>
  <c r="D91" i="15"/>
  <c r="E92" i="15" s="1"/>
  <c r="BK131" i="17"/>
  <c r="S126" i="17"/>
  <c r="T125" i="17"/>
  <c r="T141" i="16"/>
  <c r="S142" i="16"/>
  <c r="BJ121" i="16"/>
  <c r="AU131" i="15"/>
  <c r="AV131" i="15" s="1"/>
  <c r="AT132" i="15"/>
  <c r="R172" i="17" l="1"/>
  <c r="V171" i="17"/>
  <c r="AT170" i="17"/>
  <c r="DA64" i="25"/>
  <c r="DA99" i="25" s="1"/>
  <c r="DA102" i="25" s="1"/>
  <c r="CY64" i="25"/>
  <c r="CY99" i="25" s="1"/>
  <c r="CY102" i="25" s="1"/>
  <c r="CZ58" i="25"/>
  <c r="CZ60" i="25" s="1"/>
  <c r="DA64" i="24"/>
  <c r="DA99" i="24" s="1"/>
  <c r="DA101" i="24" s="1"/>
  <c r="CY64" i="24"/>
  <c r="CY99" i="24" s="1"/>
  <c r="CY101" i="24" s="1"/>
  <c r="CZ58" i="24"/>
  <c r="CZ60" i="24" s="1"/>
  <c r="CK82" i="23"/>
  <c r="CK84" i="23" s="1"/>
  <c r="CL88" i="23"/>
  <c r="CJ88" i="23"/>
  <c r="R142" i="16"/>
  <c r="V141" i="16"/>
  <c r="AS140" i="16"/>
  <c r="S173" i="17"/>
  <c r="T172" i="17"/>
  <c r="AE124" i="17"/>
  <c r="AT124" i="17"/>
  <c r="R126" i="17"/>
  <c r="V125" i="17"/>
  <c r="D92" i="15"/>
  <c r="B85" i="15" s="1"/>
  <c r="B82" i="15" s="1"/>
  <c r="C13" i="15"/>
  <c r="T126" i="17"/>
  <c r="S127" i="17"/>
  <c r="BK132" i="17"/>
  <c r="BJ122" i="16"/>
  <c r="S143" i="16"/>
  <c r="T142" i="16"/>
  <c r="AU132" i="15"/>
  <c r="AV132" i="15" s="1"/>
  <c r="AT133" i="15"/>
  <c r="R173" i="17" l="1"/>
  <c r="V172" i="17"/>
  <c r="AT171" i="17"/>
  <c r="R143" i="16"/>
  <c r="V142" i="16"/>
  <c r="AS141" i="16"/>
  <c r="S174" i="17"/>
  <c r="T173" i="17"/>
  <c r="R127" i="17"/>
  <c r="V126" i="17"/>
  <c r="AE125" i="17"/>
  <c r="AT125" i="17"/>
  <c r="E85" i="15"/>
  <c r="E82" i="15" s="1"/>
  <c r="BK133" i="17"/>
  <c r="S128" i="17"/>
  <c r="T127" i="17"/>
  <c r="S144" i="16"/>
  <c r="T143" i="16"/>
  <c r="BJ123" i="16"/>
  <c r="AT134" i="15"/>
  <c r="AU133" i="15"/>
  <c r="AV133" i="15" s="1"/>
  <c r="R128" i="17" l="1"/>
  <c r="V127" i="17"/>
  <c r="R174" i="17"/>
  <c r="V173" i="17"/>
  <c r="AT172" i="17"/>
  <c r="R144" i="16"/>
  <c r="V143" i="16"/>
  <c r="AS142" i="16"/>
  <c r="T174" i="17"/>
  <c r="S175" i="17"/>
  <c r="AE126" i="17"/>
  <c r="AT126" i="17"/>
  <c r="T128" i="17"/>
  <c r="S129" i="17"/>
  <c r="BK134" i="17"/>
  <c r="S145" i="16"/>
  <c r="T144" i="16"/>
  <c r="BJ124" i="16"/>
  <c r="AU134" i="15"/>
  <c r="AV134" i="15" s="1"/>
  <c r="AT135" i="15"/>
  <c r="R129" i="17" l="1"/>
  <c r="V128" i="17"/>
  <c r="AE127" i="17"/>
  <c r="AT127" i="17"/>
  <c r="AT173" i="17"/>
  <c r="R175" i="17"/>
  <c r="V174" i="17"/>
  <c r="R145" i="16"/>
  <c r="V144" i="16"/>
  <c r="AS143" i="16"/>
  <c r="S176" i="17"/>
  <c r="T175" i="17"/>
  <c r="BK135" i="17"/>
  <c r="T129" i="17"/>
  <c r="S130" i="17"/>
  <c r="T130" i="17" s="1"/>
  <c r="V130" i="17" s="1"/>
  <c r="BJ125" i="16"/>
  <c r="S146" i="16"/>
  <c r="T145" i="16"/>
  <c r="AU135" i="15"/>
  <c r="AV135" i="15" s="1"/>
  <c r="AT136" i="15"/>
  <c r="AE128" i="17" l="1"/>
  <c r="AT128" i="17"/>
  <c r="AF130" i="17"/>
  <c r="AE130" i="17"/>
  <c r="AT130" i="17"/>
  <c r="R130" i="17"/>
  <c r="V129" i="17"/>
  <c r="AF126" i="17" s="1"/>
  <c r="AF125" i="17"/>
  <c r="AT174" i="17"/>
  <c r="R176" i="17"/>
  <c r="V175" i="17"/>
  <c r="R146" i="16"/>
  <c r="V145" i="16"/>
  <c r="AS144" i="16"/>
  <c r="S177" i="17"/>
  <c r="T176" i="17"/>
  <c r="BK136" i="17"/>
  <c r="S147" i="16"/>
  <c r="T146" i="16"/>
  <c r="BJ126" i="16"/>
  <c r="AU136" i="15"/>
  <c r="AV136" i="15" s="1"/>
  <c r="AT137" i="15"/>
  <c r="AF116" i="17" l="1"/>
  <c r="AF112" i="17"/>
  <c r="AF119" i="17"/>
  <c r="AF113" i="17"/>
  <c r="AF111" i="17"/>
  <c r="AF108" i="17"/>
  <c r="AF107" i="17"/>
  <c r="AF121" i="17"/>
  <c r="AE129" i="17"/>
  <c r="AD124" i="17" s="1"/>
  <c r="AC124" i="17" s="1"/>
  <c r="AF129" i="17"/>
  <c r="AT129" i="17"/>
  <c r="AF110" i="17"/>
  <c r="AF123" i="17"/>
  <c r="T103" i="17"/>
  <c r="AF117" i="17"/>
  <c r="AF120" i="17"/>
  <c r="AF124" i="17"/>
  <c r="AF115" i="17"/>
  <c r="AF127" i="17"/>
  <c r="AF122" i="17"/>
  <c r="AF109" i="17"/>
  <c r="AF118" i="17"/>
  <c r="AF114" i="17"/>
  <c r="AF128" i="17"/>
  <c r="R177" i="17"/>
  <c r="V176" i="17"/>
  <c r="AT175" i="17"/>
  <c r="AS145" i="16"/>
  <c r="R147" i="16"/>
  <c r="V146" i="16"/>
  <c r="S178" i="17"/>
  <c r="T177" i="17"/>
  <c r="BK137" i="17"/>
  <c r="BJ127" i="16"/>
  <c r="T147" i="16"/>
  <c r="S148" i="16"/>
  <c r="AU137" i="15"/>
  <c r="AV137" i="15" s="1"/>
  <c r="AT138" i="15"/>
  <c r="AD107" i="17" l="1"/>
  <c r="AC107" i="17" s="1"/>
  <c r="AD119" i="17"/>
  <c r="AC119" i="17" s="1"/>
  <c r="AD109" i="17"/>
  <c r="AC109" i="17" s="1"/>
  <c r="AD120" i="17"/>
  <c r="AC120" i="17" s="1"/>
  <c r="AD126" i="17"/>
  <c r="AC126" i="17" s="1"/>
  <c r="AD118" i="17"/>
  <c r="AC118" i="17" s="1"/>
  <c r="AD129" i="17"/>
  <c r="AC129" i="17" s="1"/>
  <c r="AD111" i="17"/>
  <c r="AC111" i="17" s="1"/>
  <c r="AD122" i="17"/>
  <c r="AC122" i="17" s="1"/>
  <c r="AD117" i="17"/>
  <c r="AC117" i="17" s="1"/>
  <c r="AD110" i="17"/>
  <c r="AC110" i="17" s="1"/>
  <c r="AD115" i="17"/>
  <c r="AC115" i="17" s="1"/>
  <c r="AD113" i="17"/>
  <c r="AC113" i="17" s="1"/>
  <c r="AD112" i="17"/>
  <c r="AC112" i="17" s="1"/>
  <c r="AD128" i="17"/>
  <c r="AC128" i="17" s="1"/>
  <c r="AD123" i="17"/>
  <c r="AC123" i="17" s="1"/>
  <c r="AD121" i="17"/>
  <c r="AC121" i="17" s="1"/>
  <c r="AD114" i="17"/>
  <c r="AC114" i="17" s="1"/>
  <c r="AD116" i="17"/>
  <c r="AC116" i="17" s="1"/>
  <c r="AD130" i="17"/>
  <c r="AC130" i="17" s="1"/>
  <c r="AD125" i="17"/>
  <c r="AC125" i="17" s="1"/>
  <c r="AD127" i="17"/>
  <c r="AC127" i="17" s="1"/>
  <c r="AD108" i="17"/>
  <c r="AC108" i="17" s="1"/>
  <c r="AT176" i="17"/>
  <c r="R178" i="17"/>
  <c r="V177" i="17"/>
  <c r="AS146" i="16"/>
  <c r="R148" i="16"/>
  <c r="V147" i="16"/>
  <c r="S179" i="17"/>
  <c r="T178" i="17"/>
  <c r="S149" i="16"/>
  <c r="T148" i="16"/>
  <c r="BJ128" i="16"/>
  <c r="AU138" i="15"/>
  <c r="AV138" i="15" s="1"/>
  <c r="AT139" i="15"/>
  <c r="AU139" i="15" s="1"/>
  <c r="AC106" i="17" l="1"/>
  <c r="AA107" i="17" s="1"/>
  <c r="AG140" i="17" s="1"/>
  <c r="AT177" i="17"/>
  <c r="R179" i="17"/>
  <c r="V178" i="17"/>
  <c r="AS147" i="16"/>
  <c r="R149" i="16"/>
  <c r="V148" i="16"/>
  <c r="T179" i="17"/>
  <c r="S180" i="17"/>
  <c r="T149" i="16"/>
  <c r="S150" i="16"/>
  <c r="T150" i="16" s="1"/>
  <c r="V150" i="16" s="1"/>
  <c r="CF93" i="15"/>
  <c r="AV139" i="15"/>
  <c r="AW110" i="15" s="1"/>
  <c r="R180" i="17" l="1"/>
  <c r="V179" i="17"/>
  <c r="AT178" i="17"/>
  <c r="AF150" i="16"/>
  <c r="AS150" i="16"/>
  <c r="R150" i="16"/>
  <c r="V149" i="16"/>
  <c r="AF132" i="16" s="1"/>
  <c r="AU132" i="16" s="1"/>
  <c r="AS148" i="16"/>
  <c r="S181" i="17"/>
  <c r="T180" i="17"/>
  <c r="AW111" i="15"/>
  <c r="AX110" i="15"/>
  <c r="BA84" i="15" s="1"/>
  <c r="BA85" i="15" s="1"/>
  <c r="BA86" i="15" s="1"/>
  <c r="D108" i="15"/>
  <c r="D106" i="15"/>
  <c r="AF128" i="16" l="1"/>
  <c r="AU128" i="16" s="1"/>
  <c r="AF140" i="16"/>
  <c r="AU140" i="16" s="1"/>
  <c r="AW140" i="16" s="1"/>
  <c r="AY140" i="16" s="1"/>
  <c r="AF127" i="16"/>
  <c r="AO115" i="16" s="1"/>
  <c r="AT115" i="16" s="1"/>
  <c r="AF138" i="16"/>
  <c r="AU138" i="16" s="1"/>
  <c r="AV138" i="16" s="1"/>
  <c r="AX138" i="16" s="1"/>
  <c r="AZ138" i="16" s="1"/>
  <c r="AF145" i="16"/>
  <c r="AU145" i="16" s="1"/>
  <c r="AW145" i="16" s="1"/>
  <c r="AY145" i="16" s="1"/>
  <c r="AU150" i="16"/>
  <c r="AV150" i="16" s="1"/>
  <c r="AX150" i="16" s="1"/>
  <c r="AZ150" i="16" s="1"/>
  <c r="AF143" i="16"/>
  <c r="AU143" i="16" s="1"/>
  <c r="AW143" i="16" s="1"/>
  <c r="AY143" i="16" s="1"/>
  <c r="R181" i="17"/>
  <c r="V180" i="17"/>
  <c r="AF175" i="17" s="1"/>
  <c r="AV175" i="17" s="1"/>
  <c r="AT179" i="17"/>
  <c r="AW132" i="16"/>
  <c r="AY132" i="16" s="1"/>
  <c r="AV132" i="16"/>
  <c r="AX132" i="16" s="1"/>
  <c r="AZ132" i="16" s="1"/>
  <c r="AO109" i="16"/>
  <c r="AT109" i="16" s="1"/>
  <c r="AO112" i="16"/>
  <c r="AT112" i="16" s="1"/>
  <c r="AO107" i="16"/>
  <c r="AT107" i="16" s="1"/>
  <c r="AO111" i="16"/>
  <c r="AT111" i="16" s="1"/>
  <c r="AO116" i="16"/>
  <c r="AT116" i="16" s="1"/>
  <c r="AO117" i="16"/>
  <c r="AT117" i="16" s="1"/>
  <c r="AO114" i="16"/>
  <c r="AT114" i="16" s="1"/>
  <c r="AF148" i="16"/>
  <c r="AU148" i="16" s="1"/>
  <c r="AF131" i="16"/>
  <c r="AU131" i="16" s="1"/>
  <c r="AF136" i="16"/>
  <c r="AU136" i="16" s="1"/>
  <c r="AF135" i="16"/>
  <c r="AU135" i="16" s="1"/>
  <c r="T123" i="16"/>
  <c r="AW128" i="16"/>
  <c r="AY128" i="16" s="1"/>
  <c r="AV128" i="16"/>
  <c r="AX128" i="16" s="1"/>
  <c r="AZ128" i="16" s="1"/>
  <c r="AW150" i="16"/>
  <c r="AY150" i="16" s="1"/>
  <c r="AF147" i="16"/>
  <c r="AU147" i="16" s="1"/>
  <c r="AF141" i="16"/>
  <c r="AU141" i="16" s="1"/>
  <c r="AF137" i="16"/>
  <c r="AU137" i="16" s="1"/>
  <c r="AF139" i="16"/>
  <c r="AU139" i="16" s="1"/>
  <c r="AF149" i="16"/>
  <c r="AS149" i="16"/>
  <c r="AF144" i="16"/>
  <c r="AU144" i="16" s="1"/>
  <c r="AF146" i="16"/>
  <c r="AU146" i="16" s="1"/>
  <c r="AF130" i="16"/>
  <c r="AU130" i="16" s="1"/>
  <c r="AF129" i="16"/>
  <c r="AU129" i="16" s="1"/>
  <c r="AF133" i="16"/>
  <c r="AU133" i="16" s="1"/>
  <c r="AF134" i="16"/>
  <c r="AU134" i="16" s="1"/>
  <c r="AF142" i="16"/>
  <c r="AU142" i="16" s="1"/>
  <c r="T181" i="17"/>
  <c r="R182" i="17" s="1"/>
  <c r="S182" i="17"/>
  <c r="AW112" i="15"/>
  <c r="AX111" i="15"/>
  <c r="BB84" i="15" s="1"/>
  <c r="AO108" i="16" l="1"/>
  <c r="AT108" i="16" s="1"/>
  <c r="AO106" i="16"/>
  <c r="AU127" i="16"/>
  <c r="AW138" i="16"/>
  <c r="AY138" i="16" s="1"/>
  <c r="AB138" i="16" s="1"/>
  <c r="AO113" i="16"/>
  <c r="AT113" i="16" s="1"/>
  <c r="AO110" i="16"/>
  <c r="AT110" i="16" s="1"/>
  <c r="AV140" i="16"/>
  <c r="AX140" i="16" s="1"/>
  <c r="AZ140" i="16" s="1"/>
  <c r="AV145" i="16"/>
  <c r="AX145" i="16" s="1"/>
  <c r="AZ145" i="16" s="1"/>
  <c r="AV143" i="16"/>
  <c r="AX143" i="16" s="1"/>
  <c r="AZ143" i="16" s="1"/>
  <c r="AU149" i="16"/>
  <c r="AF172" i="17"/>
  <c r="AV172" i="17" s="1"/>
  <c r="AX172" i="17" s="1"/>
  <c r="AZ172" i="17" s="1"/>
  <c r="AW175" i="17"/>
  <c r="AY175" i="17" s="1"/>
  <c r="BA175" i="17" s="1"/>
  <c r="AX175" i="17"/>
  <c r="AZ175" i="17" s="1"/>
  <c r="AF180" i="17"/>
  <c r="AT180" i="17"/>
  <c r="AF161" i="17"/>
  <c r="AF163" i="17"/>
  <c r="AV163" i="17" s="1"/>
  <c r="T157" i="17"/>
  <c r="AF162" i="17"/>
  <c r="AV162" i="17" s="1"/>
  <c r="AF164" i="17"/>
  <c r="AV164" i="17" s="1"/>
  <c r="AF166" i="17"/>
  <c r="AV166" i="17" s="1"/>
  <c r="AF165" i="17"/>
  <c r="AV165" i="17" s="1"/>
  <c r="AF168" i="17"/>
  <c r="AV168" i="17" s="1"/>
  <c r="AF169" i="17"/>
  <c r="AV169" i="17" s="1"/>
  <c r="AF167" i="17"/>
  <c r="AV167" i="17" s="1"/>
  <c r="AF170" i="17"/>
  <c r="AV170" i="17" s="1"/>
  <c r="AF171" i="17"/>
  <c r="AV171" i="17" s="1"/>
  <c r="AF174" i="17"/>
  <c r="AV174" i="17" s="1"/>
  <c r="AF173" i="17"/>
  <c r="AV173" i="17" s="1"/>
  <c r="AF178" i="17"/>
  <c r="AV178" i="17" s="1"/>
  <c r="AF177" i="17"/>
  <c r="AV177" i="17" s="1"/>
  <c r="AF179" i="17"/>
  <c r="AV179" i="17" s="1"/>
  <c r="AF176" i="17"/>
  <c r="AV176" i="17" s="1"/>
  <c r="AW149" i="16"/>
  <c r="AY149" i="16" s="1"/>
  <c r="AV149" i="16"/>
  <c r="AX149" i="16" s="1"/>
  <c r="AZ149" i="16" s="1"/>
  <c r="BB143" i="16"/>
  <c r="G143" i="16" s="1"/>
  <c r="F143" i="16" s="1"/>
  <c r="BA143" i="16"/>
  <c r="AB143" i="16"/>
  <c r="AW108" i="16"/>
  <c r="AY108" i="16" s="1"/>
  <c r="BA108" i="16" s="1"/>
  <c r="AV108" i="16"/>
  <c r="AX108" i="16" s="1"/>
  <c r="AZ108" i="16" s="1"/>
  <c r="AB140" i="16"/>
  <c r="BA140" i="16"/>
  <c r="BB140" i="16"/>
  <c r="G140" i="16" s="1"/>
  <c r="F140" i="16" s="1"/>
  <c r="AV133" i="16"/>
  <c r="AX133" i="16" s="1"/>
  <c r="AZ133" i="16" s="1"/>
  <c r="AW133" i="16"/>
  <c r="AY133" i="16" s="1"/>
  <c r="AV144" i="16"/>
  <c r="AX144" i="16" s="1"/>
  <c r="AZ144" i="16" s="1"/>
  <c r="AW144" i="16"/>
  <c r="AY144" i="16" s="1"/>
  <c r="BB138" i="16"/>
  <c r="G138" i="16" s="1"/>
  <c r="F138" i="16" s="1"/>
  <c r="AV139" i="16"/>
  <c r="AX139" i="16" s="1"/>
  <c r="AZ139" i="16" s="1"/>
  <c r="AW139" i="16"/>
  <c r="AY139" i="16" s="1"/>
  <c r="BA150" i="16"/>
  <c r="BB150" i="16"/>
  <c r="G150" i="16" s="1"/>
  <c r="F150" i="16" s="1"/>
  <c r="AB150" i="16"/>
  <c r="AV136" i="16"/>
  <c r="AX136" i="16" s="1"/>
  <c r="AZ136" i="16" s="1"/>
  <c r="AW136" i="16"/>
  <c r="AY136" i="16" s="1"/>
  <c r="AV113" i="16"/>
  <c r="AX113" i="16" s="1"/>
  <c r="AZ113" i="16" s="1"/>
  <c r="AW113" i="16"/>
  <c r="AY113" i="16" s="1"/>
  <c r="BA113" i="16" s="1"/>
  <c r="AW110" i="16"/>
  <c r="AY110" i="16" s="1"/>
  <c r="BA110" i="16" s="1"/>
  <c r="AV110" i="16"/>
  <c r="AX110" i="16" s="1"/>
  <c r="AZ110" i="16" s="1"/>
  <c r="AW115" i="16"/>
  <c r="AY115" i="16" s="1"/>
  <c r="BA115" i="16" s="1"/>
  <c r="AV115" i="16"/>
  <c r="AX115" i="16" s="1"/>
  <c r="AZ115" i="16" s="1"/>
  <c r="AW129" i="16"/>
  <c r="AY129" i="16" s="1"/>
  <c r="AV129" i="16"/>
  <c r="AX129" i="16" s="1"/>
  <c r="AZ129" i="16" s="1"/>
  <c r="AW137" i="16"/>
  <c r="AY137" i="16" s="1"/>
  <c r="AV137" i="16"/>
  <c r="AX137" i="16" s="1"/>
  <c r="AZ137" i="16" s="1"/>
  <c r="AV131" i="16"/>
  <c r="AX131" i="16" s="1"/>
  <c r="AZ131" i="16" s="1"/>
  <c r="AW131" i="16"/>
  <c r="AY131" i="16" s="1"/>
  <c r="AV111" i="16"/>
  <c r="AX111" i="16" s="1"/>
  <c r="AZ111" i="16" s="1"/>
  <c r="AW111" i="16"/>
  <c r="AY111" i="16" s="1"/>
  <c r="BA111" i="16" s="1"/>
  <c r="AV130" i="16"/>
  <c r="AX130" i="16" s="1"/>
  <c r="AZ130" i="16" s="1"/>
  <c r="AW130" i="16"/>
  <c r="AY130" i="16" s="1"/>
  <c r="AV141" i="16"/>
  <c r="AX141" i="16" s="1"/>
  <c r="AZ141" i="16" s="1"/>
  <c r="AW141" i="16"/>
  <c r="AY141" i="16" s="1"/>
  <c r="AV117" i="16"/>
  <c r="AX117" i="16" s="1"/>
  <c r="AZ117" i="16" s="1"/>
  <c r="AW117" i="16"/>
  <c r="AY117" i="16" s="1"/>
  <c r="BA117" i="16" s="1"/>
  <c r="C9" i="16"/>
  <c r="AT106" i="16"/>
  <c r="AV109" i="16"/>
  <c r="AX109" i="16" s="1"/>
  <c r="AZ109" i="16" s="1"/>
  <c r="AW109" i="16"/>
  <c r="AY109" i="16" s="1"/>
  <c r="BA109" i="16" s="1"/>
  <c r="AV112" i="16"/>
  <c r="AX112" i="16" s="1"/>
  <c r="AZ112" i="16" s="1"/>
  <c r="AW112" i="16"/>
  <c r="AY112" i="16" s="1"/>
  <c r="BA112" i="16" s="1"/>
  <c r="AW142" i="16"/>
  <c r="AY142" i="16" s="1"/>
  <c r="AV142" i="16"/>
  <c r="AX142" i="16" s="1"/>
  <c r="AZ142" i="16" s="1"/>
  <c r="AW134" i="16"/>
  <c r="AY134" i="16" s="1"/>
  <c r="AV134" i="16"/>
  <c r="AX134" i="16" s="1"/>
  <c r="AZ134" i="16" s="1"/>
  <c r="AV146" i="16"/>
  <c r="AX146" i="16" s="1"/>
  <c r="AZ146" i="16" s="1"/>
  <c r="AW146" i="16"/>
  <c r="AY146" i="16" s="1"/>
  <c r="AV148" i="16"/>
  <c r="AX148" i="16" s="1"/>
  <c r="AZ148" i="16" s="1"/>
  <c r="AW148" i="16"/>
  <c r="AY148" i="16" s="1"/>
  <c r="BB145" i="16"/>
  <c r="G145" i="16" s="1"/>
  <c r="F145" i="16" s="1"/>
  <c r="AB145" i="16"/>
  <c r="BA145" i="16"/>
  <c r="AW147" i="16"/>
  <c r="AY147" i="16" s="1"/>
  <c r="AV147" i="16"/>
  <c r="AX147" i="16" s="1"/>
  <c r="AZ147" i="16" s="1"/>
  <c r="BA128" i="16"/>
  <c r="AB128" i="16"/>
  <c r="BB128" i="16"/>
  <c r="G128" i="16" s="1"/>
  <c r="F128" i="16" s="1"/>
  <c r="AV135" i="16"/>
  <c r="AX135" i="16" s="1"/>
  <c r="AZ135" i="16" s="1"/>
  <c r="AW135" i="16"/>
  <c r="AY135" i="16" s="1"/>
  <c r="AW114" i="16"/>
  <c r="AY114" i="16" s="1"/>
  <c r="BA114" i="16" s="1"/>
  <c r="AV114" i="16"/>
  <c r="AX114" i="16" s="1"/>
  <c r="AZ114" i="16" s="1"/>
  <c r="AV116" i="16"/>
  <c r="AX116" i="16" s="1"/>
  <c r="AZ116" i="16" s="1"/>
  <c r="AW116" i="16"/>
  <c r="AY116" i="16" s="1"/>
  <c r="BA116" i="16" s="1"/>
  <c r="AW107" i="16"/>
  <c r="AY107" i="16" s="1"/>
  <c r="BA107" i="16" s="1"/>
  <c r="AV107" i="16"/>
  <c r="AX107" i="16" s="1"/>
  <c r="AZ107" i="16" s="1"/>
  <c r="AW127" i="16"/>
  <c r="AY127" i="16" s="1"/>
  <c r="AV127" i="16"/>
  <c r="AX127" i="16" s="1"/>
  <c r="AZ127" i="16" s="1"/>
  <c r="BA132" i="16"/>
  <c r="AB132" i="16"/>
  <c r="BB132" i="16"/>
  <c r="G132" i="16" s="1"/>
  <c r="F132" i="16" s="1"/>
  <c r="T182" i="17"/>
  <c r="R183" i="17" s="1"/>
  <c r="S183" i="17"/>
  <c r="BC61" i="15"/>
  <c r="BB85" i="15"/>
  <c r="BB86" i="15" s="1"/>
  <c r="BA61" i="15"/>
  <c r="AW113" i="15"/>
  <c r="AX112" i="15"/>
  <c r="BC84" i="15" s="1"/>
  <c r="BA138" i="16" l="1"/>
  <c r="AV180" i="17"/>
  <c r="AX180" i="17" s="1"/>
  <c r="AZ180" i="17" s="1"/>
  <c r="AW172" i="17"/>
  <c r="AY172" i="17" s="1"/>
  <c r="BA172" i="17" s="1"/>
  <c r="AX179" i="17"/>
  <c r="AZ179" i="17" s="1"/>
  <c r="AW179" i="17"/>
  <c r="AY179" i="17" s="1"/>
  <c r="BA179" i="17" s="1"/>
  <c r="AW177" i="17"/>
  <c r="AY177" i="17" s="1"/>
  <c r="BA177" i="17" s="1"/>
  <c r="AX177" i="17"/>
  <c r="AZ177" i="17" s="1"/>
  <c r="AW173" i="17"/>
  <c r="AY173" i="17" s="1"/>
  <c r="BA173" i="17" s="1"/>
  <c r="AX173" i="17"/>
  <c r="AZ173" i="17" s="1"/>
  <c r="AX167" i="17"/>
  <c r="AZ167" i="17" s="1"/>
  <c r="AW167" i="17"/>
  <c r="AY167" i="17" s="1"/>
  <c r="BA167" i="17" s="1"/>
  <c r="AX166" i="17"/>
  <c r="AZ166" i="17" s="1"/>
  <c r="AW166" i="17"/>
  <c r="AY166" i="17" s="1"/>
  <c r="BA166" i="17" s="1"/>
  <c r="AX163" i="17"/>
  <c r="AZ163" i="17" s="1"/>
  <c r="AW163" i="17"/>
  <c r="AY163" i="17" s="1"/>
  <c r="BA163" i="17" s="1"/>
  <c r="BC175" i="17"/>
  <c r="G175" i="17" s="1"/>
  <c r="F175" i="17" s="1"/>
  <c r="BB175" i="17"/>
  <c r="AB175" i="17"/>
  <c r="AW174" i="17"/>
  <c r="AY174" i="17" s="1"/>
  <c r="BA174" i="17" s="1"/>
  <c r="AX174" i="17"/>
  <c r="AZ174" i="17" s="1"/>
  <c r="AX164" i="17"/>
  <c r="AZ164" i="17" s="1"/>
  <c r="AW164" i="17"/>
  <c r="AY164" i="17" s="1"/>
  <c r="BA164" i="17" s="1"/>
  <c r="AX178" i="17"/>
  <c r="AZ178" i="17" s="1"/>
  <c r="AW178" i="17"/>
  <c r="AY178" i="17" s="1"/>
  <c r="BA178" i="17" s="1"/>
  <c r="AW171" i="17"/>
  <c r="AY171" i="17" s="1"/>
  <c r="BA171" i="17" s="1"/>
  <c r="AX171" i="17"/>
  <c r="AZ171" i="17" s="1"/>
  <c r="AX168" i="17"/>
  <c r="AZ168" i="17" s="1"/>
  <c r="AW168" i="17"/>
  <c r="AY168" i="17" s="1"/>
  <c r="BA168" i="17" s="1"/>
  <c r="AX162" i="17"/>
  <c r="AZ162" i="17" s="1"/>
  <c r="AW162" i="17"/>
  <c r="AY162" i="17" s="1"/>
  <c r="BA162" i="17" s="1"/>
  <c r="AX169" i="17"/>
  <c r="AZ169" i="17" s="1"/>
  <c r="AW169" i="17"/>
  <c r="AY169" i="17" s="1"/>
  <c r="BA169" i="17" s="1"/>
  <c r="AV161" i="17"/>
  <c r="AP151" i="17"/>
  <c r="AU151" i="17" s="1"/>
  <c r="AP149" i="17"/>
  <c r="AU149" i="17" s="1"/>
  <c r="AP150" i="17"/>
  <c r="AU150" i="17" s="1"/>
  <c r="AP147" i="17"/>
  <c r="AU147" i="17" s="1"/>
  <c r="AP146" i="17"/>
  <c r="AU146" i="17" s="1"/>
  <c r="AP148" i="17"/>
  <c r="AU148" i="17" s="1"/>
  <c r="AP143" i="17"/>
  <c r="AU143" i="17" s="1"/>
  <c r="AP142" i="17"/>
  <c r="AU142" i="17" s="1"/>
  <c r="AP141" i="17"/>
  <c r="AU141" i="17" s="1"/>
  <c r="AP145" i="17"/>
  <c r="AU145" i="17" s="1"/>
  <c r="AP140" i="17"/>
  <c r="AP144" i="17"/>
  <c r="AU144" i="17" s="1"/>
  <c r="AG161" i="17"/>
  <c r="AW176" i="17"/>
  <c r="AY176" i="17" s="1"/>
  <c r="BA176" i="17" s="1"/>
  <c r="AX176" i="17"/>
  <c r="AZ176" i="17" s="1"/>
  <c r="AX170" i="17"/>
  <c r="AZ170" i="17" s="1"/>
  <c r="AW170" i="17"/>
  <c r="AY170" i="17" s="1"/>
  <c r="BA170" i="17" s="1"/>
  <c r="AW165" i="17"/>
  <c r="AY165" i="17" s="1"/>
  <c r="BA165" i="17" s="1"/>
  <c r="AX165" i="17"/>
  <c r="AZ165" i="17" s="1"/>
  <c r="AB172" i="17"/>
  <c r="BC172" i="17"/>
  <c r="G172" i="17" s="1"/>
  <c r="F172" i="17" s="1"/>
  <c r="BB172" i="17"/>
  <c r="BA127" i="16"/>
  <c r="AB127" i="16"/>
  <c r="AB135" i="16"/>
  <c r="BA135" i="16"/>
  <c r="BB135" i="16"/>
  <c r="G135" i="16" s="1"/>
  <c r="F135" i="16" s="1"/>
  <c r="BB146" i="16"/>
  <c r="G146" i="16" s="1"/>
  <c r="F146" i="16" s="1"/>
  <c r="BA146" i="16"/>
  <c r="AB146" i="16"/>
  <c r="BB130" i="16"/>
  <c r="G130" i="16" s="1"/>
  <c r="F130" i="16" s="1"/>
  <c r="AB130" i="16"/>
  <c r="BA130" i="16"/>
  <c r="BB131" i="16"/>
  <c r="G131" i="16" s="1"/>
  <c r="F131" i="16" s="1"/>
  <c r="BA131" i="16"/>
  <c r="AB131" i="16"/>
  <c r="AB136" i="16"/>
  <c r="BA136" i="16"/>
  <c r="BB136" i="16"/>
  <c r="G136" i="16" s="1"/>
  <c r="F136" i="16" s="1"/>
  <c r="BB133" i="16"/>
  <c r="G133" i="16" s="1"/>
  <c r="F133" i="16" s="1"/>
  <c r="BA133" i="16"/>
  <c r="AB133" i="16"/>
  <c r="AB142" i="16"/>
  <c r="BB142" i="16"/>
  <c r="G142" i="16" s="1"/>
  <c r="F142" i="16" s="1"/>
  <c r="BA142" i="16"/>
  <c r="BA139" i="16"/>
  <c r="BB139" i="16"/>
  <c r="G139" i="16" s="1"/>
  <c r="F139" i="16" s="1"/>
  <c r="AB139" i="16"/>
  <c r="BA147" i="16"/>
  <c r="BB147" i="16"/>
  <c r="G147" i="16" s="1"/>
  <c r="F147" i="16" s="1"/>
  <c r="AB147" i="16"/>
  <c r="BB148" i="16"/>
  <c r="G148" i="16" s="1"/>
  <c r="F148" i="16" s="1"/>
  <c r="AB148" i="16"/>
  <c r="BA148" i="16"/>
  <c r="AV106" i="16"/>
  <c r="AX106" i="16" s="1"/>
  <c r="AZ106" i="16" s="1"/>
  <c r="AW106" i="16"/>
  <c r="AY106" i="16" s="1"/>
  <c r="BA106" i="16" s="1"/>
  <c r="BA141" i="16"/>
  <c r="AB141" i="16"/>
  <c r="BB141" i="16"/>
  <c r="G141" i="16" s="1"/>
  <c r="F141" i="16" s="1"/>
  <c r="BB144" i="16"/>
  <c r="G144" i="16" s="1"/>
  <c r="F144" i="16" s="1"/>
  <c r="AB144" i="16"/>
  <c r="BA144" i="16"/>
  <c r="AB129" i="16"/>
  <c r="BA129" i="16"/>
  <c r="BB129" i="16"/>
  <c r="G129" i="16" s="1"/>
  <c r="F129" i="16" s="1"/>
  <c r="AB134" i="16"/>
  <c r="BA134" i="16"/>
  <c r="BB134" i="16"/>
  <c r="G134" i="16" s="1"/>
  <c r="F134" i="16" s="1"/>
  <c r="D22" i="16"/>
  <c r="C5" i="16"/>
  <c r="C3" i="16"/>
  <c r="D3" i="16"/>
  <c r="C22" i="16"/>
  <c r="BB137" i="16"/>
  <c r="G137" i="16" s="1"/>
  <c r="F137" i="16" s="1"/>
  <c r="BA137" i="16"/>
  <c r="AB137" i="16"/>
  <c r="BA149" i="16"/>
  <c r="AB149" i="16"/>
  <c r="BB149" i="16"/>
  <c r="G149" i="16" s="1"/>
  <c r="F149" i="16" s="1"/>
  <c r="T183" i="17"/>
  <c r="R184" i="17" s="1"/>
  <c r="S184" i="17"/>
  <c r="T184" i="17" s="1"/>
  <c r="AW114" i="15"/>
  <c r="AX113" i="15"/>
  <c r="BD84" i="15" s="1"/>
  <c r="BA60" i="15"/>
  <c r="BC85" i="15"/>
  <c r="BC86" i="15" s="1"/>
  <c r="BE60" i="15"/>
  <c r="BE62" i="15" s="1"/>
  <c r="BE63" i="15" s="1"/>
  <c r="AW180" i="17" l="1"/>
  <c r="AY180" i="17" s="1"/>
  <c r="BA180" i="17" s="1"/>
  <c r="BB176" i="17"/>
  <c r="BC176" i="17"/>
  <c r="G176" i="17" s="1"/>
  <c r="F176" i="17" s="1"/>
  <c r="AB176" i="17"/>
  <c r="AX150" i="17"/>
  <c r="AZ150" i="17" s="1"/>
  <c r="BB150" i="17" s="1"/>
  <c r="AW150" i="17"/>
  <c r="AY150" i="17" s="1"/>
  <c r="BA150" i="17" s="1"/>
  <c r="AB171" i="17"/>
  <c r="BC171" i="17"/>
  <c r="G171" i="17" s="1"/>
  <c r="F171" i="17" s="1"/>
  <c r="BB171" i="17"/>
  <c r="BB170" i="17"/>
  <c r="BC170" i="17"/>
  <c r="G170" i="17" s="1"/>
  <c r="F170" i="17" s="1"/>
  <c r="AB170" i="17"/>
  <c r="AX144" i="17"/>
  <c r="AZ144" i="17" s="1"/>
  <c r="BB144" i="17" s="1"/>
  <c r="AW144" i="17"/>
  <c r="AY144" i="17" s="1"/>
  <c r="BA144" i="17" s="1"/>
  <c r="AW142" i="17"/>
  <c r="AY142" i="17" s="1"/>
  <c r="BA142" i="17" s="1"/>
  <c r="AX142" i="17"/>
  <c r="AZ142" i="17" s="1"/>
  <c r="BB142" i="17" s="1"/>
  <c r="AX147" i="17"/>
  <c r="AZ147" i="17" s="1"/>
  <c r="BB147" i="17" s="1"/>
  <c r="AW147" i="17"/>
  <c r="AY147" i="17" s="1"/>
  <c r="BA147" i="17" s="1"/>
  <c r="AW161" i="17"/>
  <c r="AY161" i="17" s="1"/>
  <c r="BA161" i="17" s="1"/>
  <c r="AX161" i="17"/>
  <c r="AZ161" i="17" s="1"/>
  <c r="BB168" i="17"/>
  <c r="AB168" i="17"/>
  <c r="BC168" i="17"/>
  <c r="G168" i="17" s="1"/>
  <c r="F168" i="17" s="1"/>
  <c r="BC178" i="17"/>
  <c r="G178" i="17" s="1"/>
  <c r="F178" i="17" s="1"/>
  <c r="AB178" i="17"/>
  <c r="BB178" i="17"/>
  <c r="BB177" i="17"/>
  <c r="AB177" i="17"/>
  <c r="BC177" i="17"/>
  <c r="G177" i="17" s="1"/>
  <c r="F177" i="17" s="1"/>
  <c r="AW143" i="17"/>
  <c r="AY143" i="17" s="1"/>
  <c r="BA143" i="17" s="1"/>
  <c r="AX143" i="17"/>
  <c r="AZ143" i="17" s="1"/>
  <c r="BB143" i="17" s="1"/>
  <c r="BC163" i="17"/>
  <c r="G163" i="17" s="1"/>
  <c r="F163" i="17" s="1"/>
  <c r="AB163" i="17"/>
  <c r="BB163" i="17"/>
  <c r="AW145" i="17"/>
  <c r="AY145" i="17" s="1"/>
  <c r="BA145" i="17" s="1"/>
  <c r="AX145" i="17"/>
  <c r="AZ145" i="17" s="1"/>
  <c r="BB145" i="17" s="1"/>
  <c r="AW148" i="17"/>
  <c r="AY148" i="17" s="1"/>
  <c r="BA148" i="17" s="1"/>
  <c r="AX148" i="17"/>
  <c r="AZ148" i="17" s="1"/>
  <c r="BB148" i="17" s="1"/>
  <c r="AW149" i="17"/>
  <c r="AY149" i="17" s="1"/>
  <c r="BA149" i="17" s="1"/>
  <c r="AX149" i="17"/>
  <c r="AZ149" i="17" s="1"/>
  <c r="BB149" i="17" s="1"/>
  <c r="AB169" i="17"/>
  <c r="BC169" i="17"/>
  <c r="G169" i="17" s="1"/>
  <c r="F169" i="17" s="1"/>
  <c r="BB169" i="17"/>
  <c r="BC162" i="17"/>
  <c r="G162" i="17" s="1"/>
  <c r="F162" i="17" s="1"/>
  <c r="AB162" i="17"/>
  <c r="BB162" i="17"/>
  <c r="BC164" i="17"/>
  <c r="G164" i="17" s="1"/>
  <c r="F164" i="17" s="1"/>
  <c r="BB164" i="17"/>
  <c r="AB164" i="17"/>
  <c r="AB173" i="17"/>
  <c r="BC173" i="17"/>
  <c r="G173" i="17" s="1"/>
  <c r="F173" i="17" s="1"/>
  <c r="BB173" i="17"/>
  <c r="BC165" i="17"/>
  <c r="G165" i="17" s="1"/>
  <c r="F165" i="17" s="1"/>
  <c r="BB165" i="17"/>
  <c r="AB165" i="17"/>
  <c r="AT155" i="17"/>
  <c r="AU140" i="17"/>
  <c r="BC167" i="17"/>
  <c r="G167" i="17" s="1"/>
  <c r="F167" i="17" s="1"/>
  <c r="BB167" i="17"/>
  <c r="AB167" i="17"/>
  <c r="AP130" i="17"/>
  <c r="AU130" i="17" s="1"/>
  <c r="AP123" i="17"/>
  <c r="AU123" i="17" s="1"/>
  <c r="AP109" i="17"/>
  <c r="AU109" i="17" s="1"/>
  <c r="AP112" i="17"/>
  <c r="AU112" i="17" s="1"/>
  <c r="AP108" i="17"/>
  <c r="AU108" i="17" s="1"/>
  <c r="AP120" i="17"/>
  <c r="AU120" i="17" s="1"/>
  <c r="AP118" i="17"/>
  <c r="AU118" i="17" s="1"/>
  <c r="AP122" i="17"/>
  <c r="AU122" i="17" s="1"/>
  <c r="AP110" i="17"/>
  <c r="AU110" i="17" s="1"/>
  <c r="AP127" i="17"/>
  <c r="AU127" i="17" s="1"/>
  <c r="AP119" i="17"/>
  <c r="AU119" i="17" s="1"/>
  <c r="AP114" i="17"/>
  <c r="AU114" i="17" s="1"/>
  <c r="AP113" i="17"/>
  <c r="AU113" i="17" s="1"/>
  <c r="AP126" i="17"/>
  <c r="AU126" i="17" s="1"/>
  <c r="AP125" i="17"/>
  <c r="AU125" i="17" s="1"/>
  <c r="AP111" i="17"/>
  <c r="AU111" i="17" s="1"/>
  <c r="AP129" i="17"/>
  <c r="AU129" i="17" s="1"/>
  <c r="AP121" i="17"/>
  <c r="AU121" i="17" s="1"/>
  <c r="AP124" i="17"/>
  <c r="AU124" i="17" s="1"/>
  <c r="AP107" i="17"/>
  <c r="AP116" i="17"/>
  <c r="AU116" i="17" s="1"/>
  <c r="AP115" i="17"/>
  <c r="AU115" i="17" s="1"/>
  <c r="AP128" i="17"/>
  <c r="AU128" i="17" s="1"/>
  <c r="AP117" i="17"/>
  <c r="AU117" i="17" s="1"/>
  <c r="AX141" i="17"/>
  <c r="AZ141" i="17" s="1"/>
  <c r="BB141" i="17" s="1"/>
  <c r="AW141" i="17"/>
  <c r="AY141" i="17" s="1"/>
  <c r="BA141" i="17" s="1"/>
  <c r="AW146" i="17"/>
  <c r="AY146" i="17" s="1"/>
  <c r="BA146" i="17" s="1"/>
  <c r="AX146" i="17"/>
  <c r="AZ146" i="17" s="1"/>
  <c r="BB146" i="17" s="1"/>
  <c r="AX151" i="17"/>
  <c r="AZ151" i="17" s="1"/>
  <c r="BB151" i="17" s="1"/>
  <c r="AW151" i="17"/>
  <c r="AY151" i="17" s="1"/>
  <c r="BA151" i="17" s="1"/>
  <c r="BC180" i="17"/>
  <c r="G180" i="17" s="1"/>
  <c r="F180" i="17" s="1"/>
  <c r="AB180" i="17"/>
  <c r="BB180" i="17"/>
  <c r="BC174" i="17"/>
  <c r="G174" i="17" s="1"/>
  <c r="F174" i="17" s="1"/>
  <c r="BB174" i="17"/>
  <c r="AB174" i="17"/>
  <c r="BC166" i="17"/>
  <c r="G166" i="17" s="1"/>
  <c r="F166" i="17" s="1"/>
  <c r="AB166" i="17"/>
  <c r="BB166" i="17"/>
  <c r="BC179" i="17"/>
  <c r="G179" i="17" s="1"/>
  <c r="F179" i="17" s="1"/>
  <c r="BB179" i="17"/>
  <c r="AB179" i="17"/>
  <c r="BK103" i="16"/>
  <c r="BL103" i="16" s="1"/>
  <c r="BK116" i="16"/>
  <c r="BL116" i="16" s="1"/>
  <c r="BK110" i="16"/>
  <c r="BL110" i="16" s="1"/>
  <c r="BK119" i="16"/>
  <c r="BL119" i="16" s="1"/>
  <c r="BK117" i="16"/>
  <c r="BL117" i="16" s="1"/>
  <c r="BK107" i="16"/>
  <c r="BL107" i="16" s="1"/>
  <c r="BK100" i="16"/>
  <c r="BL100" i="16" s="1"/>
  <c r="BK102" i="16"/>
  <c r="BL102" i="16" s="1"/>
  <c r="BK104" i="16"/>
  <c r="BL104" i="16" s="1"/>
  <c r="BK99" i="16"/>
  <c r="BK114" i="16"/>
  <c r="BL114" i="16" s="1"/>
  <c r="BK120" i="16"/>
  <c r="BL120" i="16" s="1"/>
  <c r="CR30" i="16"/>
  <c r="BK111" i="16"/>
  <c r="BL111" i="16" s="1"/>
  <c r="BK105" i="16"/>
  <c r="BL105" i="16" s="1"/>
  <c r="BK106" i="16"/>
  <c r="BL106" i="16" s="1"/>
  <c r="BK109" i="16"/>
  <c r="BL109" i="16" s="1"/>
  <c r="BK101" i="16"/>
  <c r="BL101" i="16" s="1"/>
  <c r="BK115" i="16"/>
  <c r="BL115" i="16" s="1"/>
  <c r="BK113" i="16"/>
  <c r="BL113" i="16" s="1"/>
  <c r="CJ67" i="16"/>
  <c r="BK112" i="16"/>
  <c r="BL112" i="16" s="1"/>
  <c r="BX67" i="16"/>
  <c r="BK118" i="16"/>
  <c r="BL118" i="16" s="1"/>
  <c r="BX30" i="16"/>
  <c r="D5" i="16"/>
  <c r="BK108" i="16"/>
  <c r="BL108" i="16" s="1"/>
  <c r="BK121" i="16"/>
  <c r="BL121" i="16" s="1"/>
  <c r="BK122" i="16"/>
  <c r="BL122" i="16" s="1"/>
  <c r="BK123" i="16"/>
  <c r="BL123" i="16" s="1"/>
  <c r="BK124" i="16"/>
  <c r="BL124" i="16" s="1"/>
  <c r="BK125" i="16"/>
  <c r="BL125" i="16" s="1"/>
  <c r="BK126" i="16"/>
  <c r="BL126" i="16" s="1"/>
  <c r="BK127" i="16"/>
  <c r="BL127" i="16" s="1"/>
  <c r="BK128" i="16"/>
  <c r="BG59" i="15"/>
  <c r="BG62" i="15" s="1"/>
  <c r="BG63" i="15" s="1"/>
  <c r="BA59" i="15"/>
  <c r="BD85" i="15"/>
  <c r="BD86" i="15" s="1"/>
  <c r="AX114" i="15"/>
  <c r="BE84" i="15" s="1"/>
  <c r="AW115" i="15"/>
  <c r="CT30" i="16" l="1"/>
  <c r="CT67" i="16"/>
  <c r="AX111" i="17"/>
  <c r="AZ111" i="17" s="1"/>
  <c r="AW111" i="17"/>
  <c r="AY111" i="17" s="1"/>
  <c r="BA111" i="17" s="1"/>
  <c r="AX112" i="17"/>
  <c r="AZ112" i="17" s="1"/>
  <c r="AW112" i="17"/>
  <c r="AY112" i="17" s="1"/>
  <c r="BA112" i="17" s="1"/>
  <c r="AW115" i="17"/>
  <c r="AY115" i="17" s="1"/>
  <c r="BA115" i="17" s="1"/>
  <c r="AX115" i="17"/>
  <c r="AZ115" i="17" s="1"/>
  <c r="AW127" i="17"/>
  <c r="AY127" i="17" s="1"/>
  <c r="BA127" i="17" s="1"/>
  <c r="AX127" i="17"/>
  <c r="AZ127" i="17" s="1"/>
  <c r="AW120" i="17"/>
  <c r="AY120" i="17" s="1"/>
  <c r="BA120" i="17" s="1"/>
  <c r="AX120" i="17"/>
  <c r="AZ120" i="17" s="1"/>
  <c r="AW116" i="17"/>
  <c r="AY116" i="17" s="1"/>
  <c r="BA116" i="17" s="1"/>
  <c r="AX116" i="17"/>
  <c r="AZ116" i="17" s="1"/>
  <c r="AW129" i="17"/>
  <c r="AY129" i="17" s="1"/>
  <c r="BA129" i="17" s="1"/>
  <c r="AX129" i="17"/>
  <c r="AZ129" i="17" s="1"/>
  <c r="AW113" i="17"/>
  <c r="AY113" i="17" s="1"/>
  <c r="BA113" i="17" s="1"/>
  <c r="AX113" i="17"/>
  <c r="AZ113" i="17" s="1"/>
  <c r="AW110" i="17"/>
  <c r="AY110" i="17" s="1"/>
  <c r="BA110" i="17" s="1"/>
  <c r="AX110" i="17"/>
  <c r="AZ110" i="17" s="1"/>
  <c r="AW108" i="17"/>
  <c r="AY108" i="17" s="1"/>
  <c r="BA108" i="17" s="1"/>
  <c r="AX108" i="17"/>
  <c r="AZ108" i="17" s="1"/>
  <c r="AW130" i="17"/>
  <c r="AY130" i="17" s="1"/>
  <c r="BA130" i="17" s="1"/>
  <c r="AX130" i="17"/>
  <c r="AZ130" i="17" s="1"/>
  <c r="AW140" i="17"/>
  <c r="AY140" i="17" s="1"/>
  <c r="BA140" i="17" s="1"/>
  <c r="AX140" i="17"/>
  <c r="AZ140" i="17" s="1"/>
  <c r="BB140" i="17" s="1"/>
  <c r="AU107" i="17"/>
  <c r="C9" i="17"/>
  <c r="AW122" i="17"/>
  <c r="AY122" i="17" s="1"/>
  <c r="BA122" i="17" s="1"/>
  <c r="AX122" i="17"/>
  <c r="AZ122" i="17" s="1"/>
  <c r="AB161" i="17"/>
  <c r="BB161" i="17"/>
  <c r="AX128" i="17"/>
  <c r="AZ128" i="17" s="1"/>
  <c r="AW128" i="17"/>
  <c r="AY128" i="17" s="1"/>
  <c r="BA128" i="17" s="1"/>
  <c r="AW124" i="17"/>
  <c r="AY124" i="17" s="1"/>
  <c r="BA124" i="17" s="1"/>
  <c r="AX124" i="17"/>
  <c r="AZ124" i="17" s="1"/>
  <c r="AW125" i="17"/>
  <c r="AY125" i="17" s="1"/>
  <c r="BA125" i="17" s="1"/>
  <c r="AX125" i="17"/>
  <c r="AZ125" i="17" s="1"/>
  <c r="AW119" i="17"/>
  <c r="AY119" i="17" s="1"/>
  <c r="BA119" i="17" s="1"/>
  <c r="AX119" i="17"/>
  <c r="AZ119" i="17" s="1"/>
  <c r="AW118" i="17"/>
  <c r="AY118" i="17" s="1"/>
  <c r="BA118" i="17" s="1"/>
  <c r="AX118" i="17"/>
  <c r="AZ118" i="17" s="1"/>
  <c r="AW109" i="17"/>
  <c r="AY109" i="17" s="1"/>
  <c r="BA109" i="17" s="1"/>
  <c r="AX109" i="17"/>
  <c r="AZ109" i="17" s="1"/>
  <c r="AX117" i="17"/>
  <c r="AZ117" i="17" s="1"/>
  <c r="AW117" i="17"/>
  <c r="AY117" i="17" s="1"/>
  <c r="BA117" i="17" s="1"/>
  <c r="AW114" i="17"/>
  <c r="AY114" i="17" s="1"/>
  <c r="BA114" i="17" s="1"/>
  <c r="AX114" i="17"/>
  <c r="AZ114" i="17" s="1"/>
  <c r="AX121" i="17"/>
  <c r="AZ121" i="17" s="1"/>
  <c r="AW121" i="17"/>
  <c r="AY121" i="17" s="1"/>
  <c r="BA121" i="17" s="1"/>
  <c r="AX126" i="17"/>
  <c r="AZ126" i="17" s="1"/>
  <c r="AW126" i="17"/>
  <c r="AY126" i="17" s="1"/>
  <c r="BA126" i="17" s="1"/>
  <c r="AW123" i="17"/>
  <c r="AY123" i="17" s="1"/>
  <c r="BA123" i="17" s="1"/>
  <c r="AX123" i="17"/>
  <c r="AZ123" i="17" s="1"/>
  <c r="CJ28" i="16"/>
  <c r="BP28" i="16"/>
  <c r="BL99" i="16"/>
  <c r="BN92" i="16"/>
  <c r="CU92" i="16"/>
  <c r="BL128" i="16"/>
  <c r="BN67" i="16"/>
  <c r="BN30" i="16"/>
  <c r="BA58" i="15"/>
  <c r="BE85" i="15"/>
  <c r="BE86" i="15" s="1"/>
  <c r="BI58" i="15"/>
  <c r="AX115" i="15"/>
  <c r="BF84" i="15" s="1"/>
  <c r="AW116" i="15"/>
  <c r="CT28" i="16" l="1"/>
  <c r="CU67" i="16" s="1"/>
  <c r="D84" i="16" s="1"/>
  <c r="D86" i="16" s="1"/>
  <c r="AB121" i="17"/>
  <c r="BB121" i="17"/>
  <c r="BC121" i="17"/>
  <c r="G121" i="17" s="1"/>
  <c r="F121" i="17" s="1"/>
  <c r="BB128" i="17"/>
  <c r="AB128" i="17"/>
  <c r="BC128" i="17"/>
  <c r="G128" i="17" s="1"/>
  <c r="F128" i="17" s="1"/>
  <c r="BB123" i="17"/>
  <c r="AB123" i="17"/>
  <c r="BC123" i="17"/>
  <c r="G123" i="17" s="1"/>
  <c r="F123" i="17" s="1"/>
  <c r="AB118" i="17"/>
  <c r="BC118" i="17"/>
  <c r="G118" i="17" s="1"/>
  <c r="F118" i="17" s="1"/>
  <c r="BB118" i="17"/>
  <c r="BC125" i="17"/>
  <c r="G125" i="17" s="1"/>
  <c r="F125" i="17" s="1"/>
  <c r="AB125" i="17"/>
  <c r="BB125" i="17"/>
  <c r="BC122" i="17"/>
  <c r="G122" i="17" s="1"/>
  <c r="F122" i="17" s="1"/>
  <c r="BB122" i="17"/>
  <c r="AB122" i="17"/>
  <c r="BB108" i="17"/>
  <c r="AB108" i="17"/>
  <c r="BC108" i="17"/>
  <c r="G108" i="17" s="1"/>
  <c r="F108" i="17" s="1"/>
  <c r="AB113" i="17"/>
  <c r="BB113" i="17"/>
  <c r="BC113" i="17"/>
  <c r="G113" i="17" s="1"/>
  <c r="F113" i="17" s="1"/>
  <c r="AB116" i="17"/>
  <c r="BB116" i="17"/>
  <c r="BC116" i="17"/>
  <c r="G116" i="17" s="1"/>
  <c r="F116" i="17" s="1"/>
  <c r="BB127" i="17"/>
  <c r="BC127" i="17"/>
  <c r="G127" i="17" s="1"/>
  <c r="F127" i="17" s="1"/>
  <c r="AB127" i="17"/>
  <c r="AB117" i="17"/>
  <c r="BC117" i="17"/>
  <c r="G117" i="17" s="1"/>
  <c r="F117" i="17" s="1"/>
  <c r="BB117" i="17"/>
  <c r="BB112" i="17"/>
  <c r="BC112" i="17"/>
  <c r="G112" i="17" s="1"/>
  <c r="F112" i="17" s="1"/>
  <c r="AB112" i="17"/>
  <c r="BC114" i="17"/>
  <c r="G114" i="17" s="1"/>
  <c r="F114" i="17" s="1"/>
  <c r="BB114" i="17"/>
  <c r="AB114" i="17"/>
  <c r="AB109" i="17"/>
  <c r="BC109" i="17"/>
  <c r="G109" i="17" s="1"/>
  <c r="F109" i="17" s="1"/>
  <c r="BB109" i="17"/>
  <c r="BC119" i="17"/>
  <c r="G119" i="17" s="1"/>
  <c r="F119" i="17" s="1"/>
  <c r="AB119" i="17"/>
  <c r="BB119" i="17"/>
  <c r="AB124" i="17"/>
  <c r="BB124" i="17"/>
  <c r="BC124" i="17"/>
  <c r="G124" i="17" s="1"/>
  <c r="F124" i="17" s="1"/>
  <c r="D3" i="17"/>
  <c r="D22" i="17"/>
  <c r="C22" i="17"/>
  <c r="C5" i="17"/>
  <c r="C3" i="17"/>
  <c r="BC130" i="17"/>
  <c r="G130" i="17" s="1"/>
  <c r="F130" i="17" s="1"/>
  <c r="BB130" i="17"/>
  <c r="AB130" i="17"/>
  <c r="BC110" i="17"/>
  <c r="G110" i="17" s="1"/>
  <c r="F110" i="17" s="1"/>
  <c r="BB110" i="17"/>
  <c r="AB110" i="17"/>
  <c r="AB129" i="17"/>
  <c r="BB129" i="17"/>
  <c r="BC129" i="17"/>
  <c r="G129" i="17" s="1"/>
  <c r="F129" i="17" s="1"/>
  <c r="AB120" i="17"/>
  <c r="BC120" i="17"/>
  <c r="G120" i="17" s="1"/>
  <c r="F120" i="17" s="1"/>
  <c r="BB120" i="17"/>
  <c r="BC115" i="17"/>
  <c r="G115" i="17" s="1"/>
  <c r="F115" i="17" s="1"/>
  <c r="BB115" i="17"/>
  <c r="AB115" i="17"/>
  <c r="BB126" i="17"/>
  <c r="AB126" i="17"/>
  <c r="BC126" i="17"/>
  <c r="G126" i="17" s="1"/>
  <c r="F126" i="17" s="1"/>
  <c r="AX107" i="17"/>
  <c r="AZ107" i="17" s="1"/>
  <c r="AW107" i="17"/>
  <c r="AY107" i="17" s="1"/>
  <c r="BA107" i="17" s="1"/>
  <c r="BB111" i="17"/>
  <c r="BC111" i="17"/>
  <c r="G111" i="17" s="1"/>
  <c r="F111" i="17" s="1"/>
  <c r="AB111" i="17"/>
  <c r="D97" i="16"/>
  <c r="D99" i="16"/>
  <c r="BM99" i="16"/>
  <c r="D100" i="16"/>
  <c r="D98" i="16"/>
  <c r="BN28" i="16"/>
  <c r="BM67" i="16" s="1"/>
  <c r="B84" i="16" s="1"/>
  <c r="B86" i="16" s="1"/>
  <c r="BK57" i="15"/>
  <c r="BK62" i="15" s="1"/>
  <c r="BK63" i="15" s="1"/>
  <c r="BF85" i="15"/>
  <c r="BF86" i="15" s="1"/>
  <c r="BA57" i="15"/>
  <c r="AX116" i="15"/>
  <c r="BG84" i="15" s="1"/>
  <c r="AW117" i="15"/>
  <c r="AB107" i="17" l="1"/>
  <c r="BB107" i="17"/>
  <c r="CK67" i="17"/>
  <c r="BL118" i="17"/>
  <c r="BM118" i="17" s="1"/>
  <c r="BL115" i="17"/>
  <c r="BM115" i="17" s="1"/>
  <c r="BL108" i="17"/>
  <c r="BL111" i="17"/>
  <c r="BM111" i="17" s="1"/>
  <c r="BL125" i="17"/>
  <c r="BM125" i="17" s="1"/>
  <c r="BL129" i="17"/>
  <c r="BM129" i="17" s="1"/>
  <c r="BL133" i="17"/>
  <c r="BM133" i="17" s="1"/>
  <c r="BL137" i="17"/>
  <c r="BY30" i="17"/>
  <c r="BL123" i="17"/>
  <c r="BM123" i="17" s="1"/>
  <c r="BL117" i="17"/>
  <c r="BM117" i="17" s="1"/>
  <c r="CS30" i="17"/>
  <c r="BL122" i="17"/>
  <c r="BM122" i="17" s="1"/>
  <c r="BL119" i="17"/>
  <c r="BM119" i="17" s="1"/>
  <c r="BL112" i="17"/>
  <c r="BM112" i="17" s="1"/>
  <c r="BL113" i="17"/>
  <c r="BM113" i="17" s="1"/>
  <c r="BL126" i="17"/>
  <c r="BM126" i="17" s="1"/>
  <c r="BL130" i="17"/>
  <c r="BM130" i="17" s="1"/>
  <c r="BL134" i="17"/>
  <c r="BM134" i="17" s="1"/>
  <c r="BL110" i="17"/>
  <c r="BM110" i="17" s="1"/>
  <c r="BL116" i="17"/>
  <c r="BM116" i="17" s="1"/>
  <c r="BL127" i="17"/>
  <c r="BM127" i="17" s="1"/>
  <c r="BL135" i="17"/>
  <c r="BM135" i="17" s="1"/>
  <c r="BY67" i="17"/>
  <c r="CU67" i="17" s="1"/>
  <c r="BL114" i="17"/>
  <c r="BM114" i="17" s="1"/>
  <c r="BL109" i="17"/>
  <c r="BM109" i="17" s="1"/>
  <c r="BL124" i="17"/>
  <c r="BM124" i="17" s="1"/>
  <c r="BL120" i="17"/>
  <c r="BM120" i="17" s="1"/>
  <c r="BL121" i="17"/>
  <c r="BM121" i="17" s="1"/>
  <c r="BL128" i="17"/>
  <c r="BM128" i="17" s="1"/>
  <c r="BL132" i="17"/>
  <c r="BM132" i="17" s="1"/>
  <c r="BL136" i="17"/>
  <c r="BM136" i="17" s="1"/>
  <c r="D5" i="17"/>
  <c r="BL131" i="17"/>
  <c r="BM131" i="17" s="1"/>
  <c r="B65" i="16"/>
  <c r="B68" i="16" s="1"/>
  <c r="E86" i="16"/>
  <c r="E65" i="16" s="1"/>
  <c r="E68" i="16" s="1"/>
  <c r="BN99" i="16"/>
  <c r="BP84" i="16" s="1"/>
  <c r="BP85" i="16" s="1"/>
  <c r="BP86" i="16" s="1"/>
  <c r="BM100" i="16"/>
  <c r="BB56" i="15"/>
  <c r="BG85" i="15"/>
  <c r="BG86" i="15" s="1"/>
  <c r="BL56" i="15"/>
  <c r="AX117" i="15"/>
  <c r="BH84" i="15" s="1"/>
  <c r="AW118" i="15"/>
  <c r="BO30" i="17" l="1"/>
  <c r="BO67" i="17"/>
  <c r="CK28" i="17"/>
  <c r="BQ28" i="17"/>
  <c r="CU30" i="17"/>
  <c r="BM108" i="17"/>
  <c r="BP92" i="17"/>
  <c r="BM137" i="17"/>
  <c r="CV92" i="17"/>
  <c r="BN100" i="16"/>
  <c r="BQ84" i="16" s="1"/>
  <c r="BM101" i="16"/>
  <c r="BM55" i="15"/>
  <c r="BM62" i="15" s="1"/>
  <c r="BM63" i="15" s="1"/>
  <c r="BC55" i="15"/>
  <c r="BC62" i="15" s="1"/>
  <c r="BC63" i="15" s="1"/>
  <c r="BH85" i="15"/>
  <c r="BH86" i="15" s="1"/>
  <c r="AX118" i="15"/>
  <c r="BI84" i="15" s="1"/>
  <c r="AW119" i="15"/>
  <c r="CU28" i="17" l="1"/>
  <c r="CV67" i="17" s="1"/>
  <c r="D85" i="17" s="1"/>
  <c r="D99" i="17"/>
  <c r="D101" i="17"/>
  <c r="D100" i="17"/>
  <c r="D98" i="17"/>
  <c r="BO28" i="17"/>
  <c r="BN67" i="17" s="1"/>
  <c r="B85" i="17" s="1"/>
  <c r="BN108" i="17"/>
  <c r="BN101" i="16"/>
  <c r="BR84" i="16" s="1"/>
  <c r="BM102" i="16"/>
  <c r="BP61" i="16"/>
  <c r="BR61" i="16"/>
  <c r="BQ85" i="16"/>
  <c r="BQ86" i="16" s="1"/>
  <c r="BA54" i="15"/>
  <c r="BI85" i="15"/>
  <c r="BI86" i="15" s="1"/>
  <c r="BQ54" i="15"/>
  <c r="BQ62" i="15" s="1"/>
  <c r="BQ63" i="15" s="1"/>
  <c r="AX119" i="15"/>
  <c r="BJ84" i="15" s="1"/>
  <c r="AW120" i="15"/>
  <c r="E86" i="17" l="1"/>
  <c r="BN109" i="17"/>
  <c r="BO108" i="17"/>
  <c r="BQ84" i="17" s="1"/>
  <c r="BQ85" i="17" s="1"/>
  <c r="BQ86" i="17" s="1"/>
  <c r="B86" i="17"/>
  <c r="D86" i="17"/>
  <c r="BM103" i="16"/>
  <c r="BN102" i="16"/>
  <c r="BS84" i="16" s="1"/>
  <c r="BR85" i="16"/>
  <c r="BR86" i="16" s="1"/>
  <c r="BP60" i="16"/>
  <c r="BT60" i="16"/>
  <c r="BT62" i="16" s="1"/>
  <c r="BT63" i="16" s="1"/>
  <c r="BS53" i="15"/>
  <c r="BS62" i="15" s="1"/>
  <c r="BS63" i="15" s="1"/>
  <c r="BJ85" i="15"/>
  <c r="BJ86" i="15" s="1"/>
  <c r="BI80" i="15"/>
  <c r="BA53" i="15"/>
  <c r="BK80" i="15"/>
  <c r="AX120" i="15"/>
  <c r="BK84" i="15" s="1"/>
  <c r="AW121" i="15"/>
  <c r="F80" i="17" l="1"/>
  <c r="E81" i="17" s="1"/>
  <c r="BN110" i="17"/>
  <c r="BO109" i="17"/>
  <c r="BR84" i="17" s="1"/>
  <c r="D80" i="17"/>
  <c r="B81" i="17" s="1"/>
  <c r="BS85" i="16"/>
  <c r="BS86" i="16" s="1"/>
  <c r="BP59" i="16"/>
  <c r="BV59" i="16"/>
  <c r="BV62" i="16" s="1"/>
  <c r="BV63" i="16" s="1"/>
  <c r="BM104" i="16"/>
  <c r="BN103" i="16"/>
  <c r="BT84" i="16" s="1"/>
  <c r="BM79" i="15"/>
  <c r="BA52" i="15"/>
  <c r="BA62" i="15" s="1"/>
  <c r="BA63" i="15" s="1"/>
  <c r="BK85" i="15"/>
  <c r="BK86" i="15" s="1"/>
  <c r="BI79" i="15"/>
  <c r="BU52" i="15"/>
  <c r="BU62" i="15" s="1"/>
  <c r="BU63" i="15" s="1"/>
  <c r="AX121" i="15"/>
  <c r="BL84" i="15" s="1"/>
  <c r="AW122" i="15"/>
  <c r="BO110" i="17" l="1"/>
  <c r="BS84" i="17" s="1"/>
  <c r="BN111" i="17"/>
  <c r="BS61" i="17"/>
  <c r="BQ61" i="17"/>
  <c r="BR85" i="17"/>
  <c r="BR86" i="17" s="1"/>
  <c r="BM105" i="16"/>
  <c r="BN104" i="16"/>
  <c r="BU84" i="16" s="1"/>
  <c r="BX58" i="16"/>
  <c r="BT85" i="16"/>
  <c r="BT86" i="16" s="1"/>
  <c r="BP58" i="16"/>
  <c r="AW123" i="15"/>
  <c r="AX122" i="15"/>
  <c r="BM84" i="15" s="1"/>
  <c r="BV51" i="15"/>
  <c r="BK78" i="15"/>
  <c r="BK82" i="15" s="1"/>
  <c r="BB51" i="15"/>
  <c r="BB62" i="15" s="1"/>
  <c r="BB63" i="15" s="1"/>
  <c r="BM78" i="15"/>
  <c r="BM82" i="15" s="1"/>
  <c r="BL85" i="15"/>
  <c r="BL86" i="15" s="1"/>
  <c r="BU60" i="17" l="1"/>
  <c r="BU62" i="17" s="1"/>
  <c r="BU63" i="17" s="1"/>
  <c r="BQ60" i="17"/>
  <c r="BS85" i="17"/>
  <c r="BS86" i="17" s="1"/>
  <c r="BO111" i="17"/>
  <c r="BT84" i="17" s="1"/>
  <c r="BN112" i="17"/>
  <c r="BP57" i="16"/>
  <c r="BZ57" i="16"/>
  <c r="BZ62" i="16" s="1"/>
  <c r="BZ63" i="16" s="1"/>
  <c r="BU85" i="16"/>
  <c r="BU86" i="16" s="1"/>
  <c r="BM106" i="16"/>
  <c r="BN105" i="16"/>
  <c r="BV84" i="16" s="1"/>
  <c r="BQ77" i="15"/>
  <c r="BQ82" i="15" s="1"/>
  <c r="BD50" i="15"/>
  <c r="BD62" i="15" s="1"/>
  <c r="BD63" i="15" s="1"/>
  <c r="BI77" i="15"/>
  <c r="BM85" i="15"/>
  <c r="BM86" i="15" s="1"/>
  <c r="BV50" i="15"/>
  <c r="AW124" i="15"/>
  <c r="AX123" i="15"/>
  <c r="BN84" i="15" s="1"/>
  <c r="BW59" i="17" l="1"/>
  <c r="BW62" i="17" s="1"/>
  <c r="BW63" i="17" s="1"/>
  <c r="BQ59" i="17"/>
  <c r="BT85" i="17"/>
  <c r="BT86" i="17" s="1"/>
  <c r="BO112" i="17"/>
  <c r="BU84" i="17" s="1"/>
  <c r="BN113" i="17"/>
  <c r="BN106" i="16"/>
  <c r="BW84" i="16" s="1"/>
  <c r="BM107" i="16"/>
  <c r="BQ56" i="16"/>
  <c r="CA56" i="16"/>
  <c r="BV85" i="16"/>
  <c r="BV86" i="16" s="1"/>
  <c r="BV49" i="15"/>
  <c r="BN85" i="15"/>
  <c r="BN86" i="15" s="1"/>
  <c r="BI76" i="15"/>
  <c r="BF49" i="15"/>
  <c r="BF62" i="15" s="1"/>
  <c r="BF63" i="15" s="1"/>
  <c r="BS76" i="15"/>
  <c r="BS82" i="15" s="1"/>
  <c r="AW125" i="15"/>
  <c r="AX124" i="15"/>
  <c r="BO84" i="15" s="1"/>
  <c r="BQ58" i="17" l="1"/>
  <c r="BY58" i="17"/>
  <c r="BU85" i="17"/>
  <c r="BU86" i="17" s="1"/>
  <c r="BN114" i="17"/>
  <c r="BO113" i="17"/>
  <c r="BV84" i="17" s="1"/>
  <c r="BM108" i="16"/>
  <c r="BN107" i="16"/>
  <c r="BX84" i="16" s="1"/>
  <c r="BR55" i="16"/>
  <c r="BR62" i="16" s="1"/>
  <c r="BR63" i="16" s="1"/>
  <c r="CB55" i="16"/>
  <c r="CB62" i="16" s="1"/>
  <c r="CB63" i="16" s="1"/>
  <c r="BW85" i="16"/>
  <c r="BW86" i="16" s="1"/>
  <c r="BU75" i="15"/>
  <c r="BU82" i="15" s="1"/>
  <c r="BH48" i="15"/>
  <c r="BH62" i="15" s="1"/>
  <c r="BH63" i="15" s="1"/>
  <c r="BO85" i="15"/>
  <c r="BO86" i="15" s="1"/>
  <c r="BI75" i="15"/>
  <c r="BI82" i="15" s="1"/>
  <c r="BV48" i="15"/>
  <c r="AX125" i="15"/>
  <c r="BP84" i="15" s="1"/>
  <c r="AW126" i="15"/>
  <c r="BV85" i="17" l="1"/>
  <c r="BV86" i="17" s="1"/>
  <c r="BQ57" i="17"/>
  <c r="CA57" i="17"/>
  <c r="CA62" i="17" s="1"/>
  <c r="CA63" i="17" s="1"/>
  <c r="BO114" i="17"/>
  <c r="BW84" i="17" s="1"/>
  <c r="BN115" i="17"/>
  <c r="CF54" i="16"/>
  <c r="CF62" i="16" s="1"/>
  <c r="CF63" i="16" s="1"/>
  <c r="BX85" i="16"/>
  <c r="BX86" i="16" s="1"/>
  <c r="BP54" i="16"/>
  <c r="BN108" i="16"/>
  <c r="BY84" i="16" s="1"/>
  <c r="BM109" i="16"/>
  <c r="AW127" i="15"/>
  <c r="AX126" i="15"/>
  <c r="BQ84" i="15" s="1"/>
  <c r="BW47" i="15"/>
  <c r="BW62" i="15" s="1"/>
  <c r="BW63" i="15" s="1"/>
  <c r="BJ74" i="15"/>
  <c r="BJ82" i="15" s="1"/>
  <c r="BI47" i="15"/>
  <c r="BP85" i="15"/>
  <c r="BP86" i="15" s="1"/>
  <c r="BV74" i="15"/>
  <c r="BN116" i="17" l="1"/>
  <c r="BO115" i="17"/>
  <c r="BX84" i="17" s="1"/>
  <c r="CB56" i="17"/>
  <c r="BR56" i="17"/>
  <c r="BW85" i="17"/>
  <c r="BW86" i="17" s="1"/>
  <c r="CH53" i="16"/>
  <c r="CH62" i="16" s="1"/>
  <c r="CH63" i="16" s="1"/>
  <c r="BY85" i="16"/>
  <c r="BY86" i="16" s="1"/>
  <c r="BZ80" i="16"/>
  <c r="BP53" i="16"/>
  <c r="BX80" i="16"/>
  <c r="BN109" i="16"/>
  <c r="BZ84" i="16" s="1"/>
  <c r="BM110" i="16"/>
  <c r="BV73" i="15"/>
  <c r="BI46" i="15"/>
  <c r="BL73" i="15"/>
  <c r="BL82" i="15" s="1"/>
  <c r="BQ85" i="15"/>
  <c r="BQ86" i="15" s="1"/>
  <c r="BY46" i="15"/>
  <c r="BY62" i="15" s="1"/>
  <c r="BY63" i="15" s="1"/>
  <c r="AX127" i="15"/>
  <c r="BR84" i="15" s="1"/>
  <c r="AW128" i="15"/>
  <c r="BN117" i="17" l="1"/>
  <c r="BO116" i="17"/>
  <c r="BY84" i="17" s="1"/>
  <c r="BX85" i="17"/>
  <c r="BX86" i="17" s="1"/>
  <c r="BS55" i="17"/>
  <c r="BS62" i="17" s="1"/>
  <c r="BS63" i="17" s="1"/>
  <c r="CC55" i="17"/>
  <c r="CC62" i="17" s="1"/>
  <c r="CC63" i="17" s="1"/>
  <c r="BM111" i="16"/>
  <c r="BN110" i="16"/>
  <c r="CA84" i="16" s="1"/>
  <c r="CB79" i="16"/>
  <c r="CJ52" i="16"/>
  <c r="CJ62" i="16" s="1"/>
  <c r="CJ63" i="16" s="1"/>
  <c r="BZ85" i="16"/>
  <c r="BZ86" i="16" s="1"/>
  <c r="BP52" i="16"/>
  <c r="BP62" i="16" s="1"/>
  <c r="BP63" i="16" s="1"/>
  <c r="BX79" i="16"/>
  <c r="AW129" i="15"/>
  <c r="AX128" i="15"/>
  <c r="BS84" i="15" s="1"/>
  <c r="CA45" i="15"/>
  <c r="BR85" i="15"/>
  <c r="BR86" i="15" s="1"/>
  <c r="BP72" i="15"/>
  <c r="BI45" i="15"/>
  <c r="BT72" i="15"/>
  <c r="BN118" i="17" l="1"/>
  <c r="BO117" i="17"/>
  <c r="BZ84" i="17" s="1"/>
  <c r="CG54" i="17"/>
  <c r="CG62" i="17" s="1"/>
  <c r="CG63" i="17" s="1"/>
  <c r="BQ54" i="17"/>
  <c r="BY85" i="17"/>
  <c r="BY86" i="17" s="1"/>
  <c r="BZ78" i="16"/>
  <c r="BZ82" i="16" s="1"/>
  <c r="CK51" i="16"/>
  <c r="CA85" i="16"/>
  <c r="CA86" i="16" s="1"/>
  <c r="BQ51" i="16"/>
  <c r="BQ62" i="16" s="1"/>
  <c r="BQ63" i="16" s="1"/>
  <c r="CB78" i="16"/>
  <c r="CB82" i="16" s="1"/>
  <c r="BN111" i="16"/>
  <c r="CB84" i="16" s="1"/>
  <c r="BM112" i="16"/>
  <c r="BV71" i="15"/>
  <c r="BI44" i="15"/>
  <c r="BI62" i="15" s="1"/>
  <c r="BI63" i="15" s="1"/>
  <c r="BS85" i="15"/>
  <c r="BS86" i="15" s="1"/>
  <c r="BP71" i="15"/>
  <c r="BP82" i="15" s="1"/>
  <c r="CC44" i="15"/>
  <c r="CC62" i="15" s="1"/>
  <c r="CC63" i="15" s="1"/>
  <c r="AX129" i="15"/>
  <c r="BT84" i="15" s="1"/>
  <c r="AW130" i="15"/>
  <c r="BN119" i="17" l="1"/>
  <c r="BO118" i="17"/>
  <c r="CA84" i="17" s="1"/>
  <c r="CA80" i="17"/>
  <c r="CI53" i="17"/>
  <c r="CI62" i="17" s="1"/>
  <c r="CI63" i="17" s="1"/>
  <c r="BQ53" i="17"/>
  <c r="BZ85" i="17"/>
  <c r="BZ86" i="17" s="1"/>
  <c r="BY80" i="17"/>
  <c r="BN112" i="16"/>
  <c r="CC84" i="16" s="1"/>
  <c r="BM113" i="16"/>
  <c r="BS50" i="16"/>
  <c r="BS62" i="16" s="1"/>
  <c r="BS63" i="16" s="1"/>
  <c r="BX77" i="16"/>
  <c r="CB85" i="16"/>
  <c r="CB86" i="16" s="1"/>
  <c r="CF77" i="16"/>
  <c r="CF82" i="16" s="1"/>
  <c r="CK50" i="16"/>
  <c r="AW131" i="15"/>
  <c r="AX130" i="15"/>
  <c r="BU84" i="15" s="1"/>
  <c r="CD43" i="15"/>
  <c r="BR70" i="15"/>
  <c r="BR82" i="15" s="1"/>
  <c r="BJ43" i="15"/>
  <c r="BJ62" i="15" s="1"/>
  <c r="BJ63" i="15" s="1"/>
  <c r="BT85" i="15"/>
  <c r="BT86" i="15" s="1"/>
  <c r="BV70" i="15"/>
  <c r="BN120" i="17" l="1"/>
  <c r="BO119" i="17"/>
  <c r="CB84" i="17" s="1"/>
  <c r="CK52" i="17"/>
  <c r="CK62" i="17" s="1"/>
  <c r="CK63" i="17" s="1"/>
  <c r="BQ52" i="17"/>
  <c r="BQ62" i="17" s="1"/>
  <c r="BQ63" i="17" s="1"/>
  <c r="BY79" i="17"/>
  <c r="CC79" i="17"/>
  <c r="CA85" i="17"/>
  <c r="CA86" i="17" s="1"/>
  <c r="BN113" i="16"/>
  <c r="CD84" i="16" s="1"/>
  <c r="BM114" i="16"/>
  <c r="CC85" i="16"/>
  <c r="CC86" i="16" s="1"/>
  <c r="CK49" i="16"/>
  <c r="CH76" i="16"/>
  <c r="CH82" i="16" s="1"/>
  <c r="BU49" i="16"/>
  <c r="BU62" i="16" s="1"/>
  <c r="BU63" i="16" s="1"/>
  <c r="BX76" i="16"/>
  <c r="BV69" i="15"/>
  <c r="BV82" i="15" s="1"/>
  <c r="BL42" i="15"/>
  <c r="BL62" i="15" s="1"/>
  <c r="BL63" i="15" s="1"/>
  <c r="BT69" i="15"/>
  <c r="BT82" i="15" s="1"/>
  <c r="BU85" i="15"/>
  <c r="BU86" i="15" s="1"/>
  <c r="CD42" i="15"/>
  <c r="AX131" i="15"/>
  <c r="BV84" i="15" s="1"/>
  <c r="AW132" i="15"/>
  <c r="BO120" i="17" l="1"/>
  <c r="CC84" i="17" s="1"/>
  <c r="BN121" i="17"/>
  <c r="CB85" i="17"/>
  <c r="CB86" i="17" s="1"/>
  <c r="CC78" i="17"/>
  <c r="CC82" i="17" s="1"/>
  <c r="CA78" i="17"/>
  <c r="CA82" i="17" s="1"/>
  <c r="BR51" i="17"/>
  <c r="BR62" i="17" s="1"/>
  <c r="BR63" i="17" s="1"/>
  <c r="CL51" i="17"/>
  <c r="BM115" i="16"/>
  <c r="BN114" i="16"/>
  <c r="CE84" i="16" s="1"/>
  <c r="CD85" i="16"/>
  <c r="CD86" i="16" s="1"/>
  <c r="BX75" i="16"/>
  <c r="BX82" i="16" s="1"/>
  <c r="BW48" i="16"/>
  <c r="BW62" i="16" s="1"/>
  <c r="BW63" i="16" s="1"/>
  <c r="CJ75" i="16"/>
  <c r="CJ82" i="16" s="1"/>
  <c r="CK48" i="16"/>
  <c r="AW133" i="15"/>
  <c r="AX132" i="15"/>
  <c r="BW84" i="15" s="1"/>
  <c r="CA41" i="15"/>
  <c r="CA62" i="15" s="1"/>
  <c r="CA63" i="15" s="1"/>
  <c r="BV85" i="15"/>
  <c r="BV86" i="15" s="1"/>
  <c r="BP41" i="15"/>
  <c r="CG77" i="17" l="1"/>
  <c r="CG82" i="17" s="1"/>
  <c r="CC85" i="17"/>
  <c r="CC86" i="17" s="1"/>
  <c r="BT50" i="17"/>
  <c r="BT62" i="17" s="1"/>
  <c r="BT63" i="17" s="1"/>
  <c r="BY77" i="17"/>
  <c r="CL50" i="17"/>
  <c r="BO121" i="17"/>
  <c r="CD84" i="17" s="1"/>
  <c r="BN122" i="17"/>
  <c r="BY74" i="16"/>
  <c r="BY82" i="16" s="1"/>
  <c r="BX47" i="16"/>
  <c r="CE85" i="16"/>
  <c r="CE86" i="16" s="1"/>
  <c r="CK74" i="16"/>
  <c r="CL47" i="16"/>
  <c r="CL62" i="16" s="1"/>
  <c r="CL63" i="16" s="1"/>
  <c r="BM116" i="16"/>
  <c r="BN115" i="16"/>
  <c r="CF84" i="16" s="1"/>
  <c r="BP40" i="15"/>
  <c r="BP62" i="15" s="1"/>
  <c r="BP63" i="15" s="1"/>
  <c r="BW85" i="15"/>
  <c r="BW86" i="15" s="1"/>
  <c r="CD40" i="15"/>
  <c r="AX133" i="15"/>
  <c r="BX84" i="15" s="1"/>
  <c r="AW134" i="15"/>
  <c r="BY76" i="17" l="1"/>
  <c r="CL49" i="17"/>
  <c r="CD85" i="17"/>
  <c r="CD86" i="17" s="1"/>
  <c r="BV49" i="17"/>
  <c r="BV62" i="17" s="1"/>
  <c r="BV63" i="17" s="1"/>
  <c r="CI76" i="17"/>
  <c r="CI82" i="17" s="1"/>
  <c r="BN123" i="17"/>
  <c r="BO122" i="17"/>
  <c r="CE84" i="17" s="1"/>
  <c r="BX46" i="16"/>
  <c r="CF85" i="16"/>
  <c r="CF86" i="16" s="1"/>
  <c r="CN46" i="16"/>
  <c r="CN62" i="16" s="1"/>
  <c r="CN63" i="16" s="1"/>
  <c r="CK73" i="16"/>
  <c r="CA73" i="16"/>
  <c r="CA82" i="16" s="1"/>
  <c r="BN116" i="16"/>
  <c r="CG84" i="16" s="1"/>
  <c r="BM117" i="16"/>
  <c r="CD39" i="15"/>
  <c r="BR39" i="15"/>
  <c r="BR62" i="15" s="1"/>
  <c r="BR63" i="15" s="1"/>
  <c r="BX85" i="15"/>
  <c r="BX86" i="15" s="1"/>
  <c r="AW135" i="15"/>
  <c r="AX134" i="15"/>
  <c r="BY84" i="15" s="1"/>
  <c r="CK75" i="17" l="1"/>
  <c r="CK82" i="17" s="1"/>
  <c r="BY75" i="17"/>
  <c r="BY82" i="17" s="1"/>
  <c r="CE85" i="17"/>
  <c r="CE86" i="17" s="1"/>
  <c r="BX48" i="17"/>
  <c r="BX62" i="17" s="1"/>
  <c r="BX63" i="17" s="1"/>
  <c r="CL48" i="17"/>
  <c r="BN124" i="17"/>
  <c r="BO123" i="17"/>
  <c r="CF84" i="17" s="1"/>
  <c r="CE72" i="16"/>
  <c r="CP45" i="16"/>
  <c r="CI72" i="16"/>
  <c r="BX45" i="16"/>
  <c r="CG85" i="16"/>
  <c r="CG86" i="16" s="1"/>
  <c r="BN117" i="16"/>
  <c r="CH84" i="16" s="1"/>
  <c r="BM118" i="16"/>
  <c r="AX135" i="15"/>
  <c r="BZ84" i="15" s="1"/>
  <c r="AW136" i="15"/>
  <c r="BT38" i="15"/>
  <c r="BT62" i="15" s="1"/>
  <c r="BT63" i="15" s="1"/>
  <c r="BY85" i="15"/>
  <c r="BY86" i="15" s="1"/>
  <c r="CD38" i="15"/>
  <c r="CF85" i="17" l="1"/>
  <c r="CF86" i="17" s="1"/>
  <c r="BZ74" i="17"/>
  <c r="BZ82" i="17" s="1"/>
  <c r="CM47" i="17"/>
  <c r="CM62" i="17" s="1"/>
  <c r="CM63" i="17" s="1"/>
  <c r="CL74" i="17"/>
  <c r="BY47" i="17"/>
  <c r="BN125" i="17"/>
  <c r="BO124" i="17"/>
  <c r="CG84" i="17" s="1"/>
  <c r="BM119" i="16"/>
  <c r="BN118" i="16"/>
  <c r="CI84" i="16" s="1"/>
  <c r="CK71" i="16"/>
  <c r="CH85" i="16"/>
  <c r="CH86" i="16" s="1"/>
  <c r="CE71" i="16"/>
  <c r="CE82" i="16" s="1"/>
  <c r="CR44" i="16"/>
  <c r="CR62" i="16" s="1"/>
  <c r="CR63" i="16" s="1"/>
  <c r="BX44" i="16"/>
  <c r="BX62" i="16" s="1"/>
  <c r="BX63" i="16" s="1"/>
  <c r="AW137" i="15"/>
  <c r="AX136" i="15"/>
  <c r="CA84" i="15" s="1"/>
  <c r="CD37" i="15"/>
  <c r="BZ85" i="15"/>
  <c r="BZ86" i="15" s="1"/>
  <c r="BV37" i="15"/>
  <c r="BV62" i="15" s="1"/>
  <c r="BV63" i="15" s="1"/>
  <c r="CB73" i="17" l="1"/>
  <c r="CB82" i="17" s="1"/>
  <c r="CG85" i="17"/>
  <c r="CG86" i="17" s="1"/>
  <c r="BY46" i="17"/>
  <c r="CL73" i="17"/>
  <c r="CO46" i="17"/>
  <c r="CO62" i="17" s="1"/>
  <c r="CO63" i="17" s="1"/>
  <c r="BN126" i="17"/>
  <c r="BO125" i="17"/>
  <c r="CH84" i="17" s="1"/>
  <c r="CG70" i="16"/>
  <c r="CG82" i="16" s="1"/>
  <c r="CK70" i="16"/>
  <c r="CI85" i="16"/>
  <c r="CI86" i="16" s="1"/>
  <c r="CS43" i="16"/>
  <c r="BY43" i="16"/>
  <c r="BY62" i="16" s="1"/>
  <c r="BY63" i="16" s="1"/>
  <c r="BN119" i="16"/>
  <c r="CJ84" i="16" s="1"/>
  <c r="BM120" i="16"/>
  <c r="BX36" i="15"/>
  <c r="BX62" i="15" s="1"/>
  <c r="BX63" i="15" s="1"/>
  <c r="CA85" i="15"/>
  <c r="CA86" i="15" s="1"/>
  <c r="CD36" i="15"/>
  <c r="AW138" i="15"/>
  <c r="AX137" i="15"/>
  <c r="CB84" i="15" s="1"/>
  <c r="CJ72" i="17" l="1"/>
  <c r="BY45" i="17"/>
  <c r="CQ45" i="17"/>
  <c r="CH85" i="17"/>
  <c r="CH86" i="17" s="1"/>
  <c r="CF72" i="17"/>
  <c r="BN127" i="17"/>
  <c r="BO126" i="17"/>
  <c r="CI84" i="17" s="1"/>
  <c r="BN120" i="16"/>
  <c r="CK84" i="16" s="1"/>
  <c r="BM121" i="16"/>
  <c r="CA42" i="16"/>
  <c r="CA62" i="16" s="1"/>
  <c r="CA63" i="16" s="1"/>
  <c r="CI69" i="16"/>
  <c r="CI82" i="16" s="1"/>
  <c r="CJ85" i="16"/>
  <c r="CJ86" i="16" s="1"/>
  <c r="CS42" i="16"/>
  <c r="CK69" i="16"/>
  <c r="CK82" i="16" s="1"/>
  <c r="AW139" i="15"/>
  <c r="AX139" i="15" s="1"/>
  <c r="CD84" i="15" s="1"/>
  <c r="CD85" i="15" s="1"/>
  <c r="CD86" i="15" s="1"/>
  <c r="AX138" i="15"/>
  <c r="CC84" i="15" s="1"/>
  <c r="CD35" i="15"/>
  <c r="BZ35" i="15"/>
  <c r="BZ62" i="15" s="1"/>
  <c r="BZ63" i="15" s="1"/>
  <c r="CB85" i="15"/>
  <c r="CB86" i="15" s="1"/>
  <c r="CS44" i="17" l="1"/>
  <c r="CS62" i="17" s="1"/>
  <c r="CS63" i="17" s="1"/>
  <c r="CI85" i="17"/>
  <c r="CI86" i="17" s="1"/>
  <c r="BY44" i="17"/>
  <c r="BY62" i="17" s="1"/>
  <c r="BY63" i="17" s="1"/>
  <c r="CF71" i="17"/>
  <c r="CF82" i="17" s="1"/>
  <c r="CL71" i="17"/>
  <c r="BN128" i="17"/>
  <c r="BO127" i="17"/>
  <c r="CJ84" i="17" s="1"/>
  <c r="BM122" i="16"/>
  <c r="BN121" i="16"/>
  <c r="CL84" i="16" s="1"/>
  <c r="CE41" i="16"/>
  <c r="CK85" i="16"/>
  <c r="CK86" i="16" s="1"/>
  <c r="CP41" i="16"/>
  <c r="CP62" i="16" s="1"/>
  <c r="CP63" i="16" s="1"/>
  <c r="CB34" i="15"/>
  <c r="CB62" i="15" s="1"/>
  <c r="CB63" i="15" s="1"/>
  <c r="CC85" i="15"/>
  <c r="CC86" i="15" s="1"/>
  <c r="CD34" i="15"/>
  <c r="CD62" i="15" s="1"/>
  <c r="CD63" i="15" s="1"/>
  <c r="CT43" i="17" l="1"/>
  <c r="BZ43" i="17"/>
  <c r="BZ62" i="17" s="1"/>
  <c r="BZ63" i="17" s="1"/>
  <c r="CH70" i="17"/>
  <c r="CH82" i="17" s="1"/>
  <c r="CL70" i="17"/>
  <c r="CJ85" i="17"/>
  <c r="CJ86" i="17" s="1"/>
  <c r="BO128" i="17"/>
  <c r="CK84" i="17" s="1"/>
  <c r="BN129" i="17"/>
  <c r="CE40" i="16"/>
  <c r="CE62" i="16" s="1"/>
  <c r="CE63" i="16" s="1"/>
  <c r="CS40" i="16"/>
  <c r="CL85" i="16"/>
  <c r="CL86" i="16" s="1"/>
  <c r="BN122" i="16"/>
  <c r="CM84" i="16" s="1"/>
  <c r="BM123" i="16"/>
  <c r="CT42" i="17" l="1"/>
  <c r="CB42" i="17"/>
  <c r="CB62" i="17" s="1"/>
  <c r="CB63" i="17" s="1"/>
  <c r="CL69" i="17"/>
  <c r="CL82" i="17" s="1"/>
  <c r="CK85" i="17"/>
  <c r="CK86" i="17" s="1"/>
  <c r="CJ69" i="17"/>
  <c r="CJ82" i="17" s="1"/>
  <c r="BO129" i="17"/>
  <c r="CL84" i="17" s="1"/>
  <c r="BN130" i="17"/>
  <c r="CS39" i="16"/>
  <c r="CM85" i="16"/>
  <c r="CM86" i="16" s="1"/>
  <c r="CG39" i="16"/>
  <c r="CG62" i="16" s="1"/>
  <c r="CG63" i="16" s="1"/>
  <c r="BM124" i="16"/>
  <c r="BN123" i="16"/>
  <c r="CN84" i="16" s="1"/>
  <c r="BN131" i="17" l="1"/>
  <c r="BO130" i="17"/>
  <c r="CM84" i="17" s="1"/>
  <c r="CL85" i="17"/>
  <c r="CL86" i="17" s="1"/>
  <c r="CF41" i="17"/>
  <c r="CQ41" i="17"/>
  <c r="CQ62" i="17" s="1"/>
  <c r="CQ63" i="17" s="1"/>
  <c r="BN124" i="16"/>
  <c r="CO84" i="16" s="1"/>
  <c r="BM125" i="16"/>
  <c r="CI38" i="16"/>
  <c r="CI62" i="16" s="1"/>
  <c r="CI63" i="16" s="1"/>
  <c r="CS38" i="16"/>
  <c r="CN85" i="16"/>
  <c r="CN86" i="16" s="1"/>
  <c r="CF40" i="17" l="1"/>
  <c r="CF62" i="17" s="1"/>
  <c r="CF63" i="17" s="1"/>
  <c r="CM85" i="17"/>
  <c r="CM86" i="17" s="1"/>
  <c r="CT40" i="17"/>
  <c r="BN132" i="17"/>
  <c r="BO131" i="17"/>
  <c r="CN84" i="17" s="1"/>
  <c r="BM126" i="16"/>
  <c r="BN125" i="16"/>
  <c r="CP84" i="16" s="1"/>
  <c r="CK37" i="16"/>
  <c r="CK62" i="16" s="1"/>
  <c r="CK63" i="16" s="1"/>
  <c r="CO85" i="16"/>
  <c r="CO86" i="16" s="1"/>
  <c r="CS37" i="16"/>
  <c r="BN133" i="17" l="1"/>
  <c r="BO132" i="17"/>
  <c r="CO84" i="17" s="1"/>
  <c r="CH39" i="17"/>
  <c r="CH62" i="17" s="1"/>
  <c r="CH63" i="17" s="1"/>
  <c r="CT39" i="17"/>
  <c r="CN85" i="17"/>
  <c r="CN86" i="17" s="1"/>
  <c r="CM36" i="16"/>
  <c r="CM62" i="16" s="1"/>
  <c r="CM63" i="16" s="1"/>
  <c r="CS36" i="16"/>
  <c r="CP85" i="16"/>
  <c r="CP86" i="16" s="1"/>
  <c r="BM127" i="16"/>
  <c r="BN126" i="16"/>
  <c r="CQ84" i="16" s="1"/>
  <c r="C14" i="7"/>
  <c r="CT38" i="17" l="1"/>
  <c r="CJ38" i="17"/>
  <c r="CJ62" i="17" s="1"/>
  <c r="CJ63" i="17" s="1"/>
  <c r="CO85" i="17"/>
  <c r="CO86" i="17" s="1"/>
  <c r="BN134" i="17"/>
  <c r="BO133" i="17"/>
  <c r="CP84" i="17" s="1"/>
  <c r="BN127" i="16"/>
  <c r="CR84" i="16" s="1"/>
  <c r="BM128" i="16"/>
  <c r="BN128" i="16" s="1"/>
  <c r="CS84" i="16" s="1"/>
  <c r="CS85" i="16" s="1"/>
  <c r="CS86" i="16" s="1"/>
  <c r="CQ85" i="16"/>
  <c r="CQ86" i="16" s="1"/>
  <c r="CO35" i="16"/>
  <c r="CO62" i="16" s="1"/>
  <c r="CO63" i="16" s="1"/>
  <c r="CS35" i="16"/>
  <c r="BK108" i="7"/>
  <c r="BJ109" i="7"/>
  <c r="BJ110" i="7" s="1"/>
  <c r="BJ111" i="7" s="1"/>
  <c r="BJ112" i="7" s="1"/>
  <c r="BJ113" i="7" s="1"/>
  <c r="BJ114" i="7" s="1"/>
  <c r="BJ115" i="7" s="1"/>
  <c r="BJ116" i="7" s="1"/>
  <c r="BJ117" i="7" s="1"/>
  <c r="BJ118" i="7" s="1"/>
  <c r="BJ119" i="7" s="1"/>
  <c r="BJ120" i="7" s="1"/>
  <c r="BJ121" i="7" s="1"/>
  <c r="BJ122" i="7" s="1"/>
  <c r="BJ123" i="7" s="1"/>
  <c r="BJ124" i="7" s="1"/>
  <c r="BJ125" i="7" s="1"/>
  <c r="BJ126" i="7" s="1"/>
  <c r="BJ127" i="7" s="1"/>
  <c r="BJ128" i="7" s="1"/>
  <c r="BJ129" i="7" s="1"/>
  <c r="BJ130" i="7" s="1"/>
  <c r="BJ131" i="7" s="1"/>
  <c r="BJ132" i="7" s="1"/>
  <c r="BJ133" i="7" s="1"/>
  <c r="BJ134" i="7" s="1"/>
  <c r="BJ135" i="7" s="1"/>
  <c r="BJ136" i="7" s="1"/>
  <c r="BJ137" i="7" s="1"/>
  <c r="D4" i="7"/>
  <c r="F2" i="7"/>
  <c r="E2" i="7"/>
  <c r="D2" i="7"/>
  <c r="BJ99" i="3"/>
  <c r="BI100" i="3"/>
  <c r="BI101" i="3" s="1"/>
  <c r="BI102" i="3" s="1"/>
  <c r="BI103" i="3" s="1"/>
  <c r="BI104" i="3" s="1"/>
  <c r="BI105" i="3" s="1"/>
  <c r="BI106" i="3" s="1"/>
  <c r="BI107" i="3" s="1"/>
  <c r="BI108" i="3" s="1"/>
  <c r="BI109" i="3" s="1"/>
  <c r="BI110" i="3" s="1"/>
  <c r="BI111" i="3" s="1"/>
  <c r="BI112" i="3" s="1"/>
  <c r="BI113" i="3" s="1"/>
  <c r="BI114" i="3" s="1"/>
  <c r="BI115" i="3" s="1"/>
  <c r="BI116" i="3" s="1"/>
  <c r="BI117" i="3" s="1"/>
  <c r="BI118" i="3" s="1"/>
  <c r="BI119" i="3" s="1"/>
  <c r="BI120" i="3" s="1"/>
  <c r="BI121" i="3" s="1"/>
  <c r="BI122" i="3" s="1"/>
  <c r="BI123" i="3" s="1"/>
  <c r="BI124" i="3" s="1"/>
  <c r="BI125" i="3" s="1"/>
  <c r="BI126" i="3" s="1"/>
  <c r="BI127" i="3" s="1"/>
  <c r="BI128" i="3" s="1"/>
  <c r="D4" i="3"/>
  <c r="F2" i="3"/>
  <c r="E2" i="3"/>
  <c r="D2" i="3"/>
  <c r="AT110" i="2"/>
  <c r="AS111" i="2"/>
  <c r="AS112" i="2" s="1"/>
  <c r="AS113" i="2" s="1"/>
  <c r="AS114" i="2" s="1"/>
  <c r="AS115" i="2" s="1"/>
  <c r="AS116" i="2" s="1"/>
  <c r="AS117" i="2" s="1"/>
  <c r="AS118" i="2" s="1"/>
  <c r="AS119" i="2" s="1"/>
  <c r="AS120" i="2" s="1"/>
  <c r="AS121" i="2" s="1"/>
  <c r="AS122" i="2" s="1"/>
  <c r="AS123" i="2" s="1"/>
  <c r="AS124" i="2" s="1"/>
  <c r="AS125" i="2" s="1"/>
  <c r="AS126" i="2" s="1"/>
  <c r="AS127" i="2" s="1"/>
  <c r="AS128" i="2" s="1"/>
  <c r="AS129" i="2" s="1"/>
  <c r="AS130" i="2" s="1"/>
  <c r="AS131" i="2" s="1"/>
  <c r="AS132" i="2" s="1"/>
  <c r="AS133" i="2" s="1"/>
  <c r="AS134" i="2" s="1"/>
  <c r="AS135" i="2" s="1"/>
  <c r="AS136" i="2" s="1"/>
  <c r="AS137" i="2" s="1"/>
  <c r="AS138" i="2" s="1"/>
  <c r="AS139" i="2" s="1"/>
  <c r="D4" i="2"/>
  <c r="F2" i="2"/>
  <c r="E2" i="2"/>
  <c r="D2" i="2"/>
  <c r="AV144" i="10"/>
  <c r="D4" i="10"/>
  <c r="F2" i="1"/>
  <c r="F2" i="10"/>
  <c r="E2" i="10"/>
  <c r="D2" i="10"/>
  <c r="BN135" i="17" l="1"/>
  <c r="BO134" i="17"/>
  <c r="CQ84" i="17" s="1"/>
  <c r="CT37" i="17"/>
  <c r="CL37" i="17"/>
  <c r="CL62" i="17" s="1"/>
  <c r="CL63" i="17" s="1"/>
  <c r="CP85" i="17"/>
  <c r="CP86" i="17" s="1"/>
  <c r="CR85" i="16"/>
  <c r="CR86" i="16" s="1"/>
  <c r="CQ34" i="16"/>
  <c r="CQ62" i="16" s="1"/>
  <c r="CQ63" i="16" s="1"/>
  <c r="CS34" i="16"/>
  <c r="CS62" i="16" s="1"/>
  <c r="CS63" i="16" s="1"/>
  <c r="AV145" i="10"/>
  <c r="AV146" i="10" s="1"/>
  <c r="AV147" i="10" s="1"/>
  <c r="AV148" i="10" s="1"/>
  <c r="AV149" i="10" s="1"/>
  <c r="AV150" i="10" s="1"/>
  <c r="AV151" i="10" s="1"/>
  <c r="AV152" i="10" s="1"/>
  <c r="AV153" i="10" s="1"/>
  <c r="AV154" i="10" s="1"/>
  <c r="AV155" i="10" s="1"/>
  <c r="AV156" i="10" s="1"/>
  <c r="AV157" i="10" s="1"/>
  <c r="AV158" i="10" s="1"/>
  <c r="AV159" i="10" s="1"/>
  <c r="AV160" i="10" s="1"/>
  <c r="AV161" i="10" s="1"/>
  <c r="AV162" i="10" s="1"/>
  <c r="AV163" i="10" s="1"/>
  <c r="AV164" i="10" s="1"/>
  <c r="AV165" i="10" s="1"/>
  <c r="AV166" i="10" s="1"/>
  <c r="AV167" i="10" s="1"/>
  <c r="AV168" i="10" s="1"/>
  <c r="AV169" i="10" s="1"/>
  <c r="AV170" i="10" s="1"/>
  <c r="AV171" i="10" s="1"/>
  <c r="BK109" i="7"/>
  <c r="BK110" i="7" s="1"/>
  <c r="BK111" i="7" s="1"/>
  <c r="BK112" i="7" s="1"/>
  <c r="BK113" i="7" s="1"/>
  <c r="BK114" i="7" s="1"/>
  <c r="BK115" i="7" s="1"/>
  <c r="BK116" i="7" s="1"/>
  <c r="BK117" i="7" s="1"/>
  <c r="BK118" i="7" s="1"/>
  <c r="BK119" i="7" s="1"/>
  <c r="BK120" i="7" s="1"/>
  <c r="BK121" i="7" s="1"/>
  <c r="BK122" i="7" s="1"/>
  <c r="BK123" i="7" s="1"/>
  <c r="BK124" i="7" s="1"/>
  <c r="BK125" i="7" s="1"/>
  <c r="BK126" i="7" s="1"/>
  <c r="BK127" i="7" s="1"/>
  <c r="BK128" i="7" s="1"/>
  <c r="BK129" i="7" s="1"/>
  <c r="BK130" i="7" s="1"/>
  <c r="BK131" i="7" s="1"/>
  <c r="BK132" i="7" s="1"/>
  <c r="BK133" i="7" s="1"/>
  <c r="BK134" i="7" s="1"/>
  <c r="BK135" i="7" s="1"/>
  <c r="BK136" i="7" s="1"/>
  <c r="BK137" i="7" s="1"/>
  <c r="BJ100" i="3"/>
  <c r="AT111" i="2"/>
  <c r="AT112" i="2" s="1"/>
  <c r="D4" i="1"/>
  <c r="E2" i="1"/>
  <c r="D2" i="1"/>
  <c r="AV116" i="1"/>
  <c r="CT36" i="17" l="1"/>
  <c r="CN36" i="17"/>
  <c r="CN62" i="17" s="1"/>
  <c r="CN63" i="17" s="1"/>
  <c r="CQ85" i="17"/>
  <c r="CQ86" i="17" s="1"/>
  <c r="BO135" i="17"/>
  <c r="CR84" i="17" s="1"/>
  <c r="BN136" i="17"/>
  <c r="BJ101" i="3"/>
  <c r="AT113" i="2"/>
  <c r="AV117" i="1"/>
  <c r="CR85" i="17" l="1"/>
  <c r="CR86" i="17" s="1"/>
  <c r="CT35" i="17"/>
  <c r="CP35" i="17"/>
  <c r="CP62" i="17" s="1"/>
  <c r="CP63" i="17" s="1"/>
  <c r="BO136" i="17"/>
  <c r="CS84" i="17" s="1"/>
  <c r="BN137" i="17"/>
  <c r="BO137" i="17" s="1"/>
  <c r="CT84" i="17" s="1"/>
  <c r="CT85" i="17" s="1"/>
  <c r="CT86" i="17" s="1"/>
  <c r="BJ102" i="3"/>
  <c r="AT114" i="2"/>
  <c r="AV118" i="1"/>
  <c r="CS85" i="17" l="1"/>
  <c r="CS86" i="17" s="1"/>
  <c r="CT34" i="17"/>
  <c r="CT62" i="17" s="1"/>
  <c r="CT63" i="17" s="1"/>
  <c r="CR34" i="17"/>
  <c r="CR62" i="17" s="1"/>
  <c r="CR63" i="17" s="1"/>
  <c r="BJ103" i="3"/>
  <c r="AT115" i="2"/>
  <c r="AV119" i="1"/>
  <c r="BJ104" i="3" l="1"/>
  <c r="AT116" i="2"/>
  <c r="AV120" i="1"/>
  <c r="BJ105" i="3" l="1"/>
  <c r="AT117" i="2"/>
  <c r="AV121" i="1"/>
  <c r="BJ106" i="3" l="1"/>
  <c r="AT118" i="2"/>
  <c r="AV122" i="1"/>
  <c r="BJ107" i="3" l="1"/>
  <c r="AT119" i="2"/>
  <c r="AV123" i="1"/>
  <c r="BJ108" i="3" l="1"/>
  <c r="AT120" i="2"/>
  <c r="AV124" i="1"/>
  <c r="BJ109" i="3" l="1"/>
  <c r="AT121" i="2"/>
  <c r="AV125" i="1"/>
  <c r="BJ110" i="3" l="1"/>
  <c r="AT122" i="2"/>
  <c r="AV126" i="1"/>
  <c r="BJ111" i="3" l="1"/>
  <c r="AT123" i="2"/>
  <c r="AV127" i="1"/>
  <c r="BJ112" i="3" l="1"/>
  <c r="AT124" i="2"/>
  <c r="AV128" i="1"/>
  <c r="BJ113" i="3" l="1"/>
  <c r="AT125" i="2"/>
  <c r="AV129" i="1"/>
  <c r="BJ114" i="3" l="1"/>
  <c r="AT126" i="2"/>
  <c r="AV130" i="1"/>
  <c r="BJ115" i="3" l="1"/>
  <c r="AT127" i="2"/>
  <c r="AV131" i="1"/>
  <c r="BJ116" i="3" l="1"/>
  <c r="AT128" i="2"/>
  <c r="AV132" i="1"/>
  <c r="BJ117" i="3" l="1"/>
  <c r="AT129" i="2"/>
  <c r="AV133" i="1"/>
  <c r="BJ118" i="3" l="1"/>
  <c r="AT130" i="2"/>
  <c r="AV134" i="1"/>
  <c r="BJ119" i="3" l="1"/>
  <c r="AT131" i="2"/>
  <c r="AV135" i="1"/>
  <c r="BJ120" i="3" l="1"/>
  <c r="AT132" i="2"/>
  <c r="AV136" i="1"/>
  <c r="BJ121" i="3" l="1"/>
  <c r="AT133" i="2"/>
  <c r="AV137" i="1"/>
  <c r="BJ122" i="3" l="1"/>
  <c r="AT134" i="2"/>
  <c r="AV138" i="1"/>
  <c r="BJ123" i="3" l="1"/>
  <c r="AT135" i="2"/>
  <c r="AV139" i="1"/>
  <c r="BJ124" i="3" l="1"/>
  <c r="AT136" i="2"/>
  <c r="AV140" i="1"/>
  <c r="BJ125" i="3" l="1"/>
  <c r="AT137" i="2"/>
  <c r="AV141" i="1"/>
  <c r="BJ126" i="3" l="1"/>
  <c r="AT138" i="2"/>
  <c r="AV142" i="1"/>
  <c r="BJ127" i="3" l="1"/>
  <c r="AT139" i="2"/>
  <c r="AV143" i="1"/>
  <c r="BJ128" i="3" l="1"/>
  <c r="AV144" i="1"/>
  <c r="AV145" i="1" l="1"/>
  <c r="AU145" i="10" l="1"/>
  <c r="AU146" i="10" s="1"/>
  <c r="AU147" i="10" s="1"/>
  <c r="AF138" i="10"/>
  <c r="J138" i="10"/>
  <c r="K138" i="10" s="1"/>
  <c r="L138" i="10" s="1"/>
  <c r="M138" i="10" s="1"/>
  <c r="N138" i="10" s="1"/>
  <c r="AF137" i="10"/>
  <c r="J137" i="10"/>
  <c r="K137" i="10" s="1"/>
  <c r="L137" i="10" s="1"/>
  <c r="M137" i="10" s="1"/>
  <c r="N137" i="10" s="1"/>
  <c r="AF136" i="10"/>
  <c r="J136" i="10"/>
  <c r="K136" i="10" s="1"/>
  <c r="L136" i="10" s="1"/>
  <c r="M136" i="10" s="1"/>
  <c r="N136" i="10" s="1"/>
  <c r="AF135" i="10"/>
  <c r="J135" i="10"/>
  <c r="K135" i="10" s="1"/>
  <c r="L135" i="10" s="1"/>
  <c r="M135" i="10" s="1"/>
  <c r="N135" i="10" s="1"/>
  <c r="AF134" i="10"/>
  <c r="J134" i="10"/>
  <c r="K134" i="10" s="1"/>
  <c r="L134" i="10" s="1"/>
  <c r="M134" i="10" s="1"/>
  <c r="N134" i="10" s="1"/>
  <c r="AF133" i="10"/>
  <c r="J133" i="10"/>
  <c r="K133" i="10" s="1"/>
  <c r="L133" i="10" s="1"/>
  <c r="M133" i="10" s="1"/>
  <c r="N133" i="10" s="1"/>
  <c r="AF132" i="10"/>
  <c r="J132" i="10"/>
  <c r="K132" i="10" s="1"/>
  <c r="L132" i="10" s="1"/>
  <c r="M132" i="10" s="1"/>
  <c r="N132" i="10" s="1"/>
  <c r="AF131" i="10"/>
  <c r="J131" i="10"/>
  <c r="K131" i="10" s="1"/>
  <c r="L131" i="10" s="1"/>
  <c r="M131" i="10" s="1"/>
  <c r="N131" i="10" s="1"/>
  <c r="AF130" i="10"/>
  <c r="J130" i="10"/>
  <c r="K130" i="10" s="1"/>
  <c r="L130" i="10" s="1"/>
  <c r="M130" i="10" s="1"/>
  <c r="N130" i="10" s="1"/>
  <c r="AF129" i="10"/>
  <c r="J129" i="10"/>
  <c r="K129" i="10" s="1"/>
  <c r="L129" i="10" s="1"/>
  <c r="M129" i="10" s="1"/>
  <c r="N129" i="10" s="1"/>
  <c r="AF128" i="10"/>
  <c r="J128" i="10"/>
  <c r="K128" i="10" s="1"/>
  <c r="L128" i="10" s="1"/>
  <c r="M128" i="10" s="1"/>
  <c r="N128" i="10" s="1"/>
  <c r="AF127" i="10"/>
  <c r="J127" i="10"/>
  <c r="K127" i="10" s="1"/>
  <c r="L127" i="10" s="1"/>
  <c r="M127" i="10" s="1"/>
  <c r="N127" i="10" s="1"/>
  <c r="AF126" i="10"/>
  <c r="J126" i="10"/>
  <c r="K126" i="10" s="1"/>
  <c r="L126" i="10" s="1"/>
  <c r="M126" i="10" s="1"/>
  <c r="N126" i="10" s="1"/>
  <c r="AF125" i="10"/>
  <c r="J125" i="10"/>
  <c r="K125" i="10" s="1"/>
  <c r="L125" i="10" s="1"/>
  <c r="M125" i="10" s="1"/>
  <c r="N125" i="10" s="1"/>
  <c r="AF124" i="10"/>
  <c r="J124" i="10"/>
  <c r="K124" i="10" s="1"/>
  <c r="L124" i="10" s="1"/>
  <c r="M124" i="10" s="1"/>
  <c r="N124" i="10" s="1"/>
  <c r="AF123" i="10"/>
  <c r="J123" i="10"/>
  <c r="K123" i="10" s="1"/>
  <c r="L123" i="10" s="1"/>
  <c r="M123" i="10" s="1"/>
  <c r="N123" i="10" s="1"/>
  <c r="AF122" i="10"/>
  <c r="J122" i="10"/>
  <c r="K122" i="10" s="1"/>
  <c r="L122" i="10" s="1"/>
  <c r="M122" i="10" s="1"/>
  <c r="N122" i="10" s="1"/>
  <c r="AF121" i="10"/>
  <c r="G121" i="10"/>
  <c r="F121" i="10" s="1"/>
  <c r="C121" i="10"/>
  <c r="BQ104" i="10"/>
  <c r="BP104" i="10"/>
  <c r="BQ86" i="10"/>
  <c r="BQ87" i="10" s="1"/>
  <c r="BP86" i="10"/>
  <c r="BP87" i="10" s="1"/>
  <c r="B14" i="10"/>
  <c r="C14" i="10" s="1"/>
  <c r="C12" i="10"/>
  <c r="BC49" i="10" s="1"/>
  <c r="E107" i="10" s="1"/>
  <c r="AI151" i="7"/>
  <c r="AI150" i="7"/>
  <c r="AH117" i="3"/>
  <c r="AH116" i="3"/>
  <c r="AH115" i="3"/>
  <c r="AH114" i="3"/>
  <c r="AH113" i="3"/>
  <c r="AQ130" i="7"/>
  <c r="AQ129" i="7"/>
  <c r="AQ128" i="7"/>
  <c r="AQ127" i="7"/>
  <c r="AQ126" i="7"/>
  <c r="AQ125" i="7"/>
  <c r="AQ124" i="7"/>
  <c r="AQ123" i="7"/>
  <c r="AQ122" i="7"/>
  <c r="AQ121" i="7"/>
  <c r="AQ120" i="7"/>
  <c r="AQ119" i="7"/>
  <c r="AQ118" i="7"/>
  <c r="AQ117" i="7"/>
  <c r="AQ116" i="7"/>
  <c r="AQ115" i="7"/>
  <c r="AQ114" i="7"/>
  <c r="AQ113" i="7"/>
  <c r="AQ112" i="7"/>
  <c r="AQ111" i="7"/>
  <c r="AQ110" i="7"/>
  <c r="AQ109" i="7"/>
  <c r="AQ108" i="7"/>
  <c r="J117" i="3"/>
  <c r="K117" i="3" s="1"/>
  <c r="L117" i="3" s="1"/>
  <c r="M117" i="3" s="1"/>
  <c r="N117" i="3" s="1"/>
  <c r="J116" i="3"/>
  <c r="K116" i="3" s="1"/>
  <c r="L116" i="3" s="1"/>
  <c r="M116" i="3" s="1"/>
  <c r="N116" i="3" s="1"/>
  <c r="J115" i="3"/>
  <c r="J114" i="3"/>
  <c r="K114" i="3" s="1"/>
  <c r="L114" i="3" s="1"/>
  <c r="M114" i="3" s="1"/>
  <c r="N114" i="3" s="1"/>
  <c r="J113" i="3"/>
  <c r="K113" i="3" s="1"/>
  <c r="L113" i="3" s="1"/>
  <c r="M113" i="3" s="1"/>
  <c r="N113" i="3" s="1"/>
  <c r="J112" i="3"/>
  <c r="K112" i="3" s="1"/>
  <c r="L112" i="3" s="1"/>
  <c r="M112" i="3" s="1"/>
  <c r="N112" i="3" s="1"/>
  <c r="J111" i="3"/>
  <c r="K111" i="3" s="1"/>
  <c r="L111" i="3" s="1"/>
  <c r="M111" i="3" s="1"/>
  <c r="N111" i="3" s="1"/>
  <c r="J110" i="3"/>
  <c r="K110" i="3" s="1"/>
  <c r="L110" i="3" s="1"/>
  <c r="M110" i="3" s="1"/>
  <c r="N110" i="3" s="1"/>
  <c r="J109" i="3"/>
  <c r="K109" i="3" s="1"/>
  <c r="L109" i="3" s="1"/>
  <c r="M109" i="3" s="1"/>
  <c r="N109" i="3" s="1"/>
  <c r="J108" i="3"/>
  <c r="K108" i="3" s="1"/>
  <c r="L108" i="3" s="1"/>
  <c r="M108" i="3" s="1"/>
  <c r="N108" i="3" s="1"/>
  <c r="J107" i="3"/>
  <c r="K107" i="3" s="1"/>
  <c r="L107" i="3" s="1"/>
  <c r="M107" i="3" s="1"/>
  <c r="N107" i="3" s="1"/>
  <c r="J151" i="7"/>
  <c r="K151" i="7" s="1"/>
  <c r="L151" i="7" s="1"/>
  <c r="M151" i="7" s="1"/>
  <c r="N151" i="7" s="1"/>
  <c r="J150" i="7"/>
  <c r="K150" i="7" s="1"/>
  <c r="L150" i="7" s="1"/>
  <c r="M150" i="7" s="1"/>
  <c r="N150" i="7" s="1"/>
  <c r="J149" i="7"/>
  <c r="K149" i="7" s="1"/>
  <c r="L149" i="7" s="1"/>
  <c r="M149" i="7" s="1"/>
  <c r="N149" i="7" s="1"/>
  <c r="J148" i="7"/>
  <c r="K148" i="7" s="1"/>
  <c r="L148" i="7" s="1"/>
  <c r="M148" i="7" s="1"/>
  <c r="N148" i="7" s="1"/>
  <c r="J147" i="7"/>
  <c r="K147" i="7" s="1"/>
  <c r="L147" i="7" s="1"/>
  <c r="M147" i="7" s="1"/>
  <c r="N147" i="7" s="1"/>
  <c r="J146" i="7"/>
  <c r="K146" i="7" s="1"/>
  <c r="L146" i="7" s="1"/>
  <c r="M146" i="7" s="1"/>
  <c r="N146" i="7" s="1"/>
  <c r="J145" i="7"/>
  <c r="K145" i="7" s="1"/>
  <c r="L145" i="7" s="1"/>
  <c r="M145" i="7" s="1"/>
  <c r="N145" i="7" s="1"/>
  <c r="J144" i="7"/>
  <c r="J143" i="7"/>
  <c r="K143" i="7" s="1"/>
  <c r="L143" i="7" s="1"/>
  <c r="M143" i="7" s="1"/>
  <c r="N143" i="7" s="1"/>
  <c r="J142" i="7"/>
  <c r="K142" i="7" s="1"/>
  <c r="L142" i="7" s="1"/>
  <c r="M142" i="7" s="1"/>
  <c r="N142" i="7" s="1"/>
  <c r="J141" i="7"/>
  <c r="K141" i="7" s="1"/>
  <c r="L141" i="7" s="1"/>
  <c r="M141" i="7" s="1"/>
  <c r="N141" i="7" s="1"/>
  <c r="I125" i="2"/>
  <c r="J125" i="2" s="1"/>
  <c r="K125" i="2" s="1"/>
  <c r="L125" i="2" s="1"/>
  <c r="M125" i="2" s="1"/>
  <c r="I124" i="2"/>
  <c r="J124" i="2" s="1"/>
  <c r="K124" i="2" s="1"/>
  <c r="L124" i="2" s="1"/>
  <c r="M124" i="2" s="1"/>
  <c r="I123" i="2"/>
  <c r="I122" i="2"/>
  <c r="J122" i="2" s="1"/>
  <c r="K122" i="2" s="1"/>
  <c r="L122" i="2" s="1"/>
  <c r="M122" i="2" s="1"/>
  <c r="I121" i="2"/>
  <c r="J121" i="2" s="1"/>
  <c r="K121" i="2" s="1"/>
  <c r="L121" i="2" s="1"/>
  <c r="M121" i="2" s="1"/>
  <c r="I120" i="2"/>
  <c r="J120" i="2" s="1"/>
  <c r="K120" i="2" s="1"/>
  <c r="L120" i="2" s="1"/>
  <c r="M120" i="2" s="1"/>
  <c r="I119" i="2"/>
  <c r="J119" i="2" s="1"/>
  <c r="K119" i="2" s="1"/>
  <c r="L119" i="2" s="1"/>
  <c r="M119" i="2" s="1"/>
  <c r="I118" i="2"/>
  <c r="J118" i="2" s="1"/>
  <c r="K118" i="2" s="1"/>
  <c r="L118" i="2" s="1"/>
  <c r="M118" i="2" s="1"/>
  <c r="I117" i="2"/>
  <c r="J117" i="2" s="1"/>
  <c r="K117" i="2" s="1"/>
  <c r="L117" i="2" s="1"/>
  <c r="M117" i="2" s="1"/>
  <c r="I116" i="2"/>
  <c r="J116" i="2" s="1"/>
  <c r="K116" i="2" s="1"/>
  <c r="L116" i="2" s="1"/>
  <c r="M116" i="2" s="1"/>
  <c r="I115" i="2"/>
  <c r="J115" i="2" s="1"/>
  <c r="K115" i="2" s="1"/>
  <c r="L115" i="2" s="1"/>
  <c r="M115" i="2" s="1"/>
  <c r="C107" i="7"/>
  <c r="O114" i="7" s="1"/>
  <c r="P114" i="7" s="1"/>
  <c r="J130" i="7"/>
  <c r="K130" i="7" s="1"/>
  <c r="L130" i="7" s="1"/>
  <c r="M130" i="7" s="1"/>
  <c r="N130" i="7" s="1"/>
  <c r="J129" i="7"/>
  <c r="K129" i="7" s="1"/>
  <c r="L129" i="7" s="1"/>
  <c r="M129" i="7" s="1"/>
  <c r="N129" i="7" s="1"/>
  <c r="J128" i="7"/>
  <c r="K128" i="7" s="1"/>
  <c r="L128" i="7" s="1"/>
  <c r="M128" i="7" s="1"/>
  <c r="N128" i="7" s="1"/>
  <c r="J127" i="7"/>
  <c r="K127" i="7" s="1"/>
  <c r="L127" i="7" s="1"/>
  <c r="M127" i="7" s="1"/>
  <c r="N127" i="7" s="1"/>
  <c r="J126" i="7"/>
  <c r="K126" i="7" s="1"/>
  <c r="L126" i="7" s="1"/>
  <c r="M126" i="7" s="1"/>
  <c r="N126" i="7" s="1"/>
  <c r="J125" i="7"/>
  <c r="K125" i="7" s="1"/>
  <c r="L125" i="7" s="1"/>
  <c r="M125" i="7" s="1"/>
  <c r="N125" i="7" s="1"/>
  <c r="J124" i="7"/>
  <c r="K124" i="7" s="1"/>
  <c r="L124" i="7" s="1"/>
  <c r="M124" i="7" s="1"/>
  <c r="N124" i="7" s="1"/>
  <c r="J123" i="7"/>
  <c r="K123" i="7" s="1"/>
  <c r="L123" i="7" s="1"/>
  <c r="M123" i="7" s="1"/>
  <c r="N123" i="7" s="1"/>
  <c r="J122" i="7"/>
  <c r="K122" i="7" s="1"/>
  <c r="L122" i="7" s="1"/>
  <c r="M122" i="7" s="1"/>
  <c r="N122" i="7" s="1"/>
  <c r="J121" i="7"/>
  <c r="K121" i="7" s="1"/>
  <c r="L121" i="7" s="1"/>
  <c r="M121" i="7" s="1"/>
  <c r="N121" i="7" s="1"/>
  <c r="J120" i="7"/>
  <c r="K120" i="7" s="1"/>
  <c r="L120" i="7" s="1"/>
  <c r="M120" i="7" s="1"/>
  <c r="N120" i="7" s="1"/>
  <c r="J119" i="7"/>
  <c r="K119" i="7" s="1"/>
  <c r="L119" i="7" s="1"/>
  <c r="M119" i="7" s="1"/>
  <c r="N119" i="7" s="1"/>
  <c r="J118" i="7"/>
  <c r="K118" i="7" s="1"/>
  <c r="L118" i="7" s="1"/>
  <c r="M118" i="7" s="1"/>
  <c r="N118" i="7" s="1"/>
  <c r="J117" i="7"/>
  <c r="K117" i="7" s="1"/>
  <c r="L117" i="7" s="1"/>
  <c r="M117" i="7" s="1"/>
  <c r="N117" i="7" s="1"/>
  <c r="J116" i="7"/>
  <c r="K116" i="7" s="1"/>
  <c r="L116" i="7" s="1"/>
  <c r="M116" i="7" s="1"/>
  <c r="N116" i="7" s="1"/>
  <c r="J115" i="7"/>
  <c r="K115" i="7" s="1"/>
  <c r="L115" i="7" s="1"/>
  <c r="M115" i="7" s="1"/>
  <c r="N115" i="7" s="1"/>
  <c r="J114" i="7"/>
  <c r="K114" i="7" s="1"/>
  <c r="L114" i="7" s="1"/>
  <c r="M114" i="7" s="1"/>
  <c r="N114" i="7" s="1"/>
  <c r="J113" i="7"/>
  <c r="K113" i="7" s="1"/>
  <c r="L113" i="7" s="1"/>
  <c r="M113" i="7" s="1"/>
  <c r="N113" i="7" s="1"/>
  <c r="J112" i="7"/>
  <c r="K112" i="7" s="1"/>
  <c r="L112" i="7" s="1"/>
  <c r="M112" i="7" s="1"/>
  <c r="N112" i="7" s="1"/>
  <c r="J111" i="7"/>
  <c r="K111" i="7" s="1"/>
  <c r="L111" i="7" s="1"/>
  <c r="M111" i="7" s="1"/>
  <c r="N111" i="7" s="1"/>
  <c r="J110" i="7"/>
  <c r="K110" i="7" s="1"/>
  <c r="L110" i="7" s="1"/>
  <c r="M110" i="7" s="1"/>
  <c r="N110" i="7" s="1"/>
  <c r="J109" i="7"/>
  <c r="K109" i="7" s="1"/>
  <c r="L109" i="7" s="1"/>
  <c r="M109" i="7" s="1"/>
  <c r="N109" i="7" s="1"/>
  <c r="J108" i="7"/>
  <c r="K108" i="7" s="1"/>
  <c r="L108" i="7" s="1"/>
  <c r="M108" i="7" s="1"/>
  <c r="N108" i="7" s="1"/>
  <c r="AQ107" i="7"/>
  <c r="G107" i="7"/>
  <c r="F107" i="7" s="1"/>
  <c r="AQ184" i="7"/>
  <c r="V184" i="7"/>
  <c r="AF184" i="7" s="1"/>
  <c r="J184" i="7"/>
  <c r="K184" i="7" s="1"/>
  <c r="L184" i="7" s="1"/>
  <c r="M184" i="7" s="1"/>
  <c r="N184" i="7" s="1"/>
  <c r="AQ183" i="7"/>
  <c r="V183" i="7"/>
  <c r="J183" i="7"/>
  <c r="K183" i="7" s="1"/>
  <c r="L183" i="7" s="1"/>
  <c r="M183" i="7" s="1"/>
  <c r="N183" i="7" s="1"/>
  <c r="AQ182" i="7"/>
  <c r="V182" i="7"/>
  <c r="J182" i="7"/>
  <c r="K182" i="7" s="1"/>
  <c r="L182" i="7" s="1"/>
  <c r="M182" i="7" s="1"/>
  <c r="N182" i="7" s="1"/>
  <c r="AQ181" i="7"/>
  <c r="V181" i="7"/>
  <c r="J181" i="7"/>
  <c r="K181" i="7" s="1"/>
  <c r="L181" i="7" s="1"/>
  <c r="M181" i="7" s="1"/>
  <c r="N181" i="7" s="1"/>
  <c r="AQ180" i="7"/>
  <c r="J180" i="7"/>
  <c r="K180" i="7" s="1"/>
  <c r="L180" i="7" s="1"/>
  <c r="M180" i="7" s="1"/>
  <c r="N180" i="7" s="1"/>
  <c r="AQ179" i="7"/>
  <c r="J179" i="7"/>
  <c r="K179" i="7" s="1"/>
  <c r="L179" i="7" s="1"/>
  <c r="M179" i="7" s="1"/>
  <c r="N179" i="7" s="1"/>
  <c r="AQ178" i="7"/>
  <c r="J178" i="7"/>
  <c r="K178" i="7" s="1"/>
  <c r="L178" i="7" s="1"/>
  <c r="M178" i="7" s="1"/>
  <c r="N178" i="7" s="1"/>
  <c r="AQ177" i="7"/>
  <c r="J177" i="7"/>
  <c r="K177" i="7" s="1"/>
  <c r="L177" i="7" s="1"/>
  <c r="M177" i="7" s="1"/>
  <c r="N177" i="7" s="1"/>
  <c r="AQ176" i="7"/>
  <c r="J176" i="7"/>
  <c r="K176" i="7" s="1"/>
  <c r="L176" i="7" s="1"/>
  <c r="M176" i="7" s="1"/>
  <c r="N176" i="7" s="1"/>
  <c r="AQ175" i="7"/>
  <c r="J175" i="7"/>
  <c r="K175" i="7" s="1"/>
  <c r="L175" i="7" s="1"/>
  <c r="M175" i="7" s="1"/>
  <c r="N175" i="7" s="1"/>
  <c r="AQ174" i="7"/>
  <c r="J174" i="7"/>
  <c r="K174" i="7" s="1"/>
  <c r="L174" i="7" s="1"/>
  <c r="M174" i="7" s="1"/>
  <c r="N174" i="7" s="1"/>
  <c r="AQ173" i="7"/>
  <c r="J173" i="7"/>
  <c r="K173" i="7" s="1"/>
  <c r="L173" i="7" s="1"/>
  <c r="M173" i="7" s="1"/>
  <c r="N173" i="7" s="1"/>
  <c r="AQ172" i="7"/>
  <c r="J172" i="7"/>
  <c r="K172" i="7" s="1"/>
  <c r="L172" i="7" s="1"/>
  <c r="M172" i="7" s="1"/>
  <c r="N172" i="7" s="1"/>
  <c r="AQ171" i="7"/>
  <c r="J171" i="7"/>
  <c r="K171" i="7" s="1"/>
  <c r="L171" i="7" s="1"/>
  <c r="M171" i="7" s="1"/>
  <c r="N171" i="7" s="1"/>
  <c r="AQ170" i="7"/>
  <c r="J170" i="7"/>
  <c r="K170" i="7" s="1"/>
  <c r="L170" i="7" s="1"/>
  <c r="M170" i="7" s="1"/>
  <c r="N170" i="7" s="1"/>
  <c r="AQ169" i="7"/>
  <c r="J169" i="7"/>
  <c r="K169" i="7" s="1"/>
  <c r="L169" i="7" s="1"/>
  <c r="M169" i="7" s="1"/>
  <c r="N169" i="7" s="1"/>
  <c r="AQ168" i="7"/>
  <c r="J168" i="7"/>
  <c r="K168" i="7" s="1"/>
  <c r="L168" i="7" s="1"/>
  <c r="M168" i="7" s="1"/>
  <c r="N168" i="7" s="1"/>
  <c r="AQ167" i="7"/>
  <c r="J167" i="7"/>
  <c r="K167" i="7" s="1"/>
  <c r="L167" i="7" s="1"/>
  <c r="M167" i="7" s="1"/>
  <c r="N167" i="7" s="1"/>
  <c r="AQ166" i="7"/>
  <c r="J166" i="7"/>
  <c r="K166" i="7" s="1"/>
  <c r="L166" i="7" s="1"/>
  <c r="M166" i="7" s="1"/>
  <c r="N166" i="7" s="1"/>
  <c r="AQ165" i="7"/>
  <c r="J165" i="7"/>
  <c r="K165" i="7" s="1"/>
  <c r="L165" i="7" s="1"/>
  <c r="M165" i="7" s="1"/>
  <c r="N165" i="7" s="1"/>
  <c r="AQ164" i="7"/>
  <c r="J164" i="7"/>
  <c r="K164" i="7" s="1"/>
  <c r="L164" i="7" s="1"/>
  <c r="M164" i="7" s="1"/>
  <c r="N164" i="7" s="1"/>
  <c r="AQ163" i="7"/>
  <c r="J163" i="7"/>
  <c r="K163" i="7" s="1"/>
  <c r="L163" i="7" s="1"/>
  <c r="M163" i="7" s="1"/>
  <c r="N163" i="7" s="1"/>
  <c r="AQ162" i="7"/>
  <c r="J162" i="7"/>
  <c r="K162" i="7" s="1"/>
  <c r="L162" i="7" s="1"/>
  <c r="M162" i="7" s="1"/>
  <c r="N162" i="7" s="1"/>
  <c r="AQ161" i="7"/>
  <c r="G161" i="7"/>
  <c r="F161" i="7" s="1"/>
  <c r="AQ151" i="7"/>
  <c r="V151" i="7"/>
  <c r="AE151" i="7" s="1"/>
  <c r="AQ150" i="7"/>
  <c r="V150" i="7"/>
  <c r="AE150" i="7" s="1"/>
  <c r="AQ149" i="7"/>
  <c r="AQ148" i="7"/>
  <c r="AQ147" i="7"/>
  <c r="AQ146" i="7"/>
  <c r="AQ145" i="7"/>
  <c r="AQ144" i="7"/>
  <c r="K144" i="7"/>
  <c r="L144" i="7" s="1"/>
  <c r="M144" i="7" s="1"/>
  <c r="N144" i="7" s="1"/>
  <c r="AQ143" i="7"/>
  <c r="AQ142" i="7"/>
  <c r="AQ141" i="7"/>
  <c r="AQ140" i="7"/>
  <c r="CE82" i="7"/>
  <c r="CD82" i="7"/>
  <c r="CE62" i="7"/>
  <c r="CE63" i="7" s="1"/>
  <c r="CD62" i="7"/>
  <c r="CD63" i="7" s="1"/>
  <c r="C11" i="7"/>
  <c r="C7" i="7" s="1"/>
  <c r="BO62" i="2"/>
  <c r="BO63" i="2" s="1"/>
  <c r="BN62" i="2"/>
  <c r="BN63" i="2" s="1"/>
  <c r="BO82" i="2"/>
  <c r="BN82" i="2"/>
  <c r="AF125" i="2"/>
  <c r="AF124" i="2"/>
  <c r="AF123" i="2"/>
  <c r="AF122" i="2"/>
  <c r="AF121" i="2"/>
  <c r="AF120" i="2"/>
  <c r="AF119" i="2"/>
  <c r="AF118" i="2"/>
  <c r="AF117" i="2"/>
  <c r="AF116" i="2"/>
  <c r="AF115" i="2"/>
  <c r="AF114" i="2"/>
  <c r="C7" i="2"/>
  <c r="BA26" i="2" s="1"/>
  <c r="E91" i="2" s="1"/>
  <c r="CD82" i="3"/>
  <c r="CC82" i="3"/>
  <c r="CD62" i="3"/>
  <c r="CD63" i="3" s="1"/>
  <c r="CC62" i="3"/>
  <c r="CC63" i="3" s="1"/>
  <c r="AP117" i="3"/>
  <c r="AP116" i="3"/>
  <c r="AP115" i="3"/>
  <c r="AP114" i="3"/>
  <c r="AP113" i="3"/>
  <c r="AP112" i="3"/>
  <c r="AP111" i="3"/>
  <c r="AP110" i="3"/>
  <c r="AP109" i="3"/>
  <c r="AP108" i="3"/>
  <c r="AP107" i="3"/>
  <c r="AP106" i="3"/>
  <c r="AP150" i="3"/>
  <c r="AP149" i="3"/>
  <c r="AP148" i="3"/>
  <c r="AP147" i="3"/>
  <c r="AP146" i="3"/>
  <c r="AP145" i="3"/>
  <c r="AP144" i="3"/>
  <c r="AP143" i="3"/>
  <c r="AP142" i="3"/>
  <c r="AP141" i="3"/>
  <c r="AP140" i="3"/>
  <c r="AP139" i="3"/>
  <c r="AP138" i="3"/>
  <c r="AP137" i="3"/>
  <c r="AP136" i="3"/>
  <c r="AP135" i="3"/>
  <c r="AP134" i="3"/>
  <c r="AP133" i="3"/>
  <c r="AP132" i="3"/>
  <c r="AP131" i="3"/>
  <c r="AP130" i="3"/>
  <c r="AP129" i="3"/>
  <c r="AP128" i="3"/>
  <c r="AP127" i="3"/>
  <c r="AQ111" i="3" s="1"/>
  <c r="C14" i="3"/>
  <c r="C11" i="3"/>
  <c r="BP86" i="1"/>
  <c r="AU117" i="1"/>
  <c r="AU118" i="1" s="1"/>
  <c r="AU119" i="1" s="1"/>
  <c r="AU120" i="1" s="1"/>
  <c r="AU121" i="1" s="1"/>
  <c r="AU122" i="1" s="1"/>
  <c r="AU123" i="1" s="1"/>
  <c r="AU124" i="1" s="1"/>
  <c r="AU125" i="1" s="1"/>
  <c r="AU126" i="1" s="1"/>
  <c r="AU127" i="1" s="1"/>
  <c r="AU128" i="1" s="1"/>
  <c r="AU129" i="1" s="1"/>
  <c r="AU130" i="1" s="1"/>
  <c r="AU131" i="1" s="1"/>
  <c r="AU132" i="1" s="1"/>
  <c r="AU133" i="1" s="1"/>
  <c r="AU134" i="1" s="1"/>
  <c r="CV108" i="2"/>
  <c r="CV109" i="2" s="1"/>
  <c r="C114" i="2"/>
  <c r="J123" i="2"/>
  <c r="K123" i="2" s="1"/>
  <c r="L123" i="2" s="1"/>
  <c r="M123" i="2" s="1"/>
  <c r="C106" i="3"/>
  <c r="J106" i="3" s="1"/>
  <c r="P106" i="3" s="1"/>
  <c r="Q106" i="3" s="1"/>
  <c r="S106" i="3" s="1"/>
  <c r="K115" i="3"/>
  <c r="L115" i="3" s="1"/>
  <c r="M115" i="3" s="1"/>
  <c r="N115" i="3" s="1"/>
  <c r="G127" i="3"/>
  <c r="F127" i="3" s="1"/>
  <c r="J128" i="3"/>
  <c r="K128" i="3"/>
  <c r="L128" i="3" s="1"/>
  <c r="M128" i="3" s="1"/>
  <c r="N128" i="3" s="1"/>
  <c r="J129" i="3"/>
  <c r="K129" i="3" s="1"/>
  <c r="L129" i="3" s="1"/>
  <c r="M129" i="3" s="1"/>
  <c r="N129" i="3" s="1"/>
  <c r="J130" i="3"/>
  <c r="K130" i="3" s="1"/>
  <c r="L130" i="3" s="1"/>
  <c r="M130" i="3" s="1"/>
  <c r="N130" i="3" s="1"/>
  <c r="J131" i="3"/>
  <c r="K131" i="3" s="1"/>
  <c r="L131" i="3" s="1"/>
  <c r="M131" i="3" s="1"/>
  <c r="N131" i="3" s="1"/>
  <c r="J132" i="3"/>
  <c r="K132" i="3" s="1"/>
  <c r="L132" i="3" s="1"/>
  <c r="M132" i="3" s="1"/>
  <c r="N132" i="3" s="1"/>
  <c r="J133" i="3"/>
  <c r="K133" i="3" s="1"/>
  <c r="L133" i="3" s="1"/>
  <c r="M133" i="3" s="1"/>
  <c r="N133" i="3" s="1"/>
  <c r="J134" i="3"/>
  <c r="K134" i="3" s="1"/>
  <c r="L134" i="3" s="1"/>
  <c r="M134" i="3" s="1"/>
  <c r="N134" i="3" s="1"/>
  <c r="J135" i="3"/>
  <c r="K135" i="3" s="1"/>
  <c r="L135" i="3" s="1"/>
  <c r="M135" i="3" s="1"/>
  <c r="N135" i="3" s="1"/>
  <c r="J136" i="3"/>
  <c r="K136" i="3" s="1"/>
  <c r="L136" i="3" s="1"/>
  <c r="M136" i="3" s="1"/>
  <c r="N136" i="3" s="1"/>
  <c r="J137" i="3"/>
  <c r="K137" i="3" s="1"/>
  <c r="L137" i="3" s="1"/>
  <c r="M137" i="3" s="1"/>
  <c r="N137" i="3" s="1"/>
  <c r="J138" i="3"/>
  <c r="K138" i="3" s="1"/>
  <c r="L138" i="3" s="1"/>
  <c r="M138" i="3" s="1"/>
  <c r="N138" i="3" s="1"/>
  <c r="J139" i="3"/>
  <c r="K139" i="3" s="1"/>
  <c r="L139" i="3" s="1"/>
  <c r="M139" i="3" s="1"/>
  <c r="N139" i="3" s="1"/>
  <c r="J140" i="3"/>
  <c r="K140" i="3" s="1"/>
  <c r="L140" i="3" s="1"/>
  <c r="M140" i="3" s="1"/>
  <c r="N140" i="3" s="1"/>
  <c r="J141" i="3"/>
  <c r="K141" i="3" s="1"/>
  <c r="L141" i="3" s="1"/>
  <c r="M141" i="3" s="1"/>
  <c r="N141" i="3" s="1"/>
  <c r="J142" i="3"/>
  <c r="K142" i="3" s="1"/>
  <c r="L142" i="3" s="1"/>
  <c r="M142" i="3" s="1"/>
  <c r="N142" i="3" s="1"/>
  <c r="J143" i="3"/>
  <c r="K143" i="3" s="1"/>
  <c r="L143" i="3" s="1"/>
  <c r="M143" i="3" s="1"/>
  <c r="N143" i="3" s="1"/>
  <c r="J144" i="3"/>
  <c r="K144" i="3" s="1"/>
  <c r="L144" i="3" s="1"/>
  <c r="M144" i="3" s="1"/>
  <c r="N144" i="3" s="1"/>
  <c r="J145" i="3"/>
  <c r="K145" i="3" s="1"/>
  <c r="L145" i="3" s="1"/>
  <c r="M145" i="3" s="1"/>
  <c r="N145" i="3" s="1"/>
  <c r="J146" i="3"/>
  <c r="K146" i="3" s="1"/>
  <c r="L146" i="3" s="1"/>
  <c r="M146" i="3" s="1"/>
  <c r="N146" i="3" s="1"/>
  <c r="J147" i="3"/>
  <c r="K147" i="3" s="1"/>
  <c r="L147" i="3" s="1"/>
  <c r="M147" i="3" s="1"/>
  <c r="N147" i="3" s="1"/>
  <c r="J148" i="3"/>
  <c r="K148" i="3" s="1"/>
  <c r="L148" i="3" s="1"/>
  <c r="M148" i="3" s="1"/>
  <c r="N148" i="3" s="1"/>
  <c r="J149" i="3"/>
  <c r="K149" i="3" s="1"/>
  <c r="L149" i="3" s="1"/>
  <c r="M149" i="3" s="1"/>
  <c r="N149" i="3" s="1"/>
  <c r="J150" i="3"/>
  <c r="K150" i="3" s="1"/>
  <c r="L150" i="3" s="1"/>
  <c r="M150" i="3" s="1"/>
  <c r="N150" i="3" s="1"/>
  <c r="C12" i="1"/>
  <c r="BC49" i="1" s="1"/>
  <c r="E109" i="1" s="1"/>
  <c r="B14" i="1"/>
  <c r="C14" i="1" s="1"/>
  <c r="BP87" i="1"/>
  <c r="C121" i="1"/>
  <c r="Y126" i="1" s="1"/>
  <c r="G121" i="1"/>
  <c r="F121" i="1" s="1"/>
  <c r="AF121" i="1"/>
  <c r="J122" i="1"/>
  <c r="K122" i="1" s="1"/>
  <c r="L122" i="1" s="1"/>
  <c r="M122" i="1" s="1"/>
  <c r="N122" i="1" s="1"/>
  <c r="AF122" i="1"/>
  <c r="J123" i="1"/>
  <c r="K123" i="1" s="1"/>
  <c r="L123" i="1" s="1"/>
  <c r="M123" i="1" s="1"/>
  <c r="N123" i="1" s="1"/>
  <c r="AF123" i="1"/>
  <c r="J124" i="1"/>
  <c r="K124" i="1" s="1"/>
  <c r="L124" i="1" s="1"/>
  <c r="M124" i="1" s="1"/>
  <c r="N124" i="1" s="1"/>
  <c r="AF124" i="1"/>
  <c r="J125" i="1"/>
  <c r="K125" i="1" s="1"/>
  <c r="L125" i="1" s="1"/>
  <c r="M125" i="1" s="1"/>
  <c r="N125" i="1" s="1"/>
  <c r="AF125" i="1"/>
  <c r="J126" i="1"/>
  <c r="K126" i="1" s="1"/>
  <c r="L126" i="1" s="1"/>
  <c r="M126" i="1" s="1"/>
  <c r="N126" i="1" s="1"/>
  <c r="AF126" i="1"/>
  <c r="J127" i="1"/>
  <c r="K127" i="1"/>
  <c r="L127" i="1" s="1"/>
  <c r="M127" i="1" s="1"/>
  <c r="N127" i="1" s="1"/>
  <c r="AF127" i="1"/>
  <c r="J128" i="1"/>
  <c r="K128" i="1" s="1"/>
  <c r="L128" i="1" s="1"/>
  <c r="M128" i="1" s="1"/>
  <c r="N128" i="1" s="1"/>
  <c r="AF128" i="1"/>
  <c r="J129" i="1"/>
  <c r="K129" i="1" s="1"/>
  <c r="L129" i="1" s="1"/>
  <c r="M129" i="1" s="1"/>
  <c r="N129" i="1" s="1"/>
  <c r="AF129" i="1"/>
  <c r="J130" i="1"/>
  <c r="K130" i="1" s="1"/>
  <c r="L130" i="1" s="1"/>
  <c r="M130" i="1" s="1"/>
  <c r="N130" i="1" s="1"/>
  <c r="AF130" i="1"/>
  <c r="J131" i="1"/>
  <c r="K131" i="1" s="1"/>
  <c r="L131" i="1" s="1"/>
  <c r="M131" i="1" s="1"/>
  <c r="N131" i="1" s="1"/>
  <c r="AF131" i="1"/>
  <c r="J132" i="1"/>
  <c r="K132" i="1" s="1"/>
  <c r="L132" i="1" s="1"/>
  <c r="M132" i="1" s="1"/>
  <c r="N132" i="1" s="1"/>
  <c r="AF132" i="1"/>
  <c r="J133" i="1"/>
  <c r="K133" i="1" s="1"/>
  <c r="L133" i="1" s="1"/>
  <c r="M133" i="1" s="1"/>
  <c r="N133" i="1" s="1"/>
  <c r="AF133" i="1"/>
  <c r="J134" i="1"/>
  <c r="K134" i="1" s="1"/>
  <c r="L134" i="1" s="1"/>
  <c r="M134" i="1" s="1"/>
  <c r="N134" i="1" s="1"/>
  <c r="AF134" i="1"/>
  <c r="J135" i="1"/>
  <c r="K135" i="1" s="1"/>
  <c r="L135" i="1" s="1"/>
  <c r="M135" i="1" s="1"/>
  <c r="N135" i="1" s="1"/>
  <c r="AF135" i="1"/>
  <c r="J136" i="1"/>
  <c r="K136" i="1" s="1"/>
  <c r="L136" i="1" s="1"/>
  <c r="M136" i="1" s="1"/>
  <c r="N136" i="1" s="1"/>
  <c r="AF136" i="1"/>
  <c r="J137" i="1"/>
  <c r="K137" i="1" s="1"/>
  <c r="L137" i="1" s="1"/>
  <c r="M137" i="1" s="1"/>
  <c r="N137" i="1" s="1"/>
  <c r="AF137" i="1"/>
  <c r="J138" i="1"/>
  <c r="K138" i="1" s="1"/>
  <c r="L138" i="1" s="1"/>
  <c r="M138" i="1" s="1"/>
  <c r="N138" i="1" s="1"/>
  <c r="AF138" i="1"/>
  <c r="J139" i="1"/>
  <c r="K139" i="1" s="1"/>
  <c r="L139" i="1" s="1"/>
  <c r="M139" i="1" s="1"/>
  <c r="N139" i="1" s="1"/>
  <c r="AF139" i="1"/>
  <c r="J140" i="1"/>
  <c r="K140" i="1" s="1"/>
  <c r="L140" i="1" s="1"/>
  <c r="M140" i="1" s="1"/>
  <c r="N140" i="1" s="1"/>
  <c r="AF140" i="1"/>
  <c r="J141" i="1"/>
  <c r="K141" i="1" s="1"/>
  <c r="L141" i="1" s="1"/>
  <c r="M141" i="1" s="1"/>
  <c r="N141" i="1" s="1"/>
  <c r="AF141" i="1"/>
  <c r="J142" i="1"/>
  <c r="K142" i="1" s="1"/>
  <c r="L142" i="1" s="1"/>
  <c r="M142" i="1" s="1"/>
  <c r="N142" i="1" s="1"/>
  <c r="AF142" i="1"/>
  <c r="J143" i="1"/>
  <c r="K143" i="1" s="1"/>
  <c r="L143" i="1" s="1"/>
  <c r="M143" i="1" s="1"/>
  <c r="N143" i="1" s="1"/>
  <c r="AF143" i="1"/>
  <c r="J144" i="1"/>
  <c r="K144" i="1" s="1"/>
  <c r="L144" i="1" s="1"/>
  <c r="M144" i="1" s="1"/>
  <c r="N144" i="1" s="1"/>
  <c r="AF144" i="1"/>
  <c r="BP104" i="1"/>
  <c r="BQ104" i="1"/>
  <c r="BQ86" i="1"/>
  <c r="BQ87" i="1" s="1"/>
  <c r="V113" i="3"/>
  <c r="AE113" i="3" s="1"/>
  <c r="V114" i="3"/>
  <c r="AE114" i="3" s="1"/>
  <c r="V115" i="3"/>
  <c r="AE115" i="3" s="1"/>
  <c r="V117" i="3"/>
  <c r="AE117" i="3" s="1"/>
  <c r="V116" i="3"/>
  <c r="AE116" i="3" s="1"/>
  <c r="V146" i="3"/>
  <c r="V175" i="7"/>
  <c r="V147" i="3"/>
  <c r="V176" i="7"/>
  <c r="V148" i="3"/>
  <c r="V150" i="3"/>
  <c r="V177" i="7"/>
  <c r="V149" i="3"/>
  <c r="V178" i="7"/>
  <c r="V179" i="7"/>
  <c r="V180" i="7"/>
  <c r="AI128" i="7"/>
  <c r="AI130" i="7"/>
  <c r="AI127" i="7"/>
  <c r="AI129" i="7"/>
  <c r="V127" i="7"/>
  <c r="AE127" i="7" s="1"/>
  <c r="V128" i="7"/>
  <c r="AE128" i="7" s="1"/>
  <c r="V130" i="7"/>
  <c r="AF130" i="7" s="1"/>
  <c r="V129" i="7"/>
  <c r="AE129" i="7" s="1"/>
  <c r="O132" i="10" l="1"/>
  <c r="P132" i="10" s="1"/>
  <c r="Y142" i="10"/>
  <c r="Y141" i="10"/>
  <c r="Y144" i="10"/>
  <c r="Y140" i="10"/>
  <c r="Y143" i="10"/>
  <c r="Y139" i="10"/>
  <c r="AR147" i="7"/>
  <c r="AR145" i="7"/>
  <c r="Q114" i="7"/>
  <c r="C7" i="3"/>
  <c r="BP26" i="3" s="1"/>
  <c r="E84" i="3" s="1"/>
  <c r="AQ108" i="3"/>
  <c r="AQ112" i="3"/>
  <c r="AQ116" i="3"/>
  <c r="AQ113" i="3"/>
  <c r="AQ117" i="3"/>
  <c r="AQ106" i="3"/>
  <c r="AQ110" i="3"/>
  <c r="AQ114" i="3"/>
  <c r="AQ115" i="3"/>
  <c r="AQ109" i="3"/>
  <c r="Y130" i="1"/>
  <c r="AC130" i="1" s="1"/>
  <c r="AD130" i="1" s="1"/>
  <c r="AE130" i="1" s="1"/>
  <c r="O133" i="1"/>
  <c r="P133" i="1" s="1"/>
  <c r="Q133" i="1" s="1"/>
  <c r="Y132" i="1"/>
  <c r="AC132" i="1" s="1"/>
  <c r="AD132" i="1" s="1"/>
  <c r="AE132" i="1" s="1"/>
  <c r="O128" i="1"/>
  <c r="P128" i="1" s="1"/>
  <c r="Q128" i="1" s="1"/>
  <c r="O137" i="1"/>
  <c r="P137" i="1" s="1"/>
  <c r="Q137" i="1" s="1"/>
  <c r="O135" i="1"/>
  <c r="P135" i="1" s="1"/>
  <c r="Q135" i="1" s="1"/>
  <c r="O138" i="1"/>
  <c r="P138" i="1" s="1"/>
  <c r="Q138" i="1" s="1"/>
  <c r="O119" i="7"/>
  <c r="P119" i="7" s="1"/>
  <c r="Q119" i="7" s="1"/>
  <c r="AH113" i="7"/>
  <c r="AI113" i="7" s="1"/>
  <c r="AH128" i="7"/>
  <c r="AM128" i="7" s="1"/>
  <c r="AN128" i="7" s="1"/>
  <c r="AO128" i="7" s="1"/>
  <c r="AT128" i="7" s="1"/>
  <c r="AH117" i="7"/>
  <c r="AJ117" i="7" s="1"/>
  <c r="AK117" i="7" s="1"/>
  <c r="AL117" i="7" s="1"/>
  <c r="O121" i="7"/>
  <c r="P121" i="7" s="1"/>
  <c r="Q121" i="7" s="1"/>
  <c r="O127" i="7"/>
  <c r="P127" i="7" s="1"/>
  <c r="Q127" i="7" s="1"/>
  <c r="AH122" i="7"/>
  <c r="AM122" i="7" s="1"/>
  <c r="AN122" i="7" s="1"/>
  <c r="AO122" i="7" s="1"/>
  <c r="AH109" i="7"/>
  <c r="AI109" i="7" s="1"/>
  <c r="AH125" i="7"/>
  <c r="AM125" i="7" s="1"/>
  <c r="AN125" i="7" s="1"/>
  <c r="AO125" i="7" s="1"/>
  <c r="O112" i="7"/>
  <c r="P112" i="7" s="1"/>
  <c r="Q112" i="7" s="1"/>
  <c r="AH126" i="7"/>
  <c r="O108" i="7"/>
  <c r="P108" i="7" s="1"/>
  <c r="Q108" i="7" s="1"/>
  <c r="AR108" i="7"/>
  <c r="AR130" i="7"/>
  <c r="BP209" i="7"/>
  <c r="N125" i="2"/>
  <c r="O125" i="2" s="1"/>
  <c r="P125" i="2" s="1"/>
  <c r="I114" i="2"/>
  <c r="O114" i="2" s="1"/>
  <c r="P114" i="2" s="1"/>
  <c r="R114" i="2" s="1"/>
  <c r="AR125" i="7"/>
  <c r="AR148" i="7"/>
  <c r="AR150" i="7"/>
  <c r="AR144" i="7"/>
  <c r="AR146" i="7"/>
  <c r="AR142" i="7"/>
  <c r="AR140" i="7"/>
  <c r="AR115" i="7"/>
  <c r="BQ26" i="7"/>
  <c r="E85" i="7" s="1"/>
  <c r="AR111" i="7"/>
  <c r="AR143" i="7"/>
  <c r="AR120" i="7"/>
  <c r="AR141" i="7"/>
  <c r="AR149" i="7"/>
  <c r="AR151" i="7"/>
  <c r="AR113" i="7"/>
  <c r="AR121" i="7"/>
  <c r="AR107" i="7"/>
  <c r="AR116" i="7"/>
  <c r="AR127" i="7"/>
  <c r="AR114" i="7"/>
  <c r="AR118" i="7"/>
  <c r="AR129" i="7"/>
  <c r="AH114" i="7"/>
  <c r="O120" i="7"/>
  <c r="P120" i="7" s="1"/>
  <c r="Q120" i="7" s="1"/>
  <c r="AH115" i="7"/>
  <c r="O111" i="7"/>
  <c r="P111" i="7" s="1"/>
  <c r="Q111" i="7" s="1"/>
  <c r="O110" i="7"/>
  <c r="P110" i="7" s="1"/>
  <c r="Q110" i="7" s="1"/>
  <c r="AH108" i="7"/>
  <c r="AH110" i="7"/>
  <c r="AM110" i="7" s="1"/>
  <c r="AN110" i="7" s="1"/>
  <c r="AO110" i="7" s="1"/>
  <c r="O130" i="7"/>
  <c r="P130" i="7" s="1"/>
  <c r="Q130" i="7" s="1"/>
  <c r="AH129" i="7"/>
  <c r="AF128" i="7"/>
  <c r="O125" i="7"/>
  <c r="P125" i="7" s="1"/>
  <c r="Q125" i="7" s="1"/>
  <c r="O128" i="7"/>
  <c r="P128" i="7" s="1"/>
  <c r="Q128" i="7" s="1"/>
  <c r="O113" i="7"/>
  <c r="P113" i="7" s="1"/>
  <c r="Q113" i="7" s="1"/>
  <c r="AH121" i="7"/>
  <c r="AH111" i="7"/>
  <c r="O107" i="7"/>
  <c r="P107" i="7" s="1"/>
  <c r="AH123" i="7"/>
  <c r="O126" i="7"/>
  <c r="P126" i="7" s="1"/>
  <c r="Q126" i="7" s="1"/>
  <c r="AH107" i="7"/>
  <c r="AI107" i="7" s="1"/>
  <c r="O122" i="7"/>
  <c r="P122" i="7" s="1"/>
  <c r="Q122" i="7" s="1"/>
  <c r="AH118" i="7"/>
  <c r="AH130" i="7"/>
  <c r="AF127" i="7"/>
  <c r="AF129" i="7"/>
  <c r="AE130" i="7"/>
  <c r="O109" i="7"/>
  <c r="P109" i="7" s="1"/>
  <c r="Q109" i="7" s="1"/>
  <c r="O116" i="7"/>
  <c r="P116" i="7" s="1"/>
  <c r="Q116" i="7" s="1"/>
  <c r="J107" i="7"/>
  <c r="K107" i="7" s="1"/>
  <c r="L107" i="7" s="1"/>
  <c r="M107" i="7" s="1"/>
  <c r="N107" i="7" s="1"/>
  <c r="AH120" i="7"/>
  <c r="AI120" i="7" s="1"/>
  <c r="AH119" i="7"/>
  <c r="AJ119" i="7" s="1"/>
  <c r="AK119" i="7" s="1"/>
  <c r="AL119" i="7" s="1"/>
  <c r="O123" i="7"/>
  <c r="P123" i="7" s="1"/>
  <c r="Q123" i="7" s="1"/>
  <c r="O129" i="7"/>
  <c r="P129" i="7" s="1"/>
  <c r="Q129" i="7" s="1"/>
  <c r="AH116" i="7"/>
  <c r="O117" i="7"/>
  <c r="P117" i="7" s="1"/>
  <c r="Q117" i="7" s="1"/>
  <c r="AH112" i="7"/>
  <c r="AI112" i="7" s="1"/>
  <c r="AH127" i="7"/>
  <c r="O115" i="7"/>
  <c r="P115" i="7" s="1"/>
  <c r="Q115" i="7" s="1"/>
  <c r="O118" i="7"/>
  <c r="P118" i="7" s="1"/>
  <c r="Q118" i="7" s="1"/>
  <c r="O124" i="7"/>
  <c r="P124" i="7" s="1"/>
  <c r="Q124" i="7" s="1"/>
  <c r="AH124" i="7"/>
  <c r="Z126" i="1"/>
  <c r="AA126" i="1" s="1"/>
  <c r="AB126" i="1" s="1"/>
  <c r="AC126" i="1"/>
  <c r="AD126" i="1" s="1"/>
  <c r="AE126" i="1" s="1"/>
  <c r="O139" i="1"/>
  <c r="P139" i="1" s="1"/>
  <c r="Q139" i="1" s="1"/>
  <c r="Y143" i="1"/>
  <c r="Y134" i="1"/>
  <c r="O143" i="1"/>
  <c r="P143" i="1" s="1"/>
  <c r="Q143" i="1" s="1"/>
  <c r="Y123" i="1"/>
  <c r="O141" i="1"/>
  <c r="P141" i="1" s="1"/>
  <c r="Q141" i="1" s="1"/>
  <c r="Y124" i="1"/>
  <c r="Y137" i="1"/>
  <c r="AC137" i="1" s="1"/>
  <c r="AD137" i="1" s="1"/>
  <c r="AE137" i="1" s="1"/>
  <c r="O124" i="1"/>
  <c r="P124" i="1" s="1"/>
  <c r="Q124" i="1" s="1"/>
  <c r="Y139" i="1"/>
  <c r="O130" i="1"/>
  <c r="P130" i="1" s="1"/>
  <c r="Q130" i="1" s="1"/>
  <c r="O121" i="1"/>
  <c r="P121" i="1" s="1"/>
  <c r="Y136" i="1"/>
  <c r="O132" i="1"/>
  <c r="P132" i="1" s="1"/>
  <c r="Q132" i="1" s="1"/>
  <c r="O129" i="1"/>
  <c r="P129" i="1" s="1"/>
  <c r="Q129" i="1" s="1"/>
  <c r="Y129" i="1"/>
  <c r="J121" i="1"/>
  <c r="K121" i="1" s="1"/>
  <c r="L121" i="1" s="1"/>
  <c r="M121" i="1" s="1"/>
  <c r="N121" i="1" s="1"/>
  <c r="O127" i="1"/>
  <c r="P127" i="1" s="1"/>
  <c r="Q127" i="1" s="1"/>
  <c r="Y138" i="1"/>
  <c r="O123" i="1"/>
  <c r="P123" i="1" s="1"/>
  <c r="Q123" i="1" s="1"/>
  <c r="Y122" i="1"/>
  <c r="AC122" i="1" s="1"/>
  <c r="AD122" i="1" s="1"/>
  <c r="AE122" i="1" s="1"/>
  <c r="Y135" i="1"/>
  <c r="O136" i="1"/>
  <c r="P136" i="1" s="1"/>
  <c r="Q136" i="1" s="1"/>
  <c r="Y131" i="1"/>
  <c r="O142" i="1"/>
  <c r="P142" i="1" s="1"/>
  <c r="Q142" i="1" s="1"/>
  <c r="Y142" i="1"/>
  <c r="Y141" i="1"/>
  <c r="Y121" i="1"/>
  <c r="O140" i="1"/>
  <c r="P140" i="1" s="1"/>
  <c r="Q140" i="1" s="1"/>
  <c r="Y125" i="1"/>
  <c r="O134" i="1"/>
  <c r="P134" i="1" s="1"/>
  <c r="Q134" i="1" s="1"/>
  <c r="O126" i="1"/>
  <c r="P126" i="1" s="1"/>
  <c r="Q126" i="1" s="1"/>
  <c r="Y133" i="1"/>
  <c r="O131" i="1"/>
  <c r="P131" i="1" s="1"/>
  <c r="Q131" i="1" s="1"/>
  <c r="Y128" i="1"/>
  <c r="O122" i="1"/>
  <c r="P122" i="1" s="1"/>
  <c r="Q122" i="1" s="1"/>
  <c r="O144" i="1"/>
  <c r="P144" i="1" s="1"/>
  <c r="Q144" i="1" s="1"/>
  <c r="Y140" i="1"/>
  <c r="Y127" i="1"/>
  <c r="O125" i="1"/>
  <c r="P125" i="1" s="1"/>
  <c r="Q125" i="1" s="1"/>
  <c r="Y144" i="1"/>
  <c r="Z144" i="1" s="1"/>
  <c r="AA144" i="1" s="1"/>
  <c r="AB144" i="1" s="1"/>
  <c r="AI125" i="7"/>
  <c r="AU135" i="1"/>
  <c r="AG107" i="3"/>
  <c r="AI107" i="3" s="1"/>
  <c r="AJ107" i="3" s="1"/>
  <c r="AK107" i="3" s="1"/>
  <c r="O108" i="3"/>
  <c r="P108" i="3" s="1"/>
  <c r="Q108" i="3" s="1"/>
  <c r="AR128" i="7"/>
  <c r="AR126" i="7"/>
  <c r="AR124" i="7"/>
  <c r="AR122" i="7"/>
  <c r="AR119" i="7"/>
  <c r="AR117" i="7"/>
  <c r="AR112" i="7"/>
  <c r="AR109" i="7"/>
  <c r="AQ107" i="3"/>
  <c r="AR110" i="7"/>
  <c r="AR123" i="7"/>
  <c r="Y136" i="10"/>
  <c r="Z136" i="10" s="1"/>
  <c r="AA136" i="10" s="1"/>
  <c r="AB136" i="10" s="1"/>
  <c r="O121" i="10"/>
  <c r="P121" i="10" s="1"/>
  <c r="O122" i="10"/>
  <c r="P122" i="10" s="1"/>
  <c r="Q122" i="10" s="1"/>
  <c r="Y121" i="10"/>
  <c r="AC121" i="10" s="1"/>
  <c r="AD121" i="10" s="1"/>
  <c r="AE121" i="10" s="1"/>
  <c r="O130" i="10"/>
  <c r="P130" i="10" s="1"/>
  <c r="Q130" i="10" s="1"/>
  <c r="Y135" i="10"/>
  <c r="Z135" i="10" s="1"/>
  <c r="AA135" i="10" s="1"/>
  <c r="AB135" i="10" s="1"/>
  <c r="Y125" i="10"/>
  <c r="Z125" i="10" s="1"/>
  <c r="AA125" i="10" s="1"/>
  <c r="AB125" i="10" s="1"/>
  <c r="O137" i="10"/>
  <c r="P137" i="10" s="1"/>
  <c r="Q137" i="10" s="1"/>
  <c r="Y134" i="10"/>
  <c r="Y132" i="10"/>
  <c r="Y130" i="10"/>
  <c r="Y128" i="10"/>
  <c r="Y126" i="10"/>
  <c r="Y124" i="10"/>
  <c r="Y122" i="10"/>
  <c r="Y137" i="10"/>
  <c r="O135" i="10"/>
  <c r="P135" i="10" s="1"/>
  <c r="Q135" i="10" s="1"/>
  <c r="O133" i="10"/>
  <c r="P133" i="10" s="1"/>
  <c r="Q133" i="10" s="1"/>
  <c r="O131" i="10"/>
  <c r="P131" i="10" s="1"/>
  <c r="Q131" i="10" s="1"/>
  <c r="O129" i="10"/>
  <c r="P129" i="10" s="1"/>
  <c r="Q129" i="10" s="1"/>
  <c r="O127" i="10"/>
  <c r="P127" i="10" s="1"/>
  <c r="Q127" i="10" s="1"/>
  <c r="O125" i="10"/>
  <c r="P125" i="10" s="1"/>
  <c r="Q125" i="10" s="1"/>
  <c r="O123" i="10"/>
  <c r="P123" i="10" s="1"/>
  <c r="Q123" i="10" s="1"/>
  <c r="Y123" i="10"/>
  <c r="O128" i="10"/>
  <c r="P128" i="10" s="1"/>
  <c r="Q128" i="10" s="1"/>
  <c r="Y133" i="10"/>
  <c r="O138" i="10"/>
  <c r="P138" i="10" s="1"/>
  <c r="Q138" i="10" s="1"/>
  <c r="O126" i="10"/>
  <c r="P126" i="10" s="1"/>
  <c r="Q126" i="10" s="1"/>
  <c r="Y129" i="10"/>
  <c r="Y131" i="10"/>
  <c r="O136" i="10"/>
  <c r="P136" i="10" s="1"/>
  <c r="Q136" i="10" s="1"/>
  <c r="AU148" i="10"/>
  <c r="Q132" i="10"/>
  <c r="J121" i="10"/>
  <c r="K121" i="10" s="1"/>
  <c r="L121" i="10" s="1"/>
  <c r="M121" i="10" s="1"/>
  <c r="N121" i="10" s="1"/>
  <c r="O124" i="10"/>
  <c r="P124" i="10" s="1"/>
  <c r="Q124" i="10" s="1"/>
  <c r="Y127" i="10"/>
  <c r="O134" i="10"/>
  <c r="P134" i="10" s="1"/>
  <c r="Q134" i="10" s="1"/>
  <c r="Y138" i="10"/>
  <c r="AF180" i="7"/>
  <c r="AF182" i="7"/>
  <c r="AF183" i="7"/>
  <c r="AF179" i="7"/>
  <c r="AF176" i="7"/>
  <c r="AF150" i="7"/>
  <c r="AF151" i="7"/>
  <c r="AF181" i="7"/>
  <c r="AF177" i="7"/>
  <c r="AF178" i="7"/>
  <c r="AF175" i="7"/>
  <c r="Y114" i="2"/>
  <c r="Z114" i="2" s="1"/>
  <c r="AA114" i="2" s="1"/>
  <c r="AB114" i="2" s="1"/>
  <c r="N120" i="2"/>
  <c r="O120" i="2" s="1"/>
  <c r="P120" i="2" s="1"/>
  <c r="AF115" i="3"/>
  <c r="AF113" i="3"/>
  <c r="AG112" i="3"/>
  <c r="AG106" i="3"/>
  <c r="AH106" i="3" s="1"/>
  <c r="AG116" i="3"/>
  <c r="AG109" i="3"/>
  <c r="AH109" i="3" s="1"/>
  <c r="AG114" i="3"/>
  <c r="AL114" i="3" s="1"/>
  <c r="AM114" i="3" s="1"/>
  <c r="AN114" i="3" s="1"/>
  <c r="AS114" i="3" s="1"/>
  <c r="AG117" i="3"/>
  <c r="AL117" i="3" s="1"/>
  <c r="AM117" i="3" s="1"/>
  <c r="AN117" i="3" s="1"/>
  <c r="AS117" i="3" s="1"/>
  <c r="AF146" i="3"/>
  <c r="AF150" i="3"/>
  <c r="AF149" i="3"/>
  <c r="AF148" i="3"/>
  <c r="AF117" i="3"/>
  <c r="AF116" i="3"/>
  <c r="O116" i="3"/>
  <c r="P116" i="3" s="1"/>
  <c r="Q116" i="3" s="1"/>
  <c r="O113" i="3"/>
  <c r="P113" i="3" s="1"/>
  <c r="Q113" i="3" s="1"/>
  <c r="O114" i="3"/>
  <c r="P114" i="3" s="1"/>
  <c r="Q114" i="3" s="1"/>
  <c r="AG111" i="3"/>
  <c r="O112" i="3"/>
  <c r="P112" i="3" s="1"/>
  <c r="Q112" i="3" s="1"/>
  <c r="AG113" i="3"/>
  <c r="AG110" i="3"/>
  <c r="O115" i="3"/>
  <c r="P115" i="3" s="1"/>
  <c r="Q115" i="3" s="1"/>
  <c r="AG108" i="3"/>
  <c r="O111" i="3"/>
  <c r="P111" i="3" s="1"/>
  <c r="Q111" i="3" s="1"/>
  <c r="O117" i="3"/>
  <c r="P117" i="3" s="1"/>
  <c r="Q117" i="3" s="1"/>
  <c r="AG115" i="3"/>
  <c r="O109" i="3"/>
  <c r="P109" i="3" s="1"/>
  <c r="Q109" i="3" s="1"/>
  <c r="O107" i="3"/>
  <c r="P107" i="3" s="1"/>
  <c r="Q107" i="3" s="1"/>
  <c r="O110" i="3"/>
  <c r="P110" i="3" s="1"/>
  <c r="Q110" i="3" s="1"/>
  <c r="AF114" i="3"/>
  <c r="AF147" i="3"/>
  <c r="Y118" i="2"/>
  <c r="AC118" i="2" s="1"/>
  <c r="AD118" i="2" s="1"/>
  <c r="AE118" i="2" s="1"/>
  <c r="Y123" i="2"/>
  <c r="Y119" i="2"/>
  <c r="N116" i="2"/>
  <c r="O116" i="2" s="1"/>
  <c r="P116" i="2" s="1"/>
  <c r="N117" i="2"/>
  <c r="O117" i="2" s="1"/>
  <c r="P117" i="2" s="1"/>
  <c r="Y117" i="2"/>
  <c r="Y125" i="2"/>
  <c r="Y116" i="2"/>
  <c r="Y124" i="2"/>
  <c r="Y121" i="2"/>
  <c r="N121" i="2"/>
  <c r="O121" i="2" s="1"/>
  <c r="P121" i="2" s="1"/>
  <c r="Y122" i="2"/>
  <c r="N115" i="2"/>
  <c r="O115" i="2" s="1"/>
  <c r="P115" i="2" s="1"/>
  <c r="N119" i="2"/>
  <c r="O119" i="2" s="1"/>
  <c r="P119" i="2" s="1"/>
  <c r="N122" i="2"/>
  <c r="O122" i="2" s="1"/>
  <c r="P122" i="2" s="1"/>
  <c r="N123" i="2"/>
  <c r="O123" i="2" s="1"/>
  <c r="P123" i="2" s="1"/>
  <c r="Y120" i="2"/>
  <c r="Y115" i="2"/>
  <c r="N124" i="2"/>
  <c r="O124" i="2" s="1"/>
  <c r="P124" i="2" s="1"/>
  <c r="N118" i="2"/>
  <c r="O118" i="2" s="1"/>
  <c r="P118" i="2" s="1"/>
  <c r="AJ126" i="7" l="1"/>
  <c r="AK126" i="7" s="1"/>
  <c r="AL126" i="7" s="1"/>
  <c r="AI126" i="7"/>
  <c r="AC144" i="10"/>
  <c r="AD144" i="10" s="1"/>
  <c r="AE144" i="10" s="1"/>
  <c r="Z144" i="10"/>
  <c r="AA144" i="10" s="1"/>
  <c r="AB144" i="10" s="1"/>
  <c r="AC141" i="10"/>
  <c r="AD141" i="10" s="1"/>
  <c r="AE141" i="10" s="1"/>
  <c r="Z141" i="10"/>
  <c r="AA141" i="10" s="1"/>
  <c r="AB141" i="10" s="1"/>
  <c r="AC143" i="10"/>
  <c r="AD143" i="10" s="1"/>
  <c r="AE143" i="10" s="1"/>
  <c r="Z143" i="10"/>
  <c r="AA143" i="10" s="1"/>
  <c r="AB143" i="10" s="1"/>
  <c r="AC142" i="10"/>
  <c r="AD142" i="10" s="1"/>
  <c r="AE142" i="10" s="1"/>
  <c r="Z142" i="10"/>
  <c r="AA142" i="10" s="1"/>
  <c r="AB142" i="10" s="1"/>
  <c r="AC139" i="10"/>
  <c r="AD139" i="10" s="1"/>
  <c r="AE139" i="10" s="1"/>
  <c r="Z139" i="10"/>
  <c r="AA139" i="10" s="1"/>
  <c r="AB139" i="10" s="1"/>
  <c r="AC140" i="10"/>
  <c r="AD140" i="10" s="1"/>
  <c r="AE140" i="10" s="1"/>
  <c r="Z140" i="10"/>
  <c r="AA140" i="10" s="1"/>
  <c r="AB140" i="10" s="1"/>
  <c r="AJ128" i="7"/>
  <c r="AK128" i="7" s="1"/>
  <c r="AL128" i="7" s="1"/>
  <c r="AS128" i="7" s="1"/>
  <c r="Z130" i="1"/>
  <c r="AA130" i="1" s="1"/>
  <c r="AB130" i="1" s="1"/>
  <c r="AG130" i="1" s="1"/>
  <c r="Z132" i="1"/>
  <c r="AA132" i="1" s="1"/>
  <c r="AB132" i="1" s="1"/>
  <c r="AG132" i="1" s="1"/>
  <c r="AH107" i="3"/>
  <c r="AI117" i="7"/>
  <c r="AM112" i="7"/>
  <c r="AN112" i="7" s="1"/>
  <c r="AO112" i="7" s="1"/>
  <c r="AM113" i="7"/>
  <c r="AN113" i="7" s="1"/>
  <c r="AO113" i="7" s="1"/>
  <c r="AM117" i="7"/>
  <c r="AN117" i="7" s="1"/>
  <c r="AO117" i="7" s="1"/>
  <c r="AS117" i="7" s="1"/>
  <c r="AJ113" i="7"/>
  <c r="AK113" i="7" s="1"/>
  <c r="AL113" i="7" s="1"/>
  <c r="AJ112" i="7"/>
  <c r="AK112" i="7" s="1"/>
  <c r="AL112" i="7" s="1"/>
  <c r="AM126" i="7"/>
  <c r="AN126" i="7" s="1"/>
  <c r="AO126" i="7" s="1"/>
  <c r="AS126" i="7" s="1"/>
  <c r="AJ125" i="7"/>
  <c r="AK125" i="7" s="1"/>
  <c r="AL125" i="7" s="1"/>
  <c r="AS125" i="7" s="1"/>
  <c r="AI122" i="7"/>
  <c r="AJ122" i="7"/>
  <c r="AK122" i="7" s="1"/>
  <c r="AL122" i="7" s="1"/>
  <c r="AS122" i="7" s="1"/>
  <c r="AJ109" i="7"/>
  <c r="AK109" i="7" s="1"/>
  <c r="AL109" i="7" s="1"/>
  <c r="AM109" i="7"/>
  <c r="AN109" i="7" s="1"/>
  <c r="AO109" i="7" s="1"/>
  <c r="AI119" i="7"/>
  <c r="Z137" i="1"/>
  <c r="AA137" i="1" s="1"/>
  <c r="AB137" i="1" s="1"/>
  <c r="AG137" i="1" s="1"/>
  <c r="Z122" i="1"/>
  <c r="AA122" i="1" s="1"/>
  <c r="AB122" i="1" s="1"/>
  <c r="AG122" i="1" s="1"/>
  <c r="AG126" i="1"/>
  <c r="AC144" i="1"/>
  <c r="AD144" i="1" s="1"/>
  <c r="AE144" i="1" s="1"/>
  <c r="AG144" i="1" s="1"/>
  <c r="AC136" i="10"/>
  <c r="AD136" i="10" s="1"/>
  <c r="AE136" i="10" s="1"/>
  <c r="AG136" i="10" s="1"/>
  <c r="AM119" i="7"/>
  <c r="AN119" i="7" s="1"/>
  <c r="AO119" i="7" s="1"/>
  <c r="AS119" i="7" s="1"/>
  <c r="AM120" i="7"/>
  <c r="AN120" i="7" s="1"/>
  <c r="AO120" i="7" s="1"/>
  <c r="Q107" i="7"/>
  <c r="S107" i="7" s="1"/>
  <c r="T107" i="7" s="1"/>
  <c r="AJ108" i="7"/>
  <c r="AK108" i="7" s="1"/>
  <c r="AL108" i="7" s="1"/>
  <c r="AI108" i="7"/>
  <c r="AM108" i="7"/>
  <c r="AN108" i="7" s="1"/>
  <c r="AO108" i="7" s="1"/>
  <c r="AM107" i="7"/>
  <c r="AN107" i="7" s="1"/>
  <c r="AO107" i="7" s="1"/>
  <c r="AI121" i="7"/>
  <c r="AM121" i="7"/>
  <c r="AN121" i="7" s="1"/>
  <c r="AO121" i="7" s="1"/>
  <c r="AJ121" i="7"/>
  <c r="AK121" i="7" s="1"/>
  <c r="AL121" i="7" s="1"/>
  <c r="AJ110" i="7"/>
  <c r="AK110" i="7" s="1"/>
  <c r="AL110" i="7" s="1"/>
  <c r="AS110" i="7" s="1"/>
  <c r="AI110" i="7"/>
  <c r="AI115" i="7"/>
  <c r="AJ115" i="7"/>
  <c r="AK115" i="7" s="1"/>
  <c r="AL115" i="7" s="1"/>
  <c r="AM115" i="7"/>
  <c r="AN115" i="7" s="1"/>
  <c r="AO115" i="7" s="1"/>
  <c r="AJ116" i="7"/>
  <c r="AK116" i="7" s="1"/>
  <c r="AL116" i="7" s="1"/>
  <c r="AM116" i="7"/>
  <c r="AN116" i="7" s="1"/>
  <c r="AO116" i="7" s="1"/>
  <c r="AI116" i="7"/>
  <c r="AJ120" i="7"/>
  <c r="AK120" i="7" s="1"/>
  <c r="AL120" i="7" s="1"/>
  <c r="AI124" i="7"/>
  <c r="AM124" i="7"/>
  <c r="AN124" i="7" s="1"/>
  <c r="AO124" i="7" s="1"/>
  <c r="AJ124" i="7"/>
  <c r="AK124" i="7" s="1"/>
  <c r="AL124" i="7" s="1"/>
  <c r="AM127" i="7"/>
  <c r="AN127" i="7" s="1"/>
  <c r="AO127" i="7" s="1"/>
  <c r="AJ127" i="7"/>
  <c r="AK127" i="7" s="1"/>
  <c r="AL127" i="7" s="1"/>
  <c r="AM130" i="7"/>
  <c r="AN130" i="7" s="1"/>
  <c r="AO130" i="7" s="1"/>
  <c r="AJ130" i="7"/>
  <c r="AK130" i="7" s="1"/>
  <c r="AL130" i="7" s="1"/>
  <c r="AM129" i="7"/>
  <c r="AN129" i="7" s="1"/>
  <c r="AO129" i="7" s="1"/>
  <c r="AJ129" i="7"/>
  <c r="AK129" i="7" s="1"/>
  <c r="AL129" i="7" s="1"/>
  <c r="AM114" i="7"/>
  <c r="AN114" i="7" s="1"/>
  <c r="AO114" i="7" s="1"/>
  <c r="AI114" i="7"/>
  <c r="AJ114" i="7"/>
  <c r="AK114" i="7" s="1"/>
  <c r="AL114" i="7" s="1"/>
  <c r="AJ107" i="7"/>
  <c r="AK107" i="7" s="1"/>
  <c r="AL107" i="7" s="1"/>
  <c r="AI118" i="7"/>
  <c r="AM118" i="7"/>
  <c r="AN118" i="7" s="1"/>
  <c r="AO118" i="7" s="1"/>
  <c r="AJ118" i="7"/>
  <c r="AK118" i="7" s="1"/>
  <c r="AL118" i="7" s="1"/>
  <c r="AJ123" i="7"/>
  <c r="AK123" i="7" s="1"/>
  <c r="AL123" i="7" s="1"/>
  <c r="AI123" i="7"/>
  <c r="AM123" i="7"/>
  <c r="AN123" i="7" s="1"/>
  <c r="AO123" i="7" s="1"/>
  <c r="AI111" i="7"/>
  <c r="AM111" i="7"/>
  <c r="AN111" i="7" s="1"/>
  <c r="AO111" i="7" s="1"/>
  <c r="AJ111" i="7"/>
  <c r="AK111" i="7" s="1"/>
  <c r="AL111" i="7" s="1"/>
  <c r="AL107" i="3"/>
  <c r="AM107" i="3" s="1"/>
  <c r="AN107" i="3" s="1"/>
  <c r="AR107" i="3" s="1"/>
  <c r="AC135" i="1"/>
  <c r="AD135" i="1" s="1"/>
  <c r="AE135" i="1" s="1"/>
  <c r="Z135" i="1"/>
  <c r="AA135" i="1" s="1"/>
  <c r="AB135" i="1" s="1"/>
  <c r="Z127" i="1"/>
  <c r="AA127" i="1" s="1"/>
  <c r="AB127" i="1" s="1"/>
  <c r="AC127" i="1"/>
  <c r="AD127" i="1" s="1"/>
  <c r="AE127" i="1" s="1"/>
  <c r="Z128" i="1"/>
  <c r="AA128" i="1" s="1"/>
  <c r="AB128" i="1" s="1"/>
  <c r="AC128" i="1"/>
  <c r="AD128" i="1" s="1"/>
  <c r="AE128" i="1" s="1"/>
  <c r="AC141" i="1"/>
  <c r="AD141" i="1" s="1"/>
  <c r="AE141" i="1" s="1"/>
  <c r="Z141" i="1"/>
  <c r="AA141" i="1" s="1"/>
  <c r="AB141" i="1" s="1"/>
  <c r="AC138" i="1"/>
  <c r="AD138" i="1" s="1"/>
  <c r="AE138" i="1" s="1"/>
  <c r="Z138" i="1"/>
  <c r="AA138" i="1" s="1"/>
  <c r="AB138" i="1" s="1"/>
  <c r="Z124" i="1"/>
  <c r="AA124" i="1" s="1"/>
  <c r="AB124" i="1" s="1"/>
  <c r="AC124" i="1"/>
  <c r="AD124" i="1" s="1"/>
  <c r="AE124" i="1" s="1"/>
  <c r="AC134" i="1"/>
  <c r="AD134" i="1" s="1"/>
  <c r="AE134" i="1" s="1"/>
  <c r="Z134" i="1"/>
  <c r="AA134" i="1" s="1"/>
  <c r="AB134" i="1" s="1"/>
  <c r="Z142" i="1"/>
  <c r="AA142" i="1" s="1"/>
  <c r="AB142" i="1" s="1"/>
  <c r="AC142" i="1"/>
  <c r="AD142" i="1" s="1"/>
  <c r="AE142" i="1" s="1"/>
  <c r="AC139" i="1"/>
  <c r="AD139" i="1" s="1"/>
  <c r="AE139" i="1" s="1"/>
  <c r="Z139" i="1"/>
  <c r="AA139" i="1" s="1"/>
  <c r="AB139" i="1" s="1"/>
  <c r="AC133" i="1"/>
  <c r="AD133" i="1" s="1"/>
  <c r="AE133" i="1" s="1"/>
  <c r="Z133" i="1"/>
  <c r="AA133" i="1" s="1"/>
  <c r="AB133" i="1" s="1"/>
  <c r="AC136" i="1"/>
  <c r="AD136" i="1" s="1"/>
  <c r="AE136" i="1" s="1"/>
  <c r="Z136" i="1"/>
  <c r="AA136" i="1" s="1"/>
  <c r="AB136" i="1" s="1"/>
  <c r="AC123" i="1"/>
  <c r="AD123" i="1" s="1"/>
  <c r="AE123" i="1" s="1"/>
  <c r="Z123" i="1"/>
  <c r="AA123" i="1" s="1"/>
  <c r="AB123" i="1" s="1"/>
  <c r="AC140" i="1"/>
  <c r="AD140" i="1" s="1"/>
  <c r="AE140" i="1" s="1"/>
  <c r="Z140" i="1"/>
  <c r="AA140" i="1" s="1"/>
  <c r="AB140" i="1" s="1"/>
  <c r="Z125" i="1"/>
  <c r="AA125" i="1" s="1"/>
  <c r="AB125" i="1" s="1"/>
  <c r="AC125" i="1"/>
  <c r="AD125" i="1" s="1"/>
  <c r="AE125" i="1" s="1"/>
  <c r="Z143" i="1"/>
  <c r="AA143" i="1" s="1"/>
  <c r="AB143" i="1" s="1"/>
  <c r="AC143" i="1"/>
  <c r="AD143" i="1" s="1"/>
  <c r="AE143" i="1" s="1"/>
  <c r="AC121" i="1"/>
  <c r="AD121" i="1" s="1"/>
  <c r="AE121" i="1" s="1"/>
  <c r="Z121" i="1"/>
  <c r="AA121" i="1" s="1"/>
  <c r="AB121" i="1" s="1"/>
  <c r="Z131" i="1"/>
  <c r="AA131" i="1" s="1"/>
  <c r="AB131" i="1" s="1"/>
  <c r="AC131" i="1"/>
  <c r="AD131" i="1" s="1"/>
  <c r="AE131" i="1" s="1"/>
  <c r="Z129" i="1"/>
  <c r="AA129" i="1" s="1"/>
  <c r="AB129" i="1" s="1"/>
  <c r="AC129" i="1"/>
  <c r="AD129" i="1" s="1"/>
  <c r="AE129" i="1" s="1"/>
  <c r="Q121" i="1"/>
  <c r="S121" i="1" s="1"/>
  <c r="T121" i="1" s="1"/>
  <c r="Q121" i="10"/>
  <c r="S121" i="10" s="1"/>
  <c r="T121" i="10" s="1"/>
  <c r="V121" i="10" s="1"/>
  <c r="AC114" i="2"/>
  <c r="AD114" i="2" s="1"/>
  <c r="AE114" i="2" s="1"/>
  <c r="AG114" i="2" s="1"/>
  <c r="C8" i="2" s="1"/>
  <c r="AC135" i="10"/>
  <c r="AD135" i="10" s="1"/>
  <c r="AE135" i="10" s="1"/>
  <c r="AG135" i="10" s="1"/>
  <c r="AU136" i="1"/>
  <c r="AC125" i="10"/>
  <c r="AD125" i="10" s="1"/>
  <c r="AE125" i="10" s="1"/>
  <c r="AG125" i="10" s="1"/>
  <c r="Z121" i="10"/>
  <c r="AA121" i="10" s="1"/>
  <c r="AB121" i="10" s="1"/>
  <c r="AG121" i="10" s="1"/>
  <c r="Z131" i="10"/>
  <c r="AA131" i="10" s="1"/>
  <c r="AB131" i="10" s="1"/>
  <c r="AC131" i="10"/>
  <c r="AD131" i="10" s="1"/>
  <c r="AE131" i="10" s="1"/>
  <c r="AC134" i="10"/>
  <c r="AD134" i="10" s="1"/>
  <c r="AE134" i="10" s="1"/>
  <c r="Z134" i="10"/>
  <c r="AA134" i="10" s="1"/>
  <c r="AB134" i="10" s="1"/>
  <c r="AU149" i="10"/>
  <c r="AC133" i="10"/>
  <c r="AD133" i="10" s="1"/>
  <c r="AE133" i="10" s="1"/>
  <c r="Z133" i="10"/>
  <c r="AA133" i="10" s="1"/>
  <c r="AB133" i="10" s="1"/>
  <c r="AC124" i="10"/>
  <c r="AD124" i="10" s="1"/>
  <c r="AE124" i="10" s="1"/>
  <c r="Z124" i="10"/>
  <c r="AA124" i="10" s="1"/>
  <c r="AB124" i="10" s="1"/>
  <c r="AC132" i="10"/>
  <c r="AD132" i="10" s="1"/>
  <c r="AE132" i="10" s="1"/>
  <c r="Z132" i="10"/>
  <c r="AA132" i="10" s="1"/>
  <c r="AB132" i="10" s="1"/>
  <c r="AC123" i="10"/>
  <c r="AD123" i="10" s="1"/>
  <c r="AE123" i="10" s="1"/>
  <c r="Z123" i="10"/>
  <c r="AA123" i="10" s="1"/>
  <c r="AB123" i="10" s="1"/>
  <c r="AC122" i="10"/>
  <c r="AD122" i="10" s="1"/>
  <c r="AE122" i="10" s="1"/>
  <c r="Z122" i="10"/>
  <c r="AA122" i="10" s="1"/>
  <c r="AB122" i="10" s="1"/>
  <c r="AC130" i="10"/>
  <c r="AD130" i="10" s="1"/>
  <c r="AE130" i="10" s="1"/>
  <c r="Z130" i="10"/>
  <c r="AA130" i="10" s="1"/>
  <c r="AB130" i="10" s="1"/>
  <c r="AC126" i="10"/>
  <c r="AD126" i="10" s="1"/>
  <c r="AE126" i="10" s="1"/>
  <c r="Z126" i="10"/>
  <c r="AA126" i="10" s="1"/>
  <c r="AB126" i="10" s="1"/>
  <c r="Z138" i="10"/>
  <c r="AA138" i="10" s="1"/>
  <c r="AB138" i="10" s="1"/>
  <c r="AC138" i="10"/>
  <c r="AD138" i="10" s="1"/>
  <c r="AE138" i="10" s="1"/>
  <c r="Z127" i="10"/>
  <c r="AA127" i="10" s="1"/>
  <c r="AB127" i="10" s="1"/>
  <c r="AC127" i="10"/>
  <c r="AD127" i="10" s="1"/>
  <c r="AE127" i="10" s="1"/>
  <c r="AC129" i="10"/>
  <c r="AD129" i="10" s="1"/>
  <c r="AE129" i="10" s="1"/>
  <c r="Z129" i="10"/>
  <c r="AA129" i="10" s="1"/>
  <c r="AB129" i="10" s="1"/>
  <c r="AC137" i="10"/>
  <c r="AD137" i="10" s="1"/>
  <c r="AE137" i="10" s="1"/>
  <c r="Z137" i="10"/>
  <c r="AA137" i="10" s="1"/>
  <c r="AB137" i="10" s="1"/>
  <c r="AC128" i="10"/>
  <c r="AD128" i="10" s="1"/>
  <c r="AE128" i="10" s="1"/>
  <c r="Z128" i="10"/>
  <c r="AA128" i="10" s="1"/>
  <c r="AB128" i="10" s="1"/>
  <c r="AI117" i="3"/>
  <c r="AJ117" i="3" s="1"/>
  <c r="AK117" i="3" s="1"/>
  <c r="AR117" i="3" s="1"/>
  <c r="AL106" i="3"/>
  <c r="AM106" i="3" s="1"/>
  <c r="AN106" i="3" s="1"/>
  <c r="AI106" i="3"/>
  <c r="AJ106" i="3" s="1"/>
  <c r="AK106" i="3" s="1"/>
  <c r="Z118" i="2"/>
  <c r="AA118" i="2" s="1"/>
  <c r="AB118" i="2" s="1"/>
  <c r="AG118" i="2" s="1"/>
  <c r="AL109" i="3"/>
  <c r="AM109" i="3" s="1"/>
  <c r="AN109" i="3" s="1"/>
  <c r="AI109" i="3"/>
  <c r="AJ109" i="3" s="1"/>
  <c r="AK109" i="3" s="1"/>
  <c r="AI112" i="3"/>
  <c r="AJ112" i="3" s="1"/>
  <c r="AK112" i="3" s="1"/>
  <c r="AL112" i="3"/>
  <c r="AM112" i="3" s="1"/>
  <c r="AN112" i="3" s="1"/>
  <c r="AL116" i="3"/>
  <c r="AM116" i="3" s="1"/>
  <c r="AN116" i="3" s="1"/>
  <c r="AI116" i="3"/>
  <c r="AJ116" i="3" s="1"/>
  <c r="AK116" i="3" s="1"/>
  <c r="AH112" i="3"/>
  <c r="AI114" i="3"/>
  <c r="AJ114" i="3" s="1"/>
  <c r="AK114" i="3" s="1"/>
  <c r="AR114" i="3" s="1"/>
  <c r="AL110" i="3"/>
  <c r="AM110" i="3" s="1"/>
  <c r="AN110" i="3" s="1"/>
  <c r="AH110" i="3"/>
  <c r="AI110" i="3"/>
  <c r="AJ110" i="3" s="1"/>
  <c r="AK110" i="3" s="1"/>
  <c r="AH111" i="3"/>
  <c r="AI111" i="3"/>
  <c r="AJ111" i="3" s="1"/>
  <c r="AK111" i="3" s="1"/>
  <c r="AL111" i="3"/>
  <c r="AM111" i="3" s="1"/>
  <c r="AN111" i="3" s="1"/>
  <c r="AU117" i="3"/>
  <c r="AU114" i="3"/>
  <c r="AI115" i="3"/>
  <c r="AJ115" i="3" s="1"/>
  <c r="AK115" i="3" s="1"/>
  <c r="AL115" i="3"/>
  <c r="AM115" i="3" s="1"/>
  <c r="AN115" i="3" s="1"/>
  <c r="AL108" i="3"/>
  <c r="AM108" i="3" s="1"/>
  <c r="AN108" i="3" s="1"/>
  <c r="AH108" i="3"/>
  <c r="AI108" i="3"/>
  <c r="AJ108" i="3" s="1"/>
  <c r="AK108" i="3" s="1"/>
  <c r="T106" i="3"/>
  <c r="AI113" i="3"/>
  <c r="AJ113" i="3" s="1"/>
  <c r="AK113" i="3" s="1"/>
  <c r="AL113" i="3"/>
  <c r="AM113" i="3" s="1"/>
  <c r="AN113" i="3" s="1"/>
  <c r="AC123" i="2"/>
  <c r="AD123" i="2" s="1"/>
  <c r="AE123" i="2" s="1"/>
  <c r="Z123" i="2"/>
  <c r="AA123" i="2" s="1"/>
  <c r="AB123" i="2" s="1"/>
  <c r="Z115" i="2"/>
  <c r="AA115" i="2" s="1"/>
  <c r="AB115" i="2" s="1"/>
  <c r="AC115" i="2"/>
  <c r="AD115" i="2" s="1"/>
  <c r="AE115" i="2" s="1"/>
  <c r="AC122" i="2"/>
  <c r="AD122" i="2" s="1"/>
  <c r="AE122" i="2" s="1"/>
  <c r="Z122" i="2"/>
  <c r="AA122" i="2" s="1"/>
  <c r="AB122" i="2" s="1"/>
  <c r="AC124" i="2"/>
  <c r="AD124" i="2" s="1"/>
  <c r="AE124" i="2" s="1"/>
  <c r="Z124" i="2"/>
  <c r="AA124" i="2" s="1"/>
  <c r="AB124" i="2" s="1"/>
  <c r="Z125" i="2"/>
  <c r="AA125" i="2" s="1"/>
  <c r="AB125" i="2" s="1"/>
  <c r="AC125" i="2"/>
  <c r="AD125" i="2" s="1"/>
  <c r="AE125" i="2" s="1"/>
  <c r="AC119" i="2"/>
  <c r="AD119" i="2" s="1"/>
  <c r="AE119" i="2" s="1"/>
  <c r="Z119" i="2"/>
  <c r="AA119" i="2" s="1"/>
  <c r="AB119" i="2" s="1"/>
  <c r="Z116" i="2"/>
  <c r="AA116" i="2" s="1"/>
  <c r="AB116" i="2" s="1"/>
  <c r="AC116" i="2"/>
  <c r="AD116" i="2" s="1"/>
  <c r="AE116" i="2" s="1"/>
  <c r="Z120" i="2"/>
  <c r="AA120" i="2" s="1"/>
  <c r="AB120" i="2" s="1"/>
  <c r="AC120" i="2"/>
  <c r="AD120" i="2" s="1"/>
  <c r="AE120" i="2" s="1"/>
  <c r="AC121" i="2"/>
  <c r="AD121" i="2" s="1"/>
  <c r="AE121" i="2" s="1"/>
  <c r="Z121" i="2"/>
  <c r="AA121" i="2" s="1"/>
  <c r="AB121" i="2" s="1"/>
  <c r="AC117" i="2"/>
  <c r="AD117" i="2" s="1"/>
  <c r="AE117" i="2" s="1"/>
  <c r="Z117" i="2"/>
  <c r="AA117" i="2" s="1"/>
  <c r="AB117" i="2" s="1"/>
  <c r="S114" i="2"/>
  <c r="AG139" i="10" l="1"/>
  <c r="AG140" i="10"/>
  <c r="AG142" i="10"/>
  <c r="AG141" i="10"/>
  <c r="AG143" i="10"/>
  <c r="AG144" i="10"/>
  <c r="AS113" i="7"/>
  <c r="AS112" i="7"/>
  <c r="AS109" i="7"/>
  <c r="AS116" i="7"/>
  <c r="R122" i="10"/>
  <c r="S122" i="10" s="1"/>
  <c r="S123" i="10" s="1"/>
  <c r="AG134" i="1"/>
  <c r="AG131" i="1"/>
  <c r="AG136" i="1"/>
  <c r="AG129" i="1"/>
  <c r="AG125" i="1"/>
  <c r="AG123" i="1"/>
  <c r="AS123" i="7"/>
  <c r="AS118" i="7"/>
  <c r="AS120" i="7"/>
  <c r="AS115" i="7"/>
  <c r="V107" i="7"/>
  <c r="R108" i="7"/>
  <c r="S108" i="7" s="1"/>
  <c r="AS121" i="7"/>
  <c r="AI132" i="7"/>
  <c r="C140" i="7" s="1"/>
  <c r="AS108" i="7"/>
  <c r="AT129" i="7"/>
  <c r="AS129" i="7"/>
  <c r="AS111" i="7"/>
  <c r="AS124" i="7"/>
  <c r="AT127" i="7"/>
  <c r="AS127" i="7"/>
  <c r="AS114" i="7"/>
  <c r="AS130" i="7"/>
  <c r="AT130" i="7"/>
  <c r="AS107" i="7"/>
  <c r="C8" i="7" s="1"/>
  <c r="V121" i="1"/>
  <c r="AH121" i="1" s="1"/>
  <c r="R122" i="1"/>
  <c r="S122" i="1" s="1"/>
  <c r="AG140" i="1"/>
  <c r="AG139" i="1"/>
  <c r="AG138" i="1"/>
  <c r="AG128" i="1"/>
  <c r="AG143" i="1"/>
  <c r="AG121" i="1"/>
  <c r="AG133" i="1"/>
  <c r="AG142" i="1"/>
  <c r="AG124" i="1"/>
  <c r="AG141" i="1"/>
  <c r="AG127" i="1"/>
  <c r="AG135" i="1"/>
  <c r="AR106" i="3"/>
  <c r="C8" i="3" s="1"/>
  <c r="AU137" i="1"/>
  <c r="AG127" i="10"/>
  <c r="AG128" i="10"/>
  <c r="AG129" i="10"/>
  <c r="AG130" i="10"/>
  <c r="AG123" i="10"/>
  <c r="AG124" i="10"/>
  <c r="AG138" i="10"/>
  <c r="AU150" i="10"/>
  <c r="AG137" i="10"/>
  <c r="AG131" i="10"/>
  <c r="AG126" i="10"/>
  <c r="AG132" i="10"/>
  <c r="AG133" i="10"/>
  <c r="AG134" i="10"/>
  <c r="AH121" i="10"/>
  <c r="AG122" i="10"/>
  <c r="AR109" i="3"/>
  <c r="AR112" i="3"/>
  <c r="AG121" i="2"/>
  <c r="AG122" i="2"/>
  <c r="AG123" i="2"/>
  <c r="AG124" i="2"/>
  <c r="AH118" i="3"/>
  <c r="AR110" i="3"/>
  <c r="AS116" i="3"/>
  <c r="AU116" i="3" s="1"/>
  <c r="AR116" i="3"/>
  <c r="AR115" i="3"/>
  <c r="AS115" i="3"/>
  <c r="AU115" i="3" s="1"/>
  <c r="AR113" i="3"/>
  <c r="AS113" i="3"/>
  <c r="AU113" i="3" s="1"/>
  <c r="V106" i="3"/>
  <c r="AE106" i="3" s="1"/>
  <c r="R107" i="3"/>
  <c r="S107" i="3" s="1"/>
  <c r="AR108" i="3"/>
  <c r="AR111" i="3"/>
  <c r="AG117" i="2"/>
  <c r="AG119" i="2"/>
  <c r="V114" i="2"/>
  <c r="Q115" i="2"/>
  <c r="R115" i="2" s="1"/>
  <c r="AG116" i="2"/>
  <c r="AG125" i="2"/>
  <c r="AG115" i="2"/>
  <c r="AG120" i="2"/>
  <c r="T122" i="10" l="1"/>
  <c r="R123" i="10" s="1"/>
  <c r="C127" i="3"/>
  <c r="AG135" i="3" s="1"/>
  <c r="AI135" i="3" s="1"/>
  <c r="AJ135" i="3" s="1"/>
  <c r="AK135" i="3" s="1"/>
  <c r="X106" i="3"/>
  <c r="Z106" i="3" s="1"/>
  <c r="J140" i="7"/>
  <c r="P140" i="7" s="1"/>
  <c r="Q140" i="7" s="1"/>
  <c r="S140" i="7" s="1"/>
  <c r="O141" i="7"/>
  <c r="P141" i="7" s="1"/>
  <c r="Q141" i="7" s="1"/>
  <c r="T108" i="7"/>
  <c r="S109" i="7"/>
  <c r="X107" i="7"/>
  <c r="Z107" i="7" s="1"/>
  <c r="AE107" i="7"/>
  <c r="AT107" i="7"/>
  <c r="O145" i="7"/>
  <c r="P145" i="7" s="1"/>
  <c r="Q145" i="7" s="1"/>
  <c r="O149" i="7"/>
  <c r="P149" i="7" s="1"/>
  <c r="Q149" i="7" s="1"/>
  <c r="AH151" i="7"/>
  <c r="AH142" i="7"/>
  <c r="AH147" i="7"/>
  <c r="AI147" i="7" s="1"/>
  <c r="AH145" i="7"/>
  <c r="O148" i="7"/>
  <c r="P148" i="7" s="1"/>
  <c r="Q148" i="7" s="1"/>
  <c r="AH140" i="7"/>
  <c r="O150" i="7"/>
  <c r="P150" i="7" s="1"/>
  <c r="Q150" i="7" s="1"/>
  <c r="AH150" i="7"/>
  <c r="O147" i="7"/>
  <c r="P147" i="7" s="1"/>
  <c r="Q147" i="7" s="1"/>
  <c r="AH146" i="7"/>
  <c r="AI146" i="7" s="1"/>
  <c r="AH143" i="7"/>
  <c r="O146" i="7"/>
  <c r="P146" i="7" s="1"/>
  <c r="Q146" i="7" s="1"/>
  <c r="AH144" i="7"/>
  <c r="AH148" i="7"/>
  <c r="AI148" i="7" s="1"/>
  <c r="AH141" i="7"/>
  <c r="O142" i="7"/>
  <c r="P142" i="7" s="1"/>
  <c r="Q142" i="7" s="1"/>
  <c r="O144" i="7"/>
  <c r="P144" i="7" s="1"/>
  <c r="Q144" i="7" s="1"/>
  <c r="AH149" i="7"/>
  <c r="AI149" i="7" s="1"/>
  <c r="O151" i="7"/>
  <c r="P151" i="7" s="1"/>
  <c r="Q151" i="7" s="1"/>
  <c r="O143" i="7"/>
  <c r="P143" i="7" s="1"/>
  <c r="Q143" i="7" s="1"/>
  <c r="T122" i="1"/>
  <c r="S123" i="1"/>
  <c r="AU138" i="1"/>
  <c r="T123" i="10"/>
  <c r="S124" i="10"/>
  <c r="AU151" i="10"/>
  <c r="AS106" i="3"/>
  <c r="T107" i="3"/>
  <c r="S108" i="3"/>
  <c r="AH114" i="2"/>
  <c r="S115" i="2"/>
  <c r="R116" i="2"/>
  <c r="V122" i="10" l="1"/>
  <c r="AH122" i="10" s="1"/>
  <c r="AG137" i="3"/>
  <c r="AL137" i="3" s="1"/>
  <c r="AM137" i="3" s="1"/>
  <c r="AN137" i="3" s="1"/>
  <c r="AG128" i="3"/>
  <c r="AL128" i="3" s="1"/>
  <c r="AM128" i="3" s="1"/>
  <c r="AN128" i="3" s="1"/>
  <c r="AG127" i="3"/>
  <c r="AI127" i="3" s="1"/>
  <c r="AJ127" i="3" s="1"/>
  <c r="AK127" i="3" s="1"/>
  <c r="O138" i="3"/>
  <c r="P138" i="3" s="1"/>
  <c r="Q138" i="3" s="1"/>
  <c r="AL135" i="3"/>
  <c r="AM135" i="3" s="1"/>
  <c r="AN135" i="3" s="1"/>
  <c r="AR135" i="3" s="1"/>
  <c r="AG133" i="3"/>
  <c r="AL133" i="3" s="1"/>
  <c r="AM133" i="3" s="1"/>
  <c r="AN133" i="3" s="1"/>
  <c r="AG148" i="3"/>
  <c r="AI148" i="3" s="1"/>
  <c r="AJ148" i="3" s="1"/>
  <c r="AK148" i="3" s="1"/>
  <c r="O129" i="3"/>
  <c r="P129" i="3" s="1"/>
  <c r="Q129" i="3" s="1"/>
  <c r="AG145" i="3"/>
  <c r="AI145" i="3" s="1"/>
  <c r="AJ145" i="3" s="1"/>
  <c r="AK145" i="3" s="1"/>
  <c r="O135" i="3"/>
  <c r="P135" i="3" s="1"/>
  <c r="Q135" i="3" s="1"/>
  <c r="O137" i="3"/>
  <c r="P137" i="3" s="1"/>
  <c r="Q137" i="3" s="1"/>
  <c r="O130" i="3"/>
  <c r="P130" i="3" s="1"/>
  <c r="Q130" i="3" s="1"/>
  <c r="O141" i="3"/>
  <c r="P141" i="3" s="1"/>
  <c r="Q141" i="3" s="1"/>
  <c r="O134" i="3"/>
  <c r="P134" i="3" s="1"/>
  <c r="Q134" i="3" s="1"/>
  <c r="O145" i="3"/>
  <c r="P145" i="3" s="1"/>
  <c r="Q145" i="3" s="1"/>
  <c r="AG141" i="3"/>
  <c r="AI141" i="3" s="1"/>
  <c r="AJ141" i="3" s="1"/>
  <c r="AK141" i="3" s="1"/>
  <c r="AG146" i="3"/>
  <c r="AL146" i="3" s="1"/>
  <c r="AM146" i="3" s="1"/>
  <c r="AN146" i="3" s="1"/>
  <c r="AS146" i="3" s="1"/>
  <c r="AU146" i="3" s="1"/>
  <c r="AG131" i="3"/>
  <c r="AI131" i="3" s="1"/>
  <c r="AJ131" i="3" s="1"/>
  <c r="AK131" i="3" s="1"/>
  <c r="O139" i="3"/>
  <c r="P139" i="3" s="1"/>
  <c r="Q139" i="3" s="1"/>
  <c r="O146" i="3"/>
  <c r="P146" i="3" s="1"/>
  <c r="Q146" i="3" s="1"/>
  <c r="AG139" i="3"/>
  <c r="AI139" i="3" s="1"/>
  <c r="AJ139" i="3" s="1"/>
  <c r="AK139" i="3" s="1"/>
  <c r="AG149" i="3"/>
  <c r="AL149" i="3" s="1"/>
  <c r="AM149" i="3" s="1"/>
  <c r="AN149" i="3" s="1"/>
  <c r="AG129" i="3"/>
  <c r="AL129" i="3" s="1"/>
  <c r="AM129" i="3" s="1"/>
  <c r="AN129" i="3" s="1"/>
  <c r="O128" i="3"/>
  <c r="P128" i="3" s="1"/>
  <c r="Q128" i="3" s="1"/>
  <c r="AG130" i="3"/>
  <c r="AL130" i="3" s="1"/>
  <c r="AM130" i="3" s="1"/>
  <c r="AN130" i="3" s="1"/>
  <c r="O132" i="3"/>
  <c r="P132" i="3" s="1"/>
  <c r="Q132" i="3" s="1"/>
  <c r="O143" i="3"/>
  <c r="P143" i="3" s="1"/>
  <c r="Q143" i="3" s="1"/>
  <c r="O140" i="3"/>
  <c r="P140" i="3" s="1"/>
  <c r="Q140" i="3" s="1"/>
  <c r="AG132" i="3"/>
  <c r="AI132" i="3" s="1"/>
  <c r="AJ132" i="3" s="1"/>
  <c r="AK132" i="3" s="1"/>
  <c r="AG144" i="3"/>
  <c r="AI144" i="3" s="1"/>
  <c r="AJ144" i="3" s="1"/>
  <c r="AK144" i="3" s="1"/>
  <c r="O144" i="3"/>
  <c r="P144" i="3" s="1"/>
  <c r="Q144" i="3" s="1"/>
  <c r="O127" i="3"/>
  <c r="P127" i="3" s="1"/>
  <c r="AG140" i="3"/>
  <c r="AI140" i="3" s="1"/>
  <c r="AJ140" i="3" s="1"/>
  <c r="AK140" i="3" s="1"/>
  <c r="O131" i="3"/>
  <c r="P131" i="3" s="1"/>
  <c r="Q131" i="3" s="1"/>
  <c r="AG150" i="3"/>
  <c r="AL150" i="3" s="1"/>
  <c r="AM150" i="3" s="1"/>
  <c r="AN150" i="3" s="1"/>
  <c r="AS150" i="3" s="1"/>
  <c r="AU150" i="3" s="1"/>
  <c r="J127" i="3"/>
  <c r="K127" i="3" s="1"/>
  <c r="L127" i="3" s="1"/>
  <c r="M127" i="3" s="1"/>
  <c r="N127" i="3" s="1"/>
  <c r="O149" i="3"/>
  <c r="P149" i="3" s="1"/>
  <c r="Q149" i="3" s="1"/>
  <c r="AG147" i="3"/>
  <c r="AL147" i="3" s="1"/>
  <c r="AM147" i="3" s="1"/>
  <c r="AN147" i="3" s="1"/>
  <c r="O147" i="3"/>
  <c r="P147" i="3" s="1"/>
  <c r="Q147" i="3" s="1"/>
  <c r="O142" i="3"/>
  <c r="P142" i="3" s="1"/>
  <c r="Q142" i="3" s="1"/>
  <c r="AG143" i="3"/>
  <c r="AI143" i="3" s="1"/>
  <c r="AJ143" i="3" s="1"/>
  <c r="AK143" i="3" s="1"/>
  <c r="AG134" i="3"/>
  <c r="AI134" i="3" s="1"/>
  <c r="AJ134" i="3" s="1"/>
  <c r="AK134" i="3" s="1"/>
  <c r="AG142" i="3"/>
  <c r="AL142" i="3" s="1"/>
  <c r="AM142" i="3" s="1"/>
  <c r="AN142" i="3" s="1"/>
  <c r="O150" i="3"/>
  <c r="P150" i="3" s="1"/>
  <c r="Q150" i="3" s="1"/>
  <c r="AG136" i="3"/>
  <c r="AI136" i="3" s="1"/>
  <c r="AJ136" i="3" s="1"/>
  <c r="AK136" i="3" s="1"/>
  <c r="O148" i="3"/>
  <c r="P148" i="3" s="1"/>
  <c r="Q148" i="3" s="1"/>
  <c r="O133" i="3"/>
  <c r="P133" i="3" s="1"/>
  <c r="Q133" i="3" s="1"/>
  <c r="AG138" i="3"/>
  <c r="AL138" i="3" s="1"/>
  <c r="AM138" i="3" s="1"/>
  <c r="AN138" i="3" s="1"/>
  <c r="O136" i="3"/>
  <c r="P136" i="3" s="1"/>
  <c r="Q136" i="3" s="1"/>
  <c r="S110" i="7"/>
  <c r="T109" i="7"/>
  <c r="R109" i="7"/>
  <c r="V108" i="7"/>
  <c r="AM149" i="7"/>
  <c r="AN149" i="7" s="1"/>
  <c r="AO149" i="7" s="1"/>
  <c r="AJ149" i="7"/>
  <c r="AK149" i="7" s="1"/>
  <c r="AL149" i="7" s="1"/>
  <c r="AM148" i="7"/>
  <c r="AN148" i="7" s="1"/>
  <c r="AO148" i="7" s="1"/>
  <c r="AJ148" i="7"/>
  <c r="AK148" i="7" s="1"/>
  <c r="AL148" i="7" s="1"/>
  <c r="AJ143" i="7"/>
  <c r="AK143" i="7" s="1"/>
  <c r="AL143" i="7" s="1"/>
  <c r="AI143" i="7"/>
  <c r="AM143" i="7"/>
  <c r="AN143" i="7" s="1"/>
  <c r="AO143" i="7" s="1"/>
  <c r="AJ145" i="7"/>
  <c r="AK145" i="7" s="1"/>
  <c r="AL145" i="7" s="1"/>
  <c r="AI145" i="7"/>
  <c r="AM145" i="7"/>
  <c r="AN145" i="7" s="1"/>
  <c r="AO145" i="7" s="1"/>
  <c r="T140" i="7"/>
  <c r="AI140" i="7"/>
  <c r="AJ140" i="7"/>
  <c r="AK140" i="7" s="1"/>
  <c r="AL140" i="7" s="1"/>
  <c r="AM140" i="7"/>
  <c r="AN140" i="7" s="1"/>
  <c r="AO140" i="7" s="1"/>
  <c r="AM142" i="7"/>
  <c r="AN142" i="7" s="1"/>
  <c r="AO142" i="7" s="1"/>
  <c r="AI142" i="7"/>
  <c r="AJ142" i="7"/>
  <c r="AK142" i="7" s="1"/>
  <c r="AL142" i="7" s="1"/>
  <c r="AM144" i="7"/>
  <c r="AN144" i="7" s="1"/>
  <c r="AO144" i="7" s="1"/>
  <c r="AI144" i="7"/>
  <c r="AJ144" i="7"/>
  <c r="AK144" i="7" s="1"/>
  <c r="AL144" i="7" s="1"/>
  <c r="AM146" i="7"/>
  <c r="AN146" i="7" s="1"/>
  <c r="AO146" i="7" s="1"/>
  <c r="AJ146" i="7"/>
  <c r="AK146" i="7" s="1"/>
  <c r="AL146" i="7" s="1"/>
  <c r="AM147" i="7"/>
  <c r="AN147" i="7" s="1"/>
  <c r="AO147" i="7" s="1"/>
  <c r="AJ147" i="7"/>
  <c r="AK147" i="7" s="1"/>
  <c r="AL147" i="7" s="1"/>
  <c r="AJ141" i="7"/>
  <c r="AK141" i="7" s="1"/>
  <c r="AL141" i="7" s="1"/>
  <c r="AI141" i="7"/>
  <c r="AM141" i="7"/>
  <c r="AN141" i="7" s="1"/>
  <c r="AO141" i="7" s="1"/>
  <c r="AM150" i="7"/>
  <c r="AN150" i="7" s="1"/>
  <c r="AO150" i="7" s="1"/>
  <c r="AJ150" i="7"/>
  <c r="AK150" i="7" s="1"/>
  <c r="AL150" i="7" s="1"/>
  <c r="AT150" i="7" s="1"/>
  <c r="AM151" i="7"/>
  <c r="AN151" i="7" s="1"/>
  <c r="AO151" i="7" s="1"/>
  <c r="AJ151" i="7"/>
  <c r="AK151" i="7" s="1"/>
  <c r="AL151" i="7" s="1"/>
  <c r="AT151" i="7" s="1"/>
  <c r="T123" i="1"/>
  <c r="S124" i="1"/>
  <c r="V122" i="1"/>
  <c r="AH122" i="1" s="1"/>
  <c r="R123" i="1"/>
  <c r="AU139" i="1"/>
  <c r="AU152" i="10"/>
  <c r="R124" i="10"/>
  <c r="V123" i="10"/>
  <c r="T124" i="10"/>
  <c r="S125" i="10"/>
  <c r="Q127" i="3"/>
  <c r="S127" i="3" s="1"/>
  <c r="T127" i="3" s="1"/>
  <c r="R128" i="3" s="1"/>
  <c r="S128" i="3" s="1"/>
  <c r="V107" i="3"/>
  <c r="AE107" i="3" s="1"/>
  <c r="R108" i="3"/>
  <c r="S109" i="3"/>
  <c r="T108" i="3"/>
  <c r="Q116" i="2"/>
  <c r="V115" i="2"/>
  <c r="R117" i="2"/>
  <c r="S116" i="2"/>
  <c r="AI137" i="3" l="1"/>
  <c r="AJ137" i="3" s="1"/>
  <c r="AK137" i="3" s="1"/>
  <c r="AR137" i="3" s="1"/>
  <c r="AI128" i="3"/>
  <c r="AJ128" i="3" s="1"/>
  <c r="AK128" i="3" s="1"/>
  <c r="AR128" i="3" s="1"/>
  <c r="AL141" i="3"/>
  <c r="AM141" i="3" s="1"/>
  <c r="AN141" i="3" s="1"/>
  <c r="AR141" i="3" s="1"/>
  <c r="AI138" i="3"/>
  <c r="AJ138" i="3" s="1"/>
  <c r="AK138" i="3" s="1"/>
  <c r="AR138" i="3" s="1"/>
  <c r="AL127" i="3"/>
  <c r="AM127" i="3" s="1"/>
  <c r="AN127" i="3" s="1"/>
  <c r="AR127" i="3" s="1"/>
  <c r="AL143" i="3"/>
  <c r="AM143" i="3" s="1"/>
  <c r="AN143" i="3" s="1"/>
  <c r="AR143" i="3" s="1"/>
  <c r="AI150" i="3"/>
  <c r="AJ150" i="3" s="1"/>
  <c r="AK150" i="3" s="1"/>
  <c r="AR150" i="3" s="1"/>
  <c r="AW150" i="3" s="1"/>
  <c r="AY150" i="3" s="1"/>
  <c r="AB150" i="3" s="1"/>
  <c r="AL148" i="3"/>
  <c r="AM148" i="3" s="1"/>
  <c r="AN148" i="3" s="1"/>
  <c r="AR148" i="3" s="1"/>
  <c r="AI142" i="3"/>
  <c r="AJ142" i="3" s="1"/>
  <c r="AK142" i="3" s="1"/>
  <c r="AR142" i="3" s="1"/>
  <c r="AI129" i="3"/>
  <c r="AJ129" i="3" s="1"/>
  <c r="AK129" i="3" s="1"/>
  <c r="AR129" i="3" s="1"/>
  <c r="AI146" i="3"/>
  <c r="AJ146" i="3" s="1"/>
  <c r="AK146" i="3" s="1"/>
  <c r="AR146" i="3" s="1"/>
  <c r="AV146" i="3" s="1"/>
  <c r="AX146" i="3" s="1"/>
  <c r="AZ146" i="3" s="1"/>
  <c r="AL140" i="3"/>
  <c r="AM140" i="3" s="1"/>
  <c r="AN140" i="3" s="1"/>
  <c r="AR140" i="3" s="1"/>
  <c r="AL145" i="3"/>
  <c r="AM145" i="3" s="1"/>
  <c r="AN145" i="3" s="1"/>
  <c r="AR145" i="3" s="1"/>
  <c r="AI133" i="3"/>
  <c r="AJ133" i="3" s="1"/>
  <c r="AK133" i="3" s="1"/>
  <c r="AR133" i="3" s="1"/>
  <c r="AL131" i="3"/>
  <c r="AM131" i="3" s="1"/>
  <c r="AN131" i="3" s="1"/>
  <c r="AR131" i="3" s="1"/>
  <c r="AI149" i="3"/>
  <c r="AJ149" i="3" s="1"/>
  <c r="AK149" i="3" s="1"/>
  <c r="AR149" i="3" s="1"/>
  <c r="AL134" i="3"/>
  <c r="AM134" i="3" s="1"/>
  <c r="AN134" i="3" s="1"/>
  <c r="AR134" i="3" s="1"/>
  <c r="AI147" i="3"/>
  <c r="AJ147" i="3" s="1"/>
  <c r="AK147" i="3" s="1"/>
  <c r="AR147" i="3" s="1"/>
  <c r="AL136" i="3"/>
  <c r="AM136" i="3" s="1"/>
  <c r="AN136" i="3" s="1"/>
  <c r="AR136" i="3" s="1"/>
  <c r="AL139" i="3"/>
  <c r="AM139" i="3" s="1"/>
  <c r="AN139" i="3" s="1"/>
  <c r="AR139" i="3" s="1"/>
  <c r="AL144" i="3"/>
  <c r="AM144" i="3" s="1"/>
  <c r="AN144" i="3" s="1"/>
  <c r="AR144" i="3" s="1"/>
  <c r="AL132" i="3"/>
  <c r="AM132" i="3" s="1"/>
  <c r="AN132" i="3" s="1"/>
  <c r="AR132" i="3" s="1"/>
  <c r="AI130" i="3"/>
  <c r="AJ130" i="3" s="1"/>
  <c r="AK130" i="3" s="1"/>
  <c r="AR130" i="3" s="1"/>
  <c r="AS141" i="7"/>
  <c r="AS147" i="7"/>
  <c r="AE108" i="7"/>
  <c r="AT108" i="7"/>
  <c r="AS144" i="7"/>
  <c r="AS145" i="7"/>
  <c r="R110" i="7"/>
  <c r="V109" i="7"/>
  <c r="S111" i="7"/>
  <c r="T110" i="7"/>
  <c r="AS146" i="7"/>
  <c r="AS150" i="7"/>
  <c r="AS140" i="7"/>
  <c r="AS143" i="7"/>
  <c r="AS148" i="7"/>
  <c r="AS151" i="7"/>
  <c r="AI152" i="7"/>
  <c r="AS149" i="7"/>
  <c r="AS142" i="7"/>
  <c r="R141" i="7"/>
  <c r="S141" i="7" s="1"/>
  <c r="V140" i="7"/>
  <c r="V123" i="1"/>
  <c r="AH123" i="1" s="1"/>
  <c r="R124" i="1"/>
  <c r="T124" i="1"/>
  <c r="S125" i="1"/>
  <c r="AU140" i="1"/>
  <c r="AU153" i="10"/>
  <c r="T125" i="10"/>
  <c r="S126" i="10"/>
  <c r="R125" i="10"/>
  <c r="V124" i="10"/>
  <c r="AH123" i="10"/>
  <c r="V127" i="3"/>
  <c r="AS149" i="3"/>
  <c r="AU149" i="3" s="1"/>
  <c r="T128" i="3"/>
  <c r="S129" i="3"/>
  <c r="AS147" i="3"/>
  <c r="AU147" i="3" s="1"/>
  <c r="S110" i="3"/>
  <c r="T109" i="3"/>
  <c r="AS107" i="3"/>
  <c r="V108" i="3"/>
  <c r="AE108" i="3" s="1"/>
  <c r="R109" i="3"/>
  <c r="AH115" i="2"/>
  <c r="S117" i="2"/>
  <c r="R118" i="2"/>
  <c r="Q117" i="2"/>
  <c r="V116" i="2"/>
  <c r="AS127" i="3" l="1"/>
  <c r="BB150" i="3"/>
  <c r="G150" i="3" s="1"/>
  <c r="F150" i="3" s="1"/>
  <c r="AS148" i="3"/>
  <c r="AU148" i="3" s="1"/>
  <c r="AV148" i="3" s="1"/>
  <c r="AX148" i="3" s="1"/>
  <c r="AZ148" i="3" s="1"/>
  <c r="BA150" i="3"/>
  <c r="AV150" i="3"/>
  <c r="AX150" i="3" s="1"/>
  <c r="AZ150" i="3" s="1"/>
  <c r="AW146" i="3"/>
  <c r="AY146" i="3" s="1"/>
  <c r="AB146" i="3" s="1"/>
  <c r="R111" i="7"/>
  <c r="V110" i="7"/>
  <c r="AT140" i="7"/>
  <c r="AE140" i="7"/>
  <c r="AI154" i="7"/>
  <c r="C161" i="7" s="1"/>
  <c r="O162" i="7" s="1"/>
  <c r="P162" i="7" s="1"/>
  <c r="Q162" i="7" s="1"/>
  <c r="X140" i="7"/>
  <c r="Z140" i="7" s="1"/>
  <c r="AE109" i="7"/>
  <c r="AT109" i="7"/>
  <c r="S112" i="7"/>
  <c r="T111" i="7"/>
  <c r="T141" i="7"/>
  <c r="S142" i="7"/>
  <c r="S126" i="1"/>
  <c r="T125" i="1"/>
  <c r="R125" i="1"/>
  <c r="V124" i="1"/>
  <c r="AH124" i="1" s="1"/>
  <c r="AU141" i="1"/>
  <c r="AH124" i="10"/>
  <c r="AU154" i="10"/>
  <c r="R126" i="10"/>
  <c r="V125" i="10"/>
  <c r="T126" i="10"/>
  <c r="S127" i="10"/>
  <c r="AV147" i="3"/>
  <c r="AX147" i="3" s="1"/>
  <c r="AZ147" i="3" s="1"/>
  <c r="AW149" i="3"/>
  <c r="AY149" i="3" s="1"/>
  <c r="AB149" i="3" s="1"/>
  <c r="R129" i="3"/>
  <c r="V128" i="3"/>
  <c r="AS128" i="3" s="1"/>
  <c r="S130" i="3"/>
  <c r="T129" i="3"/>
  <c r="AW147" i="3"/>
  <c r="AY147" i="3" s="1"/>
  <c r="AV149" i="3"/>
  <c r="AX149" i="3" s="1"/>
  <c r="AZ149" i="3" s="1"/>
  <c r="AS108" i="3"/>
  <c r="S111" i="3"/>
  <c r="T110" i="3"/>
  <c r="V109" i="3"/>
  <c r="AE109" i="3" s="1"/>
  <c r="R110" i="3"/>
  <c r="AH116" i="2"/>
  <c r="Q118" i="2"/>
  <c r="V117" i="2"/>
  <c r="S118" i="2"/>
  <c r="R119" i="2"/>
  <c r="AW148" i="3" l="1"/>
  <c r="AY148" i="3" s="1"/>
  <c r="BB148" i="3" s="1"/>
  <c r="G148" i="3" s="1"/>
  <c r="F148" i="3" s="1"/>
  <c r="BA146" i="3"/>
  <c r="BB146" i="3"/>
  <c r="G146" i="3" s="1"/>
  <c r="F146" i="3" s="1"/>
  <c r="R112" i="7"/>
  <c r="V111" i="7"/>
  <c r="AE110" i="7"/>
  <c r="AT110" i="7"/>
  <c r="O180" i="7"/>
  <c r="P180" i="7" s="1"/>
  <c r="Q180" i="7" s="1"/>
  <c r="AH164" i="7"/>
  <c r="AJ164" i="7" s="1"/>
  <c r="AK164" i="7" s="1"/>
  <c r="AL164" i="7" s="1"/>
  <c r="O179" i="7"/>
  <c r="P179" i="7" s="1"/>
  <c r="Q179" i="7" s="1"/>
  <c r="O168" i="7"/>
  <c r="P168" i="7" s="1"/>
  <c r="Q168" i="7" s="1"/>
  <c r="AH172" i="7"/>
  <c r="AM172" i="7" s="1"/>
  <c r="AN172" i="7" s="1"/>
  <c r="AO172" i="7" s="1"/>
  <c r="O183" i="7"/>
  <c r="P183" i="7" s="1"/>
  <c r="Q183" i="7" s="1"/>
  <c r="O175" i="7"/>
  <c r="P175" i="7" s="1"/>
  <c r="Q175" i="7" s="1"/>
  <c r="O178" i="7"/>
  <c r="P178" i="7" s="1"/>
  <c r="Q178" i="7" s="1"/>
  <c r="AH171" i="7"/>
  <c r="AM171" i="7" s="1"/>
  <c r="AN171" i="7" s="1"/>
  <c r="AO171" i="7" s="1"/>
  <c r="O173" i="7"/>
  <c r="P173" i="7" s="1"/>
  <c r="Q173" i="7" s="1"/>
  <c r="O176" i="7"/>
  <c r="P176" i="7" s="1"/>
  <c r="Q176" i="7" s="1"/>
  <c r="O172" i="7"/>
  <c r="P172" i="7" s="1"/>
  <c r="Q172" i="7" s="1"/>
  <c r="O177" i="7"/>
  <c r="P177" i="7" s="1"/>
  <c r="Q177" i="7" s="1"/>
  <c r="AH184" i="7"/>
  <c r="AJ184" i="7" s="1"/>
  <c r="AK184" i="7" s="1"/>
  <c r="AL184" i="7" s="1"/>
  <c r="O174" i="7"/>
  <c r="P174" i="7" s="1"/>
  <c r="Q174" i="7" s="1"/>
  <c r="O164" i="7"/>
  <c r="P164" i="7" s="1"/>
  <c r="Q164" i="7" s="1"/>
  <c r="AH163" i="7"/>
  <c r="AJ163" i="7" s="1"/>
  <c r="AK163" i="7" s="1"/>
  <c r="AL163" i="7" s="1"/>
  <c r="J161" i="7"/>
  <c r="K161" i="7" s="1"/>
  <c r="L161" i="7" s="1"/>
  <c r="M161" i="7" s="1"/>
  <c r="N161" i="7" s="1"/>
  <c r="AH165" i="7"/>
  <c r="AM165" i="7" s="1"/>
  <c r="AN165" i="7" s="1"/>
  <c r="AO165" i="7" s="1"/>
  <c r="AH175" i="7"/>
  <c r="AM175" i="7" s="1"/>
  <c r="AN175" i="7" s="1"/>
  <c r="AO175" i="7" s="1"/>
  <c r="AH179" i="7"/>
  <c r="AJ179" i="7" s="1"/>
  <c r="AK179" i="7" s="1"/>
  <c r="AL179" i="7" s="1"/>
  <c r="O184" i="7"/>
  <c r="P184" i="7" s="1"/>
  <c r="Q184" i="7" s="1"/>
  <c r="AH162" i="7"/>
  <c r="AM162" i="7" s="1"/>
  <c r="AN162" i="7" s="1"/>
  <c r="AO162" i="7" s="1"/>
  <c r="AH181" i="7"/>
  <c r="AJ181" i="7" s="1"/>
  <c r="AK181" i="7" s="1"/>
  <c r="AL181" i="7" s="1"/>
  <c r="O169" i="7"/>
  <c r="P169" i="7" s="1"/>
  <c r="Q169" i="7" s="1"/>
  <c r="AH178" i="7"/>
  <c r="AM178" i="7" s="1"/>
  <c r="AN178" i="7" s="1"/>
  <c r="AO178" i="7" s="1"/>
  <c r="AH167" i="7"/>
  <c r="AM167" i="7" s="1"/>
  <c r="AN167" i="7" s="1"/>
  <c r="AO167" i="7" s="1"/>
  <c r="AH173" i="7"/>
  <c r="AM173" i="7" s="1"/>
  <c r="AN173" i="7" s="1"/>
  <c r="AO173" i="7" s="1"/>
  <c r="AH166" i="7"/>
  <c r="AM166" i="7" s="1"/>
  <c r="AN166" i="7" s="1"/>
  <c r="AO166" i="7" s="1"/>
  <c r="AH182" i="7"/>
  <c r="AJ182" i="7" s="1"/>
  <c r="AK182" i="7" s="1"/>
  <c r="AL182" i="7" s="1"/>
  <c r="O181" i="7"/>
  <c r="P181" i="7" s="1"/>
  <c r="Q181" i="7" s="1"/>
  <c r="AH169" i="7"/>
  <c r="AM169" i="7" s="1"/>
  <c r="AN169" i="7" s="1"/>
  <c r="AO169" i="7" s="1"/>
  <c r="O163" i="7"/>
  <c r="P163" i="7" s="1"/>
  <c r="Q163" i="7" s="1"/>
  <c r="AH183" i="7"/>
  <c r="AJ183" i="7" s="1"/>
  <c r="AK183" i="7" s="1"/>
  <c r="AL183" i="7" s="1"/>
  <c r="O170" i="7"/>
  <c r="P170" i="7" s="1"/>
  <c r="Q170" i="7" s="1"/>
  <c r="AH170" i="7"/>
  <c r="AM170" i="7" s="1"/>
  <c r="AN170" i="7" s="1"/>
  <c r="AO170" i="7" s="1"/>
  <c r="O161" i="7"/>
  <c r="P161" i="7" s="1"/>
  <c r="AH174" i="7"/>
  <c r="AM174" i="7" s="1"/>
  <c r="AN174" i="7" s="1"/>
  <c r="AO174" i="7" s="1"/>
  <c r="AH161" i="7"/>
  <c r="AM161" i="7" s="1"/>
  <c r="AN161" i="7" s="1"/>
  <c r="AO161" i="7" s="1"/>
  <c r="O171" i="7"/>
  <c r="P171" i="7" s="1"/>
  <c r="Q171" i="7" s="1"/>
  <c r="O182" i="7"/>
  <c r="P182" i="7" s="1"/>
  <c r="Q182" i="7" s="1"/>
  <c r="AH177" i="7"/>
  <c r="AM177" i="7" s="1"/>
  <c r="AN177" i="7" s="1"/>
  <c r="AO177" i="7" s="1"/>
  <c r="O166" i="7"/>
  <c r="P166" i="7" s="1"/>
  <c r="Q166" i="7" s="1"/>
  <c r="AH168" i="7"/>
  <c r="AJ168" i="7" s="1"/>
  <c r="AK168" i="7" s="1"/>
  <c r="AL168" i="7" s="1"/>
  <c r="O167" i="7"/>
  <c r="P167" i="7" s="1"/>
  <c r="Q167" i="7" s="1"/>
  <c r="AH176" i="7"/>
  <c r="AJ176" i="7" s="1"/>
  <c r="AK176" i="7" s="1"/>
  <c r="AL176" i="7" s="1"/>
  <c r="AH180" i="7"/>
  <c r="AM180" i="7" s="1"/>
  <c r="AN180" i="7" s="1"/>
  <c r="AO180" i="7" s="1"/>
  <c r="O165" i="7"/>
  <c r="P165" i="7" s="1"/>
  <c r="Q165" i="7" s="1"/>
  <c r="S113" i="7"/>
  <c r="T112" i="7"/>
  <c r="T142" i="7"/>
  <c r="S143" i="7"/>
  <c r="R142" i="7"/>
  <c r="V141" i="7"/>
  <c r="BB149" i="3"/>
  <c r="G149" i="3" s="1"/>
  <c r="F149" i="3" s="1"/>
  <c r="R126" i="1"/>
  <c r="V125" i="1"/>
  <c r="AH125" i="1" s="1"/>
  <c r="T126" i="1"/>
  <c r="S127" i="1"/>
  <c r="AU142" i="1"/>
  <c r="AH125" i="10"/>
  <c r="R127" i="10"/>
  <c r="V126" i="10"/>
  <c r="AU155" i="10"/>
  <c r="S128" i="10"/>
  <c r="T127" i="10"/>
  <c r="BA149" i="3"/>
  <c r="AB147" i="3"/>
  <c r="BB147" i="3"/>
  <c r="G147" i="3" s="1"/>
  <c r="F147" i="3" s="1"/>
  <c r="BA147" i="3"/>
  <c r="S131" i="3"/>
  <c r="T130" i="3"/>
  <c r="R130" i="3"/>
  <c r="V129" i="3"/>
  <c r="AS129" i="3" s="1"/>
  <c r="AS109" i="3"/>
  <c r="R111" i="3"/>
  <c r="V110" i="3"/>
  <c r="AE110" i="3" s="1"/>
  <c r="S112" i="3"/>
  <c r="T111" i="3"/>
  <c r="V118" i="2"/>
  <c r="Q119" i="2"/>
  <c r="S119" i="2"/>
  <c r="R120" i="2"/>
  <c r="AH117" i="2"/>
  <c r="AJ174" i="7" l="1"/>
  <c r="AK174" i="7" s="1"/>
  <c r="AL174" i="7" s="1"/>
  <c r="AS174" i="7" s="1"/>
  <c r="AJ171" i="7"/>
  <c r="AK171" i="7" s="1"/>
  <c r="AL171" i="7" s="1"/>
  <c r="AS171" i="7" s="1"/>
  <c r="BA148" i="3"/>
  <c r="AB148" i="3"/>
  <c r="AM182" i="7"/>
  <c r="AN182" i="7" s="1"/>
  <c r="AO182" i="7" s="1"/>
  <c r="AT182" i="7" s="1"/>
  <c r="AV182" i="7" s="1"/>
  <c r="AJ178" i="7"/>
  <c r="AK178" i="7" s="1"/>
  <c r="AL178" i="7" s="1"/>
  <c r="AS178" i="7" s="1"/>
  <c r="AM183" i="7"/>
  <c r="AN183" i="7" s="1"/>
  <c r="AO183" i="7" s="1"/>
  <c r="AT183" i="7" s="1"/>
  <c r="AV183" i="7" s="1"/>
  <c r="R113" i="7"/>
  <c r="V112" i="7"/>
  <c r="AE111" i="7"/>
  <c r="AT111" i="7"/>
  <c r="AM164" i="7"/>
  <c r="AN164" i="7" s="1"/>
  <c r="AO164" i="7" s="1"/>
  <c r="AS164" i="7" s="1"/>
  <c r="Q161" i="7"/>
  <c r="S161" i="7" s="1"/>
  <c r="T161" i="7" s="1"/>
  <c r="R162" i="7" s="1"/>
  <c r="S162" i="7" s="1"/>
  <c r="AM163" i="7"/>
  <c r="AN163" i="7" s="1"/>
  <c r="AO163" i="7" s="1"/>
  <c r="AS163" i="7" s="1"/>
  <c r="AM184" i="7"/>
  <c r="AN184" i="7" s="1"/>
  <c r="AO184" i="7" s="1"/>
  <c r="AT184" i="7" s="1"/>
  <c r="AV184" i="7" s="1"/>
  <c r="AJ166" i="7"/>
  <c r="AK166" i="7" s="1"/>
  <c r="AL166" i="7" s="1"/>
  <c r="AS166" i="7" s="1"/>
  <c r="AM179" i="7"/>
  <c r="AN179" i="7" s="1"/>
  <c r="AO179" i="7" s="1"/>
  <c r="AS179" i="7" s="1"/>
  <c r="AJ172" i="7"/>
  <c r="AK172" i="7" s="1"/>
  <c r="AL172" i="7" s="1"/>
  <c r="AS172" i="7" s="1"/>
  <c r="AJ177" i="7"/>
  <c r="AK177" i="7" s="1"/>
  <c r="AL177" i="7" s="1"/>
  <c r="AS177" i="7" s="1"/>
  <c r="AJ170" i="7"/>
  <c r="AK170" i="7" s="1"/>
  <c r="AL170" i="7" s="1"/>
  <c r="AS170" i="7" s="1"/>
  <c r="AM181" i="7"/>
  <c r="AN181" i="7" s="1"/>
  <c r="AO181" i="7" s="1"/>
  <c r="AS181" i="7" s="1"/>
  <c r="AJ169" i="7"/>
  <c r="AK169" i="7" s="1"/>
  <c r="AL169" i="7" s="1"/>
  <c r="AS169" i="7" s="1"/>
  <c r="AM176" i="7"/>
  <c r="AN176" i="7" s="1"/>
  <c r="AO176" i="7" s="1"/>
  <c r="AT176" i="7" s="1"/>
  <c r="AV176" i="7" s="1"/>
  <c r="AJ167" i="7"/>
  <c r="AK167" i="7" s="1"/>
  <c r="AL167" i="7" s="1"/>
  <c r="AS167" i="7" s="1"/>
  <c r="AJ175" i="7"/>
  <c r="AK175" i="7" s="1"/>
  <c r="AL175" i="7" s="1"/>
  <c r="AS175" i="7" s="1"/>
  <c r="AJ173" i="7"/>
  <c r="AK173" i="7" s="1"/>
  <c r="AL173" i="7" s="1"/>
  <c r="AS173" i="7" s="1"/>
  <c r="AM168" i="7"/>
  <c r="AN168" i="7" s="1"/>
  <c r="AO168" i="7" s="1"/>
  <c r="AS168" i="7" s="1"/>
  <c r="AJ165" i="7"/>
  <c r="AK165" i="7" s="1"/>
  <c r="AL165" i="7" s="1"/>
  <c r="AS165" i="7" s="1"/>
  <c r="AJ162" i="7"/>
  <c r="AK162" i="7" s="1"/>
  <c r="AL162" i="7" s="1"/>
  <c r="AS162" i="7" s="1"/>
  <c r="AJ180" i="7"/>
  <c r="AK180" i="7" s="1"/>
  <c r="AL180" i="7" s="1"/>
  <c r="AS180" i="7" s="1"/>
  <c r="AJ161" i="7"/>
  <c r="AK161" i="7" s="1"/>
  <c r="AL161" i="7" s="1"/>
  <c r="AS161" i="7" s="1"/>
  <c r="AT141" i="7"/>
  <c r="AE141" i="7"/>
  <c r="T113" i="7"/>
  <c r="S114" i="7"/>
  <c r="AT177" i="7"/>
  <c r="AV177" i="7" s="1"/>
  <c r="T143" i="7"/>
  <c r="S144" i="7"/>
  <c r="AT175" i="7"/>
  <c r="AV175" i="7" s="1"/>
  <c r="AT178" i="7"/>
  <c r="AV178" i="7" s="1"/>
  <c r="AT180" i="7"/>
  <c r="AV180" i="7" s="1"/>
  <c r="V142" i="7"/>
  <c r="R143" i="7"/>
  <c r="T127" i="1"/>
  <c r="S128" i="1"/>
  <c r="V126" i="1"/>
  <c r="AH126" i="1" s="1"/>
  <c r="R127" i="1"/>
  <c r="AU143" i="1"/>
  <c r="R128" i="10"/>
  <c r="V127" i="10"/>
  <c r="AH126" i="10"/>
  <c r="AU156" i="10"/>
  <c r="T128" i="10"/>
  <c r="S129" i="10"/>
  <c r="S132" i="3"/>
  <c r="T131" i="3"/>
  <c r="R131" i="3"/>
  <c r="V130" i="3"/>
  <c r="AS130" i="3" s="1"/>
  <c r="AS110" i="3"/>
  <c r="T112" i="3"/>
  <c r="S113" i="3"/>
  <c r="V111" i="3"/>
  <c r="AE111" i="3" s="1"/>
  <c r="R112" i="3"/>
  <c r="S120" i="2"/>
  <c r="R121" i="2"/>
  <c r="AH118" i="2"/>
  <c r="V119" i="2"/>
  <c r="Q120" i="2"/>
  <c r="V161" i="7" l="1"/>
  <c r="AT161" i="7" s="1"/>
  <c r="AS182" i="7"/>
  <c r="AX182" i="7" s="1"/>
  <c r="AZ182" i="7" s="1"/>
  <c r="AS183" i="7"/>
  <c r="AX183" i="7" s="1"/>
  <c r="AZ183" i="7" s="1"/>
  <c r="BC183" i="7" s="1"/>
  <c r="G183" i="7" s="1"/>
  <c r="F183" i="7" s="1"/>
  <c r="R114" i="7"/>
  <c r="V113" i="7"/>
  <c r="AE112" i="7"/>
  <c r="AT112" i="7"/>
  <c r="AT179" i="7"/>
  <c r="AV179" i="7" s="1"/>
  <c r="AX179" i="7" s="1"/>
  <c r="AZ179" i="7" s="1"/>
  <c r="BC179" i="7" s="1"/>
  <c r="G179" i="7" s="1"/>
  <c r="F179" i="7" s="1"/>
  <c r="AT181" i="7"/>
  <c r="AV181" i="7" s="1"/>
  <c r="AW181" i="7" s="1"/>
  <c r="AY181" i="7" s="1"/>
  <c r="BA181" i="7" s="1"/>
  <c r="AS184" i="7"/>
  <c r="AW184" i="7" s="1"/>
  <c r="AY184" i="7" s="1"/>
  <c r="BA184" i="7" s="1"/>
  <c r="AS176" i="7"/>
  <c r="AW176" i="7" s="1"/>
  <c r="AY176" i="7" s="1"/>
  <c r="BA176" i="7" s="1"/>
  <c r="AT142" i="7"/>
  <c r="AE142" i="7"/>
  <c r="AX180" i="7"/>
  <c r="AZ180" i="7" s="1"/>
  <c r="BC180" i="7" s="1"/>
  <c r="G180" i="7" s="1"/>
  <c r="F180" i="7" s="1"/>
  <c r="AW178" i="7"/>
  <c r="AY178" i="7" s="1"/>
  <c r="BA178" i="7" s="1"/>
  <c r="T114" i="7"/>
  <c r="S115" i="7"/>
  <c r="AX175" i="7"/>
  <c r="AZ175" i="7" s="1"/>
  <c r="AX177" i="7"/>
  <c r="AZ177" i="7" s="1"/>
  <c r="AB177" i="7" s="1"/>
  <c r="S163" i="7"/>
  <c r="T162" i="7"/>
  <c r="AW182" i="7"/>
  <c r="AY182" i="7" s="1"/>
  <c r="BA182" i="7" s="1"/>
  <c r="AW180" i="7"/>
  <c r="AY180" i="7" s="1"/>
  <c r="BA180" i="7" s="1"/>
  <c r="AX178" i="7"/>
  <c r="AZ178" i="7" s="1"/>
  <c r="T144" i="7"/>
  <c r="S145" i="7"/>
  <c r="V143" i="7"/>
  <c r="R144" i="7"/>
  <c r="AW175" i="7"/>
  <c r="AY175" i="7" s="1"/>
  <c r="BA175" i="7" s="1"/>
  <c r="AW177" i="7"/>
  <c r="AY177" i="7" s="1"/>
  <c r="BA177" i="7" s="1"/>
  <c r="T128" i="1"/>
  <c r="S129" i="1"/>
  <c r="V127" i="1"/>
  <c r="AH127" i="1" s="1"/>
  <c r="R128" i="1"/>
  <c r="AU144" i="1"/>
  <c r="R129" i="10"/>
  <c r="V128" i="10"/>
  <c r="T129" i="10"/>
  <c r="S130" i="10"/>
  <c r="AU157" i="10"/>
  <c r="AH127" i="10"/>
  <c r="T132" i="3"/>
  <c r="S133" i="3"/>
  <c r="V131" i="3"/>
  <c r="AS131" i="3" s="1"/>
  <c r="R132" i="3"/>
  <c r="AS111" i="3"/>
  <c r="V112" i="3"/>
  <c r="R113" i="3"/>
  <c r="S114" i="3"/>
  <c r="T113" i="3"/>
  <c r="R114" i="3" s="1"/>
  <c r="AH119" i="2"/>
  <c r="S121" i="2"/>
  <c r="R122" i="2"/>
  <c r="Q121" i="2"/>
  <c r="V120" i="2"/>
  <c r="AW179" i="7" l="1"/>
  <c r="AY179" i="7" s="1"/>
  <c r="BA179" i="7" s="1"/>
  <c r="AW183" i="7"/>
  <c r="AY183" i="7" s="1"/>
  <c r="BA183" i="7" s="1"/>
  <c r="AX181" i="7"/>
  <c r="AZ181" i="7" s="1"/>
  <c r="BB181" i="7" s="1"/>
  <c r="AX184" i="7"/>
  <c r="AZ184" i="7" s="1"/>
  <c r="BC184" i="7" s="1"/>
  <c r="G184" i="7" s="1"/>
  <c r="F184" i="7" s="1"/>
  <c r="AE113" i="7"/>
  <c r="AT113" i="7"/>
  <c r="R115" i="7"/>
  <c r="V114" i="7"/>
  <c r="AF110" i="3"/>
  <c r="AE112" i="3"/>
  <c r="AX176" i="7"/>
  <c r="AZ176" i="7" s="1"/>
  <c r="BB176" i="7" s="1"/>
  <c r="BC177" i="7"/>
  <c r="G177" i="7" s="1"/>
  <c r="F177" i="7" s="1"/>
  <c r="AB180" i="7"/>
  <c r="BB179" i="7"/>
  <c r="AT143" i="7"/>
  <c r="AE143" i="7"/>
  <c r="AB179" i="7"/>
  <c r="BB180" i="7"/>
  <c r="BB183" i="7"/>
  <c r="AB183" i="7"/>
  <c r="S116" i="7"/>
  <c r="T115" i="7"/>
  <c r="BB177" i="7"/>
  <c r="S164" i="7"/>
  <c r="T163" i="7"/>
  <c r="BB175" i="7"/>
  <c r="AB175" i="7"/>
  <c r="BC175" i="7"/>
  <c r="G175" i="7" s="1"/>
  <c r="F175" i="7" s="1"/>
  <c r="R163" i="7"/>
  <c r="V162" i="7"/>
  <c r="AT162" i="7" s="1"/>
  <c r="AB182" i="7"/>
  <c r="BC182" i="7"/>
  <c r="G182" i="7" s="1"/>
  <c r="F182" i="7" s="1"/>
  <c r="BB182" i="7"/>
  <c r="BB178" i="7"/>
  <c r="AB178" i="7"/>
  <c r="BC178" i="7"/>
  <c r="G178" i="7" s="1"/>
  <c r="F178" i="7" s="1"/>
  <c r="T145" i="7"/>
  <c r="S146" i="7"/>
  <c r="R145" i="7"/>
  <c r="V144" i="7"/>
  <c r="AE144" i="7" s="1"/>
  <c r="S130" i="1"/>
  <c r="T129" i="1"/>
  <c r="R129" i="1"/>
  <c r="V128" i="1"/>
  <c r="AH128" i="1" s="1"/>
  <c r="AU145" i="1"/>
  <c r="T130" i="10"/>
  <c r="S131" i="10"/>
  <c r="AU158" i="10"/>
  <c r="AH128" i="10"/>
  <c r="R130" i="10"/>
  <c r="V129" i="10"/>
  <c r="AF108" i="3"/>
  <c r="AF111" i="3"/>
  <c r="R133" i="3"/>
  <c r="V132" i="3"/>
  <c r="AS132" i="3" s="1"/>
  <c r="S134" i="3"/>
  <c r="T133" i="3"/>
  <c r="AF106" i="3"/>
  <c r="AF107" i="3"/>
  <c r="AF109" i="3"/>
  <c r="AS112" i="3"/>
  <c r="AF112" i="3"/>
  <c r="S115" i="3"/>
  <c r="T114" i="3"/>
  <c r="R115" i="3" s="1"/>
  <c r="S122" i="2"/>
  <c r="R123" i="2"/>
  <c r="AH120" i="2"/>
  <c r="Q122" i="2"/>
  <c r="V121" i="2"/>
  <c r="BC181" i="7" l="1"/>
  <c r="G181" i="7" s="1"/>
  <c r="F181" i="7" s="1"/>
  <c r="AB181" i="7"/>
  <c r="BB184" i="7"/>
  <c r="AB184" i="7"/>
  <c r="R116" i="7"/>
  <c r="V115" i="7"/>
  <c r="AB176" i="7"/>
  <c r="AE114" i="7"/>
  <c r="AT114" i="7"/>
  <c r="AU108" i="3"/>
  <c r="AD117" i="3"/>
  <c r="AC117" i="3" s="1"/>
  <c r="AD115" i="3"/>
  <c r="AC115" i="3" s="1"/>
  <c r="AD109" i="3"/>
  <c r="AC109" i="3" s="1"/>
  <c r="AD106" i="3"/>
  <c r="AC106" i="3" s="1"/>
  <c r="AD116" i="3"/>
  <c r="AC116" i="3" s="1"/>
  <c r="AD111" i="3"/>
  <c r="AC111" i="3" s="1"/>
  <c r="AD112" i="3"/>
  <c r="AC112" i="3" s="1"/>
  <c r="AD107" i="3"/>
  <c r="AC107" i="3" s="1"/>
  <c r="AD114" i="3"/>
  <c r="AC114" i="3" s="1"/>
  <c r="AD113" i="3"/>
  <c r="AC113" i="3" s="1"/>
  <c r="AD108" i="3"/>
  <c r="AC108" i="3" s="1"/>
  <c r="AD110" i="3"/>
  <c r="AC110" i="3" s="1"/>
  <c r="AU111" i="3"/>
  <c r="AU110" i="3"/>
  <c r="BC176" i="7"/>
  <c r="G176" i="7" s="1"/>
  <c r="F176" i="7" s="1"/>
  <c r="T116" i="7"/>
  <c r="S117" i="7"/>
  <c r="T164" i="7"/>
  <c r="S165" i="7"/>
  <c r="V163" i="7"/>
  <c r="AT163" i="7" s="1"/>
  <c r="R164" i="7"/>
  <c r="AT144" i="7"/>
  <c r="V145" i="7"/>
  <c r="R146" i="7"/>
  <c r="S147" i="7"/>
  <c r="T146" i="7"/>
  <c r="V129" i="1"/>
  <c r="AH129" i="1" s="1"/>
  <c r="R130" i="1"/>
  <c r="T130" i="1"/>
  <c r="S131" i="1"/>
  <c r="R131" i="10"/>
  <c r="V130" i="10"/>
  <c r="S132" i="10"/>
  <c r="T131" i="10"/>
  <c r="AU159" i="10"/>
  <c r="AH129" i="10"/>
  <c r="T134" i="3"/>
  <c r="S135" i="3"/>
  <c r="V133" i="3"/>
  <c r="AS133" i="3" s="1"/>
  <c r="R134" i="3"/>
  <c r="AU109" i="3"/>
  <c r="AU107" i="3"/>
  <c r="AU106" i="3"/>
  <c r="T115" i="3"/>
  <c r="R116" i="3" s="1"/>
  <c r="S116" i="3"/>
  <c r="AU112" i="3"/>
  <c r="R124" i="2"/>
  <c r="S123" i="2"/>
  <c r="AH121" i="2"/>
  <c r="Q123" i="2"/>
  <c r="V122" i="2"/>
  <c r="R147" i="7" l="1"/>
  <c r="V146" i="7"/>
  <c r="R117" i="7"/>
  <c r="V116" i="7"/>
  <c r="AE115" i="7"/>
  <c r="AT115" i="7"/>
  <c r="AC105" i="3"/>
  <c r="AA106" i="3" s="1"/>
  <c r="AE145" i="7"/>
  <c r="T117" i="7"/>
  <c r="S118" i="7"/>
  <c r="S166" i="7"/>
  <c r="T165" i="7"/>
  <c r="V164" i="7"/>
  <c r="R165" i="7"/>
  <c r="AT145" i="7"/>
  <c r="S148" i="7"/>
  <c r="T147" i="7"/>
  <c r="T131" i="1"/>
  <c r="S132" i="1"/>
  <c r="R131" i="1"/>
  <c r="V130" i="1"/>
  <c r="AH130" i="1" s="1"/>
  <c r="R132" i="10"/>
  <c r="V131" i="10"/>
  <c r="AU160" i="10"/>
  <c r="AH130" i="10"/>
  <c r="T132" i="10"/>
  <c r="S133" i="10"/>
  <c r="R135" i="3"/>
  <c r="V134" i="3"/>
  <c r="AS134" i="3" s="1"/>
  <c r="S136" i="3"/>
  <c r="T135" i="3"/>
  <c r="T116" i="3"/>
  <c r="R117" i="3" s="1"/>
  <c r="S117" i="3"/>
  <c r="T117" i="3" s="1"/>
  <c r="V123" i="2"/>
  <c r="Q124" i="2"/>
  <c r="AH122" i="2"/>
  <c r="R125" i="2"/>
  <c r="S125" i="2" s="1"/>
  <c r="V125" i="2" s="1"/>
  <c r="S124" i="2"/>
  <c r="R148" i="7" l="1"/>
  <c r="V147" i="7"/>
  <c r="AE146" i="7"/>
  <c r="AT146" i="7"/>
  <c r="AE116" i="7"/>
  <c r="AT116" i="7"/>
  <c r="R118" i="7"/>
  <c r="V117" i="7"/>
  <c r="X125" i="2"/>
  <c r="AH125" i="2"/>
  <c r="Q125" i="2"/>
  <c r="V124" i="2"/>
  <c r="X122" i="2" s="1"/>
  <c r="AI122" i="2" s="1"/>
  <c r="AJ122" i="2" s="1"/>
  <c r="AL122" i="2" s="1"/>
  <c r="AN122" i="2" s="1"/>
  <c r="T118" i="7"/>
  <c r="S119" i="7"/>
  <c r="T166" i="7"/>
  <c r="S167" i="7"/>
  <c r="V165" i="7"/>
  <c r="R166" i="7"/>
  <c r="AT164" i="7"/>
  <c r="S149" i="7"/>
  <c r="T148" i="7"/>
  <c r="V131" i="1"/>
  <c r="AH131" i="1" s="1"/>
  <c r="R132" i="1"/>
  <c r="T132" i="1"/>
  <c r="S133" i="1"/>
  <c r="AH131" i="10"/>
  <c r="R133" i="10"/>
  <c r="V132" i="10"/>
  <c r="T133" i="10"/>
  <c r="S134" i="10"/>
  <c r="AU161" i="10"/>
  <c r="S137" i="3"/>
  <c r="T136" i="3"/>
  <c r="V135" i="3"/>
  <c r="AS135" i="3" s="1"/>
  <c r="R136" i="3"/>
  <c r="AH123" i="2"/>
  <c r="R149" i="7" l="1"/>
  <c r="V148" i="7"/>
  <c r="AE147" i="7"/>
  <c r="AT147" i="7"/>
  <c r="R167" i="7"/>
  <c r="V166" i="7"/>
  <c r="AE117" i="7"/>
  <c r="AT117" i="7"/>
  <c r="R119" i="7"/>
  <c r="V118" i="7"/>
  <c r="X116" i="2"/>
  <c r="AI116" i="2" s="1"/>
  <c r="AJ116" i="2" s="1"/>
  <c r="AL116" i="2" s="1"/>
  <c r="AN116" i="2" s="1"/>
  <c r="X117" i="2"/>
  <c r="AI117" i="2" s="1"/>
  <c r="AK117" i="2" s="1"/>
  <c r="AM117" i="2" s="1"/>
  <c r="AO117" i="2" s="1"/>
  <c r="X123" i="2"/>
  <c r="AI123" i="2" s="1"/>
  <c r="X119" i="2"/>
  <c r="AI119" i="2" s="1"/>
  <c r="AK119" i="2" s="1"/>
  <c r="AM119" i="2" s="1"/>
  <c r="AO119" i="2" s="1"/>
  <c r="X121" i="2"/>
  <c r="AI121" i="2" s="1"/>
  <c r="AJ121" i="2" s="1"/>
  <c r="AL121" i="2" s="1"/>
  <c r="AN121" i="2" s="1"/>
  <c r="X115" i="2"/>
  <c r="AI115" i="2" s="1"/>
  <c r="AK115" i="2" s="1"/>
  <c r="AM115" i="2" s="1"/>
  <c r="AO115" i="2" s="1"/>
  <c r="X118" i="2"/>
  <c r="AI118" i="2" s="1"/>
  <c r="AJ118" i="2" s="1"/>
  <c r="AL118" i="2" s="1"/>
  <c r="AN118" i="2" s="1"/>
  <c r="X114" i="2"/>
  <c r="AI114" i="2" s="1"/>
  <c r="AI125" i="2"/>
  <c r="X124" i="2"/>
  <c r="AH124" i="2"/>
  <c r="X120" i="2"/>
  <c r="AI120" i="2" s="1"/>
  <c r="S120" i="7"/>
  <c r="T119" i="7"/>
  <c r="S168" i="7"/>
  <c r="T167" i="7"/>
  <c r="AT165" i="7"/>
  <c r="T149" i="7"/>
  <c r="S150" i="7"/>
  <c r="S134" i="1"/>
  <c r="T133" i="1"/>
  <c r="V132" i="1"/>
  <c r="AH132" i="1" s="1"/>
  <c r="R133" i="1"/>
  <c r="R134" i="10"/>
  <c r="V133" i="10"/>
  <c r="AH132" i="10"/>
  <c r="T134" i="10"/>
  <c r="S135" i="10"/>
  <c r="AU162" i="10"/>
  <c r="AK122" i="2"/>
  <c r="AM122" i="2" s="1"/>
  <c r="AO122" i="2" s="1"/>
  <c r="R137" i="3"/>
  <c r="V136" i="3"/>
  <c r="AS136" i="3" s="1"/>
  <c r="T137" i="3"/>
  <c r="S138" i="3"/>
  <c r="AK118" i="2" l="1"/>
  <c r="AM118" i="2" s="1"/>
  <c r="AO118" i="2" s="1"/>
  <c r="AJ115" i="2"/>
  <c r="AL115" i="2" s="1"/>
  <c r="AN115" i="2" s="1"/>
  <c r="C10" i="2"/>
  <c r="C5" i="2" s="1"/>
  <c r="AK116" i="2"/>
  <c r="AM116" i="2" s="1"/>
  <c r="AO116" i="2" s="1"/>
  <c r="AJ117" i="2"/>
  <c r="AL117" i="2" s="1"/>
  <c r="AN117" i="2" s="1"/>
  <c r="AI124" i="2"/>
  <c r="AK124" i="2" s="1"/>
  <c r="AM124" i="2" s="1"/>
  <c r="AO124" i="2" s="1"/>
  <c r="AE148" i="7"/>
  <c r="AT148" i="7"/>
  <c r="R150" i="7"/>
  <c r="V149" i="7"/>
  <c r="AF142" i="7" s="1"/>
  <c r="AE118" i="7"/>
  <c r="AT118" i="7"/>
  <c r="R120" i="7"/>
  <c r="V119" i="7"/>
  <c r="AT166" i="7"/>
  <c r="R168" i="7"/>
  <c r="V167" i="7"/>
  <c r="AJ119" i="2"/>
  <c r="AL119" i="2" s="1"/>
  <c r="AN119" i="2" s="1"/>
  <c r="AK121" i="2"/>
  <c r="AM121" i="2" s="1"/>
  <c r="AO121" i="2" s="1"/>
  <c r="AJ120" i="2"/>
  <c r="AL120" i="2" s="1"/>
  <c r="AN120" i="2" s="1"/>
  <c r="AK120" i="2"/>
  <c r="AM120" i="2" s="1"/>
  <c r="AO120" i="2" s="1"/>
  <c r="AJ125" i="2"/>
  <c r="AL125" i="2" s="1"/>
  <c r="AN125" i="2" s="1"/>
  <c r="AK125" i="2"/>
  <c r="AM125" i="2" s="1"/>
  <c r="AO125" i="2" s="1"/>
  <c r="S121" i="7"/>
  <c r="T120" i="7"/>
  <c r="S169" i="7"/>
  <c r="T168" i="7"/>
  <c r="T150" i="7"/>
  <c r="R151" i="7" s="1"/>
  <c r="S151" i="7"/>
  <c r="T151" i="7" s="1"/>
  <c r="S135" i="1"/>
  <c r="T134" i="1"/>
  <c r="V133" i="1"/>
  <c r="AH133" i="1" s="1"/>
  <c r="R134" i="1"/>
  <c r="AH133" i="10"/>
  <c r="R135" i="10"/>
  <c r="V134" i="10"/>
  <c r="AU163" i="10"/>
  <c r="S136" i="10"/>
  <c r="T135" i="10"/>
  <c r="S139" i="3"/>
  <c r="T138" i="3"/>
  <c r="R138" i="3"/>
  <c r="V137" i="3"/>
  <c r="AS137" i="3" s="1"/>
  <c r="AK123" i="2"/>
  <c r="AM123" i="2" s="1"/>
  <c r="AO123" i="2" s="1"/>
  <c r="AJ123" i="2"/>
  <c r="AL123" i="2" s="1"/>
  <c r="AN123" i="2" s="1"/>
  <c r="AK114" i="2"/>
  <c r="AM114" i="2" s="1"/>
  <c r="AO114" i="2" s="1"/>
  <c r="AJ114" i="2"/>
  <c r="AL114" i="2" s="1"/>
  <c r="AN114" i="2" s="1"/>
  <c r="R121" i="7" l="1"/>
  <c r="V120" i="7"/>
  <c r="D3" i="2"/>
  <c r="C18" i="2"/>
  <c r="B18" i="2"/>
  <c r="C3" i="2"/>
  <c r="AJ124" i="2"/>
  <c r="AL124" i="2" s="1"/>
  <c r="AN124" i="2" s="1"/>
  <c r="AE149" i="7"/>
  <c r="AD148" i="7" s="1"/>
  <c r="AC148" i="7" s="1"/>
  <c r="AF149" i="7"/>
  <c r="AT149" i="7"/>
  <c r="AF141" i="7"/>
  <c r="AF146" i="7"/>
  <c r="AF140" i="7"/>
  <c r="AF147" i="7"/>
  <c r="AF145" i="7"/>
  <c r="AF144" i="7"/>
  <c r="AF143" i="7"/>
  <c r="AF148" i="7"/>
  <c r="AE119" i="7"/>
  <c r="AT119" i="7"/>
  <c r="AT167" i="7"/>
  <c r="R169" i="7"/>
  <c r="V168" i="7"/>
  <c r="S122" i="7"/>
  <c r="T121" i="7"/>
  <c r="S170" i="7"/>
  <c r="T169" i="7"/>
  <c r="S136" i="1"/>
  <c r="T135" i="1"/>
  <c r="R135" i="1"/>
  <c r="V134" i="1"/>
  <c r="AH134" i="1" s="1"/>
  <c r="R136" i="10"/>
  <c r="V135" i="10"/>
  <c r="AH134" i="10"/>
  <c r="S137" i="10"/>
  <c r="T136" i="10"/>
  <c r="AU164" i="10"/>
  <c r="S140" i="3"/>
  <c r="T139" i="3"/>
  <c r="R139" i="3"/>
  <c r="V138" i="3"/>
  <c r="AS138" i="3" s="1"/>
  <c r="AE120" i="7" l="1"/>
  <c r="AT120" i="7"/>
  <c r="R122" i="7"/>
  <c r="V121" i="7"/>
  <c r="AD143" i="7"/>
  <c r="AC143" i="7" s="1"/>
  <c r="AD145" i="7"/>
  <c r="AC145" i="7" s="1"/>
  <c r="AD149" i="7"/>
  <c r="AC149" i="7" s="1"/>
  <c r="AD146" i="7"/>
  <c r="AC146" i="7" s="1"/>
  <c r="D5" i="2"/>
  <c r="BU67" i="2"/>
  <c r="BI31" i="2"/>
  <c r="AU110" i="2"/>
  <c r="AY93" i="2" s="1"/>
  <c r="D107" i="2" s="1"/>
  <c r="CC31" i="2"/>
  <c r="BI67" i="2"/>
  <c r="CE67" i="2" s="1"/>
  <c r="AU111" i="2"/>
  <c r="AV111" i="2" s="1"/>
  <c r="AU112" i="2"/>
  <c r="AV112" i="2" s="1"/>
  <c r="AU113" i="2"/>
  <c r="AV113" i="2" s="1"/>
  <c r="AU114" i="2"/>
  <c r="AV114" i="2" s="1"/>
  <c r="AU115" i="2"/>
  <c r="AV115" i="2" s="1"/>
  <c r="AU116" i="2"/>
  <c r="AV116" i="2" s="1"/>
  <c r="AU117" i="2"/>
  <c r="AV117" i="2" s="1"/>
  <c r="AU118" i="2"/>
  <c r="AV118" i="2" s="1"/>
  <c r="AU119" i="2"/>
  <c r="AV119" i="2" s="1"/>
  <c r="AU120" i="2"/>
  <c r="AV120" i="2" s="1"/>
  <c r="AU121" i="2"/>
  <c r="AV121" i="2" s="1"/>
  <c r="AU122" i="2"/>
  <c r="AV122" i="2" s="1"/>
  <c r="AU123" i="2"/>
  <c r="AV123" i="2" s="1"/>
  <c r="AU124" i="2"/>
  <c r="AV124" i="2" s="1"/>
  <c r="AU125" i="2"/>
  <c r="AV125" i="2" s="1"/>
  <c r="AU126" i="2"/>
  <c r="AV126" i="2" s="1"/>
  <c r="AU127" i="2"/>
  <c r="AV127" i="2" s="1"/>
  <c r="AU128" i="2"/>
  <c r="AV128" i="2" s="1"/>
  <c r="AU129" i="2"/>
  <c r="AV129" i="2" s="1"/>
  <c r="AU130" i="2"/>
  <c r="AV130" i="2" s="1"/>
  <c r="AU131" i="2"/>
  <c r="AV131" i="2" s="1"/>
  <c r="AU132" i="2"/>
  <c r="AV132" i="2" s="1"/>
  <c r="AU133" i="2"/>
  <c r="AV133" i="2" s="1"/>
  <c r="AU134" i="2"/>
  <c r="AV134" i="2" s="1"/>
  <c r="AU135" i="2"/>
  <c r="AV135" i="2" s="1"/>
  <c r="AU136" i="2"/>
  <c r="AV136" i="2" s="1"/>
  <c r="AU137" i="2"/>
  <c r="AV137" i="2" s="1"/>
  <c r="AU138" i="2"/>
  <c r="AV138" i="2" s="1"/>
  <c r="AU139" i="2"/>
  <c r="AV139" i="2" s="1"/>
  <c r="AV110" i="2"/>
  <c r="AD142" i="7"/>
  <c r="AC142" i="7" s="1"/>
  <c r="AD141" i="7"/>
  <c r="AC141" i="7" s="1"/>
  <c r="AD147" i="7"/>
  <c r="AC147" i="7" s="1"/>
  <c r="AD140" i="7"/>
  <c r="AC140" i="7" s="1"/>
  <c r="AD144" i="7"/>
  <c r="AC144" i="7" s="1"/>
  <c r="AD150" i="7"/>
  <c r="AC150" i="7" s="1"/>
  <c r="AD151" i="7"/>
  <c r="AC151" i="7" s="1"/>
  <c r="R170" i="7"/>
  <c r="V169" i="7"/>
  <c r="AT168" i="7"/>
  <c r="T122" i="7"/>
  <c r="S123" i="7"/>
  <c r="S171" i="7"/>
  <c r="T170" i="7"/>
  <c r="T136" i="1"/>
  <c r="S137" i="1"/>
  <c r="V135" i="1"/>
  <c r="AH135" i="1" s="1"/>
  <c r="R136" i="1"/>
  <c r="R137" i="10"/>
  <c r="V136" i="10"/>
  <c r="AH135" i="10"/>
  <c r="AU165" i="10"/>
  <c r="T137" i="10"/>
  <c r="S138" i="10"/>
  <c r="S141" i="3"/>
  <c r="T140" i="3"/>
  <c r="V139" i="3"/>
  <c r="AS139" i="3" s="1"/>
  <c r="R140" i="3"/>
  <c r="R123" i="7" l="1"/>
  <c r="V122" i="7"/>
  <c r="T138" i="10"/>
  <c r="S139" i="10"/>
  <c r="CE31" i="2"/>
  <c r="AY31" i="2"/>
  <c r="AY67" i="2"/>
  <c r="AE121" i="7"/>
  <c r="AT121" i="7"/>
  <c r="D105" i="2"/>
  <c r="AW110" i="2"/>
  <c r="AW111" i="2" s="1"/>
  <c r="CF93" i="2"/>
  <c r="D108" i="2" s="1"/>
  <c r="BU28" i="2"/>
  <c r="BA28" i="2"/>
  <c r="CE28" i="2" s="1"/>
  <c r="AC139" i="7"/>
  <c r="AA140" i="7" s="1"/>
  <c r="R171" i="7"/>
  <c r="V170" i="7"/>
  <c r="AT169" i="7"/>
  <c r="T123" i="7"/>
  <c r="S124" i="7"/>
  <c r="T171" i="7"/>
  <c r="S172" i="7"/>
  <c r="V136" i="1"/>
  <c r="AH136" i="1" s="1"/>
  <c r="R137" i="1"/>
  <c r="S138" i="1"/>
  <c r="T137" i="1"/>
  <c r="R138" i="10"/>
  <c r="V137" i="10"/>
  <c r="AH136" i="10"/>
  <c r="AU166" i="10"/>
  <c r="T141" i="3"/>
  <c r="S142" i="3"/>
  <c r="R141" i="3"/>
  <c r="V140" i="3"/>
  <c r="AS140" i="3" s="1"/>
  <c r="R124" i="7" l="1"/>
  <c r="V123" i="7"/>
  <c r="AE122" i="7"/>
  <c r="AT122" i="7"/>
  <c r="S140" i="10"/>
  <c r="T139" i="10"/>
  <c r="V138" i="10"/>
  <c r="R139" i="10"/>
  <c r="CF67" i="2"/>
  <c r="D91" i="2" s="1"/>
  <c r="D92" i="2" s="1"/>
  <c r="AY28" i="2"/>
  <c r="AX67" i="2" s="1"/>
  <c r="B91" i="2" s="1"/>
  <c r="B92" i="2" s="1"/>
  <c r="AX110" i="2"/>
  <c r="BA84" i="2" s="1"/>
  <c r="BA85" i="2" s="1"/>
  <c r="BA86" i="2" s="1"/>
  <c r="D106" i="2"/>
  <c r="R172" i="7"/>
  <c r="V171" i="7"/>
  <c r="AT170" i="7"/>
  <c r="S125" i="7"/>
  <c r="T124" i="7"/>
  <c r="T172" i="7"/>
  <c r="S173" i="7"/>
  <c r="V137" i="1"/>
  <c r="AH137" i="1" s="1"/>
  <c r="R138" i="1"/>
  <c r="T138" i="1"/>
  <c r="S139" i="1"/>
  <c r="AH137" i="10"/>
  <c r="AU167" i="10"/>
  <c r="R142" i="3"/>
  <c r="V141" i="3"/>
  <c r="AS141" i="3" s="1"/>
  <c r="T142" i="3"/>
  <c r="S143" i="3"/>
  <c r="AX111" i="2"/>
  <c r="BB84" i="2" s="1"/>
  <c r="AW112" i="2"/>
  <c r="AE123" i="7" l="1"/>
  <c r="AT123" i="7"/>
  <c r="R125" i="7"/>
  <c r="V124" i="7"/>
  <c r="AH138" i="10"/>
  <c r="R140" i="10"/>
  <c r="V139" i="10"/>
  <c r="S141" i="10"/>
  <c r="T140" i="10"/>
  <c r="C13" i="2"/>
  <c r="E92" i="2"/>
  <c r="F85" i="2" s="1"/>
  <c r="E82" i="2" s="1"/>
  <c r="D85" i="2"/>
  <c r="B82" i="2" s="1"/>
  <c r="AT171" i="7"/>
  <c r="R173" i="7"/>
  <c r="V172" i="7"/>
  <c r="S126" i="7"/>
  <c r="T125" i="7"/>
  <c r="T173" i="7"/>
  <c r="S174" i="7"/>
  <c r="S140" i="1"/>
  <c r="T139" i="1"/>
  <c r="V138" i="1"/>
  <c r="AH138" i="1" s="1"/>
  <c r="R139" i="1"/>
  <c r="AU168" i="10"/>
  <c r="R143" i="3"/>
  <c r="V142" i="3"/>
  <c r="AS142" i="3" s="1"/>
  <c r="S144" i="3"/>
  <c r="T143" i="3"/>
  <c r="BC61" i="2"/>
  <c r="BA61" i="2"/>
  <c r="BB85" i="2"/>
  <c r="BB86" i="2" s="1"/>
  <c r="AW113" i="2"/>
  <c r="AX112" i="2"/>
  <c r="BC84" i="2" s="1"/>
  <c r="R126" i="7" l="1"/>
  <c r="V125" i="7"/>
  <c r="AE124" i="7"/>
  <c r="AT124" i="7"/>
  <c r="AH139" i="10"/>
  <c r="S142" i="10"/>
  <c r="T141" i="10"/>
  <c r="R141" i="10"/>
  <c r="V140" i="10"/>
  <c r="R174" i="7"/>
  <c r="V173" i="7"/>
  <c r="AT172" i="7"/>
  <c r="S127" i="7"/>
  <c r="T126" i="7"/>
  <c r="S175" i="7"/>
  <c r="T174" i="7"/>
  <c r="S141" i="1"/>
  <c r="T140" i="1"/>
  <c r="V139" i="1"/>
  <c r="R140" i="1"/>
  <c r="AU169" i="10"/>
  <c r="S145" i="3"/>
  <c r="T144" i="3"/>
  <c r="R144" i="3"/>
  <c r="V143" i="3"/>
  <c r="AS143" i="3" s="1"/>
  <c r="AW114" i="2"/>
  <c r="AX113" i="2"/>
  <c r="BD84" i="2" s="1"/>
  <c r="BA60" i="2"/>
  <c r="BC85" i="2"/>
  <c r="BC86" i="2" s="1"/>
  <c r="BE60" i="2"/>
  <c r="BE62" i="2" s="1"/>
  <c r="BE63" i="2" s="1"/>
  <c r="AE125" i="7" l="1"/>
  <c r="AT125" i="7"/>
  <c r="R127" i="7"/>
  <c r="V126" i="7"/>
  <c r="AF117" i="7" s="1"/>
  <c r="AH140" i="10"/>
  <c r="R142" i="10"/>
  <c r="V141" i="10"/>
  <c r="S143" i="10"/>
  <c r="T142" i="10"/>
  <c r="AT173" i="7"/>
  <c r="R175" i="7"/>
  <c r="V174" i="7"/>
  <c r="AF165" i="7" s="1"/>
  <c r="AV165" i="7" s="1"/>
  <c r="S128" i="7"/>
  <c r="T127" i="7"/>
  <c r="R128" i="7" s="1"/>
  <c r="T175" i="7"/>
  <c r="R176" i="7" s="1"/>
  <c r="S176" i="7"/>
  <c r="T141" i="1"/>
  <c r="S142" i="1"/>
  <c r="AH139" i="1"/>
  <c r="R141" i="1"/>
  <c r="V140" i="1"/>
  <c r="AU170" i="10"/>
  <c r="S146" i="3"/>
  <c r="T145" i="3"/>
  <c r="V144" i="3"/>
  <c r="AS144" i="3" s="1"/>
  <c r="R145" i="3"/>
  <c r="AW115" i="2"/>
  <c r="AX114" i="2"/>
  <c r="BE84" i="2" s="1"/>
  <c r="BA59" i="2"/>
  <c r="BD85" i="2"/>
  <c r="BD86" i="2" s="1"/>
  <c r="BG59" i="2"/>
  <c r="BG62" i="2" s="1"/>
  <c r="BG63" i="2" s="1"/>
  <c r="AF114" i="7" l="1"/>
  <c r="AF107" i="7"/>
  <c r="AE126" i="7"/>
  <c r="AD122" i="7" s="1"/>
  <c r="AC122" i="7" s="1"/>
  <c r="AF110" i="7"/>
  <c r="AF123" i="7"/>
  <c r="AF109" i="7"/>
  <c r="AF121" i="7"/>
  <c r="AF112" i="7"/>
  <c r="AT126" i="7"/>
  <c r="AF126" i="7"/>
  <c r="AF118" i="7"/>
  <c r="AF125" i="7"/>
  <c r="T103" i="7"/>
  <c r="AF113" i="7"/>
  <c r="AF116" i="7"/>
  <c r="AF124" i="7"/>
  <c r="AF108" i="7"/>
  <c r="AF122" i="7"/>
  <c r="AF119" i="7"/>
  <c r="AF120" i="7"/>
  <c r="AF111" i="7"/>
  <c r="AF115" i="7"/>
  <c r="R143" i="10"/>
  <c r="V142" i="10"/>
  <c r="AH141" i="10"/>
  <c r="S144" i="10"/>
  <c r="T144" i="10" s="1"/>
  <c r="V144" i="10" s="1"/>
  <c r="T143" i="10"/>
  <c r="AW165" i="7"/>
  <c r="AY165" i="7" s="1"/>
  <c r="BA165" i="7" s="1"/>
  <c r="AX165" i="7"/>
  <c r="AZ165" i="7" s="1"/>
  <c r="AF174" i="7"/>
  <c r="AT174" i="7"/>
  <c r="AF162" i="7"/>
  <c r="AV162" i="7" s="1"/>
  <c r="AF167" i="7"/>
  <c r="AV167" i="7" s="1"/>
  <c r="AF163" i="7"/>
  <c r="AV163" i="7" s="1"/>
  <c r="AF171" i="7"/>
  <c r="AV171" i="7" s="1"/>
  <c r="AF164" i="7"/>
  <c r="AV164" i="7" s="1"/>
  <c r="AF166" i="7"/>
  <c r="AV166" i="7" s="1"/>
  <c r="AF169" i="7"/>
  <c r="AV169" i="7" s="1"/>
  <c r="AF172" i="7"/>
  <c r="AV172" i="7" s="1"/>
  <c r="AF168" i="7"/>
  <c r="AV168" i="7" s="1"/>
  <c r="AF161" i="7"/>
  <c r="AF170" i="7"/>
  <c r="AV170" i="7" s="1"/>
  <c r="T157" i="7"/>
  <c r="AF173" i="7"/>
  <c r="AV173" i="7" s="1"/>
  <c r="R142" i="1"/>
  <c r="V141" i="1"/>
  <c r="T128" i="7"/>
  <c r="R129" i="7" s="1"/>
  <c r="S129" i="7"/>
  <c r="S177" i="7"/>
  <c r="T176" i="7"/>
  <c r="R177" i="7" s="1"/>
  <c r="AH140" i="1"/>
  <c r="S143" i="1"/>
  <c r="T142" i="1"/>
  <c r="AU171" i="10"/>
  <c r="T146" i="3"/>
  <c r="R147" i="3" s="1"/>
  <c r="S147" i="3"/>
  <c r="V145" i="3"/>
  <c r="AF129" i="3" s="1"/>
  <c r="AU129" i="3" s="1"/>
  <c r="AV129" i="3" s="1"/>
  <c r="AX129" i="3" s="1"/>
  <c r="AZ129" i="3" s="1"/>
  <c r="R146" i="3"/>
  <c r="AX115" i="2"/>
  <c r="BF84" i="2" s="1"/>
  <c r="AW116" i="2"/>
  <c r="BE85" i="2"/>
  <c r="BE86" i="2" s="1"/>
  <c r="BI58" i="2"/>
  <c r="BA58" i="2"/>
  <c r="AD129" i="7" l="1"/>
  <c r="AC129" i="7" s="1"/>
  <c r="AD119" i="7"/>
  <c r="AC119" i="7" s="1"/>
  <c r="AD130" i="7"/>
  <c r="AC130" i="7" s="1"/>
  <c r="AD114" i="7"/>
  <c r="AC114" i="7" s="1"/>
  <c r="AD128" i="7"/>
  <c r="AC128" i="7" s="1"/>
  <c r="AD108" i="7"/>
  <c r="AC108" i="7" s="1"/>
  <c r="AD116" i="7"/>
  <c r="AC116" i="7" s="1"/>
  <c r="AD107" i="7"/>
  <c r="AC107" i="7" s="1"/>
  <c r="AD118" i="7"/>
  <c r="AC118" i="7" s="1"/>
  <c r="AD111" i="7"/>
  <c r="AC111" i="7" s="1"/>
  <c r="AD124" i="7"/>
  <c r="AC124" i="7" s="1"/>
  <c r="AD123" i="7"/>
  <c r="AC123" i="7" s="1"/>
  <c r="AD115" i="7"/>
  <c r="AC115" i="7" s="1"/>
  <c r="AD120" i="7"/>
  <c r="AC120" i="7" s="1"/>
  <c r="AD110" i="7"/>
  <c r="AC110" i="7" s="1"/>
  <c r="AD126" i="7"/>
  <c r="AC126" i="7" s="1"/>
  <c r="AD112" i="7"/>
  <c r="AC112" i="7" s="1"/>
  <c r="AD127" i="7"/>
  <c r="AC127" i="7" s="1"/>
  <c r="AD117" i="7"/>
  <c r="AC117" i="7" s="1"/>
  <c r="AD113" i="7"/>
  <c r="AC113" i="7" s="1"/>
  <c r="AD121" i="7"/>
  <c r="AC121" i="7" s="1"/>
  <c r="AD109" i="7"/>
  <c r="AC109" i="7" s="1"/>
  <c r="AD125" i="7"/>
  <c r="AC125" i="7" s="1"/>
  <c r="X144" i="10"/>
  <c r="AH144" i="10"/>
  <c r="AH142" i="10"/>
  <c r="R144" i="10"/>
  <c r="V143" i="10"/>
  <c r="X123" i="10" s="1"/>
  <c r="AI123" i="10" s="1"/>
  <c r="AV174" i="7"/>
  <c r="AX174" i="7" s="1"/>
  <c r="AZ174" i="7" s="1"/>
  <c r="AW173" i="7"/>
  <c r="AY173" i="7" s="1"/>
  <c r="BA173" i="7" s="1"/>
  <c r="AX173" i="7"/>
  <c r="AZ173" i="7" s="1"/>
  <c r="AX172" i="7"/>
  <c r="AZ172" i="7" s="1"/>
  <c r="AW172" i="7"/>
  <c r="AY172" i="7" s="1"/>
  <c r="BA172" i="7" s="1"/>
  <c r="AP143" i="7"/>
  <c r="AU143" i="7" s="1"/>
  <c r="AP142" i="7"/>
  <c r="AU142" i="7" s="1"/>
  <c r="AP151" i="7"/>
  <c r="AU151" i="7" s="1"/>
  <c r="AP150" i="7"/>
  <c r="AU150" i="7" s="1"/>
  <c r="AP146" i="7"/>
  <c r="AU146" i="7" s="1"/>
  <c r="AP145" i="7"/>
  <c r="AU145" i="7" s="1"/>
  <c r="AP141" i="7"/>
  <c r="AU141" i="7" s="1"/>
  <c r="AV161" i="7"/>
  <c r="AP149" i="7"/>
  <c r="AU149" i="7" s="1"/>
  <c r="AP140" i="7"/>
  <c r="AP147" i="7"/>
  <c r="AU147" i="7" s="1"/>
  <c r="AP148" i="7"/>
  <c r="AU148" i="7" s="1"/>
  <c r="AP144" i="7"/>
  <c r="AU144" i="7" s="1"/>
  <c r="AX169" i="7"/>
  <c r="AZ169" i="7" s="1"/>
  <c r="AW169" i="7"/>
  <c r="AY169" i="7" s="1"/>
  <c r="BA169" i="7" s="1"/>
  <c r="AX163" i="7"/>
  <c r="AZ163" i="7" s="1"/>
  <c r="AW163" i="7"/>
  <c r="AY163" i="7" s="1"/>
  <c r="BA163" i="7" s="1"/>
  <c r="AW170" i="7"/>
  <c r="AY170" i="7" s="1"/>
  <c r="BA170" i="7" s="1"/>
  <c r="AX170" i="7"/>
  <c r="AZ170" i="7" s="1"/>
  <c r="AW171" i="7"/>
  <c r="AY171" i="7" s="1"/>
  <c r="BA171" i="7" s="1"/>
  <c r="AX171" i="7"/>
  <c r="AZ171" i="7" s="1"/>
  <c r="AX166" i="7"/>
  <c r="AZ166" i="7" s="1"/>
  <c r="AW166" i="7"/>
  <c r="AY166" i="7" s="1"/>
  <c r="BA166" i="7" s="1"/>
  <c r="AW167" i="7"/>
  <c r="AY167" i="7" s="1"/>
  <c r="BA167" i="7" s="1"/>
  <c r="AX167" i="7"/>
  <c r="AZ167" i="7" s="1"/>
  <c r="AB165" i="7"/>
  <c r="BC165" i="7"/>
  <c r="G165" i="7" s="1"/>
  <c r="F165" i="7" s="1"/>
  <c r="BB165" i="7"/>
  <c r="AW168" i="7"/>
  <c r="AY168" i="7" s="1"/>
  <c r="BA168" i="7" s="1"/>
  <c r="AX168" i="7"/>
  <c r="AZ168" i="7" s="1"/>
  <c r="AX164" i="7"/>
  <c r="AZ164" i="7" s="1"/>
  <c r="AW164" i="7"/>
  <c r="AY164" i="7" s="1"/>
  <c r="BA164" i="7" s="1"/>
  <c r="AW162" i="7"/>
  <c r="AY162" i="7" s="1"/>
  <c r="BA162" i="7" s="1"/>
  <c r="AX162" i="7"/>
  <c r="AZ162" i="7" s="1"/>
  <c r="R143" i="1"/>
  <c r="V142" i="1"/>
  <c r="AH141" i="1"/>
  <c r="S130" i="7"/>
  <c r="T130" i="7" s="1"/>
  <c r="T129" i="7"/>
  <c r="R130" i="7" s="1"/>
  <c r="T177" i="7"/>
  <c r="R178" i="7" s="1"/>
  <c r="S178" i="7"/>
  <c r="T143" i="1"/>
  <c r="S144" i="1"/>
  <c r="T144" i="1" s="1"/>
  <c r="V144" i="1" s="1"/>
  <c r="AW129" i="3"/>
  <c r="AY129" i="3" s="1"/>
  <c r="AB129" i="3" s="1"/>
  <c r="AF133" i="3"/>
  <c r="AU133" i="3" s="1"/>
  <c r="AF136" i="3"/>
  <c r="AU136" i="3" s="1"/>
  <c r="AF142" i="3"/>
  <c r="AU142" i="3" s="1"/>
  <c r="AS145" i="3"/>
  <c r="AF141" i="3"/>
  <c r="AU141" i="3" s="1"/>
  <c r="AF127" i="3"/>
  <c r="AF137" i="3"/>
  <c r="AU137" i="3" s="1"/>
  <c r="AF140" i="3"/>
  <c r="AU140" i="3" s="1"/>
  <c r="T123" i="3"/>
  <c r="AF134" i="3"/>
  <c r="AU134" i="3" s="1"/>
  <c r="AF144" i="3"/>
  <c r="AU144" i="3" s="1"/>
  <c r="AF128" i="3"/>
  <c r="AU128" i="3" s="1"/>
  <c r="AF130" i="3"/>
  <c r="AU130" i="3" s="1"/>
  <c r="AF135" i="3"/>
  <c r="AU135" i="3" s="1"/>
  <c r="AF138" i="3"/>
  <c r="AU138" i="3" s="1"/>
  <c r="AF132" i="3"/>
  <c r="AU132" i="3" s="1"/>
  <c r="AF143" i="3"/>
  <c r="AU143" i="3" s="1"/>
  <c r="AF131" i="3"/>
  <c r="AU131" i="3" s="1"/>
  <c r="AF139" i="3"/>
  <c r="AU139" i="3" s="1"/>
  <c r="AF145" i="3"/>
  <c r="AU145" i="3" s="1"/>
  <c r="AW145" i="3" s="1"/>
  <c r="AY145" i="3" s="1"/>
  <c r="BB145" i="3" s="1"/>
  <c r="G145" i="3" s="1"/>
  <c r="F145" i="3" s="1"/>
  <c r="S148" i="3"/>
  <c r="T147" i="3"/>
  <c r="R148" i="3" s="1"/>
  <c r="BK57" i="2"/>
  <c r="BK62" i="2" s="1"/>
  <c r="BK63" i="2" s="1"/>
  <c r="BF85" i="2"/>
  <c r="BF86" i="2" s="1"/>
  <c r="BA57" i="2"/>
  <c r="AW117" i="2"/>
  <c r="AX116" i="2"/>
  <c r="BG84" i="2" s="1"/>
  <c r="AC106" i="7" l="1"/>
  <c r="AA107" i="7" s="1"/>
  <c r="C15" i="10"/>
  <c r="AI144" i="10"/>
  <c r="AJ144" i="10" s="1"/>
  <c r="AL144" i="10" s="1"/>
  <c r="AN144" i="10" s="1"/>
  <c r="X136" i="10"/>
  <c r="AI136" i="10" s="1"/>
  <c r="AK136" i="10" s="1"/>
  <c r="AM136" i="10" s="1"/>
  <c r="X124" i="10"/>
  <c r="AI124" i="10" s="1"/>
  <c r="AJ124" i="10" s="1"/>
  <c r="AL124" i="10" s="1"/>
  <c r="AN124" i="10" s="1"/>
  <c r="X129" i="10"/>
  <c r="AI129" i="10" s="1"/>
  <c r="AJ129" i="10" s="1"/>
  <c r="AL129" i="10" s="1"/>
  <c r="AN129" i="10" s="1"/>
  <c r="X121" i="10"/>
  <c r="AI121" i="10" s="1"/>
  <c r="AK121" i="10" s="1"/>
  <c r="AM121" i="10" s="1"/>
  <c r="X141" i="10"/>
  <c r="AI141" i="10" s="1"/>
  <c r="AJ141" i="10" s="1"/>
  <c r="AL141" i="10" s="1"/>
  <c r="AN141" i="10" s="1"/>
  <c r="X142" i="10"/>
  <c r="AI142" i="10" s="1"/>
  <c r="X125" i="10"/>
  <c r="AI125" i="10" s="1"/>
  <c r="AK125" i="10" s="1"/>
  <c r="AM125" i="10" s="1"/>
  <c r="AK123" i="10"/>
  <c r="AM123" i="10" s="1"/>
  <c r="AJ123" i="10"/>
  <c r="AL123" i="10" s="1"/>
  <c r="AN123" i="10" s="1"/>
  <c r="X130" i="10"/>
  <c r="AI130" i="10" s="1"/>
  <c r="X126" i="10"/>
  <c r="AI126" i="10" s="1"/>
  <c r="AK144" i="10"/>
  <c r="AM144" i="10" s="1"/>
  <c r="X143" i="10"/>
  <c r="AH143" i="10"/>
  <c r="X132" i="10"/>
  <c r="AI132" i="10" s="1"/>
  <c r="X140" i="10"/>
  <c r="AI140" i="10" s="1"/>
  <c r="X133" i="10"/>
  <c r="AI133" i="10" s="1"/>
  <c r="X139" i="10"/>
  <c r="AI139" i="10" s="1"/>
  <c r="X134" i="10"/>
  <c r="AI134" i="10" s="1"/>
  <c r="X127" i="10"/>
  <c r="AI127" i="10" s="1"/>
  <c r="X138" i="10"/>
  <c r="AI138" i="10" s="1"/>
  <c r="X135" i="10"/>
  <c r="AI135" i="10" s="1"/>
  <c r="X128" i="10"/>
  <c r="AI128" i="10" s="1"/>
  <c r="X137" i="10"/>
  <c r="AI137" i="10" s="1"/>
  <c r="X131" i="10"/>
  <c r="AI131" i="10" s="1"/>
  <c r="X122" i="10"/>
  <c r="AI122" i="10" s="1"/>
  <c r="AW174" i="7"/>
  <c r="AY174" i="7" s="1"/>
  <c r="BA174" i="7" s="1"/>
  <c r="AB168" i="7"/>
  <c r="BC168" i="7"/>
  <c r="G168" i="7" s="1"/>
  <c r="F168" i="7" s="1"/>
  <c r="BB168" i="7"/>
  <c r="BB166" i="7"/>
  <c r="BC166" i="7"/>
  <c r="G166" i="7" s="1"/>
  <c r="F166" i="7" s="1"/>
  <c r="AB166" i="7"/>
  <c r="BB169" i="7"/>
  <c r="AB169" i="7"/>
  <c r="BC169" i="7"/>
  <c r="G169" i="7" s="1"/>
  <c r="F169" i="7" s="1"/>
  <c r="AW145" i="7"/>
  <c r="AY145" i="7" s="1"/>
  <c r="BA145" i="7" s="1"/>
  <c r="AX145" i="7"/>
  <c r="AZ145" i="7" s="1"/>
  <c r="BB145" i="7" s="1"/>
  <c r="BC167" i="7"/>
  <c r="G167" i="7" s="1"/>
  <c r="F167" i="7" s="1"/>
  <c r="BB167" i="7"/>
  <c r="AB167" i="7"/>
  <c r="BB171" i="7"/>
  <c r="BC171" i="7"/>
  <c r="G171" i="7" s="1"/>
  <c r="F171" i="7" s="1"/>
  <c r="AB171" i="7"/>
  <c r="AX144" i="7"/>
  <c r="AZ144" i="7" s="1"/>
  <c r="BB144" i="7" s="1"/>
  <c r="AW144" i="7"/>
  <c r="AY144" i="7" s="1"/>
  <c r="BA144" i="7" s="1"/>
  <c r="AX149" i="7"/>
  <c r="AZ149" i="7" s="1"/>
  <c r="BB149" i="7" s="1"/>
  <c r="AW149" i="7"/>
  <c r="AY149" i="7" s="1"/>
  <c r="BA149" i="7" s="1"/>
  <c r="AX146" i="7"/>
  <c r="AZ146" i="7" s="1"/>
  <c r="BB146" i="7" s="1"/>
  <c r="AW146" i="7"/>
  <c r="AY146" i="7" s="1"/>
  <c r="BA146" i="7" s="1"/>
  <c r="AW143" i="7"/>
  <c r="AY143" i="7" s="1"/>
  <c r="BA143" i="7" s="1"/>
  <c r="AX143" i="7"/>
  <c r="AZ143" i="7" s="1"/>
  <c r="BB143" i="7" s="1"/>
  <c r="BB172" i="7"/>
  <c r="BC172" i="7"/>
  <c r="G172" i="7" s="1"/>
  <c r="F172" i="7" s="1"/>
  <c r="AB172" i="7"/>
  <c r="AU140" i="7"/>
  <c r="AT155" i="7"/>
  <c r="AX142" i="7"/>
  <c r="AZ142" i="7" s="1"/>
  <c r="BB142" i="7" s="1"/>
  <c r="AW142" i="7"/>
  <c r="AY142" i="7" s="1"/>
  <c r="BA142" i="7" s="1"/>
  <c r="BB163" i="7"/>
  <c r="BC163" i="7"/>
  <c r="G163" i="7" s="1"/>
  <c r="F163" i="7" s="1"/>
  <c r="AB163" i="7"/>
  <c r="AW148" i="7"/>
  <c r="AY148" i="7" s="1"/>
  <c r="BA148" i="7" s="1"/>
  <c r="AX148" i="7"/>
  <c r="AZ148" i="7" s="1"/>
  <c r="BB148" i="7" s="1"/>
  <c r="AW161" i="7"/>
  <c r="AY161" i="7" s="1"/>
  <c r="BA161" i="7" s="1"/>
  <c r="AX161" i="7"/>
  <c r="AZ161" i="7" s="1"/>
  <c r="AW150" i="7"/>
  <c r="AY150" i="7" s="1"/>
  <c r="BA150" i="7" s="1"/>
  <c r="AX150" i="7"/>
  <c r="AZ150" i="7" s="1"/>
  <c r="BB150" i="7" s="1"/>
  <c r="BB174" i="7"/>
  <c r="AB174" i="7"/>
  <c r="BC174" i="7"/>
  <c r="G174" i="7" s="1"/>
  <c r="F174" i="7" s="1"/>
  <c r="BC173" i="7"/>
  <c r="G173" i="7" s="1"/>
  <c r="F173" i="7" s="1"/>
  <c r="AB173" i="7"/>
  <c r="BB173" i="7"/>
  <c r="BC162" i="7"/>
  <c r="G162" i="7" s="1"/>
  <c r="F162" i="7" s="1"/>
  <c r="AB162" i="7"/>
  <c r="BB162" i="7"/>
  <c r="BC164" i="7"/>
  <c r="G164" i="7" s="1"/>
  <c r="F164" i="7" s="1"/>
  <c r="BB164" i="7"/>
  <c r="AB164" i="7"/>
  <c r="BC170" i="7"/>
  <c r="G170" i="7" s="1"/>
  <c r="F170" i="7" s="1"/>
  <c r="AB170" i="7"/>
  <c r="BB170" i="7"/>
  <c r="AX147" i="7"/>
  <c r="AZ147" i="7" s="1"/>
  <c r="BB147" i="7" s="1"/>
  <c r="AW147" i="7"/>
  <c r="AY147" i="7" s="1"/>
  <c r="BA147" i="7" s="1"/>
  <c r="AW141" i="7"/>
  <c r="AY141" i="7" s="1"/>
  <c r="BA141" i="7" s="1"/>
  <c r="AX141" i="7"/>
  <c r="AZ141" i="7" s="1"/>
  <c r="BB141" i="7" s="1"/>
  <c r="AX151" i="7"/>
  <c r="AZ151" i="7" s="1"/>
  <c r="BB151" i="7" s="1"/>
  <c r="AW151" i="7"/>
  <c r="AY151" i="7" s="1"/>
  <c r="BA151" i="7" s="1"/>
  <c r="AO114" i="3"/>
  <c r="AT114" i="3" s="1"/>
  <c r="AO115" i="3"/>
  <c r="AT115" i="3" s="1"/>
  <c r="AO116" i="3"/>
  <c r="AT116" i="3" s="1"/>
  <c r="AO117" i="3"/>
  <c r="AT117" i="3" s="1"/>
  <c r="AO113" i="3"/>
  <c r="AT113" i="3" s="1"/>
  <c r="AO109" i="3"/>
  <c r="AT109" i="3" s="1"/>
  <c r="AO106" i="3"/>
  <c r="AO112" i="3"/>
  <c r="AT112" i="3" s="1"/>
  <c r="AO110" i="3"/>
  <c r="AT110" i="3" s="1"/>
  <c r="AO108" i="3"/>
  <c r="AT108" i="3" s="1"/>
  <c r="AO107" i="3"/>
  <c r="AT107" i="3" s="1"/>
  <c r="AO111" i="3"/>
  <c r="AT111" i="3" s="1"/>
  <c r="X144" i="1"/>
  <c r="AH144" i="1"/>
  <c r="AH142" i="1"/>
  <c r="R144" i="1"/>
  <c r="V143" i="1"/>
  <c r="X139" i="1" s="1"/>
  <c r="AI139" i="1" s="1"/>
  <c r="T178" i="7"/>
  <c r="R179" i="7" s="1"/>
  <c r="S179" i="7"/>
  <c r="BA145" i="3"/>
  <c r="BA129" i="3"/>
  <c r="AB145" i="3"/>
  <c r="BB129" i="3"/>
  <c r="G129" i="3" s="1"/>
  <c r="F129" i="3" s="1"/>
  <c r="AV145" i="3"/>
  <c r="AX145" i="3" s="1"/>
  <c r="AZ145" i="3" s="1"/>
  <c r="AW143" i="3"/>
  <c r="AY143" i="3" s="1"/>
  <c r="AV143" i="3"/>
  <c r="AX143" i="3" s="1"/>
  <c r="AZ143" i="3" s="1"/>
  <c r="AW141" i="3"/>
  <c r="AY141" i="3" s="1"/>
  <c r="AV141" i="3"/>
  <c r="AX141" i="3" s="1"/>
  <c r="AZ141" i="3" s="1"/>
  <c r="AV131" i="3"/>
  <c r="AX131" i="3" s="1"/>
  <c r="AZ131" i="3" s="1"/>
  <c r="AW131" i="3"/>
  <c r="AY131" i="3" s="1"/>
  <c r="AW134" i="3"/>
  <c r="AY134" i="3" s="1"/>
  <c r="AV134" i="3"/>
  <c r="AX134" i="3" s="1"/>
  <c r="AZ134" i="3" s="1"/>
  <c r="AU127" i="3"/>
  <c r="AV139" i="3"/>
  <c r="AX139" i="3" s="1"/>
  <c r="AZ139" i="3" s="1"/>
  <c r="AW139" i="3"/>
  <c r="AY139" i="3" s="1"/>
  <c r="AV138" i="3"/>
  <c r="AX138" i="3" s="1"/>
  <c r="AZ138" i="3" s="1"/>
  <c r="AW138" i="3"/>
  <c r="AY138" i="3" s="1"/>
  <c r="AW144" i="3"/>
  <c r="AY144" i="3" s="1"/>
  <c r="AV144" i="3"/>
  <c r="AX144" i="3" s="1"/>
  <c r="AZ144" i="3" s="1"/>
  <c r="AV137" i="3"/>
  <c r="AX137" i="3" s="1"/>
  <c r="AZ137" i="3" s="1"/>
  <c r="AW137" i="3"/>
  <c r="AY137" i="3" s="1"/>
  <c r="AV142" i="3"/>
  <c r="AX142" i="3" s="1"/>
  <c r="AZ142" i="3" s="1"/>
  <c r="AW142" i="3"/>
  <c r="AY142" i="3" s="1"/>
  <c r="T148" i="3"/>
  <c r="R149" i="3" s="1"/>
  <c r="S149" i="3"/>
  <c r="AV130" i="3"/>
  <c r="AX130" i="3" s="1"/>
  <c r="AZ130" i="3" s="1"/>
  <c r="AW130" i="3"/>
  <c r="AY130" i="3" s="1"/>
  <c r="AW133" i="3"/>
  <c r="AY133" i="3" s="1"/>
  <c r="AV133" i="3"/>
  <c r="AX133" i="3" s="1"/>
  <c r="AZ133" i="3" s="1"/>
  <c r="AV135" i="3"/>
  <c r="AX135" i="3" s="1"/>
  <c r="AZ135" i="3" s="1"/>
  <c r="AW135" i="3"/>
  <c r="AY135" i="3" s="1"/>
  <c r="AW136" i="3"/>
  <c r="AY136" i="3" s="1"/>
  <c r="AV136" i="3"/>
  <c r="AX136" i="3" s="1"/>
  <c r="AZ136" i="3" s="1"/>
  <c r="AW132" i="3"/>
  <c r="AY132" i="3" s="1"/>
  <c r="AV132" i="3"/>
  <c r="AX132" i="3" s="1"/>
  <c r="AZ132" i="3" s="1"/>
  <c r="AV128" i="3"/>
  <c r="AX128" i="3" s="1"/>
  <c r="AZ128" i="3" s="1"/>
  <c r="AW128" i="3"/>
  <c r="AY128" i="3" s="1"/>
  <c r="AV140" i="3"/>
  <c r="AX140" i="3" s="1"/>
  <c r="AZ140" i="3" s="1"/>
  <c r="AW140" i="3"/>
  <c r="AY140" i="3" s="1"/>
  <c r="AW118" i="2"/>
  <c r="AX117" i="2"/>
  <c r="BH84" i="2" s="1"/>
  <c r="BG85" i="2"/>
  <c r="BG86" i="2" s="1"/>
  <c r="BB56" i="2"/>
  <c r="BL56" i="2"/>
  <c r="AG140" i="7" l="1"/>
  <c r="AG161" i="7"/>
  <c r="AJ121" i="10"/>
  <c r="AL121" i="10" s="1"/>
  <c r="AN121" i="10" s="1"/>
  <c r="C5" i="10"/>
  <c r="D3" i="10"/>
  <c r="D10" i="10"/>
  <c r="D107" i="10" s="1"/>
  <c r="C3" i="10"/>
  <c r="C10" i="10"/>
  <c r="AJ136" i="10"/>
  <c r="AL136" i="10" s="1"/>
  <c r="AN136" i="10" s="1"/>
  <c r="AK124" i="10"/>
  <c r="AM124" i="10" s="1"/>
  <c r="AO124" i="10" s="1"/>
  <c r="AK129" i="10"/>
  <c r="AM129" i="10" s="1"/>
  <c r="AO129" i="10" s="1"/>
  <c r="AJ125" i="10"/>
  <c r="AL125" i="10" s="1"/>
  <c r="AN125" i="10" s="1"/>
  <c r="AK142" i="10"/>
  <c r="AM142" i="10" s="1"/>
  <c r="W142" i="10" s="1"/>
  <c r="AJ142" i="10"/>
  <c r="AL142" i="10" s="1"/>
  <c r="AN142" i="10" s="1"/>
  <c r="AK141" i="10"/>
  <c r="AM141" i="10" s="1"/>
  <c r="AO141" i="10" s="1"/>
  <c r="AK134" i="10"/>
  <c r="AM134" i="10" s="1"/>
  <c r="AJ134" i="10"/>
  <c r="AL134" i="10" s="1"/>
  <c r="AN134" i="10" s="1"/>
  <c r="AK122" i="10"/>
  <c r="AM122" i="10" s="1"/>
  <c r="AJ122" i="10"/>
  <c r="AL122" i="10" s="1"/>
  <c r="AN122" i="10" s="1"/>
  <c r="AJ135" i="10"/>
  <c r="AL135" i="10" s="1"/>
  <c r="AN135" i="10" s="1"/>
  <c r="AK135" i="10"/>
  <c r="AM135" i="10" s="1"/>
  <c r="AK139" i="10"/>
  <c r="AM139" i="10" s="1"/>
  <c r="AJ139" i="10"/>
  <c r="AL139" i="10" s="1"/>
  <c r="AN139" i="10" s="1"/>
  <c r="AI143" i="10"/>
  <c r="W121" i="10"/>
  <c r="AO121" i="10"/>
  <c r="AP129" i="10"/>
  <c r="G129" i="10" s="1"/>
  <c r="F129" i="10" s="1"/>
  <c r="AO123" i="10"/>
  <c r="W123" i="10"/>
  <c r="AP123" i="10"/>
  <c r="G123" i="10" s="1"/>
  <c r="F123" i="10" s="1"/>
  <c r="AK132" i="10"/>
  <c r="AM132" i="10" s="1"/>
  <c r="AJ132" i="10"/>
  <c r="AL132" i="10" s="1"/>
  <c r="AN132" i="10" s="1"/>
  <c r="AK131" i="10"/>
  <c r="AM131" i="10" s="1"/>
  <c r="AJ131" i="10"/>
  <c r="AL131" i="10" s="1"/>
  <c r="AN131" i="10" s="1"/>
  <c r="AJ138" i="10"/>
  <c r="AL138" i="10" s="1"/>
  <c r="AN138" i="10" s="1"/>
  <c r="AK138" i="10"/>
  <c r="AM138" i="10" s="1"/>
  <c r="AK133" i="10"/>
  <c r="AM133" i="10" s="1"/>
  <c r="AJ133" i="10"/>
  <c r="AL133" i="10" s="1"/>
  <c r="AN133" i="10" s="1"/>
  <c r="AP144" i="10"/>
  <c r="G144" i="10" s="1"/>
  <c r="F144" i="10" s="1"/>
  <c r="AO144" i="10"/>
  <c r="W144" i="10"/>
  <c r="AK126" i="10"/>
  <c r="AM126" i="10" s="1"/>
  <c r="AJ126" i="10"/>
  <c r="AL126" i="10" s="1"/>
  <c r="AN126" i="10" s="1"/>
  <c r="AK128" i="10"/>
  <c r="AM128" i="10" s="1"/>
  <c r="AJ128" i="10"/>
  <c r="AL128" i="10" s="1"/>
  <c r="AN128" i="10" s="1"/>
  <c r="W136" i="10"/>
  <c r="AP136" i="10"/>
  <c r="G136" i="10" s="1"/>
  <c r="AO136" i="10"/>
  <c r="AJ137" i="10"/>
  <c r="AL137" i="10" s="1"/>
  <c r="AN137" i="10" s="1"/>
  <c r="AK137" i="10"/>
  <c r="AM137" i="10" s="1"/>
  <c r="AJ127" i="10"/>
  <c r="AL127" i="10" s="1"/>
  <c r="AN127" i="10" s="1"/>
  <c r="AK127" i="10"/>
  <c r="AM127" i="10" s="1"/>
  <c r="AK140" i="10"/>
  <c r="AM140" i="10" s="1"/>
  <c r="AJ140" i="10"/>
  <c r="AL140" i="10" s="1"/>
  <c r="AN140" i="10" s="1"/>
  <c r="AP125" i="10"/>
  <c r="G125" i="10" s="1"/>
  <c r="F125" i="10" s="1"/>
  <c r="W125" i="10"/>
  <c r="AO125" i="10"/>
  <c r="AK130" i="10"/>
  <c r="AM130" i="10" s="1"/>
  <c r="AJ130" i="10"/>
  <c r="AL130" i="10" s="1"/>
  <c r="AN130" i="10" s="1"/>
  <c r="BB161" i="7"/>
  <c r="AB161" i="7"/>
  <c r="AW140" i="7"/>
  <c r="AY140" i="7" s="1"/>
  <c r="BA140" i="7" s="1"/>
  <c r="AX140" i="7"/>
  <c r="AZ140" i="7" s="1"/>
  <c r="BB140" i="7" s="1"/>
  <c r="X134" i="1"/>
  <c r="AI134" i="1" s="1"/>
  <c r="AK134" i="1" s="1"/>
  <c r="AM134" i="1" s="1"/>
  <c r="X138" i="1"/>
  <c r="AI138" i="1" s="1"/>
  <c r="AJ138" i="1" s="1"/>
  <c r="AL138" i="1" s="1"/>
  <c r="AN138" i="1" s="1"/>
  <c r="X127" i="1"/>
  <c r="AI127" i="1" s="1"/>
  <c r="AJ127" i="1" s="1"/>
  <c r="AL127" i="1" s="1"/>
  <c r="AN127" i="1" s="1"/>
  <c r="X132" i="1"/>
  <c r="AI132" i="1" s="1"/>
  <c r="AK132" i="1" s="1"/>
  <c r="AM132" i="1" s="1"/>
  <c r="X135" i="1"/>
  <c r="AI135" i="1" s="1"/>
  <c r="AK135" i="1" s="1"/>
  <c r="AM135" i="1" s="1"/>
  <c r="AJ139" i="1"/>
  <c r="AL139" i="1" s="1"/>
  <c r="AN139" i="1" s="1"/>
  <c r="AK139" i="1"/>
  <c r="AM139" i="1" s="1"/>
  <c r="X136" i="1"/>
  <c r="AI136" i="1" s="1"/>
  <c r="X128" i="1"/>
  <c r="AI128" i="1" s="1"/>
  <c r="X121" i="1"/>
  <c r="X137" i="1"/>
  <c r="AI137" i="1" s="1"/>
  <c r="X131" i="1"/>
  <c r="AI131" i="1" s="1"/>
  <c r="X143" i="1"/>
  <c r="AH143" i="1"/>
  <c r="X130" i="1"/>
  <c r="AI130" i="1" s="1"/>
  <c r="X125" i="1"/>
  <c r="AI125" i="1" s="1"/>
  <c r="X126" i="1"/>
  <c r="AI126" i="1" s="1"/>
  <c r="X140" i="1"/>
  <c r="AI140" i="1" s="1"/>
  <c r="X133" i="1"/>
  <c r="AI133" i="1" s="1"/>
  <c r="X142" i="1"/>
  <c r="AI142" i="1" s="1"/>
  <c r="X123" i="1"/>
  <c r="AI123" i="1" s="1"/>
  <c r="X124" i="1"/>
  <c r="AI124" i="1" s="1"/>
  <c r="X129" i="1"/>
  <c r="AI129" i="1" s="1"/>
  <c r="X122" i="1"/>
  <c r="AI122" i="1" s="1"/>
  <c r="AI144" i="1"/>
  <c r="X141" i="1"/>
  <c r="AI141" i="1" s="1"/>
  <c r="S180" i="7"/>
  <c r="T179" i="7"/>
  <c r="R180" i="7" s="1"/>
  <c r="AB144" i="3"/>
  <c r="BB144" i="3"/>
  <c r="G144" i="3" s="1"/>
  <c r="F144" i="3" s="1"/>
  <c r="BA144" i="3"/>
  <c r="AW116" i="3"/>
  <c r="AY116" i="3" s="1"/>
  <c r="BA116" i="3" s="1"/>
  <c r="AV116" i="3"/>
  <c r="AX116" i="3" s="1"/>
  <c r="AZ116" i="3" s="1"/>
  <c r="AV114" i="3"/>
  <c r="AX114" i="3" s="1"/>
  <c r="AZ114" i="3" s="1"/>
  <c r="AW114" i="3"/>
  <c r="AY114" i="3" s="1"/>
  <c r="BA114" i="3" s="1"/>
  <c r="AB131" i="3"/>
  <c r="BB131" i="3"/>
  <c r="G131" i="3" s="1"/>
  <c r="F131" i="3" s="1"/>
  <c r="BA131" i="3"/>
  <c r="BB140" i="3"/>
  <c r="G140" i="3" s="1"/>
  <c r="F140" i="3" s="1"/>
  <c r="BA140" i="3"/>
  <c r="AB140" i="3"/>
  <c r="AB135" i="3"/>
  <c r="BB135" i="3"/>
  <c r="G135" i="3" s="1"/>
  <c r="F135" i="3" s="1"/>
  <c r="BA135" i="3"/>
  <c r="AV112" i="3"/>
  <c r="AX112" i="3" s="1"/>
  <c r="AZ112" i="3" s="1"/>
  <c r="AW112" i="3"/>
  <c r="AY112" i="3" s="1"/>
  <c r="BA112" i="3" s="1"/>
  <c r="AW107" i="3"/>
  <c r="AY107" i="3" s="1"/>
  <c r="BA107" i="3" s="1"/>
  <c r="AV107" i="3"/>
  <c r="AX107" i="3" s="1"/>
  <c r="AZ107" i="3" s="1"/>
  <c r="AB141" i="3"/>
  <c r="BB141" i="3"/>
  <c r="G141" i="3" s="1"/>
  <c r="F141" i="3" s="1"/>
  <c r="BA141" i="3"/>
  <c r="BA136" i="3"/>
  <c r="BB136" i="3"/>
  <c r="G136" i="3" s="1"/>
  <c r="F136" i="3" s="1"/>
  <c r="AB136" i="3"/>
  <c r="BB128" i="3"/>
  <c r="G128" i="3" s="1"/>
  <c r="F128" i="3" s="1"/>
  <c r="AB128" i="3"/>
  <c r="BA128" i="3"/>
  <c r="T149" i="3"/>
  <c r="R150" i="3" s="1"/>
  <c r="S150" i="3"/>
  <c r="T150" i="3" s="1"/>
  <c r="AB137" i="3"/>
  <c r="BB137" i="3"/>
  <c r="G137" i="3" s="1"/>
  <c r="F137" i="3" s="1"/>
  <c r="BA137" i="3"/>
  <c r="BA138" i="3"/>
  <c r="BB138" i="3"/>
  <c r="G138" i="3" s="1"/>
  <c r="F138" i="3" s="1"/>
  <c r="AB138" i="3"/>
  <c r="AT106" i="3"/>
  <c r="C9" i="3"/>
  <c r="C5" i="3" s="1"/>
  <c r="AV109" i="3"/>
  <c r="AX109" i="3" s="1"/>
  <c r="AZ109" i="3" s="1"/>
  <c r="AW109" i="3"/>
  <c r="AY109" i="3" s="1"/>
  <c r="BA109" i="3" s="1"/>
  <c r="AV113" i="3"/>
  <c r="AX113" i="3" s="1"/>
  <c r="AZ113" i="3" s="1"/>
  <c r="AW113" i="3"/>
  <c r="AY113" i="3" s="1"/>
  <c r="BA113" i="3" s="1"/>
  <c r="AV115" i="3"/>
  <c r="AX115" i="3" s="1"/>
  <c r="AZ115" i="3" s="1"/>
  <c r="AW115" i="3"/>
  <c r="AY115" i="3" s="1"/>
  <c r="BA115" i="3" s="1"/>
  <c r="AB143" i="3"/>
  <c r="BA143" i="3"/>
  <c r="BB143" i="3"/>
  <c r="G143" i="3" s="1"/>
  <c r="F143" i="3" s="1"/>
  <c r="AB132" i="3"/>
  <c r="BA132" i="3"/>
  <c r="BB132" i="3"/>
  <c r="G132" i="3" s="1"/>
  <c r="F132" i="3" s="1"/>
  <c r="AV117" i="3"/>
  <c r="AX117" i="3" s="1"/>
  <c r="AZ117" i="3" s="1"/>
  <c r="AW117" i="3"/>
  <c r="AY117" i="3" s="1"/>
  <c r="BA117" i="3" s="1"/>
  <c r="BB130" i="3"/>
  <c r="G130" i="3" s="1"/>
  <c r="F130" i="3" s="1"/>
  <c r="AB130" i="3"/>
  <c r="BA130" i="3"/>
  <c r="BB142" i="3"/>
  <c r="G142" i="3" s="1"/>
  <c r="F142" i="3" s="1"/>
  <c r="AB142" i="3"/>
  <c r="BA142" i="3"/>
  <c r="AB139" i="3"/>
  <c r="BB139" i="3"/>
  <c r="G139" i="3" s="1"/>
  <c r="F139" i="3" s="1"/>
  <c r="BA139" i="3"/>
  <c r="AW127" i="3"/>
  <c r="AY127" i="3" s="1"/>
  <c r="AV127" i="3"/>
  <c r="AX127" i="3" s="1"/>
  <c r="AZ127" i="3" s="1"/>
  <c r="BA134" i="3"/>
  <c r="BB134" i="3"/>
  <c r="G134" i="3" s="1"/>
  <c r="F134" i="3" s="1"/>
  <c r="AB134" i="3"/>
  <c r="BB133" i="3"/>
  <c r="G133" i="3" s="1"/>
  <c r="F133" i="3" s="1"/>
  <c r="BA133" i="3"/>
  <c r="AB133" i="3"/>
  <c r="AW108" i="3"/>
  <c r="AY108" i="3" s="1"/>
  <c r="BA108" i="3" s="1"/>
  <c r="AV108" i="3"/>
  <c r="AX108" i="3" s="1"/>
  <c r="AZ108" i="3" s="1"/>
  <c r="AW110" i="3"/>
  <c r="AY110" i="3" s="1"/>
  <c r="BA110" i="3" s="1"/>
  <c r="AV110" i="3"/>
  <c r="AX110" i="3" s="1"/>
  <c r="AZ110" i="3" s="1"/>
  <c r="AW111" i="3"/>
  <c r="AY111" i="3" s="1"/>
  <c r="BA111" i="3" s="1"/>
  <c r="AV111" i="3"/>
  <c r="AX111" i="3" s="1"/>
  <c r="AZ111" i="3" s="1"/>
  <c r="AX118" i="2"/>
  <c r="BI84" i="2" s="1"/>
  <c r="AW119" i="2"/>
  <c r="BH85" i="2"/>
  <c r="BH86" i="2" s="1"/>
  <c r="BC55" i="2"/>
  <c r="BC62" i="2" s="1"/>
  <c r="BC63" i="2" s="1"/>
  <c r="BM55" i="2"/>
  <c r="BM62" i="2" s="1"/>
  <c r="BM63" i="2" s="1"/>
  <c r="AP128" i="7" l="1"/>
  <c r="AU128" i="7" s="1"/>
  <c r="AX128" i="7" s="1"/>
  <c r="AZ128" i="7" s="1"/>
  <c r="AP114" i="7"/>
  <c r="AU114" i="7" s="1"/>
  <c r="AP115" i="7"/>
  <c r="AU115" i="7" s="1"/>
  <c r="AP113" i="7"/>
  <c r="AU113" i="7" s="1"/>
  <c r="AP110" i="7"/>
  <c r="AU110" i="7" s="1"/>
  <c r="AP119" i="7"/>
  <c r="AU119" i="7" s="1"/>
  <c r="AP118" i="7"/>
  <c r="AU118" i="7" s="1"/>
  <c r="AP125" i="7"/>
  <c r="AU125" i="7" s="1"/>
  <c r="AP117" i="7"/>
  <c r="AU117" i="7" s="1"/>
  <c r="AP123" i="7"/>
  <c r="AU123" i="7" s="1"/>
  <c r="AP121" i="7"/>
  <c r="AU121" i="7" s="1"/>
  <c r="AP111" i="7"/>
  <c r="AU111" i="7" s="1"/>
  <c r="AP109" i="7"/>
  <c r="AU109" i="7" s="1"/>
  <c r="AP107" i="7"/>
  <c r="AP120" i="7"/>
  <c r="AU120" i="7" s="1"/>
  <c r="AP124" i="7"/>
  <c r="AU124" i="7" s="1"/>
  <c r="AP126" i="7"/>
  <c r="AU126" i="7" s="1"/>
  <c r="AP129" i="7"/>
  <c r="AU129" i="7" s="1"/>
  <c r="AP108" i="7"/>
  <c r="AU108" i="7" s="1"/>
  <c r="AP122" i="7"/>
  <c r="AU122" i="7" s="1"/>
  <c r="AP127" i="7"/>
  <c r="AU127" i="7" s="1"/>
  <c r="AP130" i="7"/>
  <c r="AU130" i="7" s="1"/>
  <c r="AP112" i="7"/>
  <c r="AU112" i="7" s="1"/>
  <c r="AP116" i="7"/>
  <c r="AU116" i="7" s="1"/>
  <c r="W124" i="10"/>
  <c r="AO142" i="10"/>
  <c r="AW144" i="10"/>
  <c r="AW160" i="10"/>
  <c r="AX160" i="10" s="1"/>
  <c r="AW162" i="10"/>
  <c r="AX162" i="10" s="1"/>
  <c r="BK90" i="10"/>
  <c r="AW148" i="10"/>
  <c r="AX148" i="10" s="1"/>
  <c r="AW150" i="10"/>
  <c r="AX150" i="10" s="1"/>
  <c r="AW165" i="10"/>
  <c r="AX165" i="10" s="1"/>
  <c r="AW153" i="10"/>
  <c r="AX153" i="10" s="1"/>
  <c r="AW152" i="10"/>
  <c r="AX152" i="10" s="1"/>
  <c r="AW164" i="10"/>
  <c r="AX164" i="10" s="1"/>
  <c r="AW170" i="10"/>
  <c r="AX170" i="10" s="1"/>
  <c r="AW158" i="10"/>
  <c r="AX158" i="10" s="1"/>
  <c r="D5" i="10"/>
  <c r="BU90" i="10"/>
  <c r="AW155" i="10"/>
  <c r="AX155" i="10" s="1"/>
  <c r="AW147" i="10"/>
  <c r="AX147" i="10" s="1"/>
  <c r="AW166" i="10"/>
  <c r="AX166" i="10" s="1"/>
  <c r="CC54" i="10"/>
  <c r="AW171" i="10"/>
  <c r="AW157" i="10"/>
  <c r="AX157" i="10" s="1"/>
  <c r="AW149" i="10"/>
  <c r="AX149" i="10" s="1"/>
  <c r="AW169" i="10"/>
  <c r="AX169" i="10" s="1"/>
  <c r="AW167" i="10"/>
  <c r="AX167" i="10" s="1"/>
  <c r="AW151" i="10"/>
  <c r="AX151" i="10" s="1"/>
  <c r="AW159" i="10"/>
  <c r="AX159" i="10" s="1"/>
  <c r="AW145" i="10"/>
  <c r="AX145" i="10" s="1"/>
  <c r="AW163" i="10"/>
  <c r="AX163" i="10" s="1"/>
  <c r="AW146" i="10"/>
  <c r="AX146" i="10" s="1"/>
  <c r="AW154" i="10"/>
  <c r="AX154" i="10" s="1"/>
  <c r="BK54" i="10"/>
  <c r="CE54" i="10" s="1"/>
  <c r="AW161" i="10"/>
  <c r="AX161" i="10" s="1"/>
  <c r="AW168" i="10"/>
  <c r="AX168" i="10" s="1"/>
  <c r="AW156" i="10"/>
  <c r="AX156" i="10" s="1"/>
  <c r="W141" i="10"/>
  <c r="AP141" i="10"/>
  <c r="G141" i="10" s="1"/>
  <c r="F141" i="10" s="1"/>
  <c r="W129" i="10"/>
  <c r="AP124" i="10"/>
  <c r="G124" i="10" s="1"/>
  <c r="F124" i="10" s="1"/>
  <c r="AP142" i="10"/>
  <c r="G142" i="10" s="1"/>
  <c r="F142" i="10" s="1"/>
  <c r="AO140" i="10"/>
  <c r="W140" i="10"/>
  <c r="AP140" i="10"/>
  <c r="G140" i="10" s="1"/>
  <c r="F140" i="10" s="1"/>
  <c r="AO128" i="10"/>
  <c r="AP128" i="10"/>
  <c r="G128" i="10" s="1"/>
  <c r="F128" i="10" s="1"/>
  <c r="W128" i="10"/>
  <c r="AP132" i="10"/>
  <c r="G132" i="10" s="1"/>
  <c r="F132" i="10" s="1"/>
  <c r="W132" i="10"/>
  <c r="AO132" i="10"/>
  <c r="AO127" i="10"/>
  <c r="AP127" i="10"/>
  <c r="G127" i="10" s="1"/>
  <c r="F127" i="10" s="1"/>
  <c r="W127" i="10"/>
  <c r="AP130" i="10"/>
  <c r="G130" i="10" s="1"/>
  <c r="F130" i="10" s="1"/>
  <c r="W130" i="10"/>
  <c r="AO130" i="10"/>
  <c r="AO137" i="10"/>
  <c r="W137" i="10"/>
  <c r="AP137" i="10"/>
  <c r="G137" i="10" s="1"/>
  <c r="F137" i="10" s="1"/>
  <c r="AP133" i="10"/>
  <c r="G133" i="10" s="1"/>
  <c r="F133" i="10" s="1"/>
  <c r="AO133" i="10"/>
  <c r="W133" i="10"/>
  <c r="W131" i="10"/>
  <c r="AO131" i="10"/>
  <c r="AP131" i="10"/>
  <c r="G131" i="10" s="1"/>
  <c r="F131" i="10" s="1"/>
  <c r="AP139" i="10"/>
  <c r="G139" i="10" s="1"/>
  <c r="F139" i="10" s="1"/>
  <c r="AO139" i="10"/>
  <c r="W139" i="10"/>
  <c r="AO122" i="10"/>
  <c r="W122" i="10"/>
  <c r="AP122" i="10"/>
  <c r="G122" i="10" s="1"/>
  <c r="F122" i="10" s="1"/>
  <c r="AK143" i="10"/>
  <c r="AM143" i="10" s="1"/>
  <c r="AJ143" i="10"/>
  <c r="AL143" i="10" s="1"/>
  <c r="AN143" i="10" s="1"/>
  <c r="W134" i="10"/>
  <c r="AO134" i="10"/>
  <c r="AP134" i="10"/>
  <c r="G134" i="10" s="1"/>
  <c r="F134" i="10" s="1"/>
  <c r="AP138" i="10"/>
  <c r="G138" i="10" s="1"/>
  <c r="F138" i="10" s="1"/>
  <c r="W138" i="10"/>
  <c r="AO138" i="10"/>
  <c r="AO135" i="10"/>
  <c r="W135" i="10"/>
  <c r="AP135" i="10"/>
  <c r="G135" i="10" s="1"/>
  <c r="F135" i="10" s="1"/>
  <c r="AP126" i="10"/>
  <c r="G126" i="10" s="1"/>
  <c r="F126" i="10" s="1"/>
  <c r="W126" i="10"/>
  <c r="AO126" i="10"/>
  <c r="D3" i="3"/>
  <c r="AK127" i="1"/>
  <c r="AM127" i="1" s="1"/>
  <c r="AP127" i="1" s="1"/>
  <c r="G127" i="1" s="1"/>
  <c r="F127" i="1" s="1"/>
  <c r="AJ132" i="1"/>
  <c r="AL132" i="1" s="1"/>
  <c r="AN132" i="1" s="1"/>
  <c r="AK138" i="1"/>
  <c r="AM138" i="1" s="1"/>
  <c r="W138" i="1" s="1"/>
  <c r="AJ134" i="1"/>
  <c r="AL134" i="1" s="1"/>
  <c r="AN134" i="1" s="1"/>
  <c r="AJ135" i="1"/>
  <c r="AL135" i="1" s="1"/>
  <c r="AN135" i="1" s="1"/>
  <c r="AI143" i="1"/>
  <c r="AK143" i="1" s="1"/>
  <c r="AM143" i="1" s="1"/>
  <c r="AK142" i="1"/>
  <c r="AM142" i="1" s="1"/>
  <c r="AJ142" i="1"/>
  <c r="AL142" i="1" s="1"/>
  <c r="AN142" i="1" s="1"/>
  <c r="AK144" i="1"/>
  <c r="AM144" i="1" s="1"/>
  <c r="AJ144" i="1"/>
  <c r="AL144" i="1" s="1"/>
  <c r="AN144" i="1" s="1"/>
  <c r="AK123" i="1"/>
  <c r="AM123" i="1" s="1"/>
  <c r="AJ123" i="1"/>
  <c r="AL123" i="1" s="1"/>
  <c r="AN123" i="1" s="1"/>
  <c r="AP135" i="1"/>
  <c r="G135" i="1" s="1"/>
  <c r="F135" i="1" s="1"/>
  <c r="AO135" i="1"/>
  <c r="W135" i="1"/>
  <c r="AK126" i="1"/>
  <c r="AM126" i="1" s="1"/>
  <c r="AJ126" i="1"/>
  <c r="AL126" i="1" s="1"/>
  <c r="AN126" i="1" s="1"/>
  <c r="C15" i="1"/>
  <c r="C5" i="1" s="1"/>
  <c r="AI121" i="1"/>
  <c r="AO134" i="1"/>
  <c r="W134" i="1"/>
  <c r="AP134" i="1"/>
  <c r="G134" i="1" s="1"/>
  <c r="F134" i="1" s="1"/>
  <c r="AJ124" i="1"/>
  <c r="AL124" i="1" s="1"/>
  <c r="AN124" i="1" s="1"/>
  <c r="AK124" i="1"/>
  <c r="AM124" i="1" s="1"/>
  <c r="AJ122" i="1"/>
  <c r="AL122" i="1" s="1"/>
  <c r="AN122" i="1" s="1"/>
  <c r="AK122" i="1"/>
  <c r="AM122" i="1" s="1"/>
  <c r="AJ125" i="1"/>
  <c r="AL125" i="1" s="1"/>
  <c r="AN125" i="1" s="1"/>
  <c r="AK125" i="1"/>
  <c r="AM125" i="1" s="1"/>
  <c r="W132" i="1"/>
  <c r="AP132" i="1"/>
  <c r="G132" i="1" s="1"/>
  <c r="F132" i="1" s="1"/>
  <c r="AO132" i="1"/>
  <c r="AJ128" i="1"/>
  <c r="AL128" i="1" s="1"/>
  <c r="AN128" i="1" s="1"/>
  <c r="AK128" i="1"/>
  <c r="AM128" i="1" s="1"/>
  <c r="AP139" i="1"/>
  <c r="G139" i="1" s="1"/>
  <c r="F139" i="1" s="1"/>
  <c r="W139" i="1"/>
  <c r="AO139" i="1"/>
  <c r="AJ141" i="1"/>
  <c r="AL141" i="1" s="1"/>
  <c r="AN141" i="1" s="1"/>
  <c r="AK141" i="1"/>
  <c r="AM141" i="1" s="1"/>
  <c r="AK140" i="1"/>
  <c r="AM140" i="1" s="1"/>
  <c r="AJ140" i="1"/>
  <c r="AL140" i="1" s="1"/>
  <c r="AN140" i="1" s="1"/>
  <c r="AJ137" i="1"/>
  <c r="AL137" i="1" s="1"/>
  <c r="AN137" i="1" s="1"/>
  <c r="AK137" i="1"/>
  <c r="AM137" i="1" s="1"/>
  <c r="AK129" i="1"/>
  <c r="AM129" i="1" s="1"/>
  <c r="AJ129" i="1"/>
  <c r="AL129" i="1" s="1"/>
  <c r="AN129" i="1" s="1"/>
  <c r="AK133" i="1"/>
  <c r="AM133" i="1" s="1"/>
  <c r="AJ133" i="1"/>
  <c r="AL133" i="1" s="1"/>
  <c r="AN133" i="1" s="1"/>
  <c r="AJ130" i="1"/>
  <c r="AL130" i="1" s="1"/>
  <c r="AN130" i="1" s="1"/>
  <c r="AK130" i="1"/>
  <c r="AM130" i="1" s="1"/>
  <c r="AJ131" i="1"/>
  <c r="AL131" i="1" s="1"/>
  <c r="AN131" i="1" s="1"/>
  <c r="AK131" i="1"/>
  <c r="AM131" i="1" s="1"/>
  <c r="AK136" i="1"/>
  <c r="AM136" i="1" s="1"/>
  <c r="AJ136" i="1"/>
  <c r="AL136" i="1" s="1"/>
  <c r="AN136" i="1" s="1"/>
  <c r="S181" i="7"/>
  <c r="T180" i="7"/>
  <c r="R181" i="7" s="1"/>
  <c r="AW106" i="3"/>
  <c r="AY106" i="3" s="1"/>
  <c r="BA106" i="3" s="1"/>
  <c r="AV106" i="3"/>
  <c r="AX106" i="3" s="1"/>
  <c r="AZ106" i="3" s="1"/>
  <c r="AB127" i="3"/>
  <c r="BA127" i="3"/>
  <c r="D22" i="3"/>
  <c r="C22" i="3"/>
  <c r="C3" i="3"/>
  <c r="BA54" i="2"/>
  <c r="BI85" i="2"/>
  <c r="BI86" i="2" s="1"/>
  <c r="BQ54" i="2"/>
  <c r="BQ62" i="2" s="1"/>
  <c r="BQ63" i="2" s="1"/>
  <c r="AX119" i="2"/>
  <c r="BJ84" i="2" s="1"/>
  <c r="AW120" i="2"/>
  <c r="AW128" i="7" l="1"/>
  <c r="AY128" i="7" s="1"/>
  <c r="BA128" i="7" s="1"/>
  <c r="AX129" i="7"/>
  <c r="AZ129" i="7" s="1"/>
  <c r="AW129" i="7"/>
  <c r="AY129" i="7" s="1"/>
  <c r="BA129" i="7" s="1"/>
  <c r="AW114" i="7"/>
  <c r="AY114" i="7" s="1"/>
  <c r="BA114" i="7" s="1"/>
  <c r="AX114" i="7"/>
  <c r="AZ114" i="7" s="1"/>
  <c r="AX112" i="7"/>
  <c r="AZ112" i="7" s="1"/>
  <c r="AW112" i="7"/>
  <c r="AY112" i="7" s="1"/>
  <c r="BA112" i="7" s="1"/>
  <c r="AW108" i="7"/>
  <c r="AY108" i="7" s="1"/>
  <c r="BA108" i="7" s="1"/>
  <c r="AX108" i="7"/>
  <c r="AZ108" i="7" s="1"/>
  <c r="AX120" i="7"/>
  <c r="AZ120" i="7" s="1"/>
  <c r="AW120" i="7"/>
  <c r="AY120" i="7" s="1"/>
  <c r="BA120" i="7" s="1"/>
  <c r="AW121" i="7"/>
  <c r="AY121" i="7" s="1"/>
  <c r="BA121" i="7" s="1"/>
  <c r="AX121" i="7"/>
  <c r="AZ121" i="7" s="1"/>
  <c r="AX118" i="7"/>
  <c r="AZ118" i="7" s="1"/>
  <c r="AW118" i="7"/>
  <c r="AY118" i="7" s="1"/>
  <c r="BA118" i="7" s="1"/>
  <c r="AW115" i="7"/>
  <c r="AY115" i="7" s="1"/>
  <c r="BA115" i="7" s="1"/>
  <c r="AX115" i="7"/>
  <c r="AZ115" i="7" s="1"/>
  <c r="AX123" i="7"/>
  <c r="AZ123" i="7" s="1"/>
  <c r="AW123" i="7"/>
  <c r="AY123" i="7" s="1"/>
  <c r="BA123" i="7" s="1"/>
  <c r="AW126" i="7"/>
  <c r="AY126" i="7" s="1"/>
  <c r="BA126" i="7" s="1"/>
  <c r="AX126" i="7"/>
  <c r="AZ126" i="7" s="1"/>
  <c r="AX109" i="7"/>
  <c r="AZ109" i="7" s="1"/>
  <c r="AW109" i="7"/>
  <c r="AY109" i="7" s="1"/>
  <c r="BA109" i="7" s="1"/>
  <c r="AW117" i="7"/>
  <c r="AY117" i="7" s="1"/>
  <c r="BA117" i="7" s="1"/>
  <c r="AX117" i="7"/>
  <c r="AZ117" i="7" s="1"/>
  <c r="AX110" i="7"/>
  <c r="AZ110" i="7" s="1"/>
  <c r="AW110" i="7"/>
  <c r="AY110" i="7" s="1"/>
  <c r="BA110" i="7" s="1"/>
  <c r="BC128" i="7"/>
  <c r="G128" i="7" s="1"/>
  <c r="F128" i="7" s="1"/>
  <c r="BB128" i="7"/>
  <c r="AB128" i="7"/>
  <c r="AW130" i="7"/>
  <c r="AY130" i="7" s="1"/>
  <c r="BA130" i="7" s="1"/>
  <c r="AX130" i="7"/>
  <c r="AZ130" i="7" s="1"/>
  <c r="C9" i="7"/>
  <c r="AU107" i="7"/>
  <c r="AW119" i="7"/>
  <c r="AY119" i="7" s="1"/>
  <c r="BA119" i="7" s="1"/>
  <c r="AX119" i="7"/>
  <c r="AZ119" i="7" s="1"/>
  <c r="AX127" i="7"/>
  <c r="AZ127" i="7" s="1"/>
  <c r="AW127" i="7"/>
  <c r="AY127" i="7" s="1"/>
  <c r="BA127" i="7" s="1"/>
  <c r="AX116" i="7"/>
  <c r="AZ116" i="7" s="1"/>
  <c r="AW116" i="7"/>
  <c r="AY116" i="7" s="1"/>
  <c r="BA116" i="7" s="1"/>
  <c r="AX122" i="7"/>
  <c r="AZ122" i="7" s="1"/>
  <c r="AW122" i="7"/>
  <c r="AY122" i="7" s="1"/>
  <c r="BA122" i="7" s="1"/>
  <c r="AX124" i="7"/>
  <c r="AZ124" i="7" s="1"/>
  <c r="AW124" i="7"/>
  <c r="AY124" i="7" s="1"/>
  <c r="BA124" i="7" s="1"/>
  <c r="AX111" i="7"/>
  <c r="AZ111" i="7" s="1"/>
  <c r="AW111" i="7"/>
  <c r="AY111" i="7" s="1"/>
  <c r="BA111" i="7" s="1"/>
  <c r="AX125" i="7"/>
  <c r="AZ125" i="7" s="1"/>
  <c r="AW125" i="7"/>
  <c r="AY125" i="7" s="1"/>
  <c r="BA125" i="7" s="1"/>
  <c r="AW113" i="7"/>
  <c r="AY113" i="7" s="1"/>
  <c r="BA113" i="7" s="1"/>
  <c r="AX113" i="7"/>
  <c r="AZ113" i="7" s="1"/>
  <c r="BA90" i="10"/>
  <c r="BA54" i="10"/>
  <c r="BU51" i="10"/>
  <c r="BC51" i="10"/>
  <c r="AX144" i="10"/>
  <c r="BA114" i="10"/>
  <c r="CE90" i="10"/>
  <c r="AX171" i="10"/>
  <c r="CH114" i="10"/>
  <c r="AO143" i="10"/>
  <c r="W143" i="10"/>
  <c r="AP143" i="10"/>
  <c r="G143" i="10" s="1"/>
  <c r="F143" i="10" s="1"/>
  <c r="D5" i="3"/>
  <c r="CJ67" i="3"/>
  <c r="BX67" i="3"/>
  <c r="CR30" i="3"/>
  <c r="BX30" i="3"/>
  <c r="BK99" i="3"/>
  <c r="BL99" i="3" s="1"/>
  <c r="BK100" i="3"/>
  <c r="BL100" i="3" s="1"/>
  <c r="BK101" i="3"/>
  <c r="BL101" i="3" s="1"/>
  <c r="BK102" i="3"/>
  <c r="BL102" i="3" s="1"/>
  <c r="BK103" i="3"/>
  <c r="BL103" i="3" s="1"/>
  <c r="BK104" i="3"/>
  <c r="BL104" i="3" s="1"/>
  <c r="BK105" i="3"/>
  <c r="BL105" i="3" s="1"/>
  <c r="BK106" i="3"/>
  <c r="BL106" i="3" s="1"/>
  <c r="BK107" i="3"/>
  <c r="BL107" i="3" s="1"/>
  <c r="BK108" i="3"/>
  <c r="BL108" i="3" s="1"/>
  <c r="BK109" i="3"/>
  <c r="BL109" i="3" s="1"/>
  <c r="BK110" i="3"/>
  <c r="BL110" i="3" s="1"/>
  <c r="BK111" i="3"/>
  <c r="BL111" i="3" s="1"/>
  <c r="BK112" i="3"/>
  <c r="BL112" i="3" s="1"/>
  <c r="BK113" i="3"/>
  <c r="BL113" i="3" s="1"/>
  <c r="BK114" i="3"/>
  <c r="BL114" i="3" s="1"/>
  <c r="BK115" i="3"/>
  <c r="BL115" i="3" s="1"/>
  <c r="BK116" i="3"/>
  <c r="BL116" i="3" s="1"/>
  <c r="BK117" i="3"/>
  <c r="BL117" i="3" s="1"/>
  <c r="BK118" i="3"/>
  <c r="BL118" i="3" s="1"/>
  <c r="BK119" i="3"/>
  <c r="BL119" i="3" s="1"/>
  <c r="BK120" i="3"/>
  <c r="BL120" i="3" s="1"/>
  <c r="BK121" i="3"/>
  <c r="BL121" i="3" s="1"/>
  <c r="BK122" i="3"/>
  <c r="BL122" i="3" s="1"/>
  <c r="BK123" i="3"/>
  <c r="BL123" i="3" s="1"/>
  <c r="BK124" i="3"/>
  <c r="BL124" i="3" s="1"/>
  <c r="BK125" i="3"/>
  <c r="BL125" i="3" s="1"/>
  <c r="BK126" i="3"/>
  <c r="BL126" i="3" s="1"/>
  <c r="BK127" i="3"/>
  <c r="BL127" i="3" s="1"/>
  <c r="BK128" i="3"/>
  <c r="BL128" i="3" s="1"/>
  <c r="D3" i="1"/>
  <c r="D5" i="1" s="1"/>
  <c r="W127" i="1"/>
  <c r="AP138" i="1"/>
  <c r="G138" i="1" s="1"/>
  <c r="F138" i="1" s="1"/>
  <c r="AO127" i="1"/>
  <c r="AO138" i="1"/>
  <c r="AJ143" i="1"/>
  <c r="AL143" i="1" s="1"/>
  <c r="AN143" i="1" s="1"/>
  <c r="AO141" i="1"/>
  <c r="AP141" i="1"/>
  <c r="G141" i="1" s="1"/>
  <c r="F141" i="1" s="1"/>
  <c r="W141" i="1"/>
  <c r="AO133" i="1"/>
  <c r="W133" i="1"/>
  <c r="AP133" i="1"/>
  <c r="G133" i="1" s="1"/>
  <c r="F133" i="1" s="1"/>
  <c r="AO128" i="1"/>
  <c r="W128" i="1"/>
  <c r="AP128" i="1"/>
  <c r="G128" i="1" s="1"/>
  <c r="F128" i="1" s="1"/>
  <c r="AK121" i="1"/>
  <c r="AM121" i="1" s="1"/>
  <c r="AJ121" i="1"/>
  <c r="AL121" i="1" s="1"/>
  <c r="AN121" i="1" s="1"/>
  <c r="AO123" i="1"/>
  <c r="W123" i="1"/>
  <c r="AP123" i="1"/>
  <c r="G123" i="1" s="1"/>
  <c r="F123" i="1" s="1"/>
  <c r="AP143" i="1"/>
  <c r="G143" i="1" s="1"/>
  <c r="F143" i="1" s="1"/>
  <c r="AO143" i="1"/>
  <c r="W143" i="1"/>
  <c r="AP131" i="1"/>
  <c r="G131" i="1" s="1"/>
  <c r="F131" i="1" s="1"/>
  <c r="AO131" i="1"/>
  <c r="W131" i="1"/>
  <c r="AO126" i="1"/>
  <c r="W126" i="1"/>
  <c r="AP126" i="1"/>
  <c r="G126" i="1" s="1"/>
  <c r="F126" i="1" s="1"/>
  <c r="AO130" i="1"/>
  <c r="W130" i="1"/>
  <c r="AP130" i="1"/>
  <c r="G130" i="1" s="1"/>
  <c r="F130" i="1" s="1"/>
  <c r="AP125" i="1"/>
  <c r="G125" i="1" s="1"/>
  <c r="F125" i="1" s="1"/>
  <c r="W125" i="1"/>
  <c r="AO125" i="1"/>
  <c r="C3" i="1"/>
  <c r="D10" i="1"/>
  <c r="D109" i="1" s="1"/>
  <c r="C10" i="1"/>
  <c r="AO137" i="1"/>
  <c r="W137" i="1"/>
  <c r="AP137" i="1"/>
  <c r="G137" i="1" s="1"/>
  <c r="F137" i="1" s="1"/>
  <c r="W124" i="1"/>
  <c r="AP124" i="1"/>
  <c r="G124" i="1" s="1"/>
  <c r="F124" i="1" s="1"/>
  <c r="AO124" i="1"/>
  <c r="W136" i="1"/>
  <c r="AP136" i="1"/>
  <c r="G136" i="1" s="1"/>
  <c r="F136" i="1" s="1"/>
  <c r="AO136" i="1"/>
  <c r="AP129" i="1"/>
  <c r="G129" i="1" s="1"/>
  <c r="F129" i="1" s="1"/>
  <c r="AO129" i="1"/>
  <c r="W129" i="1"/>
  <c r="W140" i="1"/>
  <c r="AO140" i="1"/>
  <c r="AP140" i="1"/>
  <c r="G140" i="1" s="1"/>
  <c r="F140" i="1" s="1"/>
  <c r="AP122" i="1"/>
  <c r="G122" i="1" s="1"/>
  <c r="F122" i="1" s="1"/>
  <c r="W122" i="1"/>
  <c r="AO122" i="1"/>
  <c r="AO144" i="1"/>
  <c r="AP144" i="1"/>
  <c r="G144" i="1" s="1"/>
  <c r="F144" i="1" s="1"/>
  <c r="W144" i="1"/>
  <c r="W142" i="1"/>
  <c r="AO142" i="1"/>
  <c r="AP142" i="1"/>
  <c r="G142" i="1" s="1"/>
  <c r="F142" i="1" s="1"/>
  <c r="T181" i="7"/>
  <c r="R182" i="7" s="1"/>
  <c r="S182" i="7"/>
  <c r="BA53" i="2"/>
  <c r="BK80" i="2"/>
  <c r="BS53" i="2"/>
  <c r="BS62" i="2" s="1"/>
  <c r="BS63" i="2" s="1"/>
  <c r="BI80" i="2"/>
  <c r="BJ85" i="2"/>
  <c r="BJ86" i="2" s="1"/>
  <c r="AW121" i="2"/>
  <c r="AX120" i="2"/>
  <c r="BK84" i="2" s="1"/>
  <c r="AB111" i="7" l="1"/>
  <c r="BB111" i="7"/>
  <c r="BC111" i="7"/>
  <c r="G111" i="7" s="1"/>
  <c r="F111" i="7" s="1"/>
  <c r="AB122" i="7"/>
  <c r="BB122" i="7"/>
  <c r="BC122" i="7"/>
  <c r="G122" i="7" s="1"/>
  <c r="F122" i="7" s="1"/>
  <c r="BB127" i="7"/>
  <c r="BC127" i="7"/>
  <c r="G127" i="7" s="1"/>
  <c r="F127" i="7" s="1"/>
  <c r="AB127" i="7"/>
  <c r="C3" i="7"/>
  <c r="D3" i="7"/>
  <c r="C22" i="7"/>
  <c r="C5" i="7"/>
  <c r="D22" i="7"/>
  <c r="AB117" i="7"/>
  <c r="BC117" i="7"/>
  <c r="G117" i="7" s="1"/>
  <c r="F117" i="7" s="1"/>
  <c r="BB117" i="7"/>
  <c r="AB126" i="7"/>
  <c r="BC126" i="7"/>
  <c r="G126" i="7" s="1"/>
  <c r="F126" i="7" s="1"/>
  <c r="BB126" i="7"/>
  <c r="AB115" i="7"/>
  <c r="BB115" i="7"/>
  <c r="BC115" i="7"/>
  <c r="G115" i="7" s="1"/>
  <c r="F115" i="7" s="1"/>
  <c r="AB121" i="7"/>
  <c r="BB121" i="7"/>
  <c r="BC121" i="7"/>
  <c r="G121" i="7" s="1"/>
  <c r="F121" i="7" s="1"/>
  <c r="BC108" i="7"/>
  <c r="G108" i="7" s="1"/>
  <c r="F108" i="7" s="1"/>
  <c r="AB108" i="7"/>
  <c r="BB108" i="7"/>
  <c r="BC114" i="7"/>
  <c r="G114" i="7" s="1"/>
  <c r="F114" i="7" s="1"/>
  <c r="BB114" i="7"/>
  <c r="AB114" i="7"/>
  <c r="BC119" i="7"/>
  <c r="G119" i="7" s="1"/>
  <c r="F119" i="7" s="1"/>
  <c r="BB119" i="7"/>
  <c r="AB119" i="7"/>
  <c r="BB124" i="7"/>
  <c r="AB124" i="7"/>
  <c r="BC124" i="7"/>
  <c r="G124" i="7" s="1"/>
  <c r="F124" i="7" s="1"/>
  <c r="AB130" i="7"/>
  <c r="BC130" i="7"/>
  <c r="G130" i="7" s="1"/>
  <c r="F130" i="7" s="1"/>
  <c r="BB130" i="7"/>
  <c r="BB125" i="7"/>
  <c r="BC125" i="7"/>
  <c r="G125" i="7" s="1"/>
  <c r="F125" i="7" s="1"/>
  <c r="AB125" i="7"/>
  <c r="AB116" i="7"/>
  <c r="BB116" i="7"/>
  <c r="BC116" i="7"/>
  <c r="G116" i="7" s="1"/>
  <c r="F116" i="7" s="1"/>
  <c r="BB113" i="7"/>
  <c r="BC113" i="7"/>
  <c r="G113" i="7" s="1"/>
  <c r="F113" i="7" s="1"/>
  <c r="AB113" i="7"/>
  <c r="AW107" i="7"/>
  <c r="AY107" i="7" s="1"/>
  <c r="BA107" i="7" s="1"/>
  <c r="AX107" i="7"/>
  <c r="AZ107" i="7" s="1"/>
  <c r="BC110" i="7"/>
  <c r="G110" i="7" s="1"/>
  <c r="F110" i="7" s="1"/>
  <c r="AB110" i="7"/>
  <c r="BB110" i="7"/>
  <c r="BC109" i="7"/>
  <c r="G109" i="7" s="1"/>
  <c r="F109" i="7" s="1"/>
  <c r="AB109" i="7"/>
  <c r="BB109" i="7"/>
  <c r="BB123" i="7"/>
  <c r="AB123" i="7"/>
  <c r="BC123" i="7"/>
  <c r="G123" i="7" s="1"/>
  <c r="F123" i="7" s="1"/>
  <c r="BC118" i="7"/>
  <c r="G118" i="7" s="1"/>
  <c r="F118" i="7" s="1"/>
  <c r="BB118" i="7"/>
  <c r="AB118" i="7"/>
  <c r="BB120" i="7"/>
  <c r="BC120" i="7"/>
  <c r="G120" i="7" s="1"/>
  <c r="F120" i="7" s="1"/>
  <c r="AB120" i="7"/>
  <c r="BC112" i="7"/>
  <c r="G112" i="7" s="1"/>
  <c r="F112" i="7" s="1"/>
  <c r="BB112" i="7"/>
  <c r="AB112" i="7"/>
  <c r="AB129" i="7"/>
  <c r="BB129" i="7"/>
  <c r="BC129" i="7"/>
  <c r="G129" i="7" s="1"/>
  <c r="F129" i="7" s="1"/>
  <c r="BA51" i="10"/>
  <c r="AZ90" i="10" s="1"/>
  <c r="B107" i="10" s="1"/>
  <c r="D108" i="10" s="1"/>
  <c r="D117" i="10"/>
  <c r="D115" i="10"/>
  <c r="AY144" i="10"/>
  <c r="CE51" i="10"/>
  <c r="CF90" i="10" s="1"/>
  <c r="D116" i="10"/>
  <c r="D114" i="10"/>
  <c r="CT30" i="3"/>
  <c r="BN67" i="3"/>
  <c r="BN30" i="3"/>
  <c r="CT67" i="3"/>
  <c r="BN92" i="3"/>
  <c r="D99" i="3" s="1"/>
  <c r="CU92" i="3"/>
  <c r="D100" i="3" s="1"/>
  <c r="AW134" i="1"/>
  <c r="AX134" i="1" s="1"/>
  <c r="AW130" i="1"/>
  <c r="AX130" i="1" s="1"/>
  <c r="AW142" i="1"/>
  <c r="AX142" i="1" s="1"/>
  <c r="AW126" i="1"/>
  <c r="AX126" i="1" s="1"/>
  <c r="AW138" i="1"/>
  <c r="AX138" i="1" s="1"/>
  <c r="BK90" i="1"/>
  <c r="BW51" i="1"/>
  <c r="AW121" i="1"/>
  <c r="AX121" i="1" s="1"/>
  <c r="AW145" i="1"/>
  <c r="CH114" i="1" s="1"/>
  <c r="D117" i="1" s="1"/>
  <c r="AW141" i="1"/>
  <c r="AX141" i="1" s="1"/>
  <c r="AW137" i="1"/>
  <c r="AX137" i="1" s="1"/>
  <c r="AW133" i="1"/>
  <c r="AX133" i="1" s="1"/>
  <c r="AW129" i="1"/>
  <c r="AX129" i="1" s="1"/>
  <c r="AW125" i="1"/>
  <c r="AX125" i="1" s="1"/>
  <c r="AW120" i="1"/>
  <c r="AX120" i="1" s="1"/>
  <c r="AW144" i="1"/>
  <c r="AX144" i="1" s="1"/>
  <c r="AW140" i="1"/>
  <c r="AX140" i="1" s="1"/>
  <c r="AW136" i="1"/>
  <c r="AX136" i="1" s="1"/>
  <c r="AW132" i="1"/>
  <c r="AX132" i="1" s="1"/>
  <c r="AW128" i="1"/>
  <c r="AX128" i="1" s="1"/>
  <c r="AW124" i="1"/>
  <c r="AX124" i="1" s="1"/>
  <c r="AW119" i="1"/>
  <c r="AX119" i="1" s="1"/>
  <c r="AW143" i="1"/>
  <c r="AX143" i="1" s="1"/>
  <c r="AW139" i="1"/>
  <c r="AX139" i="1" s="1"/>
  <c r="AW135" i="1"/>
  <c r="AX135" i="1" s="1"/>
  <c r="AW131" i="1"/>
  <c r="AX131" i="1" s="1"/>
  <c r="AW127" i="1"/>
  <c r="AX127" i="1" s="1"/>
  <c r="AW123" i="1"/>
  <c r="AX123" i="1" s="1"/>
  <c r="CJ28" i="3"/>
  <c r="BP28" i="3"/>
  <c r="AW122" i="1"/>
  <c r="AX122" i="1" s="1"/>
  <c r="AW118" i="1"/>
  <c r="AX118" i="1" s="1"/>
  <c r="BW90" i="1"/>
  <c r="AW116" i="1"/>
  <c r="AX116" i="1" s="1"/>
  <c r="BK54" i="1"/>
  <c r="AW117" i="1"/>
  <c r="AX117" i="1" s="1"/>
  <c r="CE54" i="1"/>
  <c r="W121" i="1"/>
  <c r="AO121" i="1"/>
  <c r="T182" i="7"/>
  <c r="R183" i="7" s="1"/>
  <c r="S183" i="7"/>
  <c r="BM99" i="3"/>
  <c r="AX121" i="2"/>
  <c r="BL84" i="2" s="1"/>
  <c r="AW122" i="2"/>
  <c r="BU52" i="2"/>
  <c r="BU62" i="2" s="1"/>
  <c r="BU63" i="2" s="1"/>
  <c r="BM79" i="2"/>
  <c r="BK85" i="2"/>
  <c r="BK86" i="2" s="1"/>
  <c r="BA52" i="2"/>
  <c r="BA62" i="2" s="1"/>
  <c r="BA63" i="2" s="1"/>
  <c r="BI79" i="2"/>
  <c r="CS30" i="7" l="1"/>
  <c r="BL117" i="7"/>
  <c r="BM117" i="7" s="1"/>
  <c r="BL116" i="7"/>
  <c r="BM116" i="7" s="1"/>
  <c r="BL121" i="7"/>
  <c r="BM121" i="7" s="1"/>
  <c r="BL108" i="7"/>
  <c r="BL118" i="7"/>
  <c r="BM118" i="7" s="1"/>
  <c r="BL136" i="7"/>
  <c r="BM136" i="7" s="1"/>
  <c r="BL115" i="7"/>
  <c r="BM115" i="7" s="1"/>
  <c r="BL113" i="7"/>
  <c r="BM113" i="7" s="1"/>
  <c r="BL135" i="7"/>
  <c r="BM135" i="7" s="1"/>
  <c r="BL124" i="7"/>
  <c r="BM124" i="7" s="1"/>
  <c r="BL137" i="7"/>
  <c r="BL131" i="7"/>
  <c r="BM131" i="7" s="1"/>
  <c r="BY67" i="7"/>
  <c r="BL132" i="7"/>
  <c r="BM132" i="7" s="1"/>
  <c r="BL123" i="7"/>
  <c r="BM123" i="7" s="1"/>
  <c r="BL130" i="7"/>
  <c r="BM130" i="7" s="1"/>
  <c r="BL129" i="7"/>
  <c r="BM129" i="7" s="1"/>
  <c r="BL111" i="7"/>
  <c r="BM111" i="7" s="1"/>
  <c r="BL112" i="7"/>
  <c r="BM112" i="7" s="1"/>
  <c r="CK67" i="7"/>
  <c r="BL119" i="7"/>
  <c r="BM119" i="7" s="1"/>
  <c r="BL114" i="7"/>
  <c r="BM114" i="7" s="1"/>
  <c r="D5" i="7"/>
  <c r="BL127" i="7"/>
  <c r="BM127" i="7" s="1"/>
  <c r="BL125" i="7"/>
  <c r="BM125" i="7" s="1"/>
  <c r="BL120" i="7"/>
  <c r="BM120" i="7" s="1"/>
  <c r="BL126" i="7"/>
  <c r="BM126" i="7" s="1"/>
  <c r="BL128" i="7"/>
  <c r="BM128" i="7" s="1"/>
  <c r="BY30" i="7"/>
  <c r="BL122" i="7"/>
  <c r="BM122" i="7" s="1"/>
  <c r="BL134" i="7"/>
  <c r="BM134" i="7" s="1"/>
  <c r="BL133" i="7"/>
  <c r="BM133" i="7" s="1"/>
  <c r="BL109" i="7"/>
  <c r="BM109" i="7" s="1"/>
  <c r="BL110" i="7"/>
  <c r="BM110" i="7" s="1"/>
  <c r="BB107" i="7"/>
  <c r="AB107" i="7"/>
  <c r="E108" i="10"/>
  <c r="B108" i="10"/>
  <c r="AY145" i="10"/>
  <c r="AZ144" i="10"/>
  <c r="BC106" i="10" s="1"/>
  <c r="BC107" i="10" s="1"/>
  <c r="BC108" i="10" s="1"/>
  <c r="BN28" i="3"/>
  <c r="BM67" i="3" s="1"/>
  <c r="B84" i="3" s="1"/>
  <c r="B86" i="3" s="1"/>
  <c r="CT28" i="3"/>
  <c r="CU67" i="3" s="1"/>
  <c r="D84" i="3" s="1"/>
  <c r="BA90" i="1"/>
  <c r="BA54" i="1"/>
  <c r="CG90" i="1"/>
  <c r="CG54" i="1"/>
  <c r="D97" i="3"/>
  <c r="D98" i="3"/>
  <c r="AX145" i="1"/>
  <c r="AY116" i="1" s="1"/>
  <c r="AZ116" i="1" s="1"/>
  <c r="BC106" i="1" s="1"/>
  <c r="BC107" i="1" s="1"/>
  <c r="BC108" i="1" s="1"/>
  <c r="BA114" i="1"/>
  <c r="D116" i="1" s="1"/>
  <c r="BC51" i="1"/>
  <c r="CG51" i="1" s="1"/>
  <c r="D115" i="1"/>
  <c r="S184" i="7"/>
  <c r="T184" i="7" s="1"/>
  <c r="T183" i="7"/>
  <c r="R184" i="7" s="1"/>
  <c r="BM100" i="3"/>
  <c r="BN99" i="3"/>
  <c r="BP84" i="3" s="1"/>
  <c r="BP85" i="3" s="1"/>
  <c r="BP86" i="3" s="1"/>
  <c r="AX122" i="2"/>
  <c r="BM84" i="2" s="1"/>
  <c r="AW123" i="2"/>
  <c r="BB51" i="2"/>
  <c r="BB62" i="2" s="1"/>
  <c r="BB63" i="2" s="1"/>
  <c r="BM78" i="2"/>
  <c r="BM82" i="2" s="1"/>
  <c r="BL85" i="2"/>
  <c r="BL86" i="2" s="1"/>
  <c r="BV51" i="2"/>
  <c r="BK78" i="2"/>
  <c r="BK82" i="2" s="1"/>
  <c r="CU30" i="7" l="1"/>
  <c r="CU67" i="7"/>
  <c r="CK28" i="7"/>
  <c r="BQ28" i="7"/>
  <c r="BM137" i="7"/>
  <c r="CV92" i="7"/>
  <c r="BO67" i="7"/>
  <c r="BM108" i="7"/>
  <c r="BP92" i="7"/>
  <c r="BO30" i="7"/>
  <c r="F102" i="10"/>
  <c r="E103" i="10" s="1"/>
  <c r="D102" i="10"/>
  <c r="B103" i="10" s="1"/>
  <c r="AY146" i="10"/>
  <c r="AZ145" i="10"/>
  <c r="BD106" i="10" s="1"/>
  <c r="E86" i="3"/>
  <c r="D86" i="3"/>
  <c r="BA51" i="1"/>
  <c r="AZ90" i="1" s="1"/>
  <c r="B109" i="1" s="1"/>
  <c r="D110" i="1" s="1"/>
  <c r="CH90" i="1"/>
  <c r="D114" i="1"/>
  <c r="AY117" i="1"/>
  <c r="AZ117" i="1" s="1"/>
  <c r="BD106" i="1" s="1"/>
  <c r="BN100" i="3"/>
  <c r="BQ84" i="3" s="1"/>
  <c r="BM101" i="3"/>
  <c r="BV50" i="2"/>
  <c r="BD50" i="2"/>
  <c r="BD62" i="2" s="1"/>
  <c r="BD63" i="2" s="1"/>
  <c r="BI77" i="2"/>
  <c r="BM85" i="2"/>
  <c r="BM86" i="2" s="1"/>
  <c r="BQ77" i="2"/>
  <c r="BQ82" i="2" s="1"/>
  <c r="AW124" i="2"/>
  <c r="AX123" i="2"/>
  <c r="BN84" i="2" s="1"/>
  <c r="CU28" i="7" l="1"/>
  <c r="CV67" i="7" s="1"/>
  <c r="D85" i="7" s="1"/>
  <c r="BN108" i="7"/>
  <c r="BN109" i="7" s="1"/>
  <c r="D101" i="7"/>
  <c r="D99" i="7"/>
  <c r="D100" i="7"/>
  <c r="D98" i="7"/>
  <c r="BO28" i="7"/>
  <c r="BN67" i="7" s="1"/>
  <c r="B85" i="7" s="1"/>
  <c r="BD107" i="10"/>
  <c r="BD108" i="10" s="1"/>
  <c r="BC85" i="10"/>
  <c r="BE85" i="10"/>
  <c r="AZ146" i="10"/>
  <c r="BE106" i="10" s="1"/>
  <c r="AY147" i="10"/>
  <c r="E65" i="3"/>
  <c r="E68" i="3" s="1"/>
  <c r="B65" i="3"/>
  <c r="B68" i="3" s="1"/>
  <c r="B110" i="1"/>
  <c r="D102" i="1" s="1"/>
  <c r="B104" i="1" s="1"/>
  <c r="E110" i="1"/>
  <c r="AY118" i="1"/>
  <c r="AY119" i="1" s="1"/>
  <c r="BE85" i="1"/>
  <c r="BC85" i="1"/>
  <c r="BD107" i="1"/>
  <c r="BD108" i="1" s="1"/>
  <c r="BP61" i="3"/>
  <c r="BQ85" i="3"/>
  <c r="BQ86" i="3" s="1"/>
  <c r="BR61" i="3"/>
  <c r="BM102" i="3"/>
  <c r="BN101" i="3"/>
  <c r="BR84" i="3" s="1"/>
  <c r="AX124" i="2"/>
  <c r="BO84" i="2" s="1"/>
  <c r="AW125" i="2"/>
  <c r="BS76" i="2"/>
  <c r="BS82" i="2" s="1"/>
  <c r="BV49" i="2"/>
  <c r="BF49" i="2"/>
  <c r="BF62" i="2" s="1"/>
  <c r="BF63" i="2" s="1"/>
  <c r="BN85" i="2"/>
  <c r="BN86" i="2" s="1"/>
  <c r="BI76" i="2"/>
  <c r="E86" i="7" l="1"/>
  <c r="BO108" i="7"/>
  <c r="BQ84" i="7" s="1"/>
  <c r="BQ85" i="7" s="1"/>
  <c r="BQ86" i="7" s="1"/>
  <c r="B86" i="7"/>
  <c r="D86" i="7"/>
  <c r="BN110" i="7"/>
  <c r="BO109" i="7"/>
  <c r="BR84" i="7" s="1"/>
  <c r="BG84" i="10"/>
  <c r="BG86" i="10" s="1"/>
  <c r="BG87" i="10" s="1"/>
  <c r="BC84" i="10"/>
  <c r="BE107" i="10"/>
  <c r="BE108" i="10" s="1"/>
  <c r="AZ147" i="10"/>
  <c r="BF106" i="10" s="1"/>
  <c r="AY148" i="10"/>
  <c r="F102" i="1"/>
  <c r="E104" i="1" s="1"/>
  <c r="AZ118" i="1"/>
  <c r="BE106" i="1" s="1"/>
  <c r="BE107" i="1" s="1"/>
  <c r="BE108" i="1" s="1"/>
  <c r="AY120" i="1"/>
  <c r="AZ119" i="1"/>
  <c r="BF106" i="1" s="1"/>
  <c r="BP60" i="3"/>
  <c r="BT60" i="3"/>
  <c r="BT62" i="3" s="1"/>
  <c r="BT63" i="3" s="1"/>
  <c r="BR85" i="3"/>
  <c r="BR86" i="3" s="1"/>
  <c r="BM103" i="3"/>
  <c r="BN102" i="3"/>
  <c r="BS84" i="3" s="1"/>
  <c r="BU75" i="2"/>
  <c r="BU82" i="2" s="1"/>
  <c r="BH48" i="2"/>
  <c r="BH62" i="2" s="1"/>
  <c r="BH63" i="2" s="1"/>
  <c r="BV48" i="2"/>
  <c r="BO85" i="2"/>
  <c r="BO86" i="2" s="1"/>
  <c r="BI75" i="2"/>
  <c r="BI82" i="2" s="1"/>
  <c r="AX125" i="2"/>
  <c r="BP84" i="2" s="1"/>
  <c r="AW126" i="2"/>
  <c r="B80" i="7" l="1"/>
  <c r="B81" i="7" s="1"/>
  <c r="BQ61" i="7"/>
  <c r="BR85" i="7"/>
  <c r="BR86" i="7" s="1"/>
  <c r="BS61" i="7"/>
  <c r="BN111" i="7"/>
  <c r="BO110" i="7"/>
  <c r="BS84" i="7" s="1"/>
  <c r="E80" i="7"/>
  <c r="E81" i="7" s="1"/>
  <c r="BF107" i="10"/>
  <c r="BF108" i="10" s="1"/>
  <c r="BI83" i="10"/>
  <c r="BI86" i="10" s="1"/>
  <c r="BI87" i="10" s="1"/>
  <c r="BC83" i="10"/>
  <c r="AY149" i="10"/>
  <c r="AZ148" i="10"/>
  <c r="BG106" i="10" s="1"/>
  <c r="BC84" i="1"/>
  <c r="BG84" i="1"/>
  <c r="BG86" i="1" s="1"/>
  <c r="BG87" i="1" s="1"/>
  <c r="AY121" i="1"/>
  <c r="AZ120" i="1"/>
  <c r="BG106" i="1" s="1"/>
  <c r="BI83" i="1"/>
  <c r="BI86" i="1" s="1"/>
  <c r="BI87" i="1" s="1"/>
  <c r="BF107" i="1"/>
  <c r="BF108" i="1" s="1"/>
  <c r="BC83" i="1"/>
  <c r="BN103" i="3"/>
  <c r="BT84" i="3" s="1"/>
  <c r="BM104" i="3"/>
  <c r="BV59" i="3"/>
  <c r="BV62" i="3" s="1"/>
  <c r="BV63" i="3" s="1"/>
  <c r="BS85" i="3"/>
  <c r="BS86" i="3" s="1"/>
  <c r="BP59" i="3"/>
  <c r="AW127" i="2"/>
  <c r="AX126" i="2"/>
  <c r="BQ84" i="2" s="1"/>
  <c r="BI47" i="2"/>
  <c r="BP85" i="2"/>
  <c r="BP86" i="2" s="1"/>
  <c r="BW47" i="2"/>
  <c r="BW62" i="2" s="1"/>
  <c r="BW63" i="2" s="1"/>
  <c r="BJ74" i="2"/>
  <c r="BJ82" i="2" s="1"/>
  <c r="BV74" i="2"/>
  <c r="BO111" i="7" l="1"/>
  <c r="BT84" i="7" s="1"/>
  <c r="BN112" i="7"/>
  <c r="BS85" i="7"/>
  <c r="BS86" i="7" s="1"/>
  <c r="BQ60" i="7"/>
  <c r="BU60" i="7"/>
  <c r="BU62" i="7" s="1"/>
  <c r="BU63" i="7" s="1"/>
  <c r="AY150" i="10"/>
  <c r="AZ149" i="10"/>
  <c r="BH106" i="10" s="1"/>
  <c r="BG107" i="10"/>
  <c r="BG108" i="10" s="1"/>
  <c r="BK82" i="10"/>
  <c r="BC82" i="10"/>
  <c r="BK82" i="1"/>
  <c r="BC82" i="1"/>
  <c r="BG107" i="1"/>
  <c r="BG108" i="1" s="1"/>
  <c r="AY122" i="1"/>
  <c r="AZ121" i="1"/>
  <c r="BH106" i="1" s="1"/>
  <c r="BT85" i="3"/>
  <c r="BT86" i="3" s="1"/>
  <c r="BP58" i="3"/>
  <c r="BX58" i="3"/>
  <c r="BM105" i="3"/>
  <c r="BN104" i="3"/>
  <c r="BU84" i="3" s="1"/>
  <c r="BL73" i="2"/>
  <c r="BL82" i="2" s="1"/>
  <c r="BI46" i="2"/>
  <c r="BY46" i="2"/>
  <c r="BY62" i="2" s="1"/>
  <c r="BY63" i="2" s="1"/>
  <c r="BQ85" i="2"/>
  <c r="BQ86" i="2" s="1"/>
  <c r="BV73" i="2"/>
  <c r="AX127" i="2"/>
  <c r="BR84" i="2" s="1"/>
  <c r="AW128" i="2"/>
  <c r="BN113" i="7" l="1"/>
  <c r="BO112" i="7"/>
  <c r="BU84" i="7" s="1"/>
  <c r="BT85" i="7"/>
  <c r="BT86" i="7" s="1"/>
  <c r="BQ59" i="7"/>
  <c r="BW59" i="7"/>
  <c r="BW62" i="7" s="1"/>
  <c r="BW63" i="7" s="1"/>
  <c r="BM81" i="10"/>
  <c r="BM86" i="10" s="1"/>
  <c r="BM87" i="10" s="1"/>
  <c r="BH107" i="10"/>
  <c r="BH108" i="10" s="1"/>
  <c r="BC81" i="10"/>
  <c r="AZ150" i="10"/>
  <c r="BI106" i="10" s="1"/>
  <c r="AY151" i="10"/>
  <c r="AZ122" i="1"/>
  <c r="BI106" i="1" s="1"/>
  <c r="AY123" i="1"/>
  <c r="BM81" i="1"/>
  <c r="BM86" i="1" s="1"/>
  <c r="BM87" i="1" s="1"/>
  <c r="BC81" i="1"/>
  <c r="BH107" i="1"/>
  <c r="BH108" i="1" s="1"/>
  <c r="BM106" i="3"/>
  <c r="BN105" i="3"/>
  <c r="BV84" i="3" s="1"/>
  <c r="BZ57" i="3"/>
  <c r="BZ62" i="3" s="1"/>
  <c r="BZ63" i="3" s="1"/>
  <c r="BU85" i="3"/>
  <c r="BU86" i="3" s="1"/>
  <c r="BP57" i="3"/>
  <c r="BP72" i="2"/>
  <c r="BT72" i="2"/>
  <c r="BI45" i="2"/>
  <c r="BR85" i="2"/>
  <c r="BR86" i="2" s="1"/>
  <c r="CA45" i="2"/>
  <c r="AX128" i="2"/>
  <c r="BS84" i="2" s="1"/>
  <c r="AW129" i="2"/>
  <c r="BQ58" i="7" l="1"/>
  <c r="BU85" i="7"/>
  <c r="BU86" i="7" s="1"/>
  <c r="BY58" i="7"/>
  <c r="BN114" i="7"/>
  <c r="BO113" i="7"/>
  <c r="BV84" i="7" s="1"/>
  <c r="BI107" i="10"/>
  <c r="BI108" i="10" s="1"/>
  <c r="BN80" i="10"/>
  <c r="BD80" i="10"/>
  <c r="AZ151" i="10"/>
  <c r="BJ106" i="10" s="1"/>
  <c r="AY152" i="10"/>
  <c r="AY124" i="1"/>
  <c r="AZ123" i="1"/>
  <c r="BJ106" i="1" s="1"/>
  <c r="BD80" i="1"/>
  <c r="BI107" i="1"/>
  <c r="BI108" i="1" s="1"/>
  <c r="BN80" i="1"/>
  <c r="BQ56" i="3"/>
  <c r="BV85" i="3"/>
  <c r="BV86" i="3" s="1"/>
  <c r="CA56" i="3"/>
  <c r="BM107" i="3"/>
  <c r="BN106" i="3"/>
  <c r="BW84" i="3" s="1"/>
  <c r="CC44" i="2"/>
  <c r="CC62" i="2" s="1"/>
  <c r="CC63" i="2" s="1"/>
  <c r="BS85" i="2"/>
  <c r="BS86" i="2" s="1"/>
  <c r="BI44" i="2"/>
  <c r="BI62" i="2" s="1"/>
  <c r="BI63" i="2" s="1"/>
  <c r="BV71" i="2"/>
  <c r="BP71" i="2"/>
  <c r="BP82" i="2" s="1"/>
  <c r="AW130" i="2"/>
  <c r="AX129" i="2"/>
  <c r="BT84" i="2" s="1"/>
  <c r="BO114" i="7" l="1"/>
  <c r="BW84" i="7" s="1"/>
  <c r="BN115" i="7"/>
  <c r="BV85" i="7"/>
  <c r="BV86" i="7" s="1"/>
  <c r="BQ57" i="7"/>
  <c r="CA57" i="7"/>
  <c r="CA62" i="7" s="1"/>
  <c r="CA63" i="7" s="1"/>
  <c r="BE79" i="10"/>
  <c r="BE86" i="10" s="1"/>
  <c r="BE87" i="10" s="1"/>
  <c r="BO79" i="10"/>
  <c r="BO86" i="10" s="1"/>
  <c r="BO87" i="10" s="1"/>
  <c r="BJ107" i="10"/>
  <c r="BJ108" i="10" s="1"/>
  <c r="AY153" i="10"/>
  <c r="AZ152" i="10"/>
  <c r="BK106" i="10" s="1"/>
  <c r="BO79" i="1"/>
  <c r="BO86" i="1" s="1"/>
  <c r="BO87" i="1" s="1"/>
  <c r="BJ107" i="1"/>
  <c r="BJ108" i="1" s="1"/>
  <c r="BE79" i="1"/>
  <c r="BE86" i="1" s="1"/>
  <c r="BE87" i="1" s="1"/>
  <c r="AZ124" i="1"/>
  <c r="BK106" i="1" s="1"/>
  <c r="AY125" i="1"/>
  <c r="BW85" i="3"/>
  <c r="BW86" i="3" s="1"/>
  <c r="CB55" i="3"/>
  <c r="CB62" i="3" s="1"/>
  <c r="CB63" i="3" s="1"/>
  <c r="BR55" i="3"/>
  <c r="BR62" i="3" s="1"/>
  <c r="BR63" i="3" s="1"/>
  <c r="BM108" i="3"/>
  <c r="BN107" i="3"/>
  <c r="BX84" i="3" s="1"/>
  <c r="AW131" i="2"/>
  <c r="AX130" i="2"/>
  <c r="BU84" i="2" s="1"/>
  <c r="CD43" i="2"/>
  <c r="BR70" i="2"/>
  <c r="BR82" i="2" s="1"/>
  <c r="BJ43" i="2"/>
  <c r="BJ62" i="2" s="1"/>
  <c r="BJ63" i="2" s="1"/>
  <c r="BT85" i="2"/>
  <c r="BT86" i="2" s="1"/>
  <c r="BV70" i="2"/>
  <c r="BN116" i="7" l="1"/>
  <c r="BO115" i="7"/>
  <c r="BX84" i="7" s="1"/>
  <c r="BW85" i="7"/>
  <c r="BW86" i="7" s="1"/>
  <c r="BR56" i="7"/>
  <c r="CB56" i="7"/>
  <c r="AZ153" i="10"/>
  <c r="BL106" i="10" s="1"/>
  <c r="AY154" i="10"/>
  <c r="BS78" i="10"/>
  <c r="BS86" i="10" s="1"/>
  <c r="BS87" i="10" s="1"/>
  <c r="BK107" i="10"/>
  <c r="BK108" i="10" s="1"/>
  <c r="BC78" i="10"/>
  <c r="BS78" i="1"/>
  <c r="BS86" i="1" s="1"/>
  <c r="BS87" i="1" s="1"/>
  <c r="BC78" i="1"/>
  <c r="BK107" i="1"/>
  <c r="BK108" i="1" s="1"/>
  <c r="AZ125" i="1"/>
  <c r="BL106" i="1" s="1"/>
  <c r="AY126" i="1"/>
  <c r="BX85" i="3"/>
  <c r="BX86" i="3" s="1"/>
  <c r="BP54" i="3"/>
  <c r="CF54" i="3"/>
  <c r="CF62" i="3" s="1"/>
  <c r="CF63" i="3" s="1"/>
  <c r="BN108" i="3"/>
  <c r="BY84" i="3" s="1"/>
  <c r="BM109" i="3"/>
  <c r="CD42" i="2"/>
  <c r="BV69" i="2"/>
  <c r="BV82" i="2" s="1"/>
  <c r="BU85" i="2"/>
  <c r="BU86" i="2" s="1"/>
  <c r="BL42" i="2"/>
  <c r="BL62" i="2" s="1"/>
  <c r="BL63" i="2" s="1"/>
  <c r="BT69" i="2"/>
  <c r="BT82" i="2" s="1"/>
  <c r="AW132" i="2"/>
  <c r="AX131" i="2"/>
  <c r="BV84" i="2" s="1"/>
  <c r="CC55" i="7" l="1"/>
  <c r="CC62" i="7" s="1"/>
  <c r="CC63" i="7" s="1"/>
  <c r="BS55" i="7"/>
  <c r="BS62" i="7" s="1"/>
  <c r="BS63" i="7" s="1"/>
  <c r="BX85" i="7"/>
  <c r="BX86" i="7" s="1"/>
  <c r="BO116" i="7"/>
  <c r="BY84" i="7" s="1"/>
  <c r="BN117" i="7"/>
  <c r="AZ154" i="10"/>
  <c r="BM106" i="10" s="1"/>
  <c r="AY155" i="10"/>
  <c r="BU77" i="10"/>
  <c r="BU86" i="10" s="1"/>
  <c r="BU87" i="10" s="1"/>
  <c r="BM102" i="10"/>
  <c r="BK102" i="10"/>
  <c r="BL107" i="10"/>
  <c r="BL108" i="10" s="1"/>
  <c r="BC77" i="10"/>
  <c r="BC86" i="10" s="1"/>
  <c r="BC87" i="10" s="1"/>
  <c r="BC77" i="1"/>
  <c r="BU77" i="1"/>
  <c r="BU86" i="1" s="1"/>
  <c r="BU87" i="1" s="1"/>
  <c r="BK102" i="1"/>
  <c r="BM102" i="1"/>
  <c r="BL107" i="1"/>
  <c r="BL108" i="1" s="1"/>
  <c r="AY127" i="1"/>
  <c r="AZ126" i="1"/>
  <c r="BM106" i="1" s="1"/>
  <c r="BM110" i="3"/>
  <c r="BN109" i="3"/>
  <c r="BZ84" i="3" s="1"/>
  <c r="BP53" i="3"/>
  <c r="BX80" i="3"/>
  <c r="CH53" i="3"/>
  <c r="CH62" i="3" s="1"/>
  <c r="CH63" i="3" s="1"/>
  <c r="BZ80" i="3"/>
  <c r="BY85" i="3"/>
  <c r="BY86" i="3" s="1"/>
  <c r="BP41" i="2"/>
  <c r="BV85" i="2"/>
  <c r="BV86" i="2" s="1"/>
  <c r="CA41" i="2"/>
  <c r="CA62" i="2" s="1"/>
  <c r="CA63" i="2" s="1"/>
  <c r="AW133" i="2"/>
  <c r="AX132" i="2"/>
  <c r="BW84" i="2" s="1"/>
  <c r="BQ54" i="7" l="1"/>
  <c r="BY85" i="7"/>
  <c r="BY86" i="7" s="1"/>
  <c r="CG54" i="7"/>
  <c r="CG62" i="7" s="1"/>
  <c r="CG63" i="7" s="1"/>
  <c r="BN118" i="7"/>
  <c r="BO117" i="7"/>
  <c r="BZ84" i="7" s="1"/>
  <c r="AZ155" i="10"/>
  <c r="BN106" i="10" s="1"/>
  <c r="AY156" i="10"/>
  <c r="BM107" i="10"/>
  <c r="BM108" i="10" s="1"/>
  <c r="BV76" i="10"/>
  <c r="BO101" i="10"/>
  <c r="BK101" i="10"/>
  <c r="BD76" i="10"/>
  <c r="BD86" i="10" s="1"/>
  <c r="BD87" i="10" s="1"/>
  <c r="BW76" i="1"/>
  <c r="BW86" i="1" s="1"/>
  <c r="BW87" i="1" s="1"/>
  <c r="BO101" i="1"/>
  <c r="BM107" i="1"/>
  <c r="BM108" i="1" s="1"/>
  <c r="BK101" i="1"/>
  <c r="BC76" i="1"/>
  <c r="BC86" i="1" s="1"/>
  <c r="BC87" i="1" s="1"/>
  <c r="AZ127" i="1"/>
  <c r="BN106" i="1" s="1"/>
  <c r="AY128" i="1"/>
  <c r="BN110" i="3"/>
  <c r="CA84" i="3" s="1"/>
  <c r="BM111" i="3"/>
  <c r="BX79" i="3"/>
  <c r="BZ85" i="3"/>
  <c r="BZ86" i="3" s="1"/>
  <c r="CB79" i="3"/>
  <c r="BP52" i="3"/>
  <c r="BP62" i="3" s="1"/>
  <c r="BP63" i="3" s="1"/>
  <c r="CJ52" i="3"/>
  <c r="CJ62" i="3" s="1"/>
  <c r="CJ63" i="3" s="1"/>
  <c r="BP40" i="2"/>
  <c r="BP62" i="2" s="1"/>
  <c r="BP63" i="2" s="1"/>
  <c r="CD40" i="2"/>
  <c r="BW85" i="2"/>
  <c r="BW86" i="2" s="1"/>
  <c r="AW134" i="2"/>
  <c r="AX133" i="2"/>
  <c r="BX84" i="2" s="1"/>
  <c r="BO118" i="7" l="1"/>
  <c r="CA84" i="7" s="1"/>
  <c r="BN119" i="7"/>
  <c r="BZ85" i="7"/>
  <c r="BZ86" i="7" s="1"/>
  <c r="CA80" i="7"/>
  <c r="CI53" i="7"/>
  <c r="CI62" i="7" s="1"/>
  <c r="CI63" i="7" s="1"/>
  <c r="BQ53" i="7"/>
  <c r="BY80" i="7"/>
  <c r="AZ156" i="10"/>
  <c r="BO106" i="10" s="1"/>
  <c r="AY157" i="10"/>
  <c r="BN107" i="10"/>
  <c r="BN108" i="10" s="1"/>
  <c r="BO100" i="10"/>
  <c r="BO104" i="10" s="1"/>
  <c r="BV75" i="10"/>
  <c r="BF75" i="10"/>
  <c r="BF86" i="10" s="1"/>
  <c r="BF87" i="10" s="1"/>
  <c r="BM100" i="10"/>
  <c r="BM104" i="10" s="1"/>
  <c r="AY129" i="1"/>
  <c r="AZ128" i="1"/>
  <c r="BO106" i="1" s="1"/>
  <c r="BM100" i="1"/>
  <c r="BM104" i="1" s="1"/>
  <c r="BX75" i="1"/>
  <c r="BD75" i="1"/>
  <c r="BD86" i="1" s="1"/>
  <c r="BD87" i="1" s="1"/>
  <c r="BO100" i="1"/>
  <c r="BO104" i="1" s="1"/>
  <c r="BN107" i="1"/>
  <c r="BN108" i="1" s="1"/>
  <c r="BM112" i="3"/>
  <c r="BN111" i="3"/>
  <c r="CB84" i="3" s="1"/>
  <c r="CK51" i="3"/>
  <c r="BZ78" i="3"/>
  <c r="BZ82" i="3" s="1"/>
  <c r="CA85" i="3"/>
  <c r="CA86" i="3" s="1"/>
  <c r="BQ51" i="3"/>
  <c r="BQ62" i="3" s="1"/>
  <c r="BQ63" i="3" s="1"/>
  <c r="CB78" i="3"/>
  <c r="CB82" i="3" s="1"/>
  <c r="CD39" i="2"/>
  <c r="BR39" i="2"/>
  <c r="BR62" i="2" s="1"/>
  <c r="BR63" i="2" s="1"/>
  <c r="BX85" i="2"/>
  <c r="BX86" i="2" s="1"/>
  <c r="AW135" i="2"/>
  <c r="AX134" i="2"/>
  <c r="BY84" i="2" s="1"/>
  <c r="BO119" i="7" l="1"/>
  <c r="CB84" i="7" s="1"/>
  <c r="BN120" i="7"/>
  <c r="CC79" i="7"/>
  <c r="BQ52" i="7"/>
  <c r="BQ62" i="7" s="1"/>
  <c r="BQ63" i="7" s="1"/>
  <c r="CK52" i="7"/>
  <c r="CK62" i="7" s="1"/>
  <c r="CK63" i="7" s="1"/>
  <c r="BY79" i="7"/>
  <c r="CA85" i="7"/>
  <c r="CA86" i="7" s="1"/>
  <c r="AY158" i="10"/>
  <c r="AZ157" i="10"/>
  <c r="BP106" i="10" s="1"/>
  <c r="BV74" i="10"/>
  <c r="BK99" i="10"/>
  <c r="BH74" i="10"/>
  <c r="BH86" i="10" s="1"/>
  <c r="BH87" i="10" s="1"/>
  <c r="BO107" i="10"/>
  <c r="BO108" i="10" s="1"/>
  <c r="BS99" i="10"/>
  <c r="BS104" i="10" s="1"/>
  <c r="BF74" i="1"/>
  <c r="BF86" i="1" s="1"/>
  <c r="BF87" i="1" s="1"/>
  <c r="BK99" i="1"/>
  <c r="BX74" i="1"/>
  <c r="BO107" i="1"/>
  <c r="BO108" i="1" s="1"/>
  <c r="BS99" i="1"/>
  <c r="BS104" i="1" s="1"/>
  <c r="AZ129" i="1"/>
  <c r="BP106" i="1" s="1"/>
  <c r="AY130" i="1"/>
  <c r="BS50" i="3"/>
  <c r="BS62" i="3" s="1"/>
  <c r="BS63" i="3" s="1"/>
  <c r="CF77" i="3"/>
  <c r="CF82" i="3" s="1"/>
  <c r="CK50" i="3"/>
  <c r="BX77" i="3"/>
  <c r="CB85" i="3"/>
  <c r="CB86" i="3" s="1"/>
  <c r="BN112" i="3"/>
  <c r="CC84" i="3" s="1"/>
  <c r="BM113" i="3"/>
  <c r="CD38" i="2"/>
  <c r="BT38" i="2"/>
  <c r="BT62" i="2" s="1"/>
  <c r="BT63" i="2" s="1"/>
  <c r="BY85" i="2"/>
  <c r="BY86" i="2" s="1"/>
  <c r="AW136" i="2"/>
  <c r="AX135" i="2"/>
  <c r="BZ84" i="2" s="1"/>
  <c r="BN121" i="7" l="1"/>
  <c r="BO120" i="7"/>
  <c r="CC84" i="7" s="1"/>
  <c r="CL51" i="7"/>
  <c r="BR51" i="7"/>
  <c r="BR62" i="7" s="1"/>
  <c r="BR63" i="7" s="1"/>
  <c r="CC78" i="7"/>
  <c r="CC82" i="7" s="1"/>
  <c r="CB85" i="7"/>
  <c r="CB86" i="7" s="1"/>
  <c r="CA78" i="7"/>
  <c r="CA82" i="7" s="1"/>
  <c r="BP107" i="10"/>
  <c r="BP108" i="10" s="1"/>
  <c r="BJ73" i="10"/>
  <c r="BJ86" i="10" s="1"/>
  <c r="BJ87" i="10" s="1"/>
  <c r="BV73" i="10"/>
  <c r="BU98" i="10"/>
  <c r="BU104" i="10" s="1"/>
  <c r="BK98" i="10"/>
  <c r="BK104" i="10" s="1"/>
  <c r="AZ158" i="10"/>
  <c r="BQ106" i="10" s="1"/>
  <c r="AY159" i="10"/>
  <c r="AY131" i="1"/>
  <c r="AZ130" i="1"/>
  <c r="BQ106" i="1" s="1"/>
  <c r="BP107" i="1"/>
  <c r="BP108" i="1" s="1"/>
  <c r="BK98" i="1"/>
  <c r="BH73" i="1"/>
  <c r="BH86" i="1" s="1"/>
  <c r="BH87" i="1" s="1"/>
  <c r="BU98" i="1"/>
  <c r="BU104" i="1" s="1"/>
  <c r="BX73" i="1"/>
  <c r="BU49" i="3"/>
  <c r="BU62" i="3" s="1"/>
  <c r="BU63" i="3" s="1"/>
  <c r="CC85" i="3"/>
  <c r="CC86" i="3" s="1"/>
  <c r="CK49" i="3"/>
  <c r="BX76" i="3"/>
  <c r="CH76" i="3"/>
  <c r="CH82" i="3" s="1"/>
  <c r="BM114" i="3"/>
  <c r="BN113" i="3"/>
  <c r="CD84" i="3" s="1"/>
  <c r="BZ85" i="2"/>
  <c r="BZ86" i="2" s="1"/>
  <c r="BV37" i="2"/>
  <c r="BV62" i="2" s="1"/>
  <c r="BV63" i="2" s="1"/>
  <c r="CD37" i="2"/>
  <c r="AX136" i="2"/>
  <c r="CA84" i="2" s="1"/>
  <c r="AW137" i="2"/>
  <c r="CL50" i="7" l="1"/>
  <c r="CG77" i="7"/>
  <c r="CG82" i="7" s="1"/>
  <c r="BY77" i="7"/>
  <c r="BT50" i="7"/>
  <c r="BT62" i="7" s="1"/>
  <c r="BT63" i="7" s="1"/>
  <c r="CC85" i="7"/>
  <c r="CC86" i="7" s="1"/>
  <c r="BO121" i="7"/>
  <c r="CD84" i="7" s="1"/>
  <c r="BN122" i="7"/>
  <c r="AZ159" i="10"/>
  <c r="BR106" i="10" s="1"/>
  <c r="AY160" i="10"/>
  <c r="BV97" i="10"/>
  <c r="BW72" i="10"/>
  <c r="BW86" i="10" s="1"/>
  <c r="BW87" i="10" s="1"/>
  <c r="BQ107" i="10"/>
  <c r="BQ108" i="10" s="1"/>
  <c r="BL97" i="10"/>
  <c r="BL104" i="10" s="1"/>
  <c r="BK72" i="10"/>
  <c r="BK97" i="1"/>
  <c r="BK104" i="1" s="1"/>
  <c r="BW97" i="1"/>
  <c r="BW104" i="1" s="1"/>
  <c r="BX72" i="1"/>
  <c r="BQ107" i="1"/>
  <c r="BQ108" i="1" s="1"/>
  <c r="BJ72" i="1"/>
  <c r="BJ86" i="1" s="1"/>
  <c r="BJ87" i="1" s="1"/>
  <c r="AY132" i="1"/>
  <c r="AZ131" i="1"/>
  <c r="BR106" i="1" s="1"/>
  <c r="BM115" i="3"/>
  <c r="BN114" i="3"/>
  <c r="CE84" i="3" s="1"/>
  <c r="BW48" i="3"/>
  <c r="BW62" i="3" s="1"/>
  <c r="BW63" i="3" s="1"/>
  <c r="CK48" i="3"/>
  <c r="CD85" i="3"/>
  <c r="CD86" i="3" s="1"/>
  <c r="CJ75" i="3"/>
  <c r="CJ82" i="3" s="1"/>
  <c r="BX75" i="3"/>
  <c r="BX82" i="3" s="1"/>
  <c r="AW138" i="2"/>
  <c r="AX137" i="2"/>
  <c r="CB84" i="2" s="1"/>
  <c r="CA85" i="2"/>
  <c r="CA86" i="2" s="1"/>
  <c r="BX36" i="2"/>
  <c r="BX62" i="2" s="1"/>
  <c r="BX63" i="2" s="1"/>
  <c r="CD36" i="2"/>
  <c r="BN123" i="7" l="1"/>
  <c r="BO122" i="7"/>
  <c r="CE84" i="7" s="1"/>
  <c r="CI76" i="7"/>
  <c r="CI82" i="7" s="1"/>
  <c r="BY76" i="7"/>
  <c r="BV49" i="7"/>
  <c r="BV62" i="7" s="1"/>
  <c r="BV63" i="7" s="1"/>
  <c r="CD85" i="7"/>
  <c r="CD86" i="7" s="1"/>
  <c r="CL49" i="7"/>
  <c r="AY161" i="10"/>
  <c r="AZ160" i="10"/>
  <c r="BS106" i="10" s="1"/>
  <c r="BN96" i="10"/>
  <c r="BN104" i="10" s="1"/>
  <c r="BV96" i="10"/>
  <c r="BR107" i="10"/>
  <c r="BR108" i="10" s="1"/>
  <c r="BY71" i="10"/>
  <c r="BY86" i="10" s="1"/>
  <c r="BY87" i="10" s="1"/>
  <c r="BK71" i="10"/>
  <c r="BX96" i="1"/>
  <c r="BK71" i="1"/>
  <c r="BR107" i="1"/>
  <c r="BR108" i="1" s="1"/>
  <c r="BL96" i="1"/>
  <c r="BL104" i="1" s="1"/>
  <c r="BY71" i="1"/>
  <c r="BY86" i="1" s="1"/>
  <c r="BY87" i="1" s="1"/>
  <c r="AY133" i="1"/>
  <c r="AZ132" i="1"/>
  <c r="BS106" i="1" s="1"/>
  <c r="BX47" i="3"/>
  <c r="BY74" i="3"/>
  <c r="BY82" i="3" s="1"/>
  <c r="CL47" i="3"/>
  <c r="CL62" i="3" s="1"/>
  <c r="CL63" i="3" s="1"/>
  <c r="CE85" i="3"/>
  <c r="CE86" i="3" s="1"/>
  <c r="CK74" i="3"/>
  <c r="BM116" i="3"/>
  <c r="BN115" i="3"/>
  <c r="CF84" i="3" s="1"/>
  <c r="AX138" i="2"/>
  <c r="CC84" i="2" s="1"/>
  <c r="AW139" i="2"/>
  <c r="AX139" i="2" s="1"/>
  <c r="CD84" i="2" s="1"/>
  <c r="CD85" i="2" s="1"/>
  <c r="CD86" i="2" s="1"/>
  <c r="CB85" i="2"/>
  <c r="CB86" i="2" s="1"/>
  <c r="CD35" i="2"/>
  <c r="BZ35" i="2"/>
  <c r="BZ62" i="2" s="1"/>
  <c r="BZ63" i="2" s="1"/>
  <c r="CE85" i="7" l="1"/>
  <c r="CE86" i="7" s="1"/>
  <c r="CL48" i="7"/>
  <c r="CK75" i="7"/>
  <c r="CK82" i="7" s="1"/>
  <c r="BX48" i="7"/>
  <c r="BX62" i="7" s="1"/>
  <c r="BX63" i="7" s="1"/>
  <c r="BY75" i="7"/>
  <c r="BY82" i="7" s="1"/>
  <c r="BO123" i="7"/>
  <c r="CF84" i="7" s="1"/>
  <c r="BN124" i="7"/>
  <c r="CA70" i="10"/>
  <c r="CA86" i="10" s="1"/>
  <c r="CA87" i="10" s="1"/>
  <c r="BR95" i="10"/>
  <c r="BK70" i="10"/>
  <c r="BS107" i="10"/>
  <c r="BS108" i="10" s="1"/>
  <c r="BT95" i="10"/>
  <c r="AY162" i="10"/>
  <c r="AZ161" i="10"/>
  <c r="BT106" i="10" s="1"/>
  <c r="BK70" i="1"/>
  <c r="BS107" i="1"/>
  <c r="BS108" i="1" s="1"/>
  <c r="BN95" i="1"/>
  <c r="BN104" i="1" s="1"/>
  <c r="CA70" i="1"/>
  <c r="CA86" i="1" s="1"/>
  <c r="CA87" i="1" s="1"/>
  <c r="BX95" i="1"/>
  <c r="AY134" i="1"/>
  <c r="AZ133" i="1"/>
  <c r="BT106" i="1" s="1"/>
  <c r="BN116" i="3"/>
  <c r="CG84" i="3" s="1"/>
  <c r="BM117" i="3"/>
  <c r="CF85" i="3"/>
  <c r="CF86" i="3" s="1"/>
  <c r="CK73" i="3"/>
  <c r="BX46" i="3"/>
  <c r="CN46" i="3"/>
  <c r="CN62" i="3" s="1"/>
  <c r="CN63" i="3" s="1"/>
  <c r="CA73" i="3"/>
  <c r="CA82" i="3" s="1"/>
  <c r="CB34" i="2"/>
  <c r="CB62" i="2" s="1"/>
  <c r="CB63" i="2" s="1"/>
  <c r="CC85" i="2"/>
  <c r="CC86" i="2" s="1"/>
  <c r="CD34" i="2"/>
  <c r="CD62" i="2" s="1"/>
  <c r="CD63" i="2" s="1"/>
  <c r="BO124" i="7" l="1"/>
  <c r="CG84" i="7" s="1"/>
  <c r="BN125" i="7"/>
  <c r="BZ74" i="7"/>
  <c r="BZ82" i="7" s="1"/>
  <c r="CL74" i="7"/>
  <c r="BY47" i="7"/>
  <c r="CF85" i="7"/>
  <c r="CF86" i="7" s="1"/>
  <c r="CM47" i="7"/>
  <c r="CM62" i="7" s="1"/>
  <c r="CM63" i="7" s="1"/>
  <c r="BT107" i="10"/>
  <c r="BT108" i="10" s="1"/>
  <c r="CC69" i="10"/>
  <c r="CC86" i="10" s="1"/>
  <c r="CC87" i="10" s="1"/>
  <c r="BV94" i="10"/>
  <c r="BR94" i="10"/>
  <c r="BR104" i="10" s="1"/>
  <c r="BK69" i="10"/>
  <c r="BK86" i="10" s="1"/>
  <c r="BK87" i="10" s="1"/>
  <c r="AZ162" i="10"/>
  <c r="BU106" i="10" s="1"/>
  <c r="AY163" i="10"/>
  <c r="BT107" i="1"/>
  <c r="BT108" i="1" s="1"/>
  <c r="BR94" i="1"/>
  <c r="BV94" i="1"/>
  <c r="BK69" i="1"/>
  <c r="CC69" i="1"/>
  <c r="AY135" i="1"/>
  <c r="AZ134" i="1"/>
  <c r="BU106" i="1" s="1"/>
  <c r="CP45" i="3"/>
  <c r="BX45" i="3"/>
  <c r="CE72" i="3"/>
  <c r="CI72" i="3"/>
  <c r="CG85" i="3"/>
  <c r="CG86" i="3" s="1"/>
  <c r="BM118" i="3"/>
  <c r="BN117" i="3"/>
  <c r="CH84" i="3" s="1"/>
  <c r="BN126" i="7" l="1"/>
  <c r="BO125" i="7"/>
  <c r="CH84" i="7" s="1"/>
  <c r="BY46" i="7"/>
  <c r="CG85" i="7"/>
  <c r="CG86" i="7" s="1"/>
  <c r="CB73" i="7"/>
  <c r="CB82" i="7" s="1"/>
  <c r="CO46" i="7"/>
  <c r="CO62" i="7" s="1"/>
  <c r="CO63" i="7" s="1"/>
  <c r="CL73" i="7"/>
  <c r="AZ163" i="10"/>
  <c r="BV106" i="10" s="1"/>
  <c r="AY164" i="10"/>
  <c r="BU107" i="10"/>
  <c r="BU108" i="10" s="1"/>
  <c r="CD68" i="10"/>
  <c r="BV93" i="10"/>
  <c r="BV104" i="10" s="1"/>
  <c r="BT93" i="10"/>
  <c r="BT104" i="10" s="1"/>
  <c r="BL68" i="10"/>
  <c r="BL86" i="10" s="1"/>
  <c r="BL87" i="10" s="1"/>
  <c r="CE68" i="1"/>
  <c r="CE86" i="1" s="1"/>
  <c r="CE87" i="1" s="1"/>
  <c r="BU107" i="1"/>
  <c r="BU108" i="1" s="1"/>
  <c r="BK68" i="1"/>
  <c r="BK86" i="1" s="1"/>
  <c r="BK87" i="1" s="1"/>
  <c r="BX93" i="1"/>
  <c r="BR93" i="1"/>
  <c r="BR104" i="1" s="1"/>
  <c r="AZ135" i="1"/>
  <c r="BV106" i="1" s="1"/>
  <c r="AY136" i="1"/>
  <c r="BM119" i="3"/>
  <c r="BN118" i="3"/>
  <c r="CI84" i="3" s="1"/>
  <c r="CH85" i="3"/>
  <c r="CH86" i="3" s="1"/>
  <c r="CK71" i="3"/>
  <c r="CR44" i="3"/>
  <c r="CR62" i="3" s="1"/>
  <c r="CR63" i="3" s="1"/>
  <c r="CE71" i="3"/>
  <c r="CE82" i="3" s="1"/>
  <c r="BX44" i="3"/>
  <c r="BX62" i="3" s="1"/>
  <c r="BX63" i="3" s="1"/>
  <c r="CJ72" i="7" l="1"/>
  <c r="CF72" i="7"/>
  <c r="CH85" i="7"/>
  <c r="CH86" i="7" s="1"/>
  <c r="BY45" i="7"/>
  <c r="CQ45" i="7"/>
  <c r="BO126" i="7"/>
  <c r="CI84" i="7" s="1"/>
  <c r="BN127" i="7"/>
  <c r="AY165" i="10"/>
  <c r="AZ164" i="10"/>
  <c r="BW106" i="10" s="1"/>
  <c r="BN67" i="10"/>
  <c r="BN86" i="10" s="1"/>
  <c r="BN87" i="10" s="1"/>
  <c r="CD67" i="10"/>
  <c r="BV107" i="10"/>
  <c r="BV108" i="10" s="1"/>
  <c r="AY137" i="1"/>
  <c r="AZ136" i="1"/>
  <c r="BW106" i="1" s="1"/>
  <c r="BX92" i="1"/>
  <c r="BV107" i="1"/>
  <c r="BV108" i="1" s="1"/>
  <c r="CF67" i="1"/>
  <c r="BT92" i="1"/>
  <c r="BT104" i="1" s="1"/>
  <c r="BL67" i="1"/>
  <c r="BL86" i="1" s="1"/>
  <c r="BL87" i="1" s="1"/>
  <c r="BM120" i="3"/>
  <c r="BN119" i="3"/>
  <c r="CJ84" i="3" s="1"/>
  <c r="CI85" i="3"/>
  <c r="CI86" i="3" s="1"/>
  <c r="CG70" i="3"/>
  <c r="CG82" i="3" s="1"/>
  <c r="CK70" i="3"/>
  <c r="CS43" i="3"/>
  <c r="BY43" i="3"/>
  <c r="BY62" i="3" s="1"/>
  <c r="BY63" i="3" s="1"/>
  <c r="BO127" i="7" l="1"/>
  <c r="CJ84" i="7" s="1"/>
  <c r="BN128" i="7"/>
  <c r="CL71" i="7"/>
  <c r="CI85" i="7"/>
  <c r="CI86" i="7" s="1"/>
  <c r="CS44" i="7"/>
  <c r="CS62" i="7" s="1"/>
  <c r="CS63" i="7" s="1"/>
  <c r="CF71" i="7"/>
  <c r="CF82" i="7" s="1"/>
  <c r="BY44" i="7"/>
  <c r="BY62" i="7" s="1"/>
  <c r="BY63" i="7" s="1"/>
  <c r="CB66" i="10"/>
  <c r="BR66" i="10"/>
  <c r="BW107" i="10"/>
  <c r="BW108" i="10" s="1"/>
  <c r="AY166" i="10"/>
  <c r="AZ165" i="10"/>
  <c r="BX106" i="10" s="1"/>
  <c r="BW107" i="1"/>
  <c r="BW108" i="1" s="1"/>
  <c r="BX91" i="1"/>
  <c r="BX104" i="1" s="1"/>
  <c r="CF66" i="1"/>
  <c r="BV91" i="1"/>
  <c r="BV104" i="1" s="1"/>
  <c r="BN66" i="1"/>
  <c r="BN86" i="1" s="1"/>
  <c r="BN87" i="1" s="1"/>
  <c r="AZ137" i="1"/>
  <c r="BX106" i="1" s="1"/>
  <c r="AY138" i="1"/>
  <c r="BN120" i="3"/>
  <c r="CK84" i="3" s="1"/>
  <c r="BM121" i="3"/>
  <c r="CI69" i="3"/>
  <c r="CI82" i="3" s="1"/>
  <c r="CJ85" i="3"/>
  <c r="CJ86" i="3" s="1"/>
  <c r="CA42" i="3"/>
  <c r="CA62" i="3" s="1"/>
  <c r="CA63" i="3" s="1"/>
  <c r="CS42" i="3"/>
  <c r="CK69" i="3"/>
  <c r="CK82" i="3" s="1"/>
  <c r="BN129" i="7" l="1"/>
  <c r="BO128" i="7"/>
  <c r="CK84" i="7" s="1"/>
  <c r="CJ85" i="7"/>
  <c r="CJ86" i="7" s="1"/>
  <c r="CH70" i="7"/>
  <c r="CH82" i="7" s="1"/>
  <c r="CT43" i="7"/>
  <c r="CL70" i="7"/>
  <c r="BZ43" i="7"/>
  <c r="BZ62" i="7" s="1"/>
  <c r="BZ63" i="7" s="1"/>
  <c r="AY167" i="10"/>
  <c r="AZ166" i="10"/>
  <c r="BY106" i="10" s="1"/>
  <c r="BR65" i="10"/>
  <c r="BR86" i="10" s="1"/>
  <c r="BR87" i="10" s="1"/>
  <c r="CD65" i="10"/>
  <c r="BX107" i="10"/>
  <c r="BX108" i="10" s="1"/>
  <c r="AY139" i="1"/>
  <c r="AZ138" i="1"/>
  <c r="BY106" i="1" s="1"/>
  <c r="CC65" i="1"/>
  <c r="CC86" i="1" s="1"/>
  <c r="CC87" i="1" s="1"/>
  <c r="BX107" i="1"/>
  <c r="BX108" i="1" s="1"/>
  <c r="BR65" i="1"/>
  <c r="CE41" i="3"/>
  <c r="CP41" i="3"/>
  <c r="CP62" i="3" s="1"/>
  <c r="CP63" i="3" s="1"/>
  <c r="CK85" i="3"/>
  <c r="CK86" i="3" s="1"/>
  <c r="BM122" i="3"/>
  <c r="BN121" i="3"/>
  <c r="CL84" i="3" s="1"/>
  <c r="CT42" i="7" l="1"/>
  <c r="CJ69" i="7"/>
  <c r="CJ82" i="7" s="1"/>
  <c r="CK85" i="7"/>
  <c r="CK86" i="7" s="1"/>
  <c r="CB42" i="7"/>
  <c r="CB62" i="7" s="1"/>
  <c r="CB63" i="7" s="1"/>
  <c r="CL69" i="7"/>
  <c r="CL82" i="7" s="1"/>
  <c r="BN130" i="7"/>
  <c r="BO129" i="7"/>
  <c r="CL84" i="7" s="1"/>
  <c r="BT64" i="10"/>
  <c r="BT86" i="10" s="1"/>
  <c r="BT87" i="10" s="1"/>
  <c r="BY107" i="10"/>
  <c r="BY108" i="10" s="1"/>
  <c r="CD64" i="10"/>
  <c r="AZ167" i="10"/>
  <c r="BZ106" i="10" s="1"/>
  <c r="AY168" i="10"/>
  <c r="CF64" i="1"/>
  <c r="BY107" i="1"/>
  <c r="BY108" i="1" s="1"/>
  <c r="BR64" i="1"/>
  <c r="BR86" i="1" s="1"/>
  <c r="BR87" i="1" s="1"/>
  <c r="AZ139" i="1"/>
  <c r="BZ106" i="1" s="1"/>
  <c r="AY140" i="1"/>
  <c r="CE40" i="3"/>
  <c r="CE62" i="3" s="1"/>
  <c r="CE63" i="3" s="1"/>
  <c r="CL85" i="3"/>
  <c r="CL86" i="3" s="1"/>
  <c r="CS40" i="3"/>
  <c r="BM123" i="3"/>
  <c r="BN122" i="3"/>
  <c r="CM84" i="3" s="1"/>
  <c r="CQ41" i="7" l="1"/>
  <c r="CQ62" i="7" s="1"/>
  <c r="CQ63" i="7" s="1"/>
  <c r="CF41" i="7"/>
  <c r="CL85" i="7"/>
  <c r="CL86" i="7" s="1"/>
  <c r="BN131" i="7"/>
  <c r="BO130" i="7"/>
  <c r="CM84" i="7" s="1"/>
  <c r="BV63" i="10"/>
  <c r="BV86" i="10" s="1"/>
  <c r="BV87" i="10" s="1"/>
  <c r="BZ107" i="10"/>
  <c r="BZ108" i="10" s="1"/>
  <c r="CD63" i="10"/>
  <c r="AY169" i="10"/>
  <c r="AZ168" i="10"/>
  <c r="CA106" i="10" s="1"/>
  <c r="BT63" i="1"/>
  <c r="BT86" i="1" s="1"/>
  <c r="BT87" i="1" s="1"/>
  <c r="BZ107" i="1"/>
  <c r="BZ108" i="1" s="1"/>
  <c r="CF63" i="1"/>
  <c r="AY141" i="1"/>
  <c r="AZ140" i="1"/>
  <c r="CA106" i="1" s="1"/>
  <c r="CG39" i="3"/>
  <c r="CG62" i="3" s="1"/>
  <c r="CG63" i="3" s="1"/>
  <c r="CM85" i="3"/>
  <c r="CM86" i="3" s="1"/>
  <c r="CS39" i="3"/>
  <c r="BM124" i="3"/>
  <c r="BN123" i="3"/>
  <c r="CN84" i="3" s="1"/>
  <c r="BN132" i="7" l="1"/>
  <c r="BO131" i="7"/>
  <c r="CN84" i="7" s="1"/>
  <c r="CF40" i="7"/>
  <c r="CF62" i="7" s="1"/>
  <c r="CF63" i="7" s="1"/>
  <c r="CM85" i="7"/>
  <c r="CM86" i="7" s="1"/>
  <c r="CT40" i="7"/>
  <c r="AZ169" i="10"/>
  <c r="CB106" i="10" s="1"/>
  <c r="AY170" i="10"/>
  <c r="CA107" i="10"/>
  <c r="CA108" i="10" s="1"/>
  <c r="BX62" i="10"/>
  <c r="BX86" i="10" s="1"/>
  <c r="BX87" i="10" s="1"/>
  <c r="CD62" i="10"/>
  <c r="AZ141" i="1"/>
  <c r="CB106" i="1" s="1"/>
  <c r="AY142" i="1"/>
  <c r="BV62" i="1"/>
  <c r="BV86" i="1" s="1"/>
  <c r="BV87" i="1" s="1"/>
  <c r="CF62" i="1"/>
  <c r="CA107" i="1"/>
  <c r="CA108" i="1" s="1"/>
  <c r="CN85" i="3"/>
  <c r="CN86" i="3" s="1"/>
  <c r="CS38" i="3"/>
  <c r="CI38" i="3"/>
  <c r="CI62" i="3" s="1"/>
  <c r="CI63" i="3" s="1"/>
  <c r="BM125" i="3"/>
  <c r="BN124" i="3"/>
  <c r="CO84" i="3" s="1"/>
  <c r="CH39" i="7" l="1"/>
  <c r="CH62" i="7" s="1"/>
  <c r="CH63" i="7" s="1"/>
  <c r="CN85" i="7"/>
  <c r="CN86" i="7" s="1"/>
  <c r="CT39" i="7"/>
  <c r="BO132" i="7"/>
  <c r="CO84" i="7" s="1"/>
  <c r="BN133" i="7"/>
  <c r="AZ170" i="10"/>
  <c r="CC106" i="10" s="1"/>
  <c r="AY171" i="10"/>
  <c r="AZ171" i="10" s="1"/>
  <c r="CD106" i="10" s="1"/>
  <c r="CD107" i="10" s="1"/>
  <c r="CD108" i="10" s="1"/>
  <c r="BZ61" i="10"/>
  <c r="BZ86" i="10" s="1"/>
  <c r="BZ87" i="10" s="1"/>
  <c r="CD61" i="10"/>
  <c r="CB107" i="10"/>
  <c r="CB108" i="10" s="1"/>
  <c r="AZ142" i="1"/>
  <c r="CC106" i="1" s="1"/>
  <c r="AY143" i="1"/>
  <c r="BX61" i="1"/>
  <c r="BX86" i="1" s="1"/>
  <c r="BX87" i="1" s="1"/>
  <c r="CB107" i="1"/>
  <c r="CB108" i="1" s="1"/>
  <c r="CF61" i="1"/>
  <c r="CS37" i="3"/>
  <c r="CO85" i="3"/>
  <c r="CO86" i="3" s="1"/>
  <c r="CK37" i="3"/>
  <c r="CK62" i="3" s="1"/>
  <c r="CK63" i="3" s="1"/>
  <c r="BN125" i="3"/>
  <c r="CP84" i="3" s="1"/>
  <c r="BM126" i="3"/>
  <c r="CO85" i="7" l="1"/>
  <c r="CO86" i="7" s="1"/>
  <c r="CT38" i="7"/>
  <c r="CJ38" i="7"/>
  <c r="CJ62" i="7" s="1"/>
  <c r="CJ63" i="7" s="1"/>
  <c r="BO133" i="7"/>
  <c r="CP84" i="7" s="1"/>
  <c r="BN134" i="7"/>
  <c r="CB60" i="10"/>
  <c r="CB86" i="10" s="1"/>
  <c r="CB87" i="10" s="1"/>
  <c r="CC107" i="10"/>
  <c r="CC108" i="10" s="1"/>
  <c r="CD60" i="10"/>
  <c r="CD86" i="10" s="1"/>
  <c r="CD87" i="10" s="1"/>
  <c r="AZ143" i="1"/>
  <c r="CD106" i="1" s="1"/>
  <c r="AY144" i="1"/>
  <c r="BZ60" i="1"/>
  <c r="BZ86" i="1" s="1"/>
  <c r="BZ87" i="1" s="1"/>
  <c r="CC107" i="1"/>
  <c r="CC108" i="1" s="1"/>
  <c r="CF60" i="1"/>
  <c r="BM127" i="3"/>
  <c r="BN126" i="3"/>
  <c r="CQ84" i="3" s="1"/>
  <c r="CS36" i="3"/>
  <c r="CM36" i="3"/>
  <c r="CM62" i="3" s="1"/>
  <c r="CM63" i="3" s="1"/>
  <c r="CP85" i="3"/>
  <c r="CP86" i="3" s="1"/>
  <c r="CL37" i="7" l="1"/>
  <c r="CL62" i="7" s="1"/>
  <c r="CL63" i="7" s="1"/>
  <c r="CP85" i="7"/>
  <c r="CP86" i="7" s="1"/>
  <c r="CT37" i="7"/>
  <c r="BN135" i="7"/>
  <c r="BO134" i="7"/>
  <c r="CQ84" i="7" s="1"/>
  <c r="AZ144" i="1"/>
  <c r="CE106" i="1" s="1"/>
  <c r="AY145" i="1"/>
  <c r="AZ145" i="1" s="1"/>
  <c r="CF106" i="1" s="1"/>
  <c r="CF107" i="1" s="1"/>
  <c r="CF108" i="1" s="1"/>
  <c r="CB59" i="1"/>
  <c r="CB86" i="1" s="1"/>
  <c r="CB87" i="1" s="1"/>
  <c r="CD107" i="1"/>
  <c r="CD108" i="1" s="1"/>
  <c r="CF59" i="1"/>
  <c r="CO35" i="3"/>
  <c r="CO62" i="3" s="1"/>
  <c r="CO63" i="3" s="1"/>
  <c r="CQ85" i="3"/>
  <c r="CQ86" i="3" s="1"/>
  <c r="CS35" i="3"/>
  <c r="BN127" i="3"/>
  <c r="CR84" i="3" s="1"/>
  <c r="BM128" i="3"/>
  <c r="BN128" i="3" s="1"/>
  <c r="CS84" i="3" s="1"/>
  <c r="CS85" i="3" s="1"/>
  <c r="CS86" i="3" s="1"/>
  <c r="BO135" i="7" l="1"/>
  <c r="CR84" i="7" s="1"/>
  <c r="BN136" i="7"/>
  <c r="CQ85" i="7"/>
  <c r="CQ86" i="7" s="1"/>
  <c r="CN36" i="7"/>
  <c r="CN62" i="7" s="1"/>
  <c r="CN63" i="7" s="1"/>
  <c r="CT36" i="7"/>
  <c r="CE107" i="1"/>
  <c r="CE108" i="1" s="1"/>
  <c r="CD58" i="1"/>
  <c r="CD86" i="1" s="1"/>
  <c r="CD87" i="1" s="1"/>
  <c r="CF58" i="1"/>
  <c r="CF86" i="1" s="1"/>
  <c r="CF87" i="1" s="1"/>
  <c r="CQ34" i="3"/>
  <c r="CQ62" i="3" s="1"/>
  <c r="CQ63" i="3" s="1"/>
  <c r="CS34" i="3"/>
  <c r="CS62" i="3" s="1"/>
  <c r="CS63" i="3" s="1"/>
  <c r="CR85" i="3"/>
  <c r="CR86" i="3" s="1"/>
  <c r="BO136" i="7" l="1"/>
  <c r="CS84" i="7" s="1"/>
  <c r="BN137" i="7"/>
  <c r="BO137" i="7" s="1"/>
  <c r="CT84" i="7" s="1"/>
  <c r="CT85" i="7" s="1"/>
  <c r="CT86" i="7" s="1"/>
  <c r="CR85" i="7"/>
  <c r="CR86" i="7" s="1"/>
  <c r="CP35" i="7"/>
  <c r="CP62" i="7" s="1"/>
  <c r="CP63" i="7" s="1"/>
  <c r="CT35" i="7"/>
  <c r="BB123" i="23"/>
  <c r="BB125" i="23" s="1"/>
  <c r="BC123" i="23" s="1"/>
  <c r="BV123" i="23"/>
  <c r="BV125" i="23" s="1"/>
  <c r="BW123" i="23" s="1"/>
  <c r="CR34" i="7" l="1"/>
  <c r="CR62" i="7" s="1"/>
  <c r="CR63" i="7" s="1"/>
  <c r="CT34" i="7"/>
  <c r="CT62" i="7" s="1"/>
  <c r="CT63" i="7" s="1"/>
  <c r="CS85" i="7"/>
  <c r="CS86" i="7" s="1"/>
  <c r="BC125" i="23"/>
  <c r="BD123" i="23" s="1"/>
  <c r="BW125" i="23"/>
  <c r="BX123" i="23" s="1"/>
  <c r="BD125" i="23" l="1"/>
  <c r="BE123" i="23" s="1"/>
  <c r="BX125" i="23"/>
  <c r="BY123" i="23" s="1"/>
  <c r="BE125" i="23" l="1"/>
  <c r="BF123" i="23" s="1"/>
  <c r="BY125" i="23"/>
  <c r="BZ123" i="23" s="1"/>
  <c r="BZ125" i="23" l="1"/>
  <c r="CA123" i="23" s="1"/>
  <c r="BF125" i="23"/>
  <c r="BG123" i="23" s="1"/>
  <c r="BG125" i="23" l="1"/>
  <c r="BH123" i="23" s="1"/>
  <c r="CA125" i="23"/>
  <c r="CB123" i="23" s="1"/>
  <c r="CB125" i="23" l="1"/>
  <c r="CC123" i="23" s="1"/>
  <c r="BH125" i="23"/>
  <c r="BI123" i="23" s="1"/>
  <c r="CC125" i="23" l="1"/>
  <c r="CD123" i="23" s="1"/>
  <c r="BI125" i="23"/>
  <c r="BJ123" i="23" s="1"/>
  <c r="BJ125" i="23" l="1"/>
  <c r="BK123" i="23" s="1"/>
  <c r="CD125" i="23"/>
  <c r="CE123" i="23" s="1"/>
  <c r="BK125" i="23" l="1"/>
  <c r="BL123" i="23" s="1"/>
  <c r="CE125" i="23"/>
  <c r="CF123" i="23" s="1"/>
  <c r="BL125" i="23" l="1"/>
  <c r="BM123" i="23" s="1"/>
  <c r="CF125" i="23"/>
  <c r="CG123" i="23" s="1"/>
  <c r="BM125" i="23" l="1"/>
  <c r="BN123" i="23" s="1"/>
  <c r="CG125" i="23"/>
  <c r="CH123" i="23" s="1"/>
  <c r="CH125" i="23" l="1"/>
  <c r="CI123" i="23" s="1"/>
  <c r="BN125" i="23"/>
  <c r="BO123" i="23" s="1"/>
  <c r="CI125" i="23" l="1"/>
  <c r="CJ123" i="23" s="1"/>
  <c r="BO125" i="23"/>
  <c r="BP123" i="23" s="1"/>
  <c r="CJ125" i="23" l="1"/>
  <c r="CK123" i="23" s="1"/>
  <c r="BP125" i="23"/>
  <c r="BQ123" i="23" s="1"/>
  <c r="CK125" i="23" l="1"/>
  <c r="CL123" i="23" s="1"/>
  <c r="CL125" i="23" s="1"/>
  <c r="BQ125" i="23"/>
  <c r="BR123" i="23" s="1"/>
  <c r="BR125" i="23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0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разстояние между двата краини отвора на FR VR</t>
        </r>
      </text>
    </comment>
    <comment ref="D2" authorId="0" shapeId="0" xr:uid="{00000000-0006-0000-00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0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
 на наклонения фрейм
50- константа за FT VR(FRT VR)</t>
        </r>
      </text>
    </comment>
    <comment ref="F2" authorId="0" shapeId="0" xr:uid="{00000000-0006-0000-00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58.1516; 91.9127- константи за FR VR(FRT VR)</t>
        </r>
      </text>
    </comment>
    <comment ref="C3" authorId="0" shapeId="0" xr:uid="{00000000-0006-0000-00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0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000-000007000000}">
      <text>
        <r>
          <rPr>
            <sz val="12"/>
            <color indexed="81"/>
            <rFont val="Tahoma"/>
            <family val="2"/>
          </rPr>
          <t>разстояние от първия отвор на EXBAR VR до последния отвор на FR VR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0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0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</t>
        </r>
      </text>
    </comment>
    <comment ref="D5" authorId="0" shapeId="0" xr:uid="{00000000-0006-0000-00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тук си остав 400мм</t>
        </r>
      </text>
    </comment>
    <comment ref="C7" authorId="0" shapeId="0" xr:uid="{00000000-0006-0000-0000-00000B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2x5800- отпред на ViRAY
8000-  FRONT OF FR VR</t>
        </r>
      </text>
    </comment>
    <comment ref="D7" authorId="0" shapeId="0" xr:uid="{00000000-0006-0000-0000-00000C000000}">
      <text>
        <r>
          <rPr>
            <b/>
            <sz val="16"/>
            <color indexed="81"/>
            <rFont val="Tahoma"/>
            <family val="2"/>
          </rPr>
          <t>10 000 кг  ViRAY задно</t>
        </r>
      </text>
    </comment>
    <comment ref="E8" authorId="0" shapeId="0" xr:uid="{00000000-0006-0000-0000-00000D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C12" authorId="0" shapeId="0" xr:uid="{00000000-0006-0000-0000-00000E000000}">
      <text>
        <r>
          <rPr>
            <b/>
            <sz val="12"/>
            <color indexed="81"/>
            <rFont val="Tahoma"/>
            <family val="2"/>
          </rPr>
          <t>общо тегло 
кутии+exbar+кабели</t>
        </r>
      </text>
    </comment>
    <comment ref="C13" authorId="0" shapeId="0" xr:uid="{00000000-0006-0000-00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1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разстояние между двата краини отвора за шегел на FRT VR</t>
        </r>
      </text>
    </comment>
    <comment ref="D2" authorId="0" shapeId="0" xr:uid="{00000000-0006-0000-01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1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
 на наклонения фрейм
50- константа за FT VR(FRT VR)</t>
        </r>
      </text>
    </comment>
    <comment ref="F2" authorId="0" shapeId="0" xr:uid="{00000000-0006-0000-01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58.1516; 91.9127- константи за FR VR(FRT VR)</t>
        </r>
      </text>
    </comment>
    <comment ref="C3" authorId="0" shapeId="0" xr:uid="{00000000-0006-0000-01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1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100-000007000000}">
      <text>
        <r>
          <rPr>
            <sz val="12"/>
            <color indexed="81"/>
            <rFont val="Tahoma"/>
            <family val="2"/>
          </rPr>
          <t>разстояние от първия отвор на EXBAR VR до последния отвор на FRT VR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1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1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</t>
        </r>
      </text>
    </comment>
    <comment ref="D5" authorId="0" shapeId="0" xr:uid="{00000000-0006-0000-01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C7" authorId="0" shapeId="0" xr:uid="{00000000-0006-0000-0100-00000B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2x5800- отпред на ViRAY
8000-  FRONT OF FR VR</t>
        </r>
      </text>
    </comment>
    <comment ref="D7" authorId="0" shapeId="0" xr:uid="{00000000-0006-0000-0100-00000C000000}">
      <text>
        <r>
          <rPr>
            <b/>
            <sz val="16"/>
            <color indexed="81"/>
            <rFont val="Tahoma"/>
            <family val="2"/>
          </rPr>
          <t>10 000 кг  ViRAY задно</t>
        </r>
      </text>
    </comment>
    <comment ref="D8" authorId="0" shapeId="0" xr:uid="{00000000-0006-0000-0100-00000D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C12" authorId="0" shapeId="0" xr:uid="{00000000-0006-0000-0100-00000E000000}">
      <text>
        <r>
          <rPr>
            <b/>
            <sz val="12"/>
            <color indexed="81"/>
            <rFont val="Tahoma"/>
            <family val="2"/>
          </rPr>
          <t>общо тегло 
кутии+FRT VR+шегели+exbar+кабели</t>
        </r>
      </text>
    </comment>
    <comment ref="C13" authorId="0" shapeId="0" xr:uid="{00000000-0006-0000-01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2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2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2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2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2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2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2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2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2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2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C7" authorId="0" shapeId="0" xr:uid="{00000000-0006-0000-0200-00000B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2x5800- отпред на ViRAY
8000-  FRONT OF FR VR</t>
        </r>
      </text>
    </comment>
    <comment ref="D7" authorId="0" shapeId="0" xr:uid="{00000000-0006-0000-0200-00000C000000}">
      <text>
        <r>
          <rPr>
            <b/>
            <sz val="16"/>
            <color indexed="81"/>
            <rFont val="Tahoma"/>
            <family val="2"/>
          </rPr>
          <t>10 000 кг  ViRAY задно</t>
        </r>
      </text>
    </comment>
    <comment ref="D8" authorId="0" shapeId="0" xr:uid="{00000000-0006-0000-0200-00000D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C12" authorId="0" shapeId="0" xr:uid="{00000000-0006-0000-0200-00000E000000}">
      <text>
        <r>
          <rPr>
            <b/>
            <sz val="12"/>
            <color indexed="81"/>
            <rFont val="Tahoma"/>
            <family val="2"/>
          </rPr>
          <t>общо тегло 
кутии+exbar+кабели</t>
        </r>
      </text>
    </comment>
    <comment ref="C13" authorId="0" shapeId="0" xr:uid="{00000000-0006-0000-02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3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3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3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3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3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3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3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3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3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3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C7" authorId="0" shapeId="0" xr:uid="{00000000-0006-0000-0300-00000B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2x5800- отпред на ViRAY
8000-  FRONT OF FR VR</t>
        </r>
      </text>
    </comment>
    <comment ref="D7" authorId="0" shapeId="0" xr:uid="{00000000-0006-0000-0300-00000C000000}">
      <text>
        <r>
          <rPr>
            <b/>
            <sz val="16"/>
            <color indexed="81"/>
            <rFont val="Tahoma"/>
            <family val="2"/>
          </rPr>
          <t>10 000 кг  ViRAY задно</t>
        </r>
      </text>
    </comment>
    <comment ref="D8" authorId="0" shapeId="0" xr:uid="{00000000-0006-0000-0300-00000D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C12" authorId="0" shapeId="0" xr:uid="{00000000-0006-0000-0300-00000E000000}">
      <text>
        <r>
          <rPr>
            <b/>
            <sz val="12"/>
            <color indexed="81"/>
            <rFont val="Tahoma"/>
            <family val="2"/>
          </rPr>
          <t>общо тегло 
кутии+exbar+кабели</t>
        </r>
      </text>
    </comment>
    <comment ref="C13" authorId="0" shapeId="0" xr:uid="{00000000-0006-0000-03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D2" authorId="0" shapeId="0" xr:uid="{00000000-0006-0000-0400-000001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4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
 на наклонения фрейм
50- константа за FT VR(FRT VR)</t>
        </r>
      </text>
    </comment>
    <comment ref="F2" authorId="0" shapeId="0" xr:uid="{00000000-0006-0000-04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58.1516; 91.9127- константи за FR VR(FRT VR)</t>
        </r>
      </text>
    </comment>
    <comment ref="D3" authorId="0" shapeId="0" xr:uid="{00000000-0006-0000-0400-000004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D4" authorId="0" shapeId="0" xr:uid="{00000000-0006-0000-0400-000005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D5" authorId="0" shapeId="0" xr:uid="{00000000-0006-0000-0400-000006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B15" authorId="0" shapeId="0" xr:uid="{00000000-0006-0000-0400-000007000000}">
      <text>
        <r>
          <rPr>
            <b/>
            <sz val="14"/>
            <color indexed="81"/>
            <rFont val="Tahoma"/>
            <family val="2"/>
          </rPr>
          <t>5800- SC V F отпред</t>
        </r>
      </text>
    </comment>
    <comment ref="C15" authorId="0" shapeId="0" xr:uid="{00000000-0006-0000-0400-000008000000}">
      <text>
        <r>
          <rPr>
            <b/>
            <sz val="14"/>
            <color indexed="81"/>
            <rFont val="Tahoma"/>
            <family val="2"/>
          </rPr>
          <t>5800- SC V F отпред</t>
        </r>
      </text>
    </comment>
    <comment ref="D16" authorId="0" shapeId="0" xr:uid="{00000000-0006-0000-0400-000009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5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разстояние между двата краини отвора на FR VR</t>
        </r>
      </text>
    </comment>
    <comment ref="D2" authorId="0" shapeId="0" xr:uid="{00000000-0006-0000-05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5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
 на наклонения фрейм
50- константа за FT VR(FRT VR)</t>
        </r>
      </text>
    </comment>
    <comment ref="F2" authorId="0" shapeId="0" xr:uid="{00000000-0006-0000-05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58.1516; 91.9127- константи за FR VR(FRT VR)</t>
        </r>
      </text>
    </comment>
    <comment ref="C3" authorId="0" shapeId="0" xr:uid="{00000000-0006-0000-05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5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500-000007000000}">
      <text>
        <r>
          <rPr>
            <sz val="12"/>
            <color indexed="81"/>
            <rFont val="Tahoma"/>
            <family val="2"/>
          </rPr>
          <t>разстояние от първия отвор на EXBAR VR до последния отвор на FR VR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5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5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</t>
        </r>
      </text>
    </comment>
    <comment ref="D5" authorId="0" shapeId="0" xr:uid="{00000000-0006-0000-05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C7" authorId="0" shapeId="0" xr:uid="{00000000-0006-0000-05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5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5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5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5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5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5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6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6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6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6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6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6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6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6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6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6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C7" authorId="0" shapeId="0" xr:uid="{00000000-0006-0000-06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6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6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6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6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6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6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</commentList>
</comments>
</file>

<file path=xl/comments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7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7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7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7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7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7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7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7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7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7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C7" authorId="0" shapeId="0" xr:uid="{00000000-0006-0000-07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7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7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7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7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7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7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</commentList>
</comments>
</file>

<file path=xl/comments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8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8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8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8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8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8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8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8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8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8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C7" authorId="0" shapeId="0" xr:uid="{00000000-0006-0000-08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8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8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8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8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8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8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C143" authorId="0" shapeId="0" xr:uid="{00000000-0006-0000-0800-000012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</commentList>
</comments>
</file>

<file path=xl/comments1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9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9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9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9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9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9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9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9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9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9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C7" authorId="0" shapeId="0" xr:uid="{00000000-0006-0000-09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9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9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9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9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9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9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C143" authorId="0" shapeId="0" xr:uid="{00000000-0006-0000-0900-000012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</commentList>
</comments>
</file>

<file path=xl/comments1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A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разстояние между двата краини отвора на FR VR</t>
        </r>
      </text>
    </comment>
    <comment ref="D2" authorId="0" shapeId="0" xr:uid="{00000000-0006-0000-0A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A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
 на наклонения фрейм
50- константа за FT VR(FRT VR)</t>
        </r>
      </text>
    </comment>
    <comment ref="F2" authorId="0" shapeId="0" xr:uid="{00000000-0006-0000-0A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58.1516; 91.9127- константи за FR VR(FRT VR)</t>
        </r>
      </text>
    </comment>
    <comment ref="C3" authorId="0" shapeId="0" xr:uid="{00000000-0006-0000-0A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A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
A+Ao</t>
        </r>
      </text>
    </comment>
    <comment ref="C4" authorId="0" shapeId="0" xr:uid="{00000000-0006-0000-0A00-000007000000}">
      <text>
        <r>
          <rPr>
            <sz val="12"/>
            <color indexed="81"/>
            <rFont val="Tahoma"/>
            <family val="2"/>
          </rPr>
          <t>разстояние от първия отвор на EXBAR VR до последния отвор на FR VR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A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A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</t>
        </r>
      </text>
    </comment>
    <comment ref="D5" authorId="0" shapeId="0" xr:uid="{00000000-0006-0000-0A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C7" authorId="0" shapeId="0" xr:uid="{00000000-0006-0000-0A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A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A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A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A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A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A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C140" authorId="0" shapeId="0" xr:uid="{00000000-0006-0000-0A00-000012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</commentList>
</comments>
</file>

<file path=xl/comments1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D2" authorId="0" shapeId="0" xr:uid="{00000000-0006-0000-0B00-000001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B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
 на наклонения фрейм
50- константа за FT VR(FRT VR)</t>
        </r>
      </text>
    </comment>
    <comment ref="F2" authorId="0" shapeId="0" xr:uid="{00000000-0006-0000-0B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58.1516; 91.9127- константи за FR VR(FRT VR)</t>
        </r>
      </text>
    </comment>
    <comment ref="D3" authorId="0" shapeId="0" xr:uid="{00000000-0006-0000-0B00-000004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D4" authorId="0" shapeId="0" xr:uid="{00000000-0006-0000-0B00-000005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D5" authorId="0" shapeId="0" xr:uid="{00000000-0006-0000-0B00-000006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B15" authorId="0" shapeId="0" xr:uid="{00000000-0006-0000-0B00-000007000000}">
      <text>
        <r>
          <rPr>
            <b/>
            <sz val="14"/>
            <color indexed="81"/>
            <rFont val="Tahoma"/>
            <family val="2"/>
          </rPr>
          <t>5800- SC V F отпред</t>
        </r>
      </text>
    </comment>
    <comment ref="C15" authorId="0" shapeId="0" xr:uid="{00000000-0006-0000-0B00-000008000000}">
      <text>
        <r>
          <rPr>
            <b/>
            <sz val="14"/>
            <color indexed="81"/>
            <rFont val="Tahoma"/>
            <family val="2"/>
          </rPr>
          <t>5800- SC V F отпред</t>
        </r>
      </text>
    </comment>
    <comment ref="D16" authorId="0" shapeId="0" xr:uid="{00000000-0006-0000-0B00-000009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</commentList>
</comments>
</file>

<file path=xl/comments1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C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разстояние между двата краини отвора на FR VR</t>
        </r>
      </text>
    </comment>
    <comment ref="D2" authorId="0" shapeId="0" xr:uid="{00000000-0006-0000-0C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C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
 на наклонения фрейм
50- константа за FT VR(FRT VR)</t>
        </r>
      </text>
    </comment>
    <comment ref="F2" authorId="0" shapeId="0" xr:uid="{00000000-0006-0000-0C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58.1516; 91.9127- константи за FR VR(FRT VR)</t>
        </r>
      </text>
    </comment>
    <comment ref="C3" authorId="0" shapeId="0" xr:uid="{00000000-0006-0000-0C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C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C00-000007000000}">
      <text>
        <r>
          <rPr>
            <sz val="12"/>
            <color indexed="81"/>
            <rFont val="Tahoma"/>
            <family val="2"/>
          </rPr>
          <t>разстояние от първия отвор на EXBAR VR до последния отвор на FR VR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C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C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</t>
        </r>
      </text>
    </comment>
    <comment ref="D5" authorId="0" shapeId="0" xr:uid="{00000000-0006-0000-0C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C7" authorId="0" shapeId="0" xr:uid="{00000000-0006-0000-0C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C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C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C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C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C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C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</commentList>
</comments>
</file>

<file path=xl/comments1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D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разстояние между двата краини отвора на FR VR</t>
        </r>
      </text>
    </comment>
    <comment ref="D2" authorId="0" shapeId="0" xr:uid="{00000000-0006-0000-0D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D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
 на наклонения фрейм
50- константа за FT VR(FRT VR)</t>
        </r>
      </text>
    </comment>
    <comment ref="F2" authorId="0" shapeId="0" xr:uid="{00000000-0006-0000-0D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58.1516; 91.9127- константи за FR VR(FRT VR)</t>
        </r>
      </text>
    </comment>
    <comment ref="C3" authorId="0" shapeId="0" xr:uid="{00000000-0006-0000-0D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D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D00-000007000000}">
      <text>
        <r>
          <rPr>
            <sz val="12"/>
            <color indexed="81"/>
            <rFont val="Tahoma"/>
            <family val="2"/>
          </rPr>
          <t>разстояние от първия отвор на EXBAR VR до последния отвор на FR VR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D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D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</t>
        </r>
      </text>
    </comment>
    <comment ref="D5" authorId="0" shapeId="0" xr:uid="{00000000-0006-0000-0D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C7" authorId="0" shapeId="0" xr:uid="{00000000-0006-0000-0D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D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D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D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D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D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D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</commentList>
</comments>
</file>

<file path=xl/comments1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E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разстояние между двата краини отвора на FR VR</t>
        </r>
      </text>
    </comment>
    <comment ref="D2" authorId="0" shapeId="0" xr:uid="{00000000-0006-0000-0E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E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
 на наклонения фрейм
50- константа за FT VR(FRT VR)</t>
        </r>
      </text>
    </comment>
    <comment ref="F2" authorId="0" shapeId="0" xr:uid="{00000000-0006-0000-0E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58.1516; 91.9127- константи за FR VR(FRT VR)</t>
        </r>
      </text>
    </comment>
    <comment ref="C3" authorId="0" shapeId="0" xr:uid="{00000000-0006-0000-0E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E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
A+Ao</t>
        </r>
      </text>
    </comment>
    <comment ref="C4" authorId="0" shapeId="0" xr:uid="{00000000-0006-0000-0E00-000007000000}">
      <text>
        <r>
          <rPr>
            <sz val="12"/>
            <color indexed="81"/>
            <rFont val="Tahoma"/>
            <family val="2"/>
          </rPr>
          <t>разстояние от първия отвор на EXBAR VR до последния отвор на FR VR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E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E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</t>
        </r>
      </text>
    </comment>
    <comment ref="D5" authorId="0" shapeId="0" xr:uid="{00000000-0006-0000-0E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</t>
        </r>
      </text>
    </comment>
    <comment ref="C7" authorId="0" shapeId="0" xr:uid="{00000000-0006-0000-0E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E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E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E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E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E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E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C140" authorId="0" shapeId="0" xr:uid="{00000000-0006-0000-0E00-000012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</commentList>
</comments>
</file>

<file path=xl/comments1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E10" authorId="0" shapeId="0" xr:uid="{00000000-0006-0000-0F00-000001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F10" authorId="0" shapeId="0" xr:uid="{00000000-0006-0000-0F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
 на наклонения фрейм
43- константа за FT SC PF(FR 122)</t>
        </r>
      </text>
    </comment>
    <comment ref="G10" authorId="0" shapeId="0" xr:uid="{00000000-0006-0000-0F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56.666355; 89.1698 
константи за FR SCPF(FR 122)</t>
        </r>
      </text>
    </comment>
    <comment ref="E11" authorId="0" shapeId="0" xr:uid="{00000000-0006-0000-0F00-000004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E12" authorId="0" shapeId="0" xr:uid="{00000000-0006-0000-0F00-000005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E13" authorId="0" shapeId="0" xr:uid="{00000000-0006-0000-0F00-000006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 , който е отпред ПРИ НАКЛОНЕНА СИ-МА
тук си оставa 215 мм(за FR 122)</t>
        </r>
      </text>
    </comment>
    <comment ref="D30" authorId="0" shapeId="0" xr:uid="{00000000-0006-0000-0F00-000007000000}">
      <text>
        <r>
          <rPr>
            <b/>
            <sz val="8"/>
            <color indexed="81"/>
            <rFont val="Tahoma"/>
            <family val="2"/>
          </rPr>
          <t>Stanislav:</t>
        </r>
        <r>
          <rPr>
            <sz val="8"/>
            <color indexed="81"/>
            <rFont val="Tahoma"/>
            <family val="2"/>
          </rPr>
          <t xml:space="preserve">
2x5000
5000 - FRONT OF FR 122  </t>
        </r>
      </text>
    </comment>
    <comment ref="F30" authorId="0" shapeId="0" xr:uid="{00000000-0006-0000-0F00-000008000000}">
      <text>
        <r>
          <rPr>
            <b/>
            <sz val="8"/>
            <color indexed="81"/>
            <rFont val="Tahoma"/>
            <family val="2"/>
          </rPr>
          <t>Stanislav:</t>
        </r>
        <r>
          <rPr>
            <sz val="8"/>
            <color indexed="81"/>
            <rFont val="Tahoma"/>
            <family val="2"/>
          </rPr>
          <t xml:space="preserve">
2x5000
5000 - REAR OF FR 122  </t>
        </r>
      </text>
    </comment>
  </commentList>
</comments>
</file>

<file path=xl/comments1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E11" authorId="0" shapeId="0" xr:uid="{00000000-0006-0000-1000-000001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F11" authorId="0" shapeId="0" xr:uid="{00000000-0006-0000-10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
 на наклонения фрейм
43- константа за FT SC PF(FR 122)</t>
        </r>
      </text>
    </comment>
    <comment ref="G11" authorId="0" shapeId="0" xr:uid="{00000000-0006-0000-10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56.666355; 89.1698 
константи за FR SCPF(FR 122)</t>
        </r>
      </text>
    </comment>
    <comment ref="E12" authorId="0" shapeId="0" xr:uid="{00000000-0006-0000-1000-000004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E13" authorId="0" shapeId="0" xr:uid="{00000000-0006-0000-1000-000005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E14" authorId="0" shapeId="0" xr:uid="{00000000-0006-0000-1000-000006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 , който е отпред ПРИ НАКЛОНЕНА СИ-МА
тук си оставa 215 мм(за FR 122)</t>
        </r>
      </text>
    </comment>
    <comment ref="D31" authorId="0" shapeId="0" xr:uid="{00000000-0006-0000-1000-000007000000}">
      <text>
        <r>
          <rPr>
            <b/>
            <sz val="8"/>
            <color indexed="81"/>
            <rFont val="Tahoma"/>
            <family val="2"/>
          </rPr>
          <t>Stanislav:</t>
        </r>
        <r>
          <rPr>
            <sz val="8"/>
            <color indexed="81"/>
            <rFont val="Tahoma"/>
            <family val="2"/>
          </rPr>
          <t xml:space="preserve">
2x5000
5000 - FRONT OF FR 122  </t>
        </r>
      </text>
    </comment>
    <comment ref="E31" authorId="0" shapeId="0" xr:uid="{00000000-0006-0000-1000-000008000000}">
      <text>
        <r>
          <rPr>
            <b/>
            <sz val="8"/>
            <color indexed="81"/>
            <rFont val="Tahoma"/>
            <family val="2"/>
          </rPr>
          <t>Stanislav:</t>
        </r>
        <r>
          <rPr>
            <sz val="8"/>
            <color indexed="81"/>
            <rFont val="Tahoma"/>
            <family val="2"/>
          </rPr>
          <t xml:space="preserve">
2x5000
5000 - REAR OF FR 122  </t>
        </r>
      </text>
    </comment>
  </commentList>
</comments>
</file>

<file path=xl/sharedStrings.xml><?xml version="1.0" encoding="utf-8"?>
<sst xmlns="http://schemas.openxmlformats.org/spreadsheetml/2006/main" count="3412" uniqueCount="257">
  <si>
    <t>b</t>
  </si>
  <si>
    <t>k</t>
  </si>
  <si>
    <t>b/2</t>
  </si>
  <si>
    <t>sin b/2</t>
  </si>
  <si>
    <t>d</t>
  </si>
  <si>
    <t>2c</t>
  </si>
  <si>
    <t>e=a/2</t>
  </si>
  <si>
    <t>sin(e)</t>
  </si>
  <si>
    <t>c=sin(b/2)*d</t>
  </si>
  <si>
    <t>f=sin(e)*2c</t>
  </si>
  <si>
    <t>g center of  mass -x</t>
  </si>
  <si>
    <t>h=g+f</t>
  </si>
  <si>
    <t>center of mass X</t>
  </si>
  <si>
    <t>a-angle</t>
  </si>
  <si>
    <t>a</t>
  </si>
  <si>
    <t>L</t>
  </si>
  <si>
    <t>G</t>
  </si>
  <si>
    <t>kg</t>
  </si>
  <si>
    <t xml:space="preserve">G </t>
  </si>
  <si>
    <t xml:space="preserve">L </t>
  </si>
  <si>
    <t>mm</t>
  </si>
  <si>
    <t>destroying force, kg</t>
  </si>
  <si>
    <t>Fa=((L-a)/L)*G</t>
  </si>
  <si>
    <t>Fb=(a/L)*G</t>
  </si>
  <si>
    <t>enter the value of a-angle</t>
  </si>
  <si>
    <t>front</t>
  </si>
  <si>
    <t>rear</t>
  </si>
  <si>
    <t>1 point-one motor</t>
  </si>
  <si>
    <t>Weight total:</t>
  </si>
  <si>
    <t>L(2motors)=</t>
  </si>
  <si>
    <t>2 motors, kg</t>
  </si>
  <si>
    <t>front motor</t>
  </si>
  <si>
    <t>rear motor</t>
  </si>
  <si>
    <t>A</t>
  </si>
  <si>
    <t>B</t>
  </si>
  <si>
    <t>C</t>
  </si>
  <si>
    <t>D</t>
  </si>
  <si>
    <t>E</t>
  </si>
  <si>
    <t>with EXBAR 12 at the back</t>
  </si>
  <si>
    <t>with EXBAR 12 at the front</t>
  </si>
  <si>
    <t>L(2motors) 
with exbar in front or at the back</t>
  </si>
  <si>
    <t>without EXBAR 12</t>
  </si>
  <si>
    <t>enter the number of cabinets from 1 up to 24</t>
  </si>
  <si>
    <t>enter the number of cabinets from 1 up to 12</t>
  </si>
  <si>
    <t>a - общ ъгъл</t>
  </si>
  <si>
    <t>sin t</t>
  </si>
  <si>
    <t>m= sin t *n(const)</t>
  </si>
  <si>
    <t>sin r</t>
  </si>
  <si>
    <t>p= sin r *q(const)</t>
  </si>
  <si>
    <t xml:space="preserve">g - тегло на боксожете под тази </t>
  </si>
  <si>
    <t>L=m+n</t>
  </si>
  <si>
    <t>z- център на тежест на боксовете след него спрямо първата колона</t>
  </si>
  <si>
    <t>J=x-p</t>
  </si>
  <si>
    <t>A=z-J</t>
  </si>
  <si>
    <t>Fa=((L-A)/L)*G</t>
  </si>
  <si>
    <t>Fb=(A/L)*G</t>
  </si>
  <si>
    <t>от тук на долу, ако AJ е отрицателно стойността на клетката да е 0.3, ако е положително да е нула</t>
  </si>
  <si>
    <t>синьо</t>
  </si>
  <si>
    <t>the real angle between the cabinets when pining in the groundstacking hole</t>
  </si>
  <si>
    <t>L=m+p</t>
  </si>
  <si>
    <t xml:space="preserve">g SC8 - тегло на боксожете под тази </t>
  </si>
  <si>
    <t xml:space="preserve">x= (SUM Gi*xi)/G
</t>
  </si>
  <si>
    <t>G
g SC8+LA 12 - тегло на боксожете под тази +LA12</t>
  </si>
  <si>
    <t>Asc8=z-J</t>
  </si>
  <si>
    <t>Asc8+la12 =x-J</t>
  </si>
  <si>
    <t>НЕ РАБОТИ ЦВЕТОВЕТЕ!!!</t>
  </si>
  <si>
    <t>a при 0 гр.</t>
  </si>
  <si>
    <t xml:space="preserve">k - safety factor
of FR 122 </t>
  </si>
  <si>
    <t>k - safety factor</t>
  </si>
  <si>
    <t>a(2motors)=a1-48.5</t>
  </si>
  <si>
    <t>enter the angle of frame FR VR</t>
  </si>
  <si>
    <t>ViRAY</t>
  </si>
  <si>
    <t>from 0 to 10</t>
  </si>
  <si>
    <t>from 0 to 5</t>
  </si>
  <si>
    <t>G,kg</t>
  </si>
  <si>
    <t>L,mm</t>
  </si>
  <si>
    <t>a,mm</t>
  </si>
  <si>
    <t>k - safety factor
of FR VR</t>
  </si>
  <si>
    <t>with EXBAR VR at the front</t>
  </si>
  <si>
    <t>with EXBAR VR at the back</t>
  </si>
  <si>
    <t>2 points-one motor
with EXBAR VR</t>
  </si>
  <si>
    <t>without EXBAR VR</t>
  </si>
  <si>
    <t>2 points-one motor
without EXBAR VR</t>
  </si>
  <si>
    <t>F</t>
  </si>
  <si>
    <t>H</t>
  </si>
  <si>
    <t>I</t>
  </si>
  <si>
    <t>J</t>
  </si>
  <si>
    <t>K</t>
  </si>
  <si>
    <t>M</t>
  </si>
  <si>
    <t>N</t>
  </si>
  <si>
    <t>O</t>
  </si>
  <si>
    <t>P</t>
  </si>
  <si>
    <t>Q</t>
  </si>
  <si>
    <t>R</t>
  </si>
  <si>
    <t>center  om mass от R напред</t>
  </si>
  <si>
    <t>center  om mass от А назад</t>
  </si>
  <si>
    <t>t= 69.34-a</t>
  </si>
  <si>
    <t>r= 50.17+a</t>
  </si>
  <si>
    <t>G , SCV F</t>
  </si>
  <si>
    <t>a(2motors)=a-48.5</t>
  </si>
  <si>
    <t>L , SCV F</t>
  </si>
  <si>
    <t>G , ViRAY</t>
  </si>
  <si>
    <t>kg.</t>
  </si>
  <si>
    <t>L, ViRAY</t>
  </si>
  <si>
    <t>SCV F</t>
  </si>
  <si>
    <t>x ViRAY</t>
  </si>
  <si>
    <t>t= 54.501+a</t>
  </si>
  <si>
    <t>r= 58.73-a</t>
  </si>
  <si>
    <t>САМО ЗА SCV F И ViRAY</t>
  </si>
  <si>
    <t>351?</t>
  </si>
  <si>
    <t xml:space="preserve">g SCV F- тегло на боксожете под тази </t>
  </si>
  <si>
    <t>A SCV F=z-J</t>
  </si>
  <si>
    <t>Total weight includes: ViRAY, SCV-F,2x FR VR ( 2x30 kg), EXBAR VR (4.3 kg), Main LS Cables (30 kg)</t>
  </si>
  <si>
    <t>Total weight includes: ViRAY, FR VR ( 30 kg), EXBAR VR (4.3 kg), Main LS Cables (30 kg)</t>
  </si>
  <si>
    <t>Total weight includes: SCV-F,FR VR ( 30 kg), EXBAR VR (4.3 kg), Main LS Cables (30 kg)</t>
  </si>
  <si>
    <t xml:space="preserve">G
ViRAY+SCV F - тегло на боксожете под тази </t>
  </si>
  <si>
    <t>A ViRAY+SCV F =x-J</t>
  </si>
  <si>
    <t>A ViRAY+SCV F+ViRAY =x-J</t>
  </si>
  <si>
    <t>J=x-m</t>
  </si>
  <si>
    <t>b=k+a</t>
  </si>
  <si>
    <t>destroying force VR VR</t>
  </si>
  <si>
    <t>destroying force   SC VF, kg</t>
  </si>
  <si>
    <t>destroying force, kg ViRAY</t>
  </si>
  <si>
    <t>destroying force, kg SCV F</t>
  </si>
  <si>
    <t>destroying force, kg FR VR</t>
  </si>
  <si>
    <t>ОБЩ ЪГЪЛ</t>
  </si>
  <si>
    <t>enter 0 or 2.5 or 5</t>
  </si>
  <si>
    <t>a(2motors)=a-49</t>
  </si>
  <si>
    <t>a(2motors)with 
exbar in front =a+166</t>
  </si>
  <si>
    <t>LA 12 BACK</t>
  </si>
  <si>
    <t>LA 12, SC8</t>
  </si>
  <si>
    <t>2 points-one motor
with EXBAR 12</t>
  </si>
  <si>
    <t>2 points-one motor
without EXBAR 12</t>
  </si>
  <si>
    <t>center  om mass</t>
  </si>
  <si>
    <t>enter the angle of frame FR120</t>
  </si>
  <si>
    <t>G la 12</t>
  </si>
  <si>
    <t>LA 12- 67 kg</t>
  </si>
  <si>
    <t>L la 12</t>
  </si>
  <si>
    <t>x la 12</t>
  </si>
  <si>
    <t>LA12</t>
  </si>
  <si>
    <t>k - be6e sbyrkano proneneno  20.09.2011</t>
  </si>
  <si>
    <t>САМО ЗА LA 12 и ЛА 8</t>
  </si>
  <si>
    <t>t= 58.15-a</t>
  </si>
  <si>
    <t>r= 38.36+a</t>
  </si>
  <si>
    <t>G
g LA 12 - тегло на боксожете под тази LA12+LA 8</t>
  </si>
  <si>
    <t>Ala12+la8 =x-J</t>
  </si>
  <si>
    <t>from 0 to 4</t>
  </si>
  <si>
    <t>from 0 to 8</t>
  </si>
  <si>
    <t xml:space="preserve">enter the number of cabinets </t>
  </si>
  <si>
    <t>x la 8</t>
  </si>
  <si>
    <t>from 0 to 9</t>
  </si>
  <si>
    <t>G sc 8</t>
  </si>
  <si>
    <t>L sc 8</t>
  </si>
  <si>
    <t>x sc 8</t>
  </si>
  <si>
    <t>enter the angle of frame FR122</t>
  </si>
  <si>
    <t>САМО ЗА SC8 И LA 12 И LA 8</t>
  </si>
  <si>
    <t>САМО ЗА SC8 И LA 12 и ЛА 8</t>
  </si>
  <si>
    <t>G
g SC8+LA 12 - тегло на боксожете под тази +LA12+LA 8</t>
  </si>
  <si>
    <t>Asc8+la12+la8 =x-J</t>
  </si>
  <si>
    <t>G la 8</t>
  </si>
  <si>
    <t>L la 8</t>
  </si>
  <si>
    <t>x la 8-104</t>
  </si>
  <si>
    <t>enter the angle of frame FR VR from 0 up to 5 deg.</t>
  </si>
  <si>
    <t>Total weight includes: FR 120 (14 kg), EXBAR 12 (4.2 kg), DOWN VR (11 kg),  Main LS Cables (30 kg)</t>
  </si>
  <si>
    <t>Total weight includes: 2x FR 122 (25 kg), EXBAR 12 (4.2 kg), DOWN VR (11 kg), Main LS Cables (30 kg)</t>
  </si>
  <si>
    <t xml:space="preserve">k - safety factor
of FR VR </t>
  </si>
  <si>
    <t>Total weight includes: ViRAY, FRТ VR ( 10 kg+7 kg shackle),СХ EXBAR VR (4.3 kg), Main LS Cables (30 kg)</t>
  </si>
  <si>
    <t>destroying force FRT VR</t>
  </si>
  <si>
    <t>using one shackle</t>
  </si>
  <si>
    <t>destroying force FR VR</t>
  </si>
  <si>
    <t>front bar</t>
  </si>
  <si>
    <t>rear bar</t>
  </si>
  <si>
    <t>n</t>
  </si>
  <si>
    <t>kn</t>
  </si>
  <si>
    <t>kn-a</t>
  </si>
  <si>
    <t>cos(kn-a)</t>
  </si>
  <si>
    <t>x=cos(kn-a)*n</t>
  </si>
  <si>
    <t>h=x</t>
  </si>
  <si>
    <t>пресмятане на отместването  на център на тежеста на следващата система(за да се сумират двете системи)</t>
  </si>
  <si>
    <t>ъгъл</t>
  </si>
  <si>
    <t>j=cosv*n</t>
  </si>
  <si>
    <t>q=z-j</t>
  </si>
  <si>
    <t>v, SC VF</t>
  </si>
  <si>
    <t>n SC VF</t>
  </si>
  <si>
    <t>най-долната колона</t>
  </si>
  <si>
    <t>v, ViRAY</t>
  </si>
  <si>
    <t>j=cosv*d</t>
  </si>
  <si>
    <t>d ViRAY</t>
  </si>
  <si>
    <t>z- център на тежест на боксовете след него спрямо първата колона от горния array(началото на ккординатната система)</t>
  </si>
  <si>
    <t>z- център на тежест на боксовете след него спрямо първата колона от най -горния array(началото на ккординатната система)</t>
  </si>
  <si>
    <t>with two shackles</t>
  </si>
  <si>
    <t>with one shackle</t>
  </si>
  <si>
    <t xml:space="preserve">k - safety factor
of FR 120 </t>
  </si>
  <si>
    <t>middle bar</t>
  </si>
  <si>
    <t>координата на предната точка на последната колона;
пресмятане на отместването  на център на тежеста на следващата система(за да се сумират двете системи)</t>
  </si>
  <si>
    <t>v, LA 12</t>
  </si>
  <si>
    <t>n, LA 12</t>
  </si>
  <si>
    <t>SC 8 F</t>
  </si>
  <si>
    <t>v, SC 8</t>
  </si>
  <si>
    <t>n, SC 8</t>
  </si>
  <si>
    <t>k - safety factor
of FRT VR</t>
  </si>
  <si>
    <t>enter the angle of frame FRT VR</t>
  </si>
  <si>
    <t>Lx</t>
  </si>
  <si>
    <t>Lo</t>
  </si>
  <si>
    <t>Ao</t>
  </si>
  <si>
    <t>пресмятане на разсоянието между центъра на тежеста спрямо първия отвор за шегел на фрейма</t>
  </si>
  <si>
    <t>a(2motors)with 
exbar in front =a+401.5</t>
  </si>
  <si>
    <t>Total weight includes: ViRAY, SCV-F,3x FR VR ( 2x30 kg), EXBAR VR (4.3 kg), Main LS Cables (30 kg)</t>
  </si>
  <si>
    <t>2 points-one motor with EXBAR 12</t>
  </si>
  <si>
    <t>2 points-one motor without EXBAR 12</t>
  </si>
  <si>
    <t>r= 59.2910 -a</t>
  </si>
  <si>
    <t>t= 53.7795950°+a</t>
  </si>
  <si>
    <t>SC2 F</t>
  </si>
  <si>
    <t>константа</t>
  </si>
  <si>
    <t>Total weight includes: SC2-F,FR VR ( 30 kg), EXBAR VR (4.3 kg), Main LS Cables (30 kg)</t>
  </si>
  <si>
    <t>n SC 2F</t>
  </si>
  <si>
    <t>v, SC 2F</t>
  </si>
  <si>
    <t>Total weight includes: ViRAY, SC2-F,2x FR VR ( 2x30 kg), EXBAR VR (4.3 kg), Main LS Cables (30 kg)</t>
  </si>
  <si>
    <t>L , SCV F=SC 2F</t>
  </si>
  <si>
    <t>G , SC 2F</t>
  </si>
  <si>
    <t>САМО ЗА SC2 F И ViRAY</t>
  </si>
  <si>
    <t>Total weight includes: ViRAY, SC2-F,2x FR VR ( 3x30 kg), EXBAR VR (4.3 kg), Main LS Cables (30 kg)</t>
  </si>
  <si>
    <t>G , SC2 F</t>
  </si>
  <si>
    <t>max отпред</t>
  </si>
  <si>
    <t>max отзад</t>
  </si>
  <si>
    <t>FR AR</t>
  </si>
  <si>
    <t>enter the angle of frame FR AR</t>
  </si>
  <si>
    <t>safety factor of FR AR</t>
  </si>
  <si>
    <t>with EXBAR AR at the front and ADS</t>
  </si>
  <si>
    <t>with ADS and EXBAR AR at the back</t>
  </si>
  <si>
    <t>with EXBAR AR in the middle</t>
  </si>
  <si>
    <t>1 motor- 2 points
with EXBAR AR in the middle</t>
  </si>
  <si>
    <t>1 motor - 1 point</t>
  </si>
  <si>
    <t>EASE Focus Index</t>
  </si>
  <si>
    <t>1 motor -2 points
with EXBAR АR and ADS</t>
  </si>
  <si>
    <t>пресмятане на разстоянието между центъра на тежеста спрямо първия отвор за шегел на фрейма</t>
  </si>
  <si>
    <t>Total weight includes: ViRAY, FR AR ( 31 kg), EXBAR AR (4.5 kg),ADS(0.5 kg), Main LS Cables (30 kg)</t>
  </si>
  <si>
    <t>FRT AR</t>
  </si>
  <si>
    <t>a(2motors)with 
exbar in front =a+425.5</t>
  </si>
  <si>
    <t>enter the angle of frame FRT AR</t>
  </si>
  <si>
    <t>Total weight includes: ViRAY, FRT AR ( 19 kg), EXBAR AR (4.5 kg),ADS(0.5 kg), Main LS Cables (30 kg)</t>
  </si>
  <si>
    <t>safety factor of FRT AR</t>
  </si>
  <si>
    <t>a(2motors)=a1-47.5</t>
  </si>
  <si>
    <t>ok</t>
  </si>
  <si>
    <t>L , SC2 F</t>
  </si>
  <si>
    <t>SC 2F</t>
  </si>
  <si>
    <t xml:space="preserve">g SC 2F - тегло на боксожете под тази </t>
  </si>
  <si>
    <t>overload свети зелено</t>
  </si>
  <si>
    <t>enter the angle of frame FR AR from 0 up to 5 deg.</t>
  </si>
  <si>
    <t>Total weight includes: ViRAY,SC2 F,3x FR AR ( 31 kg), EXBAR AR (4.5 kg),ADS(0.5 kg), Main LS Cables (30 kg)</t>
  </si>
  <si>
    <t>Total weight includes: ViRAY,SCV F, 3xFR AR ( 31 kg), EXBAR AR (4.5 kg),ADS(0.5 kg), Main LS Cables (30 kg)</t>
  </si>
  <si>
    <t>Total weight includes: ViRAY,SC2 F, 2x FR AR ( 31 kg), EXBAR AR (4.5 kg),ADS(0.5 kg), Main LS Cables (30 kg)</t>
  </si>
  <si>
    <t>Total weight includes: ViRAY,SCV F, 2x FR AR ( 31 kg), EXBAR AR (4.5 kg),ADS(0.5 kg), Main LS Cables (30 kg)</t>
  </si>
  <si>
    <t>enter the number of cabinets from 1 up to 10</t>
  </si>
  <si>
    <t>enter the number of cabinets from 1 up to 6</t>
  </si>
  <si>
    <t>SC2-F</t>
  </si>
  <si>
    <t>only 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</si>
</sst>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68" x14ac:knownFonts="1">
    <font>
      <sz val="10"/>
      <name val="Arial"/>
    </font>
    <font>
      <sz val="10"/>
      <name val="Arial"/>
      <family val="2"/>
    </font>
    <font>
      <sz val="8"/>
      <name val="Arial"/>
      <family val="2"/>
    </font>
    <font>
      <b/>
      <sz val="10"/>
      <name val="Arial"/>
      <family val="2"/>
    </font>
    <font>
      <b/>
      <sz val="20"/>
      <name val="Arial"/>
      <family val="2"/>
    </font>
    <font>
      <b/>
      <sz val="12"/>
      <name val="Arial"/>
      <family val="2"/>
    </font>
    <font>
      <sz val="14"/>
      <name val="Arial Narrow"/>
      <family val="2"/>
      <charset val="204"/>
    </font>
    <font>
      <b/>
      <sz val="10"/>
      <name val="Arial"/>
      <family val="2"/>
    </font>
    <font>
      <sz val="12"/>
      <name val="Arial"/>
      <family val="2"/>
    </font>
    <font>
      <b/>
      <sz val="12"/>
      <name val="Arial Narrow"/>
      <family val="2"/>
    </font>
    <font>
      <sz val="10"/>
      <name val="Arial"/>
      <family val="2"/>
    </font>
    <font>
      <sz val="11"/>
      <name val="Arial"/>
      <family val="2"/>
    </font>
    <font>
      <b/>
      <sz val="12"/>
      <color indexed="10"/>
      <name val="Arial"/>
      <family val="2"/>
    </font>
    <font>
      <b/>
      <sz val="14"/>
      <name val="Arial Narrow"/>
      <family val="2"/>
    </font>
    <font>
      <b/>
      <sz val="10"/>
      <color indexed="12"/>
      <name val="Arial"/>
      <family val="2"/>
    </font>
    <font>
      <b/>
      <sz val="12"/>
      <color indexed="12"/>
      <name val="Arial"/>
      <family val="2"/>
    </font>
    <font>
      <b/>
      <sz val="20"/>
      <name val="Arial Narrow"/>
      <family val="2"/>
    </font>
    <font>
      <b/>
      <sz val="12"/>
      <name val="Arial Narrow"/>
      <family val="2"/>
      <charset val="204"/>
    </font>
    <font>
      <b/>
      <sz val="12"/>
      <name val="Arial"/>
      <family val="2"/>
    </font>
    <font>
      <b/>
      <sz val="12"/>
      <color indexed="11"/>
      <name val="Arial"/>
      <family val="2"/>
    </font>
    <font>
      <sz val="6"/>
      <name val="Arial"/>
      <family val="2"/>
    </font>
    <font>
      <b/>
      <sz val="12"/>
      <color indexed="57"/>
      <name val="Arial"/>
      <family val="2"/>
    </font>
    <font>
      <sz val="10"/>
      <color indexed="57"/>
      <name val="Arial"/>
      <family val="2"/>
    </font>
    <font>
      <b/>
      <sz val="10"/>
      <color indexed="57"/>
      <name val="Arial"/>
      <family val="2"/>
    </font>
    <font>
      <sz val="10"/>
      <color indexed="9"/>
      <name val="Arial"/>
      <family val="2"/>
    </font>
    <font>
      <b/>
      <sz val="12"/>
      <color indexed="57"/>
      <name val="Arial Narrow"/>
      <family val="2"/>
    </font>
    <font>
      <b/>
      <sz val="12"/>
      <color indexed="17"/>
      <name val="Arial"/>
      <family val="2"/>
    </font>
    <font>
      <sz val="10"/>
      <color indexed="17"/>
      <name val="Arial"/>
      <family val="2"/>
    </font>
    <font>
      <sz val="12"/>
      <color indexed="11"/>
      <name val="Arial"/>
      <family val="2"/>
    </font>
    <font>
      <sz val="14"/>
      <name val="Arial"/>
      <family val="2"/>
    </font>
    <font>
      <b/>
      <sz val="10"/>
      <color indexed="10"/>
      <name val="Arial"/>
      <family val="2"/>
    </font>
    <font>
      <b/>
      <sz val="12"/>
      <color indexed="12"/>
      <name val="Arial Narrow"/>
      <family val="2"/>
    </font>
    <font>
      <b/>
      <sz val="12"/>
      <color indexed="17"/>
      <name val="Arial Narrow"/>
      <family val="2"/>
    </font>
    <font>
      <b/>
      <sz val="10"/>
      <color indexed="12"/>
      <name val="Arial"/>
      <family val="2"/>
    </font>
    <font>
      <b/>
      <sz val="10"/>
      <color indexed="53"/>
      <name val="Arial"/>
      <family val="2"/>
    </font>
    <font>
      <b/>
      <sz val="10"/>
      <color indexed="53"/>
      <name val="Arial"/>
      <family val="2"/>
    </font>
    <font>
      <b/>
      <sz val="12"/>
      <color indexed="53"/>
      <name val="Arial Narrow"/>
      <family val="2"/>
    </font>
    <font>
      <b/>
      <sz val="24"/>
      <name val="Arial Narrow"/>
      <family val="2"/>
    </font>
    <font>
      <sz val="24"/>
      <name val="Arial"/>
      <family val="2"/>
    </font>
    <font>
      <b/>
      <sz val="14"/>
      <color indexed="9"/>
      <name val="Arial Narrow"/>
      <family val="2"/>
    </font>
    <font>
      <b/>
      <sz val="10"/>
      <color indexed="9"/>
      <name val="Arial"/>
      <family val="2"/>
    </font>
    <font>
      <sz val="10"/>
      <color indexed="9"/>
      <name val="Arial"/>
      <family val="2"/>
    </font>
    <font>
      <b/>
      <sz val="16"/>
      <name val="Arial"/>
      <family val="2"/>
    </font>
    <font>
      <b/>
      <sz val="16"/>
      <name val="Arial Narrow"/>
      <family val="2"/>
    </font>
    <font>
      <sz val="12"/>
      <color indexed="10"/>
      <name val="Arial"/>
      <family val="2"/>
    </font>
    <font>
      <b/>
      <sz val="12"/>
      <color indexed="16"/>
      <name val="Arial"/>
      <family val="2"/>
    </font>
    <font>
      <b/>
      <sz val="10"/>
      <color indexed="48"/>
      <name val="Arial"/>
      <family val="2"/>
    </font>
    <font>
      <b/>
      <sz val="12"/>
      <color indexed="30"/>
      <name val="Arial"/>
      <family val="2"/>
    </font>
    <font>
      <sz val="10"/>
      <color indexed="10"/>
      <name val="Arial"/>
      <family val="2"/>
    </font>
    <font>
      <b/>
      <sz val="12"/>
      <color indexed="48"/>
      <name val="Arial"/>
      <family val="2"/>
    </font>
    <font>
      <b/>
      <sz val="12"/>
      <color indexed="8"/>
      <name val="Arial"/>
      <family val="2"/>
    </font>
    <font>
      <b/>
      <sz val="14"/>
      <name val="Arial"/>
      <family val="2"/>
    </font>
    <font>
      <sz val="14"/>
      <name val="Arial"/>
      <family val="2"/>
    </font>
    <font>
      <b/>
      <sz val="14"/>
      <name val="Arial"/>
      <family val="2"/>
    </font>
    <font>
      <b/>
      <u/>
      <sz val="14"/>
      <color indexed="10"/>
      <name val="Arial"/>
      <family val="2"/>
    </font>
    <font>
      <b/>
      <u/>
      <sz val="14"/>
      <color indexed="57"/>
      <name val="Arial"/>
      <family val="2"/>
    </font>
    <font>
      <u/>
      <sz val="14"/>
      <color indexed="57"/>
      <name val="Arial"/>
      <family val="2"/>
    </font>
    <font>
      <b/>
      <u/>
      <sz val="14"/>
      <name val="Arial"/>
      <family val="2"/>
    </font>
    <font>
      <b/>
      <sz val="11"/>
      <color indexed="81"/>
      <name val="Tahoma"/>
      <family val="2"/>
    </font>
    <font>
      <sz val="11"/>
      <color indexed="81"/>
      <name val="Tahoma"/>
      <family val="2"/>
    </font>
    <font>
      <sz val="9"/>
      <color indexed="81"/>
      <name val="Tahoma"/>
      <family val="2"/>
    </font>
    <font>
      <b/>
      <sz val="12"/>
      <color indexed="81"/>
      <name val="Tahoma"/>
      <family val="2"/>
    </font>
    <font>
      <sz val="12"/>
      <color indexed="81"/>
      <name val="Tahoma"/>
      <family val="2"/>
    </font>
    <font>
      <sz val="16"/>
      <name val="Arial"/>
      <family val="2"/>
    </font>
    <font>
      <b/>
      <sz val="16"/>
      <color indexed="17"/>
      <name val="Arial"/>
      <family val="2"/>
    </font>
    <font>
      <b/>
      <sz val="16"/>
      <color indexed="17"/>
      <name val="Arial Narrow"/>
      <family val="2"/>
    </font>
    <font>
      <b/>
      <sz val="16"/>
      <color indexed="12"/>
      <name val="Arial"/>
      <family val="2"/>
    </font>
    <font>
      <b/>
      <sz val="16"/>
      <color indexed="12"/>
      <name val="Arial Narrow"/>
      <family val="2"/>
    </font>
    <font>
      <b/>
      <sz val="16"/>
      <color indexed="57"/>
      <name val="Arial"/>
      <family val="2"/>
    </font>
    <font>
      <b/>
      <sz val="16"/>
      <color indexed="53"/>
      <name val="Arial"/>
      <family val="2"/>
    </font>
    <font>
      <b/>
      <sz val="16"/>
      <color indexed="53"/>
      <name val="Arial Narrow"/>
      <family val="2"/>
    </font>
    <font>
      <b/>
      <sz val="16"/>
      <color indexed="11"/>
      <name val="Arial"/>
      <family val="2"/>
    </font>
    <font>
      <b/>
      <sz val="12"/>
      <name val="Arial Black"/>
      <family val="2"/>
    </font>
    <font>
      <b/>
      <sz val="14"/>
      <color indexed="12"/>
      <name val="Arial"/>
      <family val="2"/>
    </font>
    <font>
      <b/>
      <sz val="14"/>
      <color indexed="57"/>
      <name val="Arial"/>
      <family val="2"/>
    </font>
    <font>
      <b/>
      <sz val="14"/>
      <color indexed="10"/>
      <name val="Arial"/>
      <family val="2"/>
    </font>
    <font>
      <b/>
      <sz val="14"/>
      <color indexed="81"/>
      <name val="Tahoma"/>
      <family val="2"/>
    </font>
    <font>
      <sz val="14"/>
      <color indexed="81"/>
      <name val="Tahoma"/>
      <family val="2"/>
    </font>
    <font>
      <b/>
      <sz val="12"/>
      <color indexed="53"/>
      <name val="Arial"/>
      <family val="2"/>
    </font>
    <font>
      <sz val="14"/>
      <color indexed="10"/>
      <name val="Arial"/>
      <family val="2"/>
    </font>
    <font>
      <b/>
      <sz val="14"/>
      <color indexed="48"/>
      <name val="Arial"/>
      <family val="2"/>
    </font>
    <font>
      <b/>
      <sz val="14"/>
      <color indexed="16"/>
      <name val="Arial"/>
      <family val="2"/>
    </font>
    <font>
      <b/>
      <sz val="16"/>
      <color indexed="10"/>
      <name val="Arial"/>
      <family val="2"/>
    </font>
    <font>
      <b/>
      <u/>
      <sz val="16"/>
      <color indexed="57"/>
      <name val="Arial"/>
      <family val="2"/>
    </font>
    <font>
      <b/>
      <u/>
      <sz val="16"/>
      <color indexed="10"/>
      <name val="Arial"/>
      <family val="2"/>
    </font>
    <font>
      <b/>
      <u/>
      <sz val="16"/>
      <name val="Arial"/>
      <family val="2"/>
    </font>
    <font>
      <b/>
      <sz val="16"/>
      <color indexed="81"/>
      <name val="Tahoma"/>
      <family val="2"/>
    </font>
    <font>
      <b/>
      <sz val="16"/>
      <color indexed="14"/>
      <name val="Arial"/>
      <family val="2"/>
    </font>
    <font>
      <b/>
      <sz val="10"/>
      <color indexed="14"/>
      <name val="Arial"/>
      <family val="2"/>
    </font>
    <font>
      <b/>
      <sz val="10"/>
      <color indexed="17"/>
      <name val="Arial"/>
      <family val="2"/>
    </font>
    <font>
      <sz val="14"/>
      <color indexed="14"/>
      <name val="Arial"/>
      <family val="2"/>
    </font>
    <font>
      <sz val="10"/>
      <color indexed="8"/>
      <name val="Arial"/>
      <family val="2"/>
    </font>
    <font>
      <b/>
      <sz val="8"/>
      <color indexed="81"/>
      <name val="Tahoma"/>
      <family val="2"/>
    </font>
    <font>
      <sz val="8"/>
      <color indexed="81"/>
      <name val="Tahoma"/>
      <family val="2"/>
    </font>
    <font>
      <sz val="10"/>
      <color indexed="14"/>
      <name val="Arial"/>
      <family val="2"/>
    </font>
    <font>
      <b/>
      <sz val="12"/>
      <color indexed="81"/>
      <name val="Tahoma"/>
      <family val="2"/>
      <charset val="204"/>
    </font>
    <font>
      <b/>
      <sz val="14"/>
      <name val="Arial"/>
      <family val="2"/>
      <charset val="204"/>
    </font>
    <font>
      <sz val="10"/>
      <name val="Arial"/>
      <family val="2"/>
      <charset val="204"/>
    </font>
    <font>
      <b/>
      <sz val="14"/>
      <color theme="1" tint="0.34998626667073579"/>
      <name val="Arial"/>
      <family val="2"/>
    </font>
    <font>
      <sz val="14"/>
      <color theme="1" tint="0.34998626667073579"/>
      <name val="Arial"/>
      <family val="2"/>
    </font>
    <font>
      <sz val="14"/>
      <color theme="0" tint="-0.499984740745262"/>
      <name val="Arial"/>
      <family val="2"/>
    </font>
    <font>
      <b/>
      <sz val="12"/>
      <color theme="0" tint="-0.499984740745262"/>
      <name val="Arial"/>
      <family val="2"/>
    </font>
    <font>
      <b/>
      <sz val="14"/>
      <color theme="0" tint="-0.499984740745262"/>
      <name val="Arial"/>
      <family val="2"/>
    </font>
    <font>
      <sz val="12"/>
      <color theme="0" tint="-0.499984740745262"/>
      <name val="Arial"/>
      <family val="2"/>
    </font>
    <font>
      <b/>
      <sz val="10"/>
      <color rgb="FFFF0000"/>
      <name val="Arial"/>
      <family val="2"/>
    </font>
    <font>
      <b/>
      <sz val="12"/>
      <color rgb="FFFF0000"/>
      <name val="Arial"/>
      <family val="2"/>
    </font>
    <font>
      <b/>
      <sz val="12"/>
      <color rgb="FF0000FF"/>
      <name val="Arial"/>
      <family val="2"/>
    </font>
    <font>
      <sz val="14"/>
      <name val="Arial"/>
      <family val="2"/>
      <charset val="204"/>
    </font>
    <font>
      <sz val="12"/>
      <color indexed="81"/>
      <name val="Tahoma"/>
      <family val="2"/>
      <charset val="204"/>
    </font>
    <font>
      <b/>
      <sz val="16"/>
      <name val="Arial"/>
      <family val="2"/>
      <charset val="204"/>
    </font>
    <font>
      <b/>
      <sz val="18"/>
      <color theme="0" tint="-4.9989318521683403E-2"/>
      <name val="Arial"/>
      <family val="2"/>
    </font>
    <font>
      <b/>
      <sz val="18"/>
      <color indexed="11"/>
      <name val="Arial"/>
      <family val="2"/>
    </font>
    <font>
      <b/>
      <sz val="14"/>
      <color indexed="17"/>
      <name val="Arial"/>
      <family val="2"/>
    </font>
    <font>
      <b/>
      <sz val="14"/>
      <color indexed="12"/>
      <name val="Arial Narrow"/>
      <family val="2"/>
    </font>
    <font>
      <b/>
      <sz val="14"/>
      <color indexed="53"/>
      <name val="Arial"/>
      <family val="2"/>
    </font>
    <font>
      <b/>
      <sz val="14"/>
      <color indexed="53"/>
      <name val="Arial Narrow"/>
      <family val="2"/>
    </font>
    <font>
      <b/>
      <sz val="14"/>
      <color indexed="11"/>
      <name val="Arial"/>
      <family val="2"/>
    </font>
    <font>
      <sz val="14"/>
      <color indexed="57"/>
      <name val="Arial"/>
      <family val="2"/>
    </font>
    <font>
      <b/>
      <sz val="12"/>
      <color rgb="FF0070C0"/>
      <name val="Arial"/>
      <family val="2"/>
    </font>
    <font>
      <b/>
      <sz val="14"/>
      <color rgb="FF0070C0"/>
      <name val="Arial"/>
      <family val="2"/>
    </font>
    <font>
      <b/>
      <sz val="14"/>
      <color rgb="FF002060"/>
      <name val="Arial"/>
      <family val="2"/>
    </font>
    <font>
      <b/>
      <sz val="14"/>
      <color rgb="FF002060"/>
      <name val="Arial"/>
      <family val="2"/>
      <charset val="204"/>
    </font>
    <font>
      <sz val="18"/>
      <name val="Arial"/>
      <family val="2"/>
    </font>
    <font>
      <b/>
      <sz val="18"/>
      <color indexed="12"/>
      <name val="Arial"/>
      <family val="2"/>
    </font>
    <font>
      <b/>
      <sz val="18"/>
      <color indexed="12"/>
      <name val="Arial Narrow"/>
      <family val="2"/>
    </font>
    <font>
      <b/>
      <sz val="18"/>
      <name val="Arial"/>
      <family val="2"/>
      <charset val="204"/>
    </font>
    <font>
      <b/>
      <sz val="18"/>
      <color rgb="FF00B050"/>
      <name val="Arial"/>
      <family val="2"/>
    </font>
    <font>
      <sz val="12"/>
      <name val="Arial"/>
      <family val="2"/>
      <charset val="204"/>
    </font>
    <font>
      <sz val="16"/>
      <name val="Arial"/>
      <family val="2"/>
      <charset val="204"/>
    </font>
    <font>
      <b/>
      <u/>
      <sz val="16"/>
      <color indexed="57"/>
      <name val="Arial"/>
      <family val="2"/>
      <charset val="204"/>
    </font>
    <font>
      <b/>
      <u/>
      <sz val="16"/>
      <color indexed="10"/>
      <name val="Arial"/>
      <family val="2"/>
      <charset val="204"/>
    </font>
    <font>
      <b/>
      <u/>
      <sz val="16"/>
      <name val="Arial"/>
      <family val="2"/>
      <charset val="204"/>
    </font>
    <font>
      <b/>
      <u/>
      <sz val="18"/>
      <name val="Arial"/>
      <family val="2"/>
    </font>
    <font>
      <sz val="18"/>
      <color indexed="81"/>
      <name val="Tahoma"/>
      <family val="2"/>
      <charset val="204"/>
    </font>
    <font>
      <b/>
      <sz val="18"/>
      <name val="Arial"/>
      <family val="2"/>
    </font>
    <font>
      <u/>
      <sz val="18"/>
      <color indexed="57"/>
      <name val="Arial"/>
      <family val="2"/>
    </font>
    <font>
      <b/>
      <u/>
      <sz val="18"/>
      <color indexed="10"/>
      <name val="Arial"/>
      <family val="2"/>
    </font>
    <font>
      <b/>
      <sz val="16"/>
      <color rgb="FF00B0F0"/>
      <name val="Arial"/>
      <family val="2"/>
    </font>
    <font>
      <b/>
      <sz val="16"/>
      <color rgb="FF00B050"/>
      <name val="Arial"/>
      <family val="2"/>
    </font>
    <font>
      <sz val="16"/>
      <color rgb="FF00B050"/>
      <name val="Arial"/>
      <family val="2"/>
    </font>
    <font>
      <b/>
      <sz val="16"/>
      <color rgb="FFFF0000"/>
      <name val="Arial"/>
      <family val="2"/>
    </font>
    <font>
      <b/>
      <sz val="18"/>
      <color rgb="FF00B0F0"/>
      <name val="Arial"/>
      <family val="2"/>
    </font>
    <font>
      <b/>
      <sz val="18"/>
      <color rgb="FFFF0000"/>
      <name val="Arial"/>
      <family val="2"/>
    </font>
    <font>
      <b/>
      <sz val="16"/>
      <color theme="1"/>
      <name val="Arial"/>
      <family val="2"/>
    </font>
    <font>
      <b/>
      <sz val="11"/>
      <color theme="0" tint="-4.9989318521683403E-2"/>
      <name val="Arial Narrow"/>
      <family val="2"/>
    </font>
    <font>
      <b/>
      <sz val="18"/>
      <name val="Arial Narrow"/>
      <family val="2"/>
    </font>
    <font>
      <b/>
      <u/>
      <sz val="22"/>
      <color indexed="10"/>
      <name val="Arial"/>
      <family val="2"/>
    </font>
    <font>
      <b/>
      <u/>
      <sz val="18"/>
      <color indexed="10"/>
      <name val="Arial"/>
      <family val="2"/>
      <charset val="204"/>
    </font>
    <font>
      <b/>
      <sz val="22"/>
      <name val="Arial"/>
      <family val="2"/>
    </font>
    <font>
      <sz val="22"/>
      <name val="Arial"/>
      <family val="2"/>
    </font>
    <font>
      <b/>
      <u/>
      <sz val="22"/>
      <name val="Arial"/>
      <family val="2"/>
    </font>
    <font>
      <b/>
      <u/>
      <sz val="22"/>
      <color indexed="57"/>
      <name val="Arial"/>
      <family val="2"/>
    </font>
    <font>
      <u/>
      <sz val="22"/>
      <name val="Arial"/>
      <family val="2"/>
    </font>
    <font>
      <sz val="48"/>
      <name val="Arial"/>
      <family val="2"/>
      <charset val="204"/>
    </font>
    <font>
      <b/>
      <sz val="18"/>
      <color indexed="57"/>
      <name val="Arial"/>
      <family val="2"/>
    </font>
    <font>
      <b/>
      <sz val="18"/>
      <color indexed="10"/>
      <name val="Arial"/>
      <family val="2"/>
    </font>
    <font>
      <b/>
      <sz val="20"/>
      <color indexed="57"/>
      <name val="Arial"/>
      <family val="2"/>
    </font>
    <font>
      <b/>
      <u/>
      <sz val="20"/>
      <name val="Arial"/>
      <family val="2"/>
    </font>
    <font>
      <sz val="20"/>
      <name val="Arial"/>
      <family val="2"/>
    </font>
    <font>
      <b/>
      <u/>
      <sz val="20"/>
      <color indexed="57"/>
      <name val="Arial"/>
      <family val="2"/>
    </font>
    <font>
      <u/>
      <sz val="20"/>
      <name val="Arial"/>
      <family val="2"/>
    </font>
    <font>
      <b/>
      <sz val="20"/>
      <color indexed="10"/>
      <name val="Arial"/>
      <family val="2"/>
    </font>
    <font>
      <b/>
      <u/>
      <sz val="20"/>
      <color indexed="10"/>
      <name val="Arial"/>
      <family val="2"/>
    </font>
    <font>
      <b/>
      <sz val="24"/>
      <color rgb="FF00B050"/>
      <name val="Arial Narrow"/>
      <family val="2"/>
    </font>
    <font>
      <b/>
      <sz val="18"/>
      <color rgb="FF00B050"/>
      <name val="Arial Narrow"/>
      <family val="2"/>
    </font>
    <font>
      <b/>
      <sz val="18"/>
      <color rgb="FF00B0F0"/>
      <name val="Arial Narrow"/>
      <family val="2"/>
    </font>
    <font>
      <b/>
      <sz val="18"/>
      <color indexed="53"/>
      <name val="Arial Narrow"/>
      <family val="2"/>
    </font>
    <font>
      <b/>
      <sz val="18"/>
      <color indexed="17"/>
      <name val="Arial Narrow"/>
      <family val="2"/>
    </font>
  </fonts>
  <fills count="26">
    <fill>
      <patternFill patternType="none"/>
    </fill>
    <fill>
      <patternFill patternType="gray125"/>
    </fill>
    <fill>
      <patternFill patternType="solid">
        <fgColor indexed="13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15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9"/>
        <bgColor indexed="64"/>
      </patternFill>
    </fill>
    <fill>
      <patternFill patternType="lightUp"/>
    </fill>
    <fill>
      <patternFill patternType="solid">
        <fgColor indexed="27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0.39997558519241921"/>
        <bgColor indexed="64"/>
      </patternFill>
    </fill>
  </fills>
  <borders count="104">
    <border>
      <left/>
      <right/>
      <top/>
      <bottom/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ck">
        <color theme="0" tint="-0.499984740745262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ck">
        <color theme="0" tint="-0.499984740745262"/>
      </left>
      <right style="thick">
        <color theme="0" tint="-0.499984740745262"/>
      </right>
      <top style="thick">
        <color theme="0" tint="-0.499984740745262"/>
      </top>
      <bottom style="medium">
        <color indexed="64"/>
      </bottom>
      <diagonal/>
    </border>
    <border>
      <left style="thick">
        <color theme="0" tint="-0.499984740745262"/>
      </left>
      <right style="thick">
        <color theme="0" tint="-0.499984740745262"/>
      </right>
      <top style="medium">
        <color indexed="64"/>
      </top>
      <bottom style="thick">
        <color theme="0" tint="-0.499984740745262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ck">
        <color theme="0" tint="-0.499984740745262"/>
      </left>
      <right style="thick">
        <color theme="0" tint="-0.499984740745262"/>
      </right>
      <top/>
      <bottom style="medium">
        <color indexed="64"/>
      </bottom>
      <diagonal/>
    </border>
    <border>
      <left style="thick">
        <color theme="0" tint="-0.499984740745262"/>
      </left>
      <right style="thick">
        <color theme="0" tint="-0.499984740745262"/>
      </right>
      <top style="medium">
        <color indexed="64"/>
      </top>
      <bottom style="medium">
        <color indexed="64"/>
      </bottom>
      <diagonal/>
    </border>
    <border>
      <left style="thick">
        <color theme="0" tint="-0.499984740745262"/>
      </left>
      <right style="thick">
        <color theme="0" tint="-0.499984740745262"/>
      </right>
      <top/>
      <bottom/>
      <diagonal/>
    </border>
    <border>
      <left style="thick">
        <color theme="0" tint="-0.499984740745262"/>
      </left>
      <right style="thick">
        <color theme="0" tint="-0.499984740745262"/>
      </right>
      <top style="medium">
        <color indexed="64"/>
      </top>
      <bottom/>
      <diagonal/>
    </border>
    <border>
      <left style="thick">
        <color theme="0" tint="-0.499984740745262"/>
      </left>
      <right style="thick">
        <color theme="0" tint="-0.499984740745262"/>
      </right>
      <top style="thick">
        <color theme="0" tint="-0.499984740745262"/>
      </top>
      <bottom style="thin">
        <color auto="1"/>
      </bottom>
      <diagonal/>
    </border>
    <border>
      <left style="thick">
        <color theme="0" tint="-0.499984740745262"/>
      </left>
      <right style="thick">
        <color theme="0" tint="-0.499984740745262"/>
      </right>
      <top style="thin">
        <color auto="1"/>
      </top>
      <bottom style="thin">
        <color auto="1"/>
      </bottom>
      <diagonal/>
    </border>
    <border>
      <left style="thick">
        <color theme="0" tint="-0.499984740745262"/>
      </left>
      <right style="thick">
        <color theme="0" tint="-0.499984740745262"/>
      </right>
      <top style="thin">
        <color auto="1"/>
      </top>
      <bottom style="thick">
        <color theme="0" tint="-0.499984740745262"/>
      </bottom>
      <diagonal/>
    </border>
    <border>
      <left style="thick">
        <color theme="0" tint="-0.499984740745262"/>
      </left>
      <right style="thick">
        <color theme="0" tint="-0.499984740745262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thick">
        <color theme="0" tint="-0.499984740745262"/>
      </left>
      <right style="thick">
        <color theme="0" tint="-0.499984740745262"/>
      </right>
      <top style="thick">
        <color theme="0" tint="-0.499984740745262"/>
      </top>
      <bottom style="thick">
        <color theme="0" tint="-0.499984740745262"/>
      </bottom>
      <diagonal/>
    </border>
    <border>
      <left style="thick">
        <color theme="0" tint="-0.499984740745262"/>
      </left>
      <right style="thick">
        <color theme="0" tint="-0.499984740745262"/>
      </right>
      <top style="thick">
        <color theme="0" tint="-0.499984740745262"/>
      </top>
      <bottom/>
      <diagonal/>
    </border>
    <border>
      <left style="thick">
        <color theme="0" tint="-0.499984740745262"/>
      </left>
      <right style="thick">
        <color theme="0" tint="-0.499984740745262"/>
      </right>
      <top/>
      <bottom style="thick">
        <color theme="0" tint="-0.499984740745262"/>
      </bottom>
      <diagonal/>
    </border>
    <border>
      <left style="thin">
        <color indexed="64"/>
      </left>
      <right style="thick">
        <color theme="0" tint="-0.499984740745262"/>
      </right>
      <top style="thick">
        <color theme="0" tint="-0.499984740745262"/>
      </top>
      <bottom style="thick">
        <color theme="0" tint="-0.499984740745262"/>
      </bottom>
      <diagonal/>
    </border>
    <border>
      <left style="thick">
        <color theme="0" tint="-0.499984740745262"/>
      </left>
      <right style="thin">
        <color indexed="64"/>
      </right>
      <top style="thick">
        <color theme="0" tint="-0.499984740745262"/>
      </top>
      <bottom style="thick">
        <color theme="0" tint="-0.499984740745262"/>
      </bottom>
      <diagonal/>
    </border>
    <border>
      <left/>
      <right style="thick">
        <color theme="0" tint="-0.499984740745262"/>
      </right>
      <top style="thick">
        <color theme="0" tint="-0.499984740745262"/>
      </top>
      <bottom style="thick">
        <color theme="0" tint="-0.499984740745262"/>
      </bottom>
      <diagonal/>
    </border>
    <border>
      <left style="thick">
        <color theme="0" tint="-0.499984740745262"/>
      </left>
      <right/>
      <top style="thick">
        <color theme="0" tint="-0.499984740745262"/>
      </top>
      <bottom style="thick">
        <color theme="0" tint="-0.499984740745262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B0F0"/>
      </left>
      <right/>
      <top style="medium">
        <color rgb="FF00B0F0"/>
      </top>
      <bottom/>
      <diagonal/>
    </border>
    <border>
      <left/>
      <right/>
      <top style="medium">
        <color rgb="FF00B0F0"/>
      </top>
      <bottom/>
      <diagonal/>
    </border>
    <border>
      <left/>
      <right style="medium">
        <color rgb="FF00B0F0"/>
      </right>
      <top style="medium">
        <color rgb="FF00B0F0"/>
      </top>
      <bottom/>
      <diagonal/>
    </border>
    <border>
      <left/>
      <right/>
      <top/>
      <bottom style="medium">
        <color rgb="FF00B0F0"/>
      </bottom>
      <diagonal/>
    </border>
    <border>
      <left style="medium">
        <color rgb="FF00B050"/>
      </left>
      <right/>
      <top style="medium">
        <color rgb="FF00B050"/>
      </top>
      <bottom/>
      <diagonal/>
    </border>
    <border>
      <left/>
      <right/>
      <top style="medium">
        <color rgb="FF00B050"/>
      </top>
      <bottom/>
      <diagonal/>
    </border>
    <border>
      <left/>
      <right style="medium">
        <color rgb="FF00B050"/>
      </right>
      <top style="medium">
        <color rgb="FF00B050"/>
      </top>
      <bottom/>
      <diagonal/>
    </border>
    <border>
      <left/>
      <right/>
      <top/>
      <bottom style="medium">
        <color rgb="FF00B050"/>
      </bottom>
      <diagonal/>
    </border>
    <border>
      <left style="medium">
        <color rgb="FFFF0000"/>
      </left>
      <right/>
      <top style="medium">
        <color rgb="FFFF0000"/>
      </top>
      <bottom/>
      <diagonal/>
    </border>
    <border>
      <left/>
      <right/>
      <top style="medium">
        <color rgb="FFFF0000"/>
      </top>
      <bottom/>
      <diagonal/>
    </border>
    <border>
      <left/>
      <right style="medium">
        <color rgb="FFFF0000"/>
      </right>
      <top style="medium">
        <color rgb="FFFF0000"/>
      </top>
      <bottom/>
      <diagonal/>
    </border>
    <border>
      <left/>
      <right/>
      <top/>
      <bottom style="medium">
        <color rgb="FFFF0000"/>
      </bottom>
      <diagonal/>
    </border>
    <border>
      <left style="medium">
        <color rgb="FFFF0000"/>
      </left>
      <right/>
      <top style="medium">
        <color rgb="FFFF0000"/>
      </top>
      <bottom style="medium">
        <color rgb="FFFF0000"/>
      </bottom>
      <diagonal/>
    </border>
    <border>
      <left/>
      <right/>
      <top style="medium">
        <color rgb="FFFF0000"/>
      </top>
      <bottom style="medium">
        <color rgb="FFFF0000"/>
      </bottom>
      <diagonal/>
    </border>
    <border>
      <left/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 style="medium">
        <color rgb="FF00B0F0"/>
      </left>
      <right/>
      <top style="medium">
        <color rgb="FF00B0F0"/>
      </top>
      <bottom style="medium">
        <color rgb="FF00B0F0"/>
      </bottom>
      <diagonal/>
    </border>
    <border>
      <left/>
      <right/>
      <top style="medium">
        <color rgb="FF00B0F0"/>
      </top>
      <bottom style="medium">
        <color rgb="FF00B0F0"/>
      </bottom>
      <diagonal/>
    </border>
    <border>
      <left/>
      <right/>
      <top style="medium">
        <color rgb="FF00B050"/>
      </top>
      <bottom style="medium">
        <color rgb="FF00B050"/>
      </bottom>
      <diagonal/>
    </border>
    <border>
      <left/>
      <right style="medium">
        <color rgb="FF00B050"/>
      </right>
      <top style="medium">
        <color rgb="FF00B050"/>
      </top>
      <bottom style="medium">
        <color rgb="FF00B050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 style="medium">
        <color rgb="FFFF0000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rgb="FFFF0000"/>
      </left>
      <right/>
      <top/>
      <bottom/>
      <diagonal/>
    </border>
    <border>
      <left/>
      <right style="medium">
        <color rgb="FFFF0000"/>
      </right>
      <top/>
      <bottom/>
      <diagonal/>
    </border>
    <border>
      <left style="medium">
        <color indexed="64"/>
      </left>
      <right style="medium">
        <color rgb="FFFF0000"/>
      </right>
      <top/>
      <bottom style="medium">
        <color indexed="64"/>
      </bottom>
      <diagonal/>
    </border>
    <border>
      <left/>
      <right style="medium">
        <color rgb="FFFF0000"/>
      </right>
      <top style="medium">
        <color indexed="64"/>
      </top>
      <bottom style="medium">
        <color indexed="64"/>
      </bottom>
      <diagonal/>
    </border>
    <border>
      <left style="medium">
        <color rgb="FFFF0000"/>
      </left>
      <right/>
      <top/>
      <bottom style="medium">
        <color indexed="64"/>
      </bottom>
      <diagonal/>
    </border>
    <border>
      <left/>
      <right style="medium">
        <color rgb="FFFF0000"/>
      </right>
      <top/>
      <bottom style="medium">
        <color indexed="64"/>
      </bottom>
      <diagonal/>
    </border>
    <border>
      <left style="medium">
        <color rgb="FFFF0000"/>
      </left>
      <right/>
      <top style="medium">
        <color indexed="64"/>
      </top>
      <bottom style="medium">
        <color indexed="64"/>
      </bottom>
      <diagonal/>
    </border>
    <border>
      <left style="medium">
        <color rgb="FFFF0000"/>
      </left>
      <right/>
      <top style="medium">
        <color indexed="64"/>
      </top>
      <bottom/>
      <diagonal/>
    </border>
    <border>
      <left/>
      <right style="medium">
        <color rgb="FFFF0000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medium">
        <color rgb="FFFF0000"/>
      </bottom>
      <diagonal/>
    </border>
    <border>
      <left style="medium">
        <color rgb="FF00B050"/>
      </left>
      <right style="medium">
        <color rgb="FF00B050"/>
      </right>
      <top style="medium">
        <color rgb="FF00B0F0"/>
      </top>
      <bottom style="medium">
        <color rgb="FF00B0F0"/>
      </bottom>
      <diagonal/>
    </border>
    <border>
      <left style="medium">
        <color indexed="64"/>
      </left>
      <right/>
      <top style="medium">
        <color rgb="FF00B050"/>
      </top>
      <bottom style="medium">
        <color rgb="FF00B050"/>
      </bottom>
      <diagonal/>
    </border>
    <border>
      <left style="medium">
        <color rgb="FF00B0F0"/>
      </left>
      <right style="medium">
        <color rgb="FF00B0F0"/>
      </right>
      <top style="medium">
        <color rgb="FF00B050"/>
      </top>
      <bottom style="medium">
        <color rgb="FF00B05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rgb="FF00B0F0"/>
      </left>
      <right/>
      <top/>
      <bottom style="medium">
        <color rgb="FF00B0F0"/>
      </bottom>
      <diagonal/>
    </border>
    <border>
      <left/>
      <right style="medium">
        <color rgb="FF00B0F0"/>
      </right>
      <top/>
      <bottom style="medium">
        <color rgb="FF00B0F0"/>
      </bottom>
      <diagonal/>
    </border>
    <border>
      <left style="medium">
        <color rgb="FF00B050"/>
      </left>
      <right/>
      <top/>
      <bottom style="medium">
        <color rgb="FF00B050"/>
      </bottom>
      <diagonal/>
    </border>
    <border>
      <left/>
      <right style="medium">
        <color rgb="FF00B050"/>
      </right>
      <top/>
      <bottom style="medium">
        <color rgb="FF00B050"/>
      </bottom>
      <diagonal/>
    </border>
    <border>
      <left style="medium">
        <color rgb="FFFF0000"/>
      </left>
      <right/>
      <top/>
      <bottom style="medium">
        <color rgb="FFFF0000"/>
      </bottom>
      <diagonal/>
    </border>
    <border>
      <left/>
      <right style="medium">
        <color rgb="FFFF0000"/>
      </right>
      <top/>
      <bottom style="medium">
        <color rgb="FFFF0000"/>
      </bottom>
      <diagonal/>
    </border>
  </borders>
  <cellStyleXfs count="3">
    <xf numFmtId="0" fontId="0" fillId="0" borderId="0"/>
    <xf numFmtId="0" fontId="1" fillId="0" borderId="0"/>
    <xf numFmtId="0" fontId="97" fillId="0" borderId="0"/>
  </cellStyleXfs>
  <cellXfs count="2149">
    <xf numFmtId="0" fontId="0" fillId="0" borderId="0" xfId="0"/>
    <xf numFmtId="0" fontId="0" fillId="0" borderId="1" xfId="0" applyBorder="1"/>
    <xf numFmtId="0" fontId="0" fillId="0" borderId="2" xfId="0" applyBorder="1"/>
    <xf numFmtId="0" fontId="0" fillId="0" borderId="3" xfId="0" applyBorder="1"/>
    <xf numFmtId="0" fontId="3" fillId="0" borderId="0" xfId="0" applyFont="1"/>
    <xf numFmtId="0" fontId="4" fillId="0" borderId="0" xfId="0" applyFont="1" applyBorder="1" applyAlignment="1">
      <alignment horizontal="center"/>
    </xf>
    <xf numFmtId="0" fontId="0" fillId="0" borderId="0" xfId="0" applyBorder="1" applyAlignment="1">
      <alignment horizontal="center" wrapText="1"/>
    </xf>
    <xf numFmtId="0" fontId="0" fillId="0" borderId="0" xfId="0" applyBorder="1"/>
    <xf numFmtId="0" fontId="7" fillId="0" borderId="0" xfId="0" applyFont="1"/>
    <xf numFmtId="0" fontId="0" fillId="0" borderId="4" xfId="0" applyBorder="1" applyAlignment="1">
      <alignment horizontal="center"/>
    </xf>
    <xf numFmtId="0" fontId="3" fillId="0" borderId="0" xfId="0" applyFont="1" applyBorder="1"/>
    <xf numFmtId="0" fontId="9" fillId="0" borderId="0" xfId="0" applyNumberFormat="1" applyFont="1" applyFill="1" applyBorder="1"/>
    <xf numFmtId="0" fontId="6" fillId="0" borderId="0" xfId="0" applyNumberFormat="1" applyFont="1" applyFill="1" applyBorder="1"/>
    <xf numFmtId="0" fontId="5" fillId="0" borderId="0" xfId="0" applyFont="1" applyFill="1"/>
    <xf numFmtId="0" fontId="0" fillId="0" borderId="0" xfId="0" applyFill="1"/>
    <xf numFmtId="0" fontId="0" fillId="0" borderId="0" xfId="0" applyFill="1" applyBorder="1"/>
    <xf numFmtId="0" fontId="8" fillId="0" borderId="0" xfId="0" applyFont="1" applyFill="1" applyBorder="1"/>
    <xf numFmtId="0" fontId="10" fillId="0" borderId="0" xfId="0" applyFont="1"/>
    <xf numFmtId="0" fontId="10" fillId="0" borderId="0" xfId="0" applyFont="1" applyBorder="1"/>
    <xf numFmtId="0" fontId="0" fillId="0" borderId="0" xfId="0" applyFill="1" applyAlignment="1">
      <alignment horizontal="center"/>
    </xf>
    <xf numFmtId="0" fontId="5" fillId="0" borderId="6" xfId="0" applyFont="1" applyFill="1" applyBorder="1" applyAlignment="1"/>
    <xf numFmtId="0" fontId="11" fillId="0" borderId="0" xfId="0" applyFont="1" applyFill="1" applyAlignment="1">
      <alignment horizontal="left"/>
    </xf>
    <xf numFmtId="0" fontId="11" fillId="0" borderId="0" xfId="0" applyFont="1" applyAlignment="1">
      <alignment horizontal="left"/>
    </xf>
    <xf numFmtId="0" fontId="12" fillId="0" borderId="0" xfId="0" applyFont="1" applyBorder="1" applyAlignment="1">
      <alignment horizontal="center"/>
    </xf>
    <xf numFmtId="0" fontId="5" fillId="0" borderId="0" xfId="0" applyFont="1" applyFill="1" applyBorder="1"/>
    <xf numFmtId="49" fontId="5" fillId="0" borderId="0" xfId="0" applyNumberFormat="1" applyFont="1" applyFill="1" applyBorder="1" applyAlignment="1">
      <alignment horizontal="center"/>
    </xf>
    <xf numFmtId="0" fontId="13" fillId="3" borderId="8" xfId="0" applyNumberFormat="1" applyFont="1" applyFill="1" applyBorder="1" applyAlignment="1">
      <alignment horizontal="center"/>
    </xf>
    <xf numFmtId="2" fontId="0" fillId="0" borderId="0" xfId="0" applyNumberFormat="1"/>
    <xf numFmtId="2" fontId="9" fillId="0" borderId="0" xfId="0" applyNumberFormat="1" applyFont="1" applyFill="1" applyBorder="1"/>
    <xf numFmtId="2" fontId="5" fillId="0" borderId="9" xfId="0" applyNumberFormat="1" applyFont="1" applyFill="1" applyBorder="1" applyAlignment="1"/>
    <xf numFmtId="49" fontId="5" fillId="4" borderId="5" xfId="0" applyNumberFormat="1" applyFont="1" applyFill="1" applyBorder="1" applyAlignment="1">
      <alignment horizontal="center" wrapText="1"/>
    </xf>
    <xf numFmtId="0" fontId="14" fillId="0" borderId="7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 vertical="center" wrapText="1"/>
    </xf>
    <xf numFmtId="2" fontId="15" fillId="0" borderId="0" xfId="0" applyNumberFormat="1" applyFont="1" applyBorder="1"/>
    <xf numFmtId="0" fontId="0" fillId="0" borderId="4" xfId="0" applyBorder="1" applyAlignment="1">
      <alignment horizontal="center" wrapText="1"/>
    </xf>
    <xf numFmtId="2" fontId="14" fillId="0" borderId="0" xfId="0" applyNumberFormat="1" applyFont="1" applyAlignment="1">
      <alignment horizontal="center"/>
    </xf>
    <xf numFmtId="2" fontId="14" fillId="0" borderId="0" xfId="0" applyNumberFormat="1" applyFont="1" applyBorder="1" applyAlignment="1">
      <alignment horizontal="center"/>
    </xf>
    <xf numFmtId="0" fontId="0" fillId="0" borderId="10" xfId="0" applyBorder="1"/>
    <xf numFmtId="0" fontId="4" fillId="0" borderId="0" xfId="0" applyFont="1" applyFill="1" applyBorder="1" applyAlignment="1">
      <alignment horizontal="center"/>
    </xf>
    <xf numFmtId="0" fontId="17" fillId="0" borderId="0" xfId="0" applyNumberFormat="1" applyFont="1" applyFill="1" applyBorder="1"/>
    <xf numFmtId="0" fontId="18" fillId="0" borderId="0" xfId="0" applyFont="1"/>
    <xf numFmtId="0" fontId="18" fillId="0" borderId="0" xfId="0" applyFont="1" applyBorder="1"/>
    <xf numFmtId="0" fontId="20" fillId="0" borderId="0" xfId="0" applyFont="1"/>
    <xf numFmtId="0" fontId="16" fillId="3" borderId="0" xfId="0" applyNumberFormat="1" applyFont="1" applyFill="1" applyBorder="1" applyAlignment="1">
      <alignment horizontal="center"/>
    </xf>
    <xf numFmtId="0" fontId="13" fillId="3" borderId="0" xfId="0" applyNumberFormat="1" applyFont="1" applyFill="1" applyBorder="1" applyAlignment="1">
      <alignment horizontal="center"/>
    </xf>
    <xf numFmtId="0" fontId="21" fillId="0" borderId="11" xfId="0" applyFont="1" applyFill="1" applyBorder="1"/>
    <xf numFmtId="0" fontId="21" fillId="0" borderId="12" xfId="0" applyFont="1" applyFill="1" applyBorder="1"/>
    <xf numFmtId="0" fontId="19" fillId="0" borderId="11" xfId="0" applyFont="1" applyFill="1" applyBorder="1"/>
    <xf numFmtId="0" fontId="19" fillId="0" borderId="12" xfId="0" applyFont="1" applyFill="1" applyBorder="1"/>
    <xf numFmtId="0" fontId="19" fillId="0" borderId="0" xfId="0" applyFont="1" applyFill="1" applyBorder="1"/>
    <xf numFmtId="49" fontId="5" fillId="0" borderId="0" xfId="0" applyNumberFormat="1" applyFont="1" applyFill="1" applyBorder="1" applyAlignment="1">
      <alignment horizontal="center" wrapText="1"/>
    </xf>
    <xf numFmtId="0" fontId="23" fillId="0" borderId="0" xfId="0" applyFont="1" applyAlignment="1">
      <alignment horizontal="center"/>
    </xf>
    <xf numFmtId="0" fontId="0" fillId="0" borderId="11" xfId="0" applyBorder="1"/>
    <xf numFmtId="0" fontId="24" fillId="0" borderId="0" xfId="0" applyFont="1"/>
    <xf numFmtId="1" fontId="0" fillId="0" borderId="0" xfId="0" applyNumberFormat="1"/>
    <xf numFmtId="0" fontId="26" fillId="0" borderId="0" xfId="0" applyFont="1" applyFill="1"/>
    <xf numFmtId="0" fontId="27" fillId="0" borderId="0" xfId="0" applyFont="1" applyFill="1"/>
    <xf numFmtId="0" fontId="23" fillId="0" borderId="0" xfId="0" applyFont="1" applyBorder="1" applyAlignment="1">
      <alignment horizontal="center"/>
    </xf>
    <xf numFmtId="0" fontId="0" fillId="4" borderId="0" xfId="0" applyFill="1" applyBorder="1"/>
    <xf numFmtId="0" fontId="8" fillId="0" borderId="0" xfId="0" applyFont="1"/>
    <xf numFmtId="0" fontId="3" fillId="0" borderId="0" xfId="0" applyFont="1" applyAlignment="1">
      <alignment horizontal="center"/>
    </xf>
    <xf numFmtId="0" fontId="28" fillId="0" borderId="0" xfId="0" applyFont="1" applyFill="1" applyBorder="1"/>
    <xf numFmtId="0" fontId="29" fillId="0" borderId="0" xfId="0" applyFont="1"/>
    <xf numFmtId="0" fontId="29" fillId="0" borderId="0" xfId="0" applyFont="1" applyAlignment="1">
      <alignment horizontal="right"/>
    </xf>
    <xf numFmtId="0" fontId="3" fillId="0" borderId="0" xfId="0" applyFont="1" applyBorder="1" applyAlignment="1">
      <alignment horizontal="right"/>
    </xf>
    <xf numFmtId="0" fontId="23" fillId="0" borderId="0" xfId="0" applyFont="1" applyBorder="1"/>
    <xf numFmtId="0" fontId="21" fillId="0" borderId="0" xfId="0" applyFont="1" applyFill="1" applyBorder="1"/>
    <xf numFmtId="0" fontId="3" fillId="0" borderId="0" xfId="0" applyFont="1" applyBorder="1" applyAlignment="1">
      <alignment horizontal="center"/>
    </xf>
    <xf numFmtId="0" fontId="7" fillId="0" borderId="0" xfId="0" applyFont="1" applyBorder="1"/>
    <xf numFmtId="1" fontId="31" fillId="0" borderId="0" xfId="0" applyNumberFormat="1" applyFont="1" applyBorder="1" applyAlignment="1"/>
    <xf numFmtId="1" fontId="36" fillId="0" borderId="0" xfId="0" applyNumberFormat="1" applyFont="1" applyBorder="1" applyAlignment="1"/>
    <xf numFmtId="2" fontId="5" fillId="0" borderId="0" xfId="0" applyNumberFormat="1" applyFont="1" applyFill="1" applyBorder="1" applyAlignment="1"/>
    <xf numFmtId="0" fontId="16" fillId="0" borderId="0" xfId="0" applyNumberFormat="1" applyFont="1" applyFill="1" applyBorder="1" applyAlignment="1"/>
    <xf numFmtId="2" fontId="15" fillId="0" borderId="0" xfId="0" applyNumberFormat="1" applyFont="1" applyFill="1" applyBorder="1"/>
    <xf numFmtId="0" fontId="0" fillId="0" borderId="0" xfId="0" applyFill="1" applyBorder="1" applyAlignment="1">
      <alignment horizontal="center"/>
    </xf>
    <xf numFmtId="49" fontId="3" fillId="4" borderId="0" xfId="0" applyNumberFormat="1" applyFont="1" applyFill="1" applyBorder="1" applyAlignment="1">
      <alignment horizontal="center" wrapText="1"/>
    </xf>
    <xf numFmtId="0" fontId="5" fillId="0" borderId="1" xfId="0" applyFont="1" applyFill="1" applyBorder="1" applyAlignment="1"/>
    <xf numFmtId="0" fontId="1" fillId="0" borderId="0" xfId="0" applyFont="1"/>
    <xf numFmtId="0" fontId="38" fillId="0" borderId="0" xfId="0" applyFont="1" applyBorder="1" applyAlignment="1">
      <alignment vertical="center"/>
    </xf>
    <xf numFmtId="0" fontId="39" fillId="0" borderId="0" xfId="0" applyNumberFormat="1" applyFont="1" applyFill="1" applyBorder="1" applyAlignment="1"/>
    <xf numFmtId="0" fontId="24" fillId="0" borderId="0" xfId="0" applyFont="1" applyFill="1" applyBorder="1"/>
    <xf numFmtId="0" fontId="5" fillId="2" borderId="5" xfId="0" applyFont="1" applyFill="1" applyBorder="1" applyAlignment="1">
      <alignment horizontal="center"/>
    </xf>
    <xf numFmtId="0" fontId="40" fillId="0" borderId="0" xfId="0" applyFont="1" applyBorder="1"/>
    <xf numFmtId="0" fontId="41" fillId="0" borderId="0" xfId="0" applyFont="1" applyBorder="1"/>
    <xf numFmtId="0" fontId="12" fillId="0" borderId="0" xfId="0" applyFont="1" applyFill="1" applyBorder="1" applyAlignment="1">
      <alignment wrapText="1"/>
    </xf>
    <xf numFmtId="0" fontId="30" fillId="0" borderId="0" xfId="0" applyFont="1" applyFill="1" applyBorder="1" applyAlignment="1">
      <alignment horizontal="center"/>
    </xf>
    <xf numFmtId="0" fontId="13" fillId="0" borderId="0" xfId="0" applyNumberFormat="1" applyFont="1" applyFill="1" applyBorder="1" applyAlignment="1">
      <alignment horizontal="center"/>
    </xf>
    <xf numFmtId="0" fontId="5" fillId="2" borderId="5" xfId="0" applyFont="1" applyFill="1" applyBorder="1" applyAlignment="1"/>
    <xf numFmtId="0" fontId="5" fillId="2" borderId="6" xfId="0" applyFont="1" applyFill="1" applyBorder="1" applyAlignment="1"/>
    <xf numFmtId="0" fontId="37" fillId="0" borderId="0" xfId="0" applyNumberFormat="1" applyFont="1" applyFill="1" applyBorder="1" applyAlignment="1">
      <alignment vertical="center"/>
    </xf>
    <xf numFmtId="2" fontId="5" fillId="0" borderId="3" xfId="0" applyNumberFormat="1" applyFont="1" applyFill="1" applyBorder="1" applyAlignment="1"/>
    <xf numFmtId="0" fontId="0" fillId="0" borderId="0" xfId="0" applyFill="1" applyBorder="1" applyAlignment="1">
      <alignment horizontal="center" wrapText="1"/>
    </xf>
    <xf numFmtId="0" fontId="45" fillId="0" borderId="0" xfId="0" applyFont="1" applyBorder="1" applyAlignment="1">
      <alignment horizontal="center"/>
    </xf>
    <xf numFmtId="0" fontId="0" fillId="2" borderId="0" xfId="0" applyFill="1" applyBorder="1" applyAlignment="1">
      <alignment horizontal="center" wrapText="1"/>
    </xf>
    <xf numFmtId="0" fontId="44" fillId="2" borderId="0" xfId="0" applyFont="1" applyFill="1" applyBorder="1"/>
    <xf numFmtId="0" fontId="0" fillId="7" borderId="0" xfId="0" applyFill="1" applyBorder="1" applyAlignment="1">
      <alignment horizontal="center" wrapText="1"/>
    </xf>
    <xf numFmtId="0" fontId="0" fillId="7" borderId="0" xfId="0" applyFill="1" applyBorder="1"/>
    <xf numFmtId="0" fontId="12" fillId="7" borderId="0" xfId="0" applyFont="1" applyFill="1" applyBorder="1" applyAlignment="1">
      <alignment horizontal="center"/>
    </xf>
    <xf numFmtId="0" fontId="44" fillId="7" borderId="0" xfId="0" applyFont="1" applyFill="1" applyBorder="1"/>
    <xf numFmtId="0" fontId="3" fillId="8" borderId="0" xfId="0" applyFont="1" applyFill="1"/>
    <xf numFmtId="0" fontId="45" fillId="8" borderId="0" xfId="0" applyFont="1" applyFill="1" applyBorder="1" applyAlignment="1">
      <alignment horizontal="center"/>
    </xf>
    <xf numFmtId="2" fontId="46" fillId="0" borderId="0" xfId="0" applyNumberFormat="1" applyFont="1" applyFill="1" applyAlignment="1">
      <alignment horizontal="center"/>
    </xf>
    <xf numFmtId="0" fontId="22" fillId="0" borderId="0" xfId="0" applyFont="1" applyFill="1" applyBorder="1" applyAlignment="1">
      <alignment horizontal="center"/>
    </xf>
    <xf numFmtId="0" fontId="30" fillId="2" borderId="0" xfId="0" applyFont="1" applyFill="1" applyBorder="1" applyAlignment="1">
      <alignment horizontal="center"/>
    </xf>
    <xf numFmtId="0" fontId="5" fillId="2" borderId="2" xfId="0" applyFont="1" applyFill="1" applyBorder="1" applyAlignment="1">
      <alignment horizontal="center"/>
    </xf>
    <xf numFmtId="0" fontId="5" fillId="0" borderId="0" xfId="0" applyFont="1" applyFill="1" applyAlignment="1">
      <alignment wrapText="1"/>
    </xf>
    <xf numFmtId="0" fontId="10" fillId="0" borderId="0" xfId="0" applyFont="1" applyBorder="1" applyAlignment="1">
      <alignment horizontal="center" wrapText="1"/>
    </xf>
    <xf numFmtId="0" fontId="10" fillId="0" borderId="0" xfId="0" applyFont="1" applyFill="1" applyAlignment="1">
      <alignment horizontal="center"/>
    </xf>
    <xf numFmtId="0" fontId="3" fillId="6" borderId="0" xfId="0" applyFont="1" applyFill="1" applyBorder="1"/>
    <xf numFmtId="2" fontId="47" fillId="2" borderId="5" xfId="0" applyNumberFormat="1" applyFont="1" applyFill="1" applyBorder="1" applyAlignment="1">
      <alignment horizontal="center"/>
    </xf>
    <xf numFmtId="2" fontId="47" fillId="2" borderId="7" xfId="0" applyNumberFormat="1" applyFont="1" applyFill="1" applyBorder="1" applyAlignment="1">
      <alignment horizontal="center"/>
    </xf>
    <xf numFmtId="0" fontId="13" fillId="0" borderId="8" xfId="0" applyNumberFormat="1" applyFont="1" applyFill="1" applyBorder="1" applyAlignment="1"/>
    <xf numFmtId="0" fontId="13" fillId="0" borderId="0" xfId="0" applyNumberFormat="1" applyFont="1" applyFill="1" applyBorder="1" applyAlignment="1"/>
    <xf numFmtId="0" fontId="13" fillId="0" borderId="13" xfId="0" applyNumberFormat="1" applyFont="1" applyFill="1" applyBorder="1" applyAlignment="1"/>
    <xf numFmtId="0" fontId="43" fillId="0" borderId="0" xfId="0" applyNumberFormat="1" applyFont="1" applyFill="1" applyBorder="1" applyAlignment="1">
      <alignment horizontal="center" wrapText="1"/>
    </xf>
    <xf numFmtId="0" fontId="4" fillId="4" borderId="14" xfId="0" applyFont="1" applyFill="1" applyBorder="1" applyAlignment="1"/>
    <xf numFmtId="0" fontId="7" fillId="0" borderId="0" xfId="0" applyFont="1" applyFill="1" applyBorder="1" applyAlignment="1"/>
    <xf numFmtId="0" fontId="5" fillId="2" borderId="7" xfId="0" applyFont="1" applyFill="1" applyBorder="1" applyAlignment="1">
      <alignment horizontal="center"/>
    </xf>
    <xf numFmtId="0" fontId="5" fillId="2" borderId="15" xfId="0" applyFont="1" applyFill="1" applyBorder="1" applyAlignment="1">
      <alignment horizontal="center"/>
    </xf>
    <xf numFmtId="0" fontId="15" fillId="0" borderId="0" xfId="0" applyFont="1" applyFill="1" applyBorder="1" applyAlignment="1">
      <alignment horizontal="center" vertical="center" wrapText="1"/>
    </xf>
    <xf numFmtId="0" fontId="12" fillId="7" borderId="8" xfId="0" applyFont="1" applyFill="1" applyBorder="1" applyAlignment="1">
      <alignment horizontal="center"/>
    </xf>
    <xf numFmtId="0" fontId="44" fillId="2" borderId="8" xfId="0" applyFont="1" applyFill="1" applyBorder="1"/>
    <xf numFmtId="0" fontId="45" fillId="0" borderId="8" xfId="0" applyFont="1" applyBorder="1" applyAlignment="1">
      <alignment horizontal="center"/>
    </xf>
    <xf numFmtId="0" fontId="5" fillId="0" borderId="5" xfId="0" applyFont="1" applyFill="1" applyBorder="1" applyAlignment="1">
      <alignment horizontal="center"/>
    </xf>
    <xf numFmtId="0" fontId="5" fillId="0" borderId="7" xfId="0" applyFont="1" applyFill="1" applyBorder="1" applyAlignment="1">
      <alignment horizontal="center"/>
    </xf>
    <xf numFmtId="0" fontId="48" fillId="0" borderId="0" xfId="0" applyFont="1"/>
    <xf numFmtId="0" fontId="3" fillId="0" borderId="0" xfId="0" applyFont="1" applyFill="1" applyBorder="1"/>
    <xf numFmtId="0" fontId="4" fillId="0" borderId="0" xfId="0" applyFont="1" applyFill="1" applyBorder="1" applyAlignment="1"/>
    <xf numFmtId="0" fontId="19" fillId="0" borderId="0" xfId="0" applyFont="1" applyFill="1" applyBorder="1" applyAlignment="1">
      <alignment horizontal="center"/>
    </xf>
    <xf numFmtId="0" fontId="10" fillId="0" borderId="0" xfId="0" applyFont="1" applyFill="1" applyBorder="1"/>
    <xf numFmtId="0" fontId="40" fillId="0" borderId="0" xfId="0" applyFont="1" applyFill="1" applyBorder="1"/>
    <xf numFmtId="0" fontId="0" fillId="0" borderId="16" xfId="0" applyFill="1" applyBorder="1"/>
    <xf numFmtId="0" fontId="41" fillId="0" borderId="0" xfId="0" applyFont="1" applyFill="1" applyBorder="1"/>
    <xf numFmtId="0" fontId="0" fillId="0" borderId="17" xfId="0" applyFill="1" applyBorder="1"/>
    <xf numFmtId="2" fontId="47" fillId="7" borderId="18" xfId="0" applyNumberFormat="1" applyFont="1" applyFill="1" applyBorder="1" applyAlignment="1">
      <alignment horizontal="center"/>
    </xf>
    <xf numFmtId="2" fontId="5" fillId="7" borderId="5" xfId="0" applyNumberFormat="1" applyFont="1" applyFill="1" applyBorder="1" applyAlignment="1">
      <alignment horizontal="center"/>
    </xf>
    <xf numFmtId="49" fontId="3" fillId="0" borderId="0" xfId="0" applyNumberFormat="1" applyFont="1" applyFill="1" applyBorder="1" applyAlignment="1">
      <alignment horizontal="center" wrapText="1"/>
    </xf>
    <xf numFmtId="2" fontId="47" fillId="7" borderId="8" xfId="0" applyNumberFormat="1" applyFont="1" applyFill="1" applyBorder="1" applyAlignment="1">
      <alignment horizontal="center"/>
    </xf>
    <xf numFmtId="0" fontId="4" fillId="4" borderId="0" xfId="0" applyFont="1" applyFill="1" applyBorder="1" applyAlignment="1"/>
    <xf numFmtId="2" fontId="5" fillId="0" borderId="7" xfId="0" applyNumberFormat="1" applyFont="1" applyFill="1" applyBorder="1" applyAlignment="1"/>
    <xf numFmtId="0" fontId="5" fillId="0" borderId="0" xfId="0" applyFont="1" applyBorder="1"/>
    <xf numFmtId="0" fontId="51" fillId="0" borderId="0" xfId="0" applyFont="1" applyFill="1"/>
    <xf numFmtId="0" fontId="52" fillId="0" borderId="0" xfId="0" applyFont="1" applyFill="1" applyAlignment="1">
      <alignment horizontal="center"/>
    </xf>
    <xf numFmtId="0" fontId="52" fillId="0" borderId="0" xfId="0" applyFont="1"/>
    <xf numFmtId="0" fontId="52" fillId="0" borderId="0" xfId="0" applyFont="1" applyFill="1"/>
    <xf numFmtId="0" fontId="51" fillId="0" borderId="0" xfId="0" applyFont="1" applyBorder="1"/>
    <xf numFmtId="0" fontId="52" fillId="0" borderId="0" xfId="0" applyFont="1" applyBorder="1"/>
    <xf numFmtId="0" fontId="53" fillId="0" borderId="0" xfId="0" applyFont="1" applyFill="1"/>
    <xf numFmtId="0" fontId="53" fillId="0" borderId="0" xfId="0" applyFont="1" applyBorder="1" applyAlignment="1">
      <alignment horizontal="right"/>
    </xf>
    <xf numFmtId="0" fontId="53" fillId="0" borderId="0" xfId="0" applyFont="1" applyBorder="1"/>
    <xf numFmtId="0" fontId="29" fillId="0" borderId="0" xfId="0" applyFont="1" applyFill="1" applyAlignment="1">
      <alignment horizontal="center"/>
    </xf>
    <xf numFmtId="0" fontId="54" fillId="2" borderId="8" xfId="0" applyFont="1" applyFill="1" applyBorder="1" applyAlignment="1">
      <alignment wrapText="1"/>
    </xf>
    <xf numFmtId="0" fontId="54" fillId="2" borderId="8" xfId="0" applyFont="1" applyFill="1" applyBorder="1" applyAlignment="1">
      <alignment horizontal="center"/>
    </xf>
    <xf numFmtId="0" fontId="55" fillId="0" borderId="8" xfId="0" applyFont="1" applyFill="1" applyBorder="1"/>
    <xf numFmtId="0" fontId="56" fillId="0" borderId="8" xfId="0" applyFont="1" applyFill="1" applyBorder="1" applyAlignment="1">
      <alignment horizontal="center"/>
    </xf>
    <xf numFmtId="0" fontId="8" fillId="0" borderId="0" xfId="0" applyFont="1" applyBorder="1"/>
    <xf numFmtId="0" fontId="8" fillId="0" borderId="4" xfId="0" applyFont="1" applyBorder="1" applyAlignment="1">
      <alignment horizontal="center" wrapText="1"/>
    </xf>
    <xf numFmtId="0" fontId="5" fillId="13" borderId="2" xfId="0" applyFont="1" applyFill="1" applyBorder="1"/>
    <xf numFmtId="0" fontId="0" fillId="13" borderId="20" xfId="0" applyFill="1" applyBorder="1"/>
    <xf numFmtId="0" fontId="0" fillId="13" borderId="21" xfId="0" applyFill="1" applyBorder="1"/>
    <xf numFmtId="0" fontId="0" fillId="13" borderId="22" xfId="0" applyFill="1" applyBorder="1"/>
    <xf numFmtId="0" fontId="0" fillId="13" borderId="23" xfId="0" applyFill="1" applyBorder="1"/>
    <xf numFmtId="0" fontId="29" fillId="14" borderId="8" xfId="0" applyFont="1" applyFill="1" applyBorder="1" applyAlignment="1">
      <alignment horizontal="center" wrapText="1"/>
    </xf>
    <xf numFmtId="0" fontId="29" fillId="14" borderId="8" xfId="0" applyFont="1" applyFill="1" applyBorder="1" applyAlignment="1">
      <alignment horizontal="center"/>
    </xf>
    <xf numFmtId="0" fontId="53" fillId="14" borderId="8" xfId="0" applyFont="1" applyFill="1" applyBorder="1" applyAlignment="1">
      <alignment horizontal="center"/>
    </xf>
    <xf numFmtId="2" fontId="29" fillId="14" borderId="8" xfId="0" applyNumberFormat="1" applyFont="1" applyFill="1" applyBorder="1" applyAlignment="1">
      <alignment horizontal="center"/>
    </xf>
    <xf numFmtId="0" fontId="29" fillId="0" borderId="0" xfId="0" applyFont="1" applyFill="1" applyBorder="1" applyAlignment="1">
      <alignment horizontal="center"/>
    </xf>
    <xf numFmtId="0" fontId="53" fillId="6" borderId="8" xfId="0" applyFont="1" applyFill="1" applyBorder="1" applyAlignment="1">
      <alignment horizontal="center"/>
    </xf>
    <xf numFmtId="0" fontId="57" fillId="6" borderId="8" xfId="0" applyFont="1" applyFill="1" applyBorder="1" applyAlignment="1">
      <alignment horizontal="center"/>
    </xf>
    <xf numFmtId="0" fontId="29" fillId="6" borderId="8" xfId="0" applyFont="1" applyFill="1" applyBorder="1" applyAlignment="1">
      <alignment horizontal="center"/>
    </xf>
    <xf numFmtId="0" fontId="29" fillId="0" borderId="8" xfId="0" applyFont="1" applyBorder="1" applyAlignment="1">
      <alignment horizontal="center"/>
    </xf>
    <xf numFmtId="0" fontId="53" fillId="0" borderId="8" xfId="0" applyFont="1" applyBorder="1" applyAlignment="1">
      <alignment horizontal="center"/>
    </xf>
    <xf numFmtId="0" fontId="8" fillId="13" borderId="8" xfId="0" applyFont="1" applyFill="1" applyBorder="1" applyAlignment="1">
      <alignment horizontal="center" wrapText="1"/>
    </xf>
    <xf numFmtId="0" fontId="5" fillId="13" borderId="0" xfId="0" applyFont="1" applyFill="1" applyBorder="1" applyAlignment="1">
      <alignment horizontal="center"/>
    </xf>
    <xf numFmtId="0" fontId="45" fillId="13" borderId="0" xfId="0" applyFont="1" applyFill="1" applyBorder="1" applyAlignment="1">
      <alignment horizontal="center"/>
    </xf>
    <xf numFmtId="0" fontId="5" fillId="13" borderId="8" xfId="0" applyFont="1" applyFill="1" applyBorder="1" applyAlignment="1">
      <alignment horizontal="center" wrapText="1"/>
    </xf>
    <xf numFmtId="0" fontId="5" fillId="13" borderId="0" xfId="0" applyFont="1" applyFill="1" applyBorder="1"/>
    <xf numFmtId="0" fontId="3" fillId="13" borderId="0" xfId="0" applyFont="1" applyFill="1" applyBorder="1"/>
    <xf numFmtId="0" fontId="5" fillId="13" borderId="18" xfId="0" applyFont="1" applyFill="1" applyBorder="1"/>
    <xf numFmtId="0" fontId="0" fillId="13" borderId="8" xfId="0" applyFill="1" applyBorder="1" applyAlignment="1">
      <alignment horizontal="center" wrapText="1"/>
    </xf>
    <xf numFmtId="0" fontId="8" fillId="0" borderId="8" xfId="0" applyFont="1" applyBorder="1"/>
    <xf numFmtId="0" fontId="42" fillId="0" borderId="0" xfId="0" applyFont="1" applyBorder="1" applyAlignment="1">
      <alignment horizontal="right"/>
    </xf>
    <xf numFmtId="0" fontId="42" fillId="0" borderId="0" xfId="0" applyFont="1" applyBorder="1"/>
    <xf numFmtId="0" fontId="42" fillId="0" borderId="0" xfId="0" applyFont="1" applyBorder="1" applyAlignment="1">
      <alignment horizontal="left"/>
    </xf>
    <xf numFmtId="0" fontId="63" fillId="0" borderId="0" xfId="0" applyFont="1" applyBorder="1"/>
    <xf numFmtId="0" fontId="63" fillId="0" borderId="0" xfId="0" applyFont="1"/>
    <xf numFmtId="0" fontId="64" fillId="0" borderId="9" xfId="0" applyFont="1" applyBorder="1"/>
    <xf numFmtId="0" fontId="64" fillId="0" borderId="1" xfId="0" applyFont="1" applyBorder="1"/>
    <xf numFmtId="0" fontId="64" fillId="0" borderId="24" xfId="0" applyFont="1" applyBorder="1" applyAlignment="1">
      <alignment horizontal="right"/>
    </xf>
    <xf numFmtId="0" fontId="66" fillId="0" borderId="9" xfId="0" applyFont="1" applyBorder="1"/>
    <xf numFmtId="0" fontId="66" fillId="0" borderId="1" xfId="0" applyFont="1" applyBorder="1"/>
    <xf numFmtId="0" fontId="66" fillId="0" borderId="24" xfId="0" applyFont="1" applyBorder="1" applyAlignment="1">
      <alignment horizontal="right"/>
    </xf>
    <xf numFmtId="0" fontId="66" fillId="0" borderId="6" xfId="0" applyFont="1" applyBorder="1"/>
    <xf numFmtId="0" fontId="66" fillId="0" borderId="2" xfId="0" applyFont="1" applyBorder="1"/>
    <xf numFmtId="0" fontId="42" fillId="4" borderId="0" xfId="0" applyFont="1" applyFill="1" applyBorder="1"/>
    <xf numFmtId="0" fontId="63" fillId="0" borderId="0" xfId="0" applyFont="1" applyBorder="1" applyAlignment="1">
      <alignment wrapText="1"/>
    </xf>
    <xf numFmtId="0" fontId="68" fillId="0" borderId="0" xfId="0" applyFont="1" applyFill="1" applyBorder="1"/>
    <xf numFmtId="0" fontId="42" fillId="0" borderId="7" xfId="0" applyFont="1" applyBorder="1" applyAlignment="1">
      <alignment wrapText="1"/>
    </xf>
    <xf numFmtId="0" fontId="66" fillId="0" borderId="0" xfId="0" applyFont="1" applyBorder="1"/>
    <xf numFmtId="1" fontId="67" fillId="0" borderId="0" xfId="0" applyNumberFormat="1" applyFont="1" applyBorder="1" applyAlignment="1"/>
    <xf numFmtId="0" fontId="69" fillId="0" borderId="9" xfId="0" applyFont="1" applyBorder="1"/>
    <xf numFmtId="0" fontId="69" fillId="0" borderId="1" xfId="0" applyFont="1" applyBorder="1"/>
    <xf numFmtId="0" fontId="69" fillId="0" borderId="1" xfId="0" applyFont="1" applyBorder="1" applyAlignment="1">
      <alignment horizontal="left"/>
    </xf>
    <xf numFmtId="0" fontId="69" fillId="0" borderId="24" xfId="0" applyFont="1" applyBorder="1" applyAlignment="1">
      <alignment horizontal="right"/>
    </xf>
    <xf numFmtId="0" fontId="69" fillId="0" borderId="6" xfId="0" applyFont="1" applyBorder="1"/>
    <xf numFmtId="0" fontId="69" fillId="0" borderId="2" xfId="0" applyFont="1" applyBorder="1"/>
    <xf numFmtId="0" fontId="69" fillId="0" borderId="0" xfId="0" applyFont="1" applyBorder="1"/>
    <xf numFmtId="1" fontId="70" fillId="0" borderId="0" xfId="0" applyNumberFormat="1" applyFont="1" applyBorder="1" applyAlignment="1"/>
    <xf numFmtId="0" fontId="42" fillId="0" borderId="6" xfId="0" applyFont="1" applyBorder="1"/>
    <xf numFmtId="0" fontId="42" fillId="0" borderId="3" xfId="0" applyFont="1" applyBorder="1"/>
    <xf numFmtId="0" fontId="42" fillId="0" borderId="7" xfId="0" applyFont="1" applyBorder="1"/>
    <xf numFmtId="0" fontId="69" fillId="0" borderId="14" xfId="0" applyFont="1" applyBorder="1"/>
    <xf numFmtId="0" fontId="42" fillId="0" borderId="19" xfId="0" applyFont="1" applyBorder="1"/>
    <xf numFmtId="0" fontId="42" fillId="0" borderId="5" xfId="0" applyFont="1" applyBorder="1" applyAlignment="1">
      <alignment wrapText="1"/>
    </xf>
    <xf numFmtId="0" fontId="42" fillId="0" borderId="0" xfId="0" applyFont="1" applyBorder="1" applyAlignment="1">
      <alignment wrapText="1"/>
    </xf>
    <xf numFmtId="0" fontId="71" fillId="0" borderId="0" xfId="0" applyFont="1" applyFill="1" applyBorder="1"/>
    <xf numFmtId="0" fontId="42" fillId="0" borderId="0" xfId="0" applyFont="1" applyAlignment="1">
      <alignment horizontal="center"/>
    </xf>
    <xf numFmtId="0" fontId="53" fillId="14" borderId="0" xfId="0" applyFont="1" applyFill="1"/>
    <xf numFmtId="0" fontId="53" fillId="14" borderId="8" xfId="0" applyFont="1" applyFill="1" applyBorder="1"/>
    <xf numFmtId="0" fontId="72" fillId="0" borderId="8" xfId="0" applyNumberFormat="1" applyFont="1" applyFill="1" applyBorder="1" applyAlignment="1">
      <alignment horizontal="center"/>
    </xf>
    <xf numFmtId="0" fontId="24" fillId="0" borderId="8" xfId="0" applyFont="1" applyFill="1" applyBorder="1"/>
    <xf numFmtId="0" fontId="39" fillId="0" borderId="8" xfId="0" applyNumberFormat="1" applyFont="1" applyFill="1" applyBorder="1" applyAlignment="1"/>
    <xf numFmtId="0" fontId="42" fillId="0" borderId="9" xfId="0" applyFont="1" applyBorder="1"/>
    <xf numFmtId="0" fontId="42" fillId="0" borderId="0" xfId="0" applyFont="1" applyBorder="1" applyAlignment="1">
      <alignment horizontal="center"/>
    </xf>
    <xf numFmtId="0" fontId="0" fillId="0" borderId="14" xfId="0" applyBorder="1"/>
    <xf numFmtId="0" fontId="71" fillId="0" borderId="0" xfId="0" applyFont="1" applyFill="1" applyBorder="1" applyAlignment="1">
      <alignment horizontal="center"/>
    </xf>
    <xf numFmtId="0" fontId="42" fillId="0" borderId="24" xfId="0" applyFont="1" applyBorder="1"/>
    <xf numFmtId="0" fontId="69" fillId="0" borderId="1" xfId="0" applyFont="1" applyBorder="1" applyAlignment="1">
      <alignment horizontal="right"/>
    </xf>
    <xf numFmtId="0" fontId="53" fillId="0" borderId="0" xfId="0" applyFont="1" applyAlignment="1">
      <alignment horizontal="right"/>
    </xf>
    <xf numFmtId="0" fontId="42" fillId="0" borderId="14" xfId="0" applyFont="1" applyBorder="1"/>
    <xf numFmtId="0" fontId="42" fillId="0" borderId="2" xfId="0" applyFont="1" applyBorder="1"/>
    <xf numFmtId="0" fontId="53" fillId="0" borderId="0" xfId="0" applyFont="1" applyFill="1" applyBorder="1" applyAlignment="1">
      <alignment horizontal="right"/>
    </xf>
    <xf numFmtId="0" fontId="42" fillId="0" borderId="1" xfId="0" applyFont="1" applyBorder="1"/>
    <xf numFmtId="0" fontId="42" fillId="0" borderId="10" xfId="0" applyFont="1" applyBorder="1"/>
    <xf numFmtId="0" fontId="63" fillId="0" borderId="14" xfId="0" applyFont="1" applyBorder="1"/>
    <xf numFmtId="0" fontId="63" fillId="0" borderId="2" xfId="0" applyFont="1" applyBorder="1"/>
    <xf numFmtId="0" fontId="66" fillId="0" borderId="1" xfId="0" applyFont="1" applyBorder="1" applyAlignment="1">
      <alignment horizontal="right"/>
    </xf>
    <xf numFmtId="0" fontId="63" fillId="0" borderId="1" xfId="0" applyFont="1" applyBorder="1"/>
    <xf numFmtId="0" fontId="64" fillId="0" borderId="9" xfId="0" applyFont="1" applyBorder="1" applyAlignment="1">
      <alignment horizontal="left"/>
    </xf>
    <xf numFmtId="0" fontId="64" fillId="0" borderId="1" xfId="0" applyFont="1" applyBorder="1" applyAlignment="1">
      <alignment horizontal="right"/>
    </xf>
    <xf numFmtId="0" fontId="64" fillId="0" borderId="2" xfId="0" applyFont="1" applyBorder="1"/>
    <xf numFmtId="0" fontId="54" fillId="0" borderId="0" xfId="0" applyFont="1" applyFill="1" applyBorder="1" applyAlignment="1">
      <alignment wrapText="1"/>
    </xf>
    <xf numFmtId="0" fontId="54" fillId="0" borderId="0" xfId="0" applyFont="1" applyFill="1" applyBorder="1" applyAlignment="1">
      <alignment horizontal="center"/>
    </xf>
    <xf numFmtId="0" fontId="29" fillId="0" borderId="0" xfId="0" applyFont="1" applyFill="1"/>
    <xf numFmtId="0" fontId="29" fillId="0" borderId="0" xfId="0" applyFont="1" applyBorder="1"/>
    <xf numFmtId="0" fontId="53" fillId="0" borderId="0" xfId="0" applyFont="1"/>
    <xf numFmtId="49" fontId="53" fillId="4" borderId="19" xfId="0" applyNumberFormat="1" applyFont="1" applyFill="1" applyBorder="1" applyAlignment="1">
      <alignment horizontal="center" wrapText="1"/>
    </xf>
    <xf numFmtId="49" fontId="53" fillId="4" borderId="5" xfId="0" applyNumberFormat="1" applyFont="1" applyFill="1" applyBorder="1" applyAlignment="1">
      <alignment horizontal="center" wrapText="1"/>
    </xf>
    <xf numFmtId="0" fontId="29" fillId="0" borderId="1" xfId="0" applyFont="1" applyBorder="1"/>
    <xf numFmtId="0" fontId="29" fillId="0" borderId="24" xfId="0" applyFont="1" applyBorder="1" applyAlignment="1">
      <alignment horizontal="center" wrapText="1"/>
    </xf>
    <xf numFmtId="0" fontId="29" fillId="0" borderId="4" xfId="0" applyFont="1" applyBorder="1" applyAlignment="1">
      <alignment horizontal="center" wrapText="1"/>
    </xf>
    <xf numFmtId="0" fontId="29" fillId="0" borderId="2" xfId="0" applyFont="1" applyBorder="1"/>
    <xf numFmtId="0" fontId="29" fillId="0" borderId="3" xfId="0" applyFont="1" applyBorder="1"/>
    <xf numFmtId="0" fontId="74" fillId="0" borderId="8" xfId="0" applyFont="1" applyFill="1" applyBorder="1"/>
    <xf numFmtId="0" fontId="75" fillId="0" borderId="8" xfId="0" applyFont="1" applyFill="1" applyBorder="1" applyAlignment="1">
      <alignment wrapText="1"/>
    </xf>
    <xf numFmtId="0" fontId="29" fillId="14" borderId="8" xfId="0" applyFont="1" applyFill="1" applyBorder="1"/>
    <xf numFmtId="0" fontId="26" fillId="0" borderId="1" xfId="0" applyFont="1" applyBorder="1"/>
    <xf numFmtId="0" fontId="15" fillId="0" borderId="1" xfId="0" applyFont="1" applyBorder="1"/>
    <xf numFmtId="0" fontId="15" fillId="0" borderId="2" xfId="0" applyFont="1" applyBorder="1"/>
    <xf numFmtId="0" fontId="15" fillId="0" borderId="0" xfId="0" applyFont="1" applyBorder="1"/>
    <xf numFmtId="0" fontId="78" fillId="0" borderId="1" xfId="0" applyFont="1" applyBorder="1"/>
    <xf numFmtId="0" fontId="78" fillId="0" borderId="2" xfId="0" applyFont="1" applyBorder="1"/>
    <xf numFmtId="0" fontId="78" fillId="0" borderId="0" xfId="0" applyFont="1" applyBorder="1"/>
    <xf numFmtId="0" fontId="55" fillId="0" borderId="8" xfId="0" applyFont="1" applyFill="1" applyBorder="1" applyAlignment="1">
      <alignment horizontal="center"/>
    </xf>
    <xf numFmtId="0" fontId="54" fillId="0" borderId="8" xfId="0" applyFont="1" applyFill="1" applyBorder="1" applyAlignment="1">
      <alignment horizontal="center"/>
    </xf>
    <xf numFmtId="0" fontId="29" fillId="0" borderId="0" xfId="0" applyFont="1" applyFill="1" applyBorder="1"/>
    <xf numFmtId="0" fontId="73" fillId="0" borderId="0" xfId="0" applyFont="1" applyFill="1" applyBorder="1" applyAlignment="1">
      <alignment horizontal="center" vertical="center" wrapText="1"/>
    </xf>
    <xf numFmtId="0" fontId="53" fillId="15" borderId="8" xfId="0" applyFont="1" applyFill="1" applyBorder="1"/>
    <xf numFmtId="0" fontId="57" fillId="15" borderId="8" xfId="0" applyFont="1" applyFill="1" applyBorder="1"/>
    <xf numFmtId="0" fontId="57" fillId="14" borderId="8" xfId="0" applyFont="1" applyFill="1" applyBorder="1"/>
    <xf numFmtId="0" fontId="53" fillId="14" borderId="8" xfId="0" applyFont="1" applyFill="1" applyBorder="1" applyAlignment="1">
      <alignment horizontal="center" wrapText="1"/>
    </xf>
    <xf numFmtId="0" fontId="53" fillId="14" borderId="8" xfId="0" applyFont="1" applyFill="1" applyBorder="1" applyAlignment="1">
      <alignment horizontal="right"/>
    </xf>
    <xf numFmtId="0" fontId="79" fillId="0" borderId="0" xfId="0" applyFont="1"/>
    <xf numFmtId="0" fontId="29" fillId="0" borderId="0" xfId="0" applyFont="1" applyBorder="1" applyAlignment="1">
      <alignment horizontal="center" wrapText="1"/>
    </xf>
    <xf numFmtId="0" fontId="29" fillId="7" borderId="0" xfId="0" applyFont="1" applyFill="1" applyBorder="1" applyAlignment="1">
      <alignment horizontal="center" wrapText="1"/>
    </xf>
    <xf numFmtId="0" fontId="29" fillId="7" borderId="0" xfId="0" applyFont="1" applyFill="1" applyBorder="1"/>
    <xf numFmtId="0" fontId="29" fillId="2" borderId="0" xfId="0" applyFont="1" applyFill="1" applyBorder="1" applyAlignment="1">
      <alignment horizontal="center" wrapText="1"/>
    </xf>
    <xf numFmtId="0" fontId="29" fillId="9" borderId="0" xfId="0" applyFont="1" applyFill="1" applyBorder="1" applyAlignment="1">
      <alignment horizontal="center" wrapText="1"/>
    </xf>
    <xf numFmtId="0" fontId="29" fillId="0" borderId="0" xfId="0" applyFont="1" applyFill="1" applyBorder="1" applyAlignment="1">
      <alignment horizontal="center" wrapText="1"/>
    </xf>
    <xf numFmtId="0" fontId="53" fillId="8" borderId="0" xfId="0" applyFont="1" applyFill="1"/>
    <xf numFmtId="2" fontId="80" fillId="0" borderId="0" xfId="0" applyNumberFormat="1" applyFont="1" applyFill="1" applyAlignment="1">
      <alignment horizontal="center"/>
    </xf>
    <xf numFmtId="2" fontId="80" fillId="0" borderId="5" xfId="0" applyNumberFormat="1" applyFont="1" applyFill="1" applyBorder="1" applyAlignment="1">
      <alignment horizontal="center"/>
    </xf>
    <xf numFmtId="0" fontId="75" fillId="0" borderId="0" xfId="0" applyFont="1" applyBorder="1" applyAlignment="1">
      <alignment horizontal="center"/>
    </xf>
    <xf numFmtId="0" fontId="75" fillId="7" borderId="8" xfId="0" applyFont="1" applyFill="1" applyBorder="1" applyAlignment="1">
      <alignment horizontal="center"/>
    </xf>
    <xf numFmtId="0" fontId="79" fillId="7" borderId="8" xfId="0" applyFont="1" applyFill="1" applyBorder="1"/>
    <xf numFmtId="0" fontId="79" fillId="2" borderId="8" xfId="0" applyFont="1" applyFill="1" applyBorder="1"/>
    <xf numFmtId="0" fontId="81" fillId="2" borderId="8" xfId="0" applyFont="1" applyFill="1" applyBorder="1" applyAlignment="1">
      <alignment horizontal="center"/>
    </xf>
    <xf numFmtId="0" fontId="81" fillId="9" borderId="8" xfId="0" applyFont="1" applyFill="1" applyBorder="1" applyAlignment="1">
      <alignment horizontal="center"/>
    </xf>
    <xf numFmtId="0" fontId="81" fillId="0" borderId="8" xfId="0" applyFont="1" applyBorder="1" applyAlignment="1">
      <alignment horizontal="center"/>
    </xf>
    <xf numFmtId="0" fontId="81" fillId="0" borderId="0" xfId="0" applyFont="1" applyBorder="1" applyAlignment="1">
      <alignment horizontal="center"/>
    </xf>
    <xf numFmtId="0" fontId="81" fillId="9" borderId="0" xfId="0" applyFont="1" applyFill="1" applyBorder="1" applyAlignment="1">
      <alignment horizontal="center"/>
    </xf>
    <xf numFmtId="0" fontId="81" fillId="8" borderId="0" xfId="0" applyFont="1" applyFill="1" applyBorder="1" applyAlignment="1">
      <alignment horizontal="center"/>
    </xf>
    <xf numFmtId="2" fontId="53" fillId="2" borderId="5" xfId="0" applyNumberFormat="1" applyFont="1" applyFill="1" applyBorder="1" applyAlignment="1">
      <alignment horizontal="center"/>
    </xf>
    <xf numFmtId="2" fontId="53" fillId="7" borderId="15" xfId="0" applyNumberFormat="1" applyFont="1" applyFill="1" applyBorder="1" applyAlignment="1">
      <alignment horizontal="center"/>
    </xf>
    <xf numFmtId="2" fontId="53" fillId="7" borderId="5" xfId="0" applyNumberFormat="1" applyFont="1" applyFill="1" applyBorder="1" applyAlignment="1">
      <alignment horizontal="center"/>
    </xf>
    <xf numFmtId="0" fontId="29" fillId="0" borderId="0" xfId="0" applyFont="1" applyBorder="1" applyAlignment="1">
      <alignment horizontal="right"/>
    </xf>
    <xf numFmtId="0" fontId="53" fillId="0" borderId="0" xfId="0" applyFont="1" applyBorder="1" applyAlignment="1">
      <alignment horizontal="center"/>
    </xf>
    <xf numFmtId="0" fontId="53" fillId="13" borderId="18" xfId="0" applyFont="1" applyFill="1" applyBorder="1"/>
    <xf numFmtId="0" fontId="29" fillId="13" borderId="22" xfId="0" applyFont="1" applyFill="1" applyBorder="1"/>
    <xf numFmtId="0" fontId="29" fillId="13" borderId="20" xfId="0" applyFont="1" applyFill="1" applyBorder="1"/>
    <xf numFmtId="0" fontId="53" fillId="2" borderId="5" xfId="0" applyFont="1" applyFill="1" applyBorder="1" applyAlignment="1">
      <alignment horizontal="center"/>
    </xf>
    <xf numFmtId="0" fontId="75" fillId="7" borderId="0" xfId="0" applyFont="1" applyFill="1" applyBorder="1" applyAlignment="1">
      <alignment horizontal="center"/>
    </xf>
    <xf numFmtId="0" fontId="81" fillId="2" borderId="18" xfId="0" applyFont="1" applyFill="1" applyBorder="1" applyAlignment="1">
      <alignment horizontal="center"/>
    </xf>
    <xf numFmtId="49" fontId="53" fillId="4" borderId="15" xfId="0" applyNumberFormat="1" applyFont="1" applyFill="1" applyBorder="1" applyAlignment="1">
      <alignment horizontal="center" wrapText="1"/>
    </xf>
    <xf numFmtId="49" fontId="53" fillId="4" borderId="6" xfId="0" applyNumberFormat="1" applyFont="1" applyFill="1" applyBorder="1" applyAlignment="1">
      <alignment horizontal="center" wrapText="1"/>
    </xf>
    <xf numFmtId="0" fontId="29" fillId="0" borderId="8" xfId="0" applyFont="1" applyBorder="1"/>
    <xf numFmtId="0" fontId="29" fillId="0" borderId="8" xfId="0" applyFont="1" applyBorder="1" applyAlignment="1">
      <alignment horizontal="center" wrapText="1"/>
    </xf>
    <xf numFmtId="49" fontId="53" fillId="0" borderId="0" xfId="0" applyNumberFormat="1" applyFont="1" applyFill="1" applyBorder="1" applyAlignment="1">
      <alignment horizontal="center" wrapText="1"/>
    </xf>
    <xf numFmtId="0" fontId="5" fillId="0" borderId="6" xfId="0" applyFont="1" applyFill="1" applyBorder="1" applyAlignment="1">
      <alignment horizontal="center"/>
    </xf>
    <xf numFmtId="0" fontId="29" fillId="13" borderId="8" xfId="0" applyFont="1" applyFill="1" applyBorder="1"/>
    <xf numFmtId="0" fontId="29" fillId="13" borderId="0" xfId="0" applyFont="1" applyFill="1" applyBorder="1" applyAlignment="1">
      <alignment horizontal="center" wrapText="1"/>
    </xf>
    <xf numFmtId="0" fontId="75" fillId="13" borderId="8" xfId="0" applyFont="1" applyFill="1" applyBorder="1" applyAlignment="1">
      <alignment horizontal="center"/>
    </xf>
    <xf numFmtId="0" fontId="81" fillId="13" borderId="8" xfId="0" applyFont="1" applyFill="1" applyBorder="1" applyAlignment="1">
      <alignment horizontal="center"/>
    </xf>
    <xf numFmtId="0" fontId="53" fillId="0" borderId="0" xfId="0" applyFont="1" applyFill="1" applyBorder="1" applyAlignment="1">
      <alignment horizontal="center" vertical="center" wrapText="1"/>
    </xf>
    <xf numFmtId="0" fontId="8" fillId="0" borderId="1" xfId="0" applyFont="1" applyBorder="1"/>
    <xf numFmtId="0" fontId="8" fillId="0" borderId="2" xfId="0" applyFont="1" applyBorder="1"/>
    <xf numFmtId="0" fontId="53" fillId="13" borderId="0" xfId="0" applyFont="1" applyFill="1" applyBorder="1"/>
    <xf numFmtId="0" fontId="29" fillId="13" borderId="23" xfId="0" applyFont="1" applyFill="1" applyBorder="1"/>
    <xf numFmtId="0" fontId="29" fillId="13" borderId="21" xfId="0" applyFont="1" applyFill="1" applyBorder="1"/>
    <xf numFmtId="0" fontId="53" fillId="13" borderId="2" xfId="0" applyFont="1" applyFill="1" applyBorder="1"/>
    <xf numFmtId="0" fontId="5" fillId="0" borderId="1" xfId="0" applyFont="1" applyBorder="1"/>
    <xf numFmtId="0" fontId="26" fillId="0" borderId="2" xfId="0" applyFont="1" applyBorder="1"/>
    <xf numFmtId="0" fontId="5" fillId="0" borderId="2" xfId="0" applyFont="1" applyBorder="1"/>
    <xf numFmtId="0" fontId="3" fillId="0" borderId="0" xfId="0" applyFont="1" applyFill="1"/>
    <xf numFmtId="0" fontId="29" fillId="0" borderId="0" xfId="0" applyFont="1" applyFill="1" applyAlignment="1">
      <alignment horizontal="right"/>
    </xf>
    <xf numFmtId="0" fontId="73" fillId="0" borderId="0" xfId="0" applyFont="1" applyFill="1"/>
    <xf numFmtId="0" fontId="68" fillId="0" borderId="8" xfId="0" applyFont="1" applyFill="1" applyBorder="1"/>
    <xf numFmtId="0" fontId="82" fillId="0" borderId="8" xfId="0" applyFont="1" applyFill="1" applyBorder="1" applyAlignment="1">
      <alignment wrapText="1"/>
    </xf>
    <xf numFmtId="0" fontId="82" fillId="0" borderId="8" xfId="0" applyFont="1" applyFill="1" applyBorder="1" applyAlignment="1">
      <alignment horizontal="right"/>
    </xf>
    <xf numFmtId="0" fontId="42" fillId="0" borderId="0" xfId="0" applyFont="1" applyFill="1"/>
    <xf numFmtId="0" fontId="63" fillId="14" borderId="8" xfId="0" applyFont="1" applyFill="1" applyBorder="1"/>
    <xf numFmtId="0" fontId="83" fillId="0" borderId="8" xfId="0" applyFont="1" applyFill="1" applyBorder="1" applyAlignment="1">
      <alignment horizontal="right"/>
    </xf>
    <xf numFmtId="0" fontId="84" fillId="0" borderId="8" xfId="0" applyFont="1" applyFill="1" applyBorder="1" applyAlignment="1">
      <alignment horizontal="right"/>
    </xf>
    <xf numFmtId="0" fontId="5" fillId="2" borderId="19" xfId="0" applyFont="1" applyFill="1" applyBorder="1" applyAlignment="1">
      <alignment horizontal="center"/>
    </xf>
    <xf numFmtId="0" fontId="29" fillId="15" borderId="8" xfId="0" applyFont="1" applyFill="1" applyBorder="1"/>
    <xf numFmtId="0" fontId="8" fillId="15" borderId="8" xfId="0" applyFont="1" applyFill="1" applyBorder="1"/>
    <xf numFmtId="0" fontId="8" fillId="0" borderId="8" xfId="0" applyFont="1" applyBorder="1" applyAlignment="1">
      <alignment horizontal="center" wrapText="1"/>
    </xf>
    <xf numFmtId="0" fontId="8" fillId="0" borderId="0" xfId="0" applyFont="1" applyBorder="1" applyAlignment="1">
      <alignment horizontal="center" wrapText="1"/>
    </xf>
    <xf numFmtId="0" fontId="8" fillId="7" borderId="0" xfId="0" applyFont="1" applyFill="1" applyBorder="1" applyAlignment="1">
      <alignment horizontal="center" wrapText="1"/>
    </xf>
    <xf numFmtId="0" fontId="8" fillId="13" borderId="0" xfId="0" applyFont="1" applyFill="1" applyBorder="1" applyAlignment="1">
      <alignment horizontal="center" wrapText="1"/>
    </xf>
    <xf numFmtId="0" fontId="8" fillId="7" borderId="0" xfId="0" applyFont="1" applyFill="1" applyBorder="1"/>
    <xf numFmtId="0" fontId="8" fillId="2" borderId="0" xfId="0" applyFont="1" applyFill="1" applyBorder="1" applyAlignment="1">
      <alignment horizontal="center" wrapText="1"/>
    </xf>
    <xf numFmtId="0" fontId="8" fillId="0" borderId="0" xfId="0" applyFont="1" applyFill="1" applyBorder="1" applyAlignment="1">
      <alignment horizontal="center" wrapText="1"/>
    </xf>
    <xf numFmtId="0" fontId="5" fillId="8" borderId="0" xfId="0" applyFont="1" applyFill="1"/>
    <xf numFmtId="2" fontId="49" fillId="0" borderId="0" xfId="0" applyNumberFormat="1" applyFont="1" applyFill="1" applyAlignment="1">
      <alignment horizontal="center"/>
    </xf>
    <xf numFmtId="0" fontId="53" fillId="13" borderId="8" xfId="0" applyFont="1" applyFill="1" applyBorder="1" applyAlignment="1">
      <alignment horizontal="center"/>
    </xf>
    <xf numFmtId="0" fontId="8" fillId="7" borderId="8" xfId="0" applyFont="1" applyFill="1" applyBorder="1"/>
    <xf numFmtId="0" fontId="8" fillId="15" borderId="0" xfId="0" applyFont="1" applyFill="1" applyBorder="1" applyAlignment="1">
      <alignment horizontal="center" wrapText="1"/>
    </xf>
    <xf numFmtId="0" fontId="35" fillId="0" borderId="0" xfId="0" applyFont="1" applyFill="1" applyBorder="1"/>
    <xf numFmtId="1" fontId="36" fillId="0" borderId="0" xfId="0" applyNumberFormat="1" applyFont="1" applyFill="1" applyBorder="1" applyAlignment="1"/>
    <xf numFmtId="0" fontId="34" fillId="0" borderId="0" xfId="0" applyFont="1" applyFill="1" applyBorder="1"/>
    <xf numFmtId="0" fontId="7" fillId="0" borderId="0" xfId="0" applyFont="1" applyFill="1" applyBorder="1"/>
    <xf numFmtId="0" fontId="33" fillId="0" borderId="0" xfId="0" applyFont="1" applyFill="1" applyBorder="1"/>
    <xf numFmtId="1" fontId="0" fillId="0" borderId="2" xfId="0" applyNumberFormat="1" applyBorder="1"/>
    <xf numFmtId="0" fontId="72" fillId="0" borderId="0" xfId="0" applyNumberFormat="1" applyFont="1" applyFill="1" applyBorder="1" applyAlignment="1">
      <alignment horizontal="center"/>
    </xf>
    <xf numFmtId="0" fontId="18" fillId="0" borderId="0" xfId="0" applyFont="1" applyFill="1" applyBorder="1"/>
    <xf numFmtId="0" fontId="20" fillId="0" borderId="0" xfId="0" applyFont="1" applyFill="1" applyBorder="1"/>
    <xf numFmtId="2" fontId="0" fillId="0" borderId="0" xfId="0" applyNumberFormat="1" applyFill="1" applyBorder="1"/>
    <xf numFmtId="0" fontId="5" fillId="0" borderId="0" xfId="0" applyFont="1" applyFill="1" applyBorder="1" applyAlignment="1"/>
    <xf numFmtId="0" fontId="5" fillId="0" borderId="0" xfId="0" applyFont="1" applyFill="1" applyBorder="1" applyAlignment="1">
      <alignment horizontal="center"/>
    </xf>
    <xf numFmtId="0" fontId="75" fillId="0" borderId="0" xfId="0" applyFont="1" applyFill="1" applyBorder="1" applyAlignment="1">
      <alignment horizontal="center"/>
    </xf>
    <xf numFmtId="0" fontId="53" fillId="0" borderId="0" xfId="0" applyFont="1" applyFill="1" applyBorder="1" applyAlignment="1">
      <alignment horizontal="center"/>
    </xf>
    <xf numFmtId="0" fontId="79" fillId="0" borderId="0" xfId="0" applyFont="1" applyFill="1" applyBorder="1"/>
    <xf numFmtId="0" fontId="45" fillId="0" borderId="0" xfId="0" applyFont="1" applyFill="1" applyBorder="1" applyAlignment="1">
      <alignment horizontal="center"/>
    </xf>
    <xf numFmtId="0" fontId="81" fillId="0" borderId="0" xfId="0" applyFont="1" applyFill="1" applyBorder="1" applyAlignment="1">
      <alignment horizontal="center"/>
    </xf>
    <xf numFmtId="2" fontId="53" fillId="0" borderId="0" xfId="0" applyNumberFormat="1" applyFont="1" applyFill="1" applyBorder="1" applyAlignment="1">
      <alignment horizontal="center"/>
    </xf>
    <xf numFmtId="0" fontId="29" fillId="16" borderId="0" xfId="0" applyFont="1" applyFill="1" applyBorder="1" applyAlignment="1">
      <alignment horizontal="center" wrapText="1"/>
    </xf>
    <xf numFmtId="0" fontId="81" fillId="16" borderId="0" xfId="0" applyFont="1" applyFill="1" applyBorder="1" applyAlignment="1">
      <alignment horizontal="center"/>
    </xf>
    <xf numFmtId="0" fontId="29" fillId="7" borderId="8" xfId="0" applyFont="1" applyFill="1" applyBorder="1"/>
    <xf numFmtId="0" fontId="5" fillId="15" borderId="8" xfId="0" applyFont="1" applyFill="1" applyBorder="1"/>
    <xf numFmtId="0" fontId="12" fillId="14" borderId="0" xfId="0" applyFont="1" applyFill="1" applyBorder="1" applyAlignment="1">
      <alignment horizontal="center"/>
    </xf>
    <xf numFmtId="0" fontId="87" fillId="0" borderId="19" xfId="0" applyFont="1" applyFill="1" applyBorder="1" applyAlignment="1">
      <alignment horizontal="center"/>
    </xf>
    <xf numFmtId="0" fontId="87" fillId="0" borderId="7" xfId="0" applyFont="1" applyBorder="1" applyAlignment="1">
      <alignment wrapText="1"/>
    </xf>
    <xf numFmtId="2" fontId="49" fillId="0" borderId="5" xfId="0" applyNumberFormat="1" applyFont="1" applyFill="1" applyBorder="1" applyAlignment="1">
      <alignment horizontal="center"/>
    </xf>
    <xf numFmtId="0" fontId="0" fillId="14" borderId="0" xfId="0" applyFill="1" applyBorder="1"/>
    <xf numFmtId="0" fontId="5" fillId="14" borderId="19" xfId="0" applyFont="1" applyFill="1" applyBorder="1" applyAlignment="1">
      <alignment horizontal="center"/>
    </xf>
    <xf numFmtId="0" fontId="5" fillId="14" borderId="1" xfId="0" applyFont="1" applyFill="1" applyBorder="1" applyAlignment="1"/>
    <xf numFmtId="2" fontId="5" fillId="14" borderId="3" xfId="0" applyNumberFormat="1" applyFont="1" applyFill="1" applyBorder="1" applyAlignment="1"/>
    <xf numFmtId="2" fontId="5" fillId="14" borderId="7" xfId="0" applyNumberFormat="1" applyFont="1" applyFill="1" applyBorder="1" applyAlignment="1"/>
    <xf numFmtId="0" fontId="0" fillId="14" borderId="0" xfId="0" applyFill="1"/>
    <xf numFmtId="0" fontId="5" fillId="14" borderId="5" xfId="0" applyFont="1" applyFill="1" applyBorder="1" applyAlignment="1"/>
    <xf numFmtId="0" fontId="5" fillId="14" borderId="6" xfId="0" applyFont="1" applyFill="1" applyBorder="1" applyAlignment="1"/>
    <xf numFmtId="49" fontId="5" fillId="17" borderId="5" xfId="0" applyNumberFormat="1" applyFont="1" applyFill="1" applyBorder="1" applyAlignment="1">
      <alignment horizontal="center" wrapText="1"/>
    </xf>
    <xf numFmtId="0" fontId="87" fillId="0" borderId="7" xfId="0" applyFont="1" applyFill="1" applyBorder="1" applyAlignment="1">
      <alignment wrapText="1"/>
    </xf>
    <xf numFmtId="2" fontId="5" fillId="0" borderId="4" xfId="0" applyNumberFormat="1" applyFont="1" applyFill="1" applyBorder="1" applyAlignment="1"/>
    <xf numFmtId="49" fontId="5" fillId="4" borderId="26" xfId="0" applyNumberFormat="1" applyFont="1" applyFill="1" applyBorder="1" applyAlignment="1">
      <alignment horizontal="center" wrapText="1"/>
    </xf>
    <xf numFmtId="0" fontId="29" fillId="14" borderId="13" xfId="0" applyFont="1" applyFill="1" applyBorder="1" applyAlignment="1">
      <alignment horizontal="center" wrapText="1"/>
    </xf>
    <xf numFmtId="0" fontId="5" fillId="13" borderId="27" xfId="0" applyFont="1" applyFill="1" applyBorder="1" applyAlignment="1">
      <alignment horizontal="center" wrapText="1"/>
    </xf>
    <xf numFmtId="0" fontId="8" fillId="13" borderId="13" xfId="0" applyFont="1" applyFill="1" applyBorder="1" applyAlignment="1">
      <alignment horizontal="center" wrapText="1"/>
    </xf>
    <xf numFmtId="0" fontId="5" fillId="13" borderId="13" xfId="0" applyFont="1" applyFill="1" applyBorder="1" applyAlignment="1">
      <alignment horizontal="center" wrapText="1"/>
    </xf>
    <xf numFmtId="0" fontId="0" fillId="13" borderId="13" xfId="0" applyFill="1" applyBorder="1" applyAlignment="1">
      <alignment horizontal="center" wrapText="1"/>
    </xf>
    <xf numFmtId="2" fontId="80" fillId="0" borderId="26" xfId="0" applyNumberFormat="1" applyFont="1" applyFill="1" applyBorder="1" applyAlignment="1">
      <alignment horizontal="center"/>
    </xf>
    <xf numFmtId="0" fontId="29" fillId="13" borderId="28" xfId="0" applyFont="1" applyFill="1" applyBorder="1"/>
    <xf numFmtId="0" fontId="29" fillId="13" borderId="29" xfId="0" applyFont="1" applyFill="1" applyBorder="1"/>
    <xf numFmtId="0" fontId="29" fillId="0" borderId="14" xfId="0" applyFont="1" applyBorder="1"/>
    <xf numFmtId="0" fontId="53" fillId="13" borderId="14" xfId="0" applyFont="1" applyFill="1" applyBorder="1"/>
    <xf numFmtId="0" fontId="29" fillId="0" borderId="19" xfId="0" applyFont="1" applyBorder="1"/>
    <xf numFmtId="0" fontId="75" fillId="0" borderId="1" xfId="0" applyFont="1" applyBorder="1" applyAlignment="1">
      <alignment horizontal="center"/>
    </xf>
    <xf numFmtId="0" fontId="75" fillId="7" borderId="1" xfId="0" applyFont="1" applyFill="1" applyBorder="1" applyAlignment="1">
      <alignment horizontal="center"/>
    </xf>
    <xf numFmtId="0" fontId="12" fillId="14" borderId="1" xfId="0" applyFont="1" applyFill="1" applyBorder="1" applyAlignment="1">
      <alignment horizontal="center"/>
    </xf>
    <xf numFmtId="0" fontId="5" fillId="13" borderId="1" xfId="0" applyFont="1" applyFill="1" applyBorder="1" applyAlignment="1">
      <alignment horizontal="center"/>
    </xf>
    <xf numFmtId="0" fontId="79" fillId="7" borderId="30" xfId="0" applyFont="1" applyFill="1" applyBorder="1"/>
    <xf numFmtId="0" fontId="45" fillId="13" borderId="1" xfId="0" applyFont="1" applyFill="1" applyBorder="1" applyAlignment="1">
      <alignment horizontal="center"/>
    </xf>
    <xf numFmtId="0" fontId="79" fillId="2" borderId="30" xfId="0" applyFont="1" applyFill="1" applyBorder="1"/>
    <xf numFmtId="0" fontId="81" fillId="9" borderId="30" xfId="0" applyFont="1" applyFill="1" applyBorder="1" applyAlignment="1">
      <alignment horizontal="center"/>
    </xf>
    <xf numFmtId="0" fontId="81" fillId="0" borderId="30" xfId="0" applyFont="1" applyBorder="1" applyAlignment="1">
      <alignment horizontal="center"/>
    </xf>
    <xf numFmtId="0" fontId="81" fillId="0" borderId="1" xfId="0" applyFont="1" applyBorder="1" applyAlignment="1">
      <alignment horizontal="center"/>
    </xf>
    <xf numFmtId="0" fontId="81" fillId="9" borderId="1" xfId="0" applyFont="1" applyFill="1" applyBorder="1" applyAlignment="1">
      <alignment horizontal="center"/>
    </xf>
    <xf numFmtId="0" fontId="81" fillId="8" borderId="1" xfId="0" applyFont="1" applyFill="1" applyBorder="1" applyAlignment="1">
      <alignment horizontal="center"/>
    </xf>
    <xf numFmtId="0" fontId="5" fillId="2" borderId="5" xfId="0" applyFont="1" applyFill="1" applyBorder="1" applyAlignment="1">
      <alignment horizontal="right"/>
    </xf>
    <xf numFmtId="0" fontId="88" fillId="0" borderId="7" xfId="0" applyFont="1" applyBorder="1"/>
    <xf numFmtId="0" fontId="5" fillId="15" borderId="0" xfId="0" applyFont="1" applyFill="1" applyBorder="1" applyAlignment="1">
      <alignment horizontal="center"/>
    </xf>
    <xf numFmtId="0" fontId="5" fillId="15" borderId="19" xfId="0" applyFont="1" applyFill="1" applyBorder="1" applyAlignment="1">
      <alignment horizontal="center"/>
    </xf>
    <xf numFmtId="0" fontId="42" fillId="16" borderId="8" xfId="0" applyFont="1" applyFill="1" applyBorder="1" applyAlignment="1">
      <alignment wrapText="1"/>
    </xf>
    <xf numFmtId="0" fontId="42" fillId="16" borderId="8" xfId="0" applyFont="1" applyFill="1" applyBorder="1" applyAlignment="1">
      <alignment horizontal="center"/>
    </xf>
    <xf numFmtId="0" fontId="0" fillId="14" borderId="2" xfId="0" applyFill="1" applyBorder="1"/>
    <xf numFmtId="0" fontId="43" fillId="6" borderId="5" xfId="0" applyNumberFormat="1" applyFont="1" applyFill="1" applyBorder="1" applyAlignment="1">
      <alignment horizontal="center" wrapText="1"/>
    </xf>
    <xf numFmtId="0" fontId="51" fillId="14" borderId="8" xfId="0" applyFont="1" applyFill="1" applyBorder="1" applyAlignment="1">
      <alignment horizontal="center"/>
    </xf>
    <xf numFmtId="0" fontId="51" fillId="6" borderId="8" xfId="0" applyFont="1" applyFill="1" applyBorder="1" applyAlignment="1">
      <alignment horizontal="center"/>
    </xf>
    <xf numFmtId="0" fontId="51" fillId="0" borderId="8" xfId="0" applyFont="1" applyBorder="1" applyAlignment="1">
      <alignment horizontal="center"/>
    </xf>
    <xf numFmtId="0" fontId="66" fillId="0" borderId="0" xfId="0" applyFont="1" applyFill="1" applyBorder="1" applyAlignment="1"/>
    <xf numFmtId="0" fontId="66" fillId="0" borderId="9" xfId="0" applyFont="1" applyBorder="1" applyAlignment="1">
      <alignment horizontal="left"/>
    </xf>
    <xf numFmtId="0" fontId="51" fillId="0" borderId="0" xfId="0" applyFont="1" applyAlignment="1">
      <alignment horizontal="right"/>
    </xf>
    <xf numFmtId="0" fontId="42" fillId="14" borderId="7" xfId="0" applyFont="1" applyFill="1" applyBorder="1"/>
    <xf numFmtId="0" fontId="63" fillId="14" borderId="14" xfId="0" applyFont="1" applyFill="1" applyBorder="1"/>
    <xf numFmtId="0" fontId="42" fillId="14" borderId="19" xfId="0" applyFont="1" applyFill="1" applyBorder="1"/>
    <xf numFmtId="0" fontId="42" fillId="14" borderId="6" xfId="0" applyFont="1" applyFill="1" applyBorder="1"/>
    <xf numFmtId="0" fontId="42" fillId="14" borderId="2" xfId="0" applyFont="1" applyFill="1" applyBorder="1"/>
    <xf numFmtId="0" fontId="63" fillId="14" borderId="2" xfId="0" applyFont="1" applyFill="1" applyBorder="1"/>
    <xf numFmtId="0" fontId="42" fillId="14" borderId="3" xfId="0" applyFont="1" applyFill="1" applyBorder="1"/>
    <xf numFmtId="0" fontId="42" fillId="14" borderId="14" xfId="0" applyFont="1" applyFill="1" applyBorder="1"/>
    <xf numFmtId="0" fontId="0" fillId="14" borderId="14" xfId="0" applyFill="1" applyBorder="1"/>
    <xf numFmtId="0" fontId="51" fillId="0" borderId="0" xfId="0" applyFont="1" applyFill="1" applyBorder="1" applyAlignment="1">
      <alignment horizontal="right"/>
    </xf>
    <xf numFmtId="0" fontId="42" fillId="14" borderId="10" xfId="0" applyFont="1" applyFill="1" applyBorder="1"/>
    <xf numFmtId="0" fontId="42" fillId="14" borderId="0" xfId="0" applyFont="1" applyFill="1" applyBorder="1"/>
    <xf numFmtId="0" fontId="71" fillId="0" borderId="0" xfId="0" applyFont="1" applyBorder="1" applyAlignment="1">
      <alignment horizontal="center"/>
    </xf>
    <xf numFmtId="0" fontId="69" fillId="14" borderId="14" xfId="0" applyFont="1" applyFill="1" applyBorder="1"/>
    <xf numFmtId="0" fontId="69" fillId="14" borderId="2" xfId="0" applyFont="1" applyFill="1" applyBorder="1"/>
    <xf numFmtId="0" fontId="3" fillId="0" borderId="0" xfId="0" applyFont="1" applyFill="1" applyBorder="1" applyAlignment="1"/>
    <xf numFmtId="0" fontId="51" fillId="14" borderId="8" xfId="0" applyFont="1" applyFill="1" applyBorder="1"/>
    <xf numFmtId="0" fontId="51" fillId="14" borderId="0" xfId="0" applyFont="1" applyFill="1"/>
    <xf numFmtId="0" fontId="1" fillId="0" borderId="0" xfId="0" applyFont="1" applyFill="1" applyAlignment="1">
      <alignment horizontal="center"/>
    </xf>
    <xf numFmtId="0" fontId="1" fillId="0" borderId="0" xfId="0" applyFont="1" applyBorder="1" applyAlignment="1">
      <alignment horizontal="center" wrapText="1"/>
    </xf>
    <xf numFmtId="0" fontId="5" fillId="13" borderId="8" xfId="0" applyFont="1" applyFill="1" applyBorder="1"/>
    <xf numFmtId="0" fontId="1" fillId="0" borderId="0" xfId="0" applyFont="1" applyBorder="1"/>
    <xf numFmtId="49" fontId="42" fillId="0" borderId="0" xfId="0" applyNumberFormat="1" applyFont="1" applyFill="1" applyBorder="1" applyAlignment="1">
      <alignment horizontal="center" wrapText="1"/>
    </xf>
    <xf numFmtId="0" fontId="5" fillId="13" borderId="7" xfId="0" applyFont="1" applyFill="1" applyBorder="1" applyAlignment="1">
      <alignment horizontal="center"/>
    </xf>
    <xf numFmtId="0" fontId="29" fillId="0" borderId="8" xfId="0" applyFont="1" applyFill="1" applyBorder="1"/>
    <xf numFmtId="0" fontId="29" fillId="18" borderId="8" xfId="0" applyFont="1" applyFill="1" applyBorder="1"/>
    <xf numFmtId="0" fontId="5" fillId="18" borderId="7" xfId="0" applyFont="1" applyFill="1" applyBorder="1" applyAlignment="1">
      <alignment horizontal="center"/>
    </xf>
    <xf numFmtId="0" fontId="5" fillId="16" borderId="7" xfId="0" applyFont="1" applyFill="1" applyBorder="1" applyAlignment="1">
      <alignment horizontal="center"/>
    </xf>
    <xf numFmtId="0" fontId="53" fillId="2" borderId="0" xfId="0" applyFont="1" applyFill="1" applyBorder="1" applyAlignment="1">
      <alignment horizontal="center"/>
    </xf>
    <xf numFmtId="0" fontId="51" fillId="17" borderId="8" xfId="0" applyFont="1" applyFill="1" applyBorder="1" applyAlignment="1">
      <alignment horizontal="center" wrapText="1"/>
    </xf>
    <xf numFmtId="0" fontId="29" fillId="17" borderId="8" xfId="0" applyFont="1" applyFill="1" applyBorder="1" applyAlignment="1">
      <alignment horizontal="center" wrapText="1"/>
    </xf>
    <xf numFmtId="0" fontId="5" fillId="2" borderId="8" xfId="0" applyFont="1" applyFill="1" applyBorder="1" applyAlignment="1">
      <alignment horizontal="center"/>
    </xf>
    <xf numFmtId="0" fontId="53" fillId="2" borderId="1" xfId="0" applyFont="1" applyFill="1" applyBorder="1" applyAlignment="1">
      <alignment horizontal="center"/>
    </xf>
    <xf numFmtId="0" fontId="51" fillId="14" borderId="8" xfId="0" applyFont="1" applyFill="1" applyBorder="1" applyAlignment="1">
      <alignment horizontal="center" wrapText="1"/>
    </xf>
    <xf numFmtId="0" fontId="29" fillId="14" borderId="0" xfId="0" applyFont="1" applyFill="1"/>
    <xf numFmtId="0" fontId="51" fillId="13" borderId="1" xfId="0" applyFont="1" applyFill="1" applyBorder="1" applyAlignment="1">
      <alignment horizontal="center"/>
    </xf>
    <xf numFmtId="0" fontId="96" fillId="16" borderId="0" xfId="0" applyFont="1" applyFill="1" applyBorder="1"/>
    <xf numFmtId="0" fontId="29" fillId="19" borderId="0" xfId="0" applyFont="1" applyFill="1" applyBorder="1" applyAlignment="1">
      <alignment horizontal="center" wrapText="1"/>
    </xf>
    <xf numFmtId="0" fontId="29" fillId="16" borderId="8" xfId="0" applyFont="1" applyFill="1" applyBorder="1"/>
    <xf numFmtId="0" fontId="4" fillId="5" borderId="5" xfId="1" applyFont="1" applyFill="1" applyBorder="1" applyAlignment="1" applyProtection="1">
      <alignment horizontal="center"/>
      <protection locked="0"/>
    </xf>
    <xf numFmtId="0" fontId="8" fillId="2" borderId="41" xfId="1" applyFont="1" applyFill="1" applyBorder="1" applyAlignment="1" applyProtection="1">
      <alignment horizontal="center"/>
      <protection locked="0"/>
    </xf>
    <xf numFmtId="0" fontId="51" fillId="0" borderId="0" xfId="1" applyFont="1" applyFill="1" applyProtection="1"/>
    <xf numFmtId="0" fontId="29" fillId="0" borderId="0" xfId="1" applyFont="1" applyFill="1" applyProtection="1"/>
    <xf numFmtId="0" fontId="29" fillId="0" borderId="0" xfId="1" applyFont="1" applyProtection="1"/>
    <xf numFmtId="0" fontId="13" fillId="0" borderId="4" xfId="1" applyNumberFormat="1" applyFont="1" applyFill="1" applyBorder="1" applyAlignment="1" applyProtection="1"/>
    <xf numFmtId="0" fontId="51" fillId="0" borderId="0" xfId="1" applyFont="1" applyBorder="1" applyAlignment="1" applyProtection="1">
      <alignment horizontal="right"/>
    </xf>
    <xf numFmtId="0" fontId="51" fillId="0" borderId="0" xfId="1" applyFont="1" applyBorder="1" applyProtection="1"/>
    <xf numFmtId="0" fontId="51" fillId="0" borderId="0" xfId="1" applyFont="1" applyBorder="1" applyAlignment="1" applyProtection="1">
      <alignment horizontal="left"/>
    </xf>
    <xf numFmtId="0" fontId="29" fillId="0" borderId="0" xfId="1" applyFont="1" applyBorder="1" applyProtection="1"/>
    <xf numFmtId="0" fontId="5" fillId="0" borderId="0" xfId="1" applyFont="1" applyFill="1" applyProtection="1"/>
    <xf numFmtId="0" fontId="1" fillId="0" borderId="0" xfId="1" applyFill="1" applyProtection="1"/>
    <xf numFmtId="0" fontId="1" fillId="0" borderId="0" xfId="1" applyProtection="1"/>
    <xf numFmtId="0" fontId="16" fillId="0" borderId="0" xfId="1" applyNumberFormat="1" applyFont="1" applyFill="1" applyBorder="1" applyAlignment="1" applyProtection="1">
      <alignment horizontal="center"/>
    </xf>
    <xf numFmtId="0" fontId="1" fillId="0" borderId="0" xfId="1" applyFont="1" applyProtection="1"/>
    <xf numFmtId="0" fontId="16" fillId="3" borderId="0" xfId="1" applyNumberFormat="1" applyFont="1" applyFill="1" applyBorder="1" applyAlignment="1" applyProtection="1">
      <alignment horizontal="center"/>
    </xf>
    <xf numFmtId="0" fontId="3" fillId="0" borderId="0" xfId="1" applyFont="1" applyBorder="1" applyProtection="1"/>
    <xf numFmtId="0" fontId="15" fillId="0" borderId="0" xfId="1" applyFont="1" applyFill="1" applyBorder="1" applyAlignment="1" applyProtection="1">
      <alignment horizontal="center" vertical="center" wrapText="1"/>
    </xf>
    <xf numFmtId="1" fontId="31" fillId="11" borderId="9" xfId="1" applyNumberFormat="1" applyFont="1" applyFill="1" applyBorder="1" applyAlignment="1" applyProtection="1"/>
    <xf numFmtId="1" fontId="31" fillId="11" borderId="1" xfId="1" applyNumberFormat="1" applyFont="1" applyFill="1" applyBorder="1" applyAlignment="1" applyProtection="1"/>
    <xf numFmtId="1" fontId="31" fillId="11" borderId="24" xfId="1" applyNumberFormat="1" applyFont="1" applyFill="1" applyBorder="1" applyAlignment="1" applyProtection="1"/>
    <xf numFmtId="0" fontId="1" fillId="0" borderId="0" xfId="1" applyFont="1" applyFill="1" applyProtection="1"/>
    <xf numFmtId="1" fontId="31" fillId="11" borderId="6" xfId="1" applyNumberFormat="1" applyFont="1" applyFill="1" applyBorder="1" applyAlignment="1" applyProtection="1"/>
    <xf numFmtId="1" fontId="31" fillId="11" borderId="2" xfId="1" applyNumberFormat="1" applyFont="1" applyFill="1" applyBorder="1" applyAlignment="1" applyProtection="1"/>
    <xf numFmtId="1" fontId="31" fillId="11" borderId="3" xfId="1" applyNumberFormat="1" applyFont="1" applyFill="1" applyBorder="1" applyAlignment="1" applyProtection="1"/>
    <xf numFmtId="0" fontId="13" fillId="3" borderId="0" xfId="1" applyNumberFormat="1" applyFont="1" applyFill="1" applyBorder="1" applyAlignment="1" applyProtection="1">
      <alignment horizontal="center"/>
    </xf>
    <xf numFmtId="0" fontId="22" fillId="0" borderId="0" xfId="1" applyFont="1" applyFill="1" applyBorder="1" applyAlignment="1" applyProtection="1">
      <alignment horizontal="center"/>
    </xf>
    <xf numFmtId="0" fontId="3" fillId="0" borderId="0" xfId="1" applyFont="1" applyProtection="1"/>
    <xf numFmtId="0" fontId="30" fillId="0" borderId="0" xfId="1" applyFont="1" applyFill="1" applyBorder="1" applyAlignment="1" applyProtection="1">
      <alignment horizontal="center"/>
    </xf>
    <xf numFmtId="0" fontId="12" fillId="0" borderId="0" xfId="1" applyFont="1" applyFill="1" applyBorder="1" applyAlignment="1" applyProtection="1">
      <alignment wrapText="1"/>
    </xf>
    <xf numFmtId="0" fontId="12" fillId="14" borderId="8" xfId="1" applyFont="1" applyFill="1" applyBorder="1" applyAlignment="1" applyProtection="1">
      <alignment wrapText="1"/>
    </xf>
    <xf numFmtId="0" fontId="13" fillId="0" borderId="0" xfId="1" applyNumberFormat="1" applyFont="1" applyFill="1" applyBorder="1" applyAlignment="1" applyProtection="1">
      <alignment horizontal="center"/>
    </xf>
    <xf numFmtId="0" fontId="5" fillId="14" borderId="8" xfId="1" applyFont="1" applyFill="1" applyBorder="1" applyProtection="1"/>
    <xf numFmtId="0" fontId="5" fillId="0" borderId="0" xfId="1" applyFont="1" applyBorder="1" applyProtection="1"/>
    <xf numFmtId="0" fontId="13" fillId="0" borderId="13" xfId="1" applyNumberFormat="1" applyFont="1" applyFill="1" applyBorder="1" applyAlignment="1" applyProtection="1">
      <alignment horizontal="center"/>
    </xf>
    <xf numFmtId="0" fontId="1" fillId="14" borderId="8" xfId="1" applyFont="1" applyFill="1" applyBorder="1" applyProtection="1"/>
    <xf numFmtId="0" fontId="94" fillId="14" borderId="8" xfId="1" applyFont="1" applyFill="1" applyBorder="1" applyProtection="1"/>
    <xf numFmtId="0" fontId="1" fillId="14" borderId="8" xfId="1" applyFill="1" applyBorder="1" applyProtection="1"/>
    <xf numFmtId="0" fontId="3" fillId="4" borderId="0" xfId="1" applyFont="1" applyFill="1" applyBorder="1" applyProtection="1"/>
    <xf numFmtId="0" fontId="1" fillId="0" borderId="0" xfId="1" applyAlignment="1" applyProtection="1">
      <alignment horizontal="right"/>
    </xf>
    <xf numFmtId="0" fontId="14" fillId="0" borderId="7" xfId="1" applyFont="1" applyFill="1" applyBorder="1" applyAlignment="1" applyProtection="1">
      <alignment horizontal="center" vertical="center" wrapText="1"/>
    </xf>
    <xf numFmtId="0" fontId="21" fillId="0" borderId="0" xfId="1" applyFont="1" applyFill="1" applyBorder="1" applyProtection="1"/>
    <xf numFmtId="0" fontId="14" fillId="0" borderId="0" xfId="1" applyFont="1" applyBorder="1" applyProtection="1"/>
    <xf numFmtId="1" fontId="31" fillId="0" borderId="0" xfId="1" applyNumberFormat="1" applyFont="1" applyBorder="1" applyAlignment="1" applyProtection="1"/>
    <xf numFmtId="0" fontId="1" fillId="0" borderId="0" xfId="1" applyBorder="1" applyProtection="1"/>
    <xf numFmtId="0" fontId="34" fillId="0" borderId="2" xfId="1" applyFont="1" applyBorder="1" applyProtection="1"/>
    <xf numFmtId="0" fontId="34" fillId="0" borderId="0" xfId="1" applyFont="1" applyBorder="1" applyProtection="1"/>
    <xf numFmtId="1" fontId="36" fillId="0" borderId="0" xfId="1" applyNumberFormat="1" applyFont="1" applyBorder="1" applyAlignment="1" applyProtection="1"/>
    <xf numFmtId="0" fontId="3" fillId="0" borderId="6" xfId="1" applyFont="1" applyBorder="1" applyProtection="1"/>
    <xf numFmtId="0" fontId="3" fillId="0" borderId="3" xfId="1" applyFont="1" applyBorder="1" applyProtection="1"/>
    <xf numFmtId="0" fontId="3" fillId="0" borderId="7" xfId="1" applyFont="1" applyBorder="1" applyProtection="1"/>
    <xf numFmtId="0" fontId="34" fillId="0" borderId="14" xfId="1" applyFont="1" applyBorder="1" applyProtection="1"/>
    <xf numFmtId="0" fontId="3" fillId="0" borderId="19" xfId="1" applyFont="1" applyBorder="1" applyProtection="1"/>
    <xf numFmtId="0" fontId="5" fillId="0" borderId="0" xfId="1" applyFont="1" applyFill="1" applyBorder="1" applyProtection="1"/>
    <xf numFmtId="0" fontId="1" fillId="0" borderId="0" xfId="1" applyFill="1" applyBorder="1" applyProtection="1"/>
    <xf numFmtId="0" fontId="14" fillId="11" borderId="14" xfId="1" applyFont="1" applyFill="1" applyBorder="1" applyProtection="1"/>
    <xf numFmtId="1" fontId="31" fillId="11" borderId="14" xfId="1" applyNumberFormat="1" applyFont="1" applyFill="1" applyBorder="1" applyAlignment="1" applyProtection="1"/>
    <xf numFmtId="0" fontId="19" fillId="0" borderId="0" xfId="1" applyFont="1" applyFill="1" applyBorder="1" applyProtection="1"/>
    <xf numFmtId="0" fontId="1" fillId="0" borderId="0" xfId="1" applyFont="1" applyBorder="1" applyProtection="1"/>
    <xf numFmtId="0" fontId="3" fillId="0" borderId="0" xfId="1" applyFont="1" applyAlignment="1" applyProtection="1">
      <alignment horizontal="center"/>
    </xf>
    <xf numFmtId="0" fontId="27" fillId="0" borderId="0" xfId="1" applyFont="1" applyFill="1" applyProtection="1"/>
    <xf numFmtId="0" fontId="91" fillId="0" borderId="0" xfId="1" applyFont="1" applyProtection="1"/>
    <xf numFmtId="2" fontId="1" fillId="0" borderId="0" xfId="1" applyNumberFormat="1" applyProtection="1"/>
    <xf numFmtId="49" fontId="5" fillId="0" borderId="0" xfId="1" applyNumberFormat="1" applyFont="1" applyFill="1" applyBorder="1" applyAlignment="1" applyProtection="1">
      <alignment horizontal="center"/>
    </xf>
    <xf numFmtId="0" fontId="43" fillId="0" borderId="0" xfId="1" applyNumberFormat="1" applyFont="1" applyFill="1" applyBorder="1" applyAlignment="1" applyProtection="1">
      <alignment horizontal="center" wrapText="1"/>
    </xf>
    <xf numFmtId="0" fontId="43" fillId="6" borderId="0" xfId="1" applyNumberFormat="1" applyFont="1" applyFill="1" applyBorder="1" applyAlignment="1" applyProtection="1">
      <alignment horizontal="center" wrapText="1"/>
    </xf>
    <xf numFmtId="0" fontId="3" fillId="0" borderId="7" xfId="1" applyFont="1" applyFill="1" applyBorder="1" applyAlignment="1" applyProtection="1">
      <alignment horizontal="center" vertical="center" wrapText="1"/>
    </xf>
    <xf numFmtId="0" fontId="3" fillId="0" borderId="0" xfId="1" applyFont="1" applyFill="1" applyBorder="1" applyAlignment="1" applyProtection="1">
      <alignment horizontal="center" vertical="center" wrapText="1"/>
    </xf>
    <xf numFmtId="0" fontId="14" fillId="0" borderId="0" xfId="1" applyFont="1" applyFill="1" applyBorder="1" applyAlignment="1" applyProtection="1">
      <alignment horizontal="center" vertical="center" wrapText="1"/>
    </xf>
    <xf numFmtId="49" fontId="42" fillId="14" borderId="36" xfId="1" applyNumberFormat="1" applyFont="1" applyFill="1" applyBorder="1" applyAlignment="1" applyProtection="1">
      <alignment horizontal="center" wrapText="1"/>
    </xf>
    <xf numFmtId="49" fontId="3" fillId="4" borderId="0" xfId="1" applyNumberFormat="1" applyFont="1" applyFill="1" applyBorder="1" applyAlignment="1" applyProtection="1">
      <alignment horizontal="center" wrapText="1"/>
    </xf>
    <xf numFmtId="0" fontId="1" fillId="0" borderId="0" xfId="1" applyFill="1" applyAlignment="1" applyProtection="1">
      <alignment horizontal="center"/>
    </xf>
    <xf numFmtId="49" fontId="42" fillId="4" borderId="0" xfId="1" applyNumberFormat="1" applyFont="1" applyFill="1" applyBorder="1" applyAlignment="1" applyProtection="1">
      <alignment horizontal="center" wrapText="1"/>
    </xf>
    <xf numFmtId="0" fontId="48" fillId="0" borderId="0" xfId="1" applyFont="1" applyProtection="1"/>
    <xf numFmtId="0" fontId="5" fillId="0" borderId="0" xfId="1" applyFont="1" applyFill="1" applyBorder="1" applyAlignment="1" applyProtection="1"/>
    <xf numFmtId="0" fontId="5" fillId="0" borderId="1" xfId="1" applyFont="1" applyFill="1" applyBorder="1" applyAlignment="1" applyProtection="1"/>
    <xf numFmtId="0" fontId="1" fillId="0" borderId="23" xfId="1" applyBorder="1" applyProtection="1"/>
    <xf numFmtId="0" fontId="1" fillId="0" borderId="4" xfId="1" applyBorder="1" applyAlignment="1" applyProtection="1">
      <alignment horizontal="center" wrapText="1"/>
    </xf>
    <xf numFmtId="0" fontId="8" fillId="0" borderId="0" xfId="1" applyFont="1" applyFill="1" applyBorder="1" applyProtection="1"/>
    <xf numFmtId="0" fontId="1" fillId="0" borderId="0" xfId="1" applyBorder="1" applyAlignment="1" applyProtection="1">
      <alignment horizontal="center" wrapText="1"/>
    </xf>
    <xf numFmtId="0" fontId="1" fillId="0" borderId="0" xfId="1" applyFont="1" applyBorder="1" applyAlignment="1" applyProtection="1">
      <alignment horizontal="center" wrapText="1"/>
    </xf>
    <xf numFmtId="0" fontId="8" fillId="17" borderId="0" xfId="1" applyFont="1" applyFill="1" applyProtection="1"/>
    <xf numFmtId="2" fontId="5" fillId="14" borderId="7" xfId="1" applyNumberFormat="1" applyFont="1" applyFill="1" applyBorder="1" applyAlignment="1" applyProtection="1"/>
    <xf numFmtId="2" fontId="5" fillId="14" borderId="14" xfId="1" applyNumberFormat="1" applyFont="1" applyFill="1" applyBorder="1" applyAlignment="1" applyProtection="1"/>
    <xf numFmtId="49" fontId="5" fillId="14" borderId="41" xfId="1" applyNumberFormat="1" applyFont="1" applyFill="1" applyBorder="1" applyAlignment="1" applyProtection="1">
      <alignment horizontal="center" wrapText="1"/>
    </xf>
    <xf numFmtId="49" fontId="42" fillId="14" borderId="5" xfId="1" applyNumberFormat="1" applyFont="1" applyFill="1" applyBorder="1" applyAlignment="1" applyProtection="1">
      <alignment horizontal="center" wrapText="1"/>
    </xf>
    <xf numFmtId="0" fontId="1" fillId="14" borderId="14" xfId="1" applyFill="1" applyBorder="1" applyProtection="1"/>
    <xf numFmtId="0" fontId="1" fillId="7" borderId="0" xfId="1" applyFill="1" applyBorder="1" applyAlignment="1" applyProtection="1">
      <alignment horizontal="center" wrapText="1"/>
    </xf>
    <xf numFmtId="0" fontId="1" fillId="7" borderId="0" xfId="1" applyFont="1" applyFill="1" applyBorder="1" applyAlignment="1" applyProtection="1">
      <alignment horizontal="center" wrapText="1"/>
    </xf>
    <xf numFmtId="0" fontId="1" fillId="7" borderId="0" xfId="1" applyFill="1" applyBorder="1" applyProtection="1"/>
    <xf numFmtId="0" fontId="1" fillId="2" borderId="0" xfId="1" applyFill="1" applyBorder="1" applyAlignment="1" applyProtection="1">
      <alignment horizontal="center" wrapText="1"/>
    </xf>
    <xf numFmtId="0" fontId="1" fillId="9" borderId="0" xfId="1" applyFill="1" applyBorder="1" applyAlignment="1" applyProtection="1">
      <alignment horizontal="center" wrapText="1"/>
    </xf>
    <xf numFmtId="0" fontId="1" fillId="0" borderId="0" xfId="1" applyFill="1" applyBorder="1" applyAlignment="1" applyProtection="1">
      <alignment horizontal="center" wrapText="1"/>
    </xf>
    <xf numFmtId="0" fontId="3" fillId="8" borderId="0" xfId="1" applyFont="1" applyFill="1" applyProtection="1"/>
    <xf numFmtId="2" fontId="46" fillId="0" borderId="0" xfId="1" applyNumberFormat="1" applyFont="1" applyFill="1" applyAlignment="1" applyProtection="1">
      <alignment horizontal="center"/>
    </xf>
    <xf numFmtId="2" fontId="49" fillId="17" borderId="5" xfId="1" applyNumberFormat="1" applyFont="1" applyFill="1" applyBorder="1" applyAlignment="1" applyProtection="1">
      <alignment horizontal="center"/>
    </xf>
    <xf numFmtId="0" fontId="6" fillId="0" borderId="0" xfId="1" applyNumberFormat="1" applyFont="1" applyFill="1" applyBorder="1" applyProtection="1"/>
    <xf numFmtId="0" fontId="5" fillId="14" borderId="15" xfId="1" applyFont="1" applyFill="1" applyBorder="1" applyAlignment="1" applyProtection="1"/>
    <xf numFmtId="0" fontId="5" fillId="14" borderId="6" xfId="1" applyFont="1" applyFill="1" applyBorder="1" applyAlignment="1" applyProtection="1"/>
    <xf numFmtId="0" fontId="5" fillId="14" borderId="3" xfId="1" applyFont="1" applyFill="1" applyBorder="1" applyAlignment="1" applyProtection="1">
      <alignment horizontal="center"/>
    </xf>
    <xf numFmtId="0" fontId="5" fillId="14" borderId="15" xfId="1" applyFont="1" applyFill="1" applyBorder="1" applyAlignment="1" applyProtection="1">
      <alignment horizontal="center"/>
    </xf>
    <xf numFmtId="0" fontId="1" fillId="14" borderId="31" xfId="1" applyFill="1" applyBorder="1" applyProtection="1"/>
    <xf numFmtId="0" fontId="1" fillId="14" borderId="32" xfId="1" applyFill="1" applyBorder="1" applyProtection="1"/>
    <xf numFmtId="0" fontId="1" fillId="14" borderId="2" xfId="1" applyFill="1" applyBorder="1" applyProtection="1"/>
    <xf numFmtId="0" fontId="1" fillId="14" borderId="3" xfId="1" applyFill="1" applyBorder="1" applyProtection="1"/>
    <xf numFmtId="0" fontId="12" fillId="14" borderId="0" xfId="1" applyFont="1" applyFill="1" applyBorder="1" applyAlignment="1" applyProtection="1">
      <alignment horizontal="center"/>
    </xf>
    <xf numFmtId="0" fontId="5" fillId="13" borderId="0" xfId="1" applyFont="1" applyFill="1" applyBorder="1" applyAlignment="1" applyProtection="1">
      <alignment horizontal="center"/>
    </xf>
    <xf numFmtId="0" fontId="5" fillId="20" borderId="0" xfId="1" applyFont="1" applyFill="1" applyBorder="1" applyAlignment="1" applyProtection="1">
      <alignment horizontal="center"/>
    </xf>
    <xf numFmtId="0" fontId="51" fillId="16" borderId="0" xfId="1" applyFont="1" applyFill="1" applyBorder="1" applyAlignment="1" applyProtection="1">
      <alignment horizontal="center"/>
    </xf>
    <xf numFmtId="0" fontId="12" fillId="0" borderId="0" xfId="1" applyFont="1" applyBorder="1" applyAlignment="1" applyProtection="1">
      <alignment horizontal="center"/>
    </xf>
    <xf numFmtId="0" fontId="12" fillId="7" borderId="8" xfId="1" applyFont="1" applyFill="1" applyBorder="1" applyAlignment="1" applyProtection="1">
      <alignment horizontal="center"/>
    </xf>
    <xf numFmtId="0" fontId="5" fillId="7" borderId="8" xfId="1" applyFont="1" applyFill="1" applyBorder="1" applyAlignment="1" applyProtection="1">
      <alignment horizontal="center"/>
    </xf>
    <xf numFmtId="0" fontId="44" fillId="7" borderId="8" xfId="1" applyFont="1" applyFill="1" applyBorder="1" applyProtection="1"/>
    <xf numFmtId="0" fontId="45" fillId="7" borderId="8" xfId="1" applyFont="1" applyFill="1" applyBorder="1" applyAlignment="1" applyProtection="1">
      <alignment horizontal="center"/>
    </xf>
    <xf numFmtId="0" fontId="12" fillId="2" borderId="8" xfId="1" applyFont="1" applyFill="1" applyBorder="1" applyAlignment="1" applyProtection="1">
      <alignment horizontal="center"/>
    </xf>
    <xf numFmtId="0" fontId="44" fillId="2" borderId="8" xfId="1" applyFont="1" applyFill="1" applyBorder="1" applyProtection="1"/>
    <xf numFmtId="0" fontId="45" fillId="2" borderId="8" xfId="1" applyFont="1" applyFill="1" applyBorder="1" applyAlignment="1" applyProtection="1">
      <alignment horizontal="center"/>
    </xf>
    <xf numFmtId="0" fontId="45" fillId="9" borderId="8" xfId="1" applyFont="1" applyFill="1" applyBorder="1" applyAlignment="1" applyProtection="1">
      <alignment horizontal="center"/>
    </xf>
    <xf numFmtId="0" fontId="45" fillId="0" borderId="8" xfId="1" applyFont="1" applyBorder="1" applyAlignment="1" applyProtection="1">
      <alignment horizontal="center"/>
    </xf>
    <xf numFmtId="0" fontId="45" fillId="0" borderId="0" xfId="1" applyFont="1" applyBorder="1" applyAlignment="1" applyProtection="1">
      <alignment horizontal="center"/>
    </xf>
    <xf numFmtId="0" fontId="45" fillId="9" borderId="0" xfId="1" applyFont="1" applyFill="1" applyBorder="1" applyAlignment="1" applyProtection="1">
      <alignment horizontal="center"/>
    </xf>
    <xf numFmtId="0" fontId="45" fillId="8" borderId="0" xfId="1" applyFont="1" applyFill="1" applyBorder="1" applyAlignment="1" applyProtection="1">
      <alignment horizontal="center"/>
    </xf>
    <xf numFmtId="0" fontId="5" fillId="2" borderId="5" xfId="1" applyFont="1" applyFill="1" applyBorder="1" applyAlignment="1" applyProtection="1">
      <alignment horizontal="center"/>
    </xf>
    <xf numFmtId="2" fontId="5" fillId="10" borderId="5" xfId="1" applyNumberFormat="1" applyFont="1" applyFill="1" applyBorder="1" applyAlignment="1" applyProtection="1">
      <alignment horizontal="center"/>
    </xf>
    <xf numFmtId="0" fontId="1" fillId="0" borderId="2" xfId="1" applyBorder="1" applyProtection="1"/>
    <xf numFmtId="0" fontId="5" fillId="14" borderId="19" xfId="1" applyFont="1" applyFill="1" applyBorder="1" applyAlignment="1" applyProtection="1">
      <alignment horizontal="center"/>
    </xf>
    <xf numFmtId="0" fontId="5" fillId="14" borderId="5" xfId="1" applyFont="1" applyFill="1" applyBorder="1" applyAlignment="1" applyProtection="1">
      <alignment horizontal="center"/>
    </xf>
    <xf numFmtId="0" fontId="1" fillId="14" borderId="20" xfId="1" applyFill="1" applyBorder="1" applyProtection="1"/>
    <xf numFmtId="0" fontId="1" fillId="14" borderId="21" xfId="1" applyFill="1" applyBorder="1" applyProtection="1"/>
    <xf numFmtId="0" fontId="5" fillId="7" borderId="0" xfId="1" applyFont="1" applyFill="1" applyBorder="1" applyAlignment="1" applyProtection="1">
      <alignment horizontal="center"/>
    </xf>
    <xf numFmtId="49" fontId="3" fillId="4" borderId="19" xfId="1" applyNumberFormat="1" applyFont="1" applyFill="1" applyBorder="1" applyAlignment="1" applyProtection="1">
      <alignment horizontal="center" wrapText="1"/>
    </xf>
    <xf numFmtId="0" fontId="1" fillId="0" borderId="0" xfId="1" applyFill="1" applyBorder="1" applyAlignment="1" applyProtection="1">
      <alignment horizontal="center"/>
    </xf>
    <xf numFmtId="0" fontId="1" fillId="0" borderId="1" xfId="1" applyBorder="1" applyProtection="1"/>
    <xf numFmtId="0" fontId="1" fillId="0" borderId="1" xfId="1" applyFont="1" applyBorder="1" applyProtection="1"/>
    <xf numFmtId="0" fontId="1" fillId="0" borderId="24" xfId="1" applyFont="1" applyBorder="1" applyProtection="1"/>
    <xf numFmtId="0" fontId="1" fillId="0" borderId="0" xfId="1" applyBorder="1" applyAlignment="1" applyProtection="1">
      <alignment horizontal="right"/>
    </xf>
    <xf numFmtId="2" fontId="14" fillId="0" borderId="0" xfId="1" applyNumberFormat="1" applyFont="1" applyBorder="1" applyAlignment="1" applyProtection="1">
      <alignment horizontal="center"/>
    </xf>
    <xf numFmtId="0" fontId="4" fillId="0" borderId="0" xfId="1" applyFont="1" applyBorder="1" applyAlignment="1" applyProtection="1">
      <alignment horizontal="center"/>
    </xf>
    <xf numFmtId="2" fontId="15" fillId="0" borderId="0" xfId="1" applyNumberFormat="1" applyFont="1" applyBorder="1" applyProtection="1"/>
    <xf numFmtId="0" fontId="1" fillId="0" borderId="1" xfId="1" applyFill="1" applyBorder="1" applyProtection="1"/>
    <xf numFmtId="2" fontId="5" fillId="14" borderId="5" xfId="1" applyNumberFormat="1" applyFont="1" applyFill="1" applyBorder="1" applyAlignment="1" applyProtection="1"/>
    <xf numFmtId="49" fontId="5" fillId="14" borderId="5" xfId="1" applyNumberFormat="1" applyFont="1" applyFill="1" applyBorder="1" applyAlignment="1" applyProtection="1">
      <alignment horizontal="center" wrapText="1"/>
    </xf>
    <xf numFmtId="0" fontId="1" fillId="14" borderId="28" xfId="1" applyFill="1" applyBorder="1" applyProtection="1"/>
    <xf numFmtId="0" fontId="1" fillId="14" borderId="29" xfId="1" applyFill="1" applyBorder="1" applyProtection="1"/>
    <xf numFmtId="0" fontId="1" fillId="17" borderId="14" xfId="1" applyFill="1" applyBorder="1" applyAlignment="1" applyProtection="1">
      <alignment horizontal="center" wrapText="1"/>
    </xf>
    <xf numFmtId="0" fontId="1" fillId="17" borderId="14" xfId="1" applyFont="1" applyFill="1" applyBorder="1" applyAlignment="1" applyProtection="1">
      <alignment horizontal="center" wrapText="1"/>
    </xf>
    <xf numFmtId="0" fontId="1" fillId="17" borderId="14" xfId="1" applyFill="1" applyBorder="1" applyProtection="1"/>
    <xf numFmtId="0" fontId="3" fillId="17" borderId="14" xfId="1" applyFont="1" applyFill="1" applyBorder="1" applyProtection="1"/>
    <xf numFmtId="2" fontId="46" fillId="17" borderId="14" xfId="1" applyNumberFormat="1" applyFont="1" applyFill="1" applyBorder="1" applyAlignment="1" applyProtection="1">
      <alignment horizontal="center"/>
    </xf>
    <xf numFmtId="0" fontId="5" fillId="2" borderId="15" xfId="1" applyFont="1" applyFill="1" applyBorder="1" applyAlignment="1" applyProtection="1"/>
    <xf numFmtId="0" fontId="5" fillId="0" borderId="6" xfId="1" applyFont="1" applyFill="1" applyBorder="1" applyAlignment="1" applyProtection="1"/>
    <xf numFmtId="0" fontId="5" fillId="2" borderId="3" xfId="1" applyFont="1" applyFill="1" applyBorder="1" applyAlignment="1" applyProtection="1">
      <alignment horizontal="center"/>
    </xf>
    <xf numFmtId="0" fontId="5" fillId="2" borderId="15" xfId="1" applyFont="1" applyFill="1" applyBorder="1" applyAlignment="1" applyProtection="1">
      <alignment horizontal="center"/>
    </xf>
    <xf numFmtId="0" fontId="1" fillId="0" borderId="31" xfId="1" applyBorder="1" applyProtection="1"/>
    <xf numFmtId="0" fontId="1" fillId="0" borderId="32" xfId="1" applyBorder="1" applyProtection="1"/>
    <xf numFmtId="0" fontId="1" fillId="0" borderId="3" xfId="1" applyBorder="1" applyProtection="1"/>
    <xf numFmtId="0" fontId="8" fillId="14" borderId="8" xfId="1" applyFont="1" applyFill="1" applyBorder="1" applyProtection="1"/>
    <xf numFmtId="0" fontId="5" fillId="0" borderId="0" xfId="1" applyFont="1" applyBorder="1" applyAlignment="1" applyProtection="1">
      <alignment horizontal="center"/>
    </xf>
    <xf numFmtId="0" fontId="12" fillId="7" borderId="0" xfId="1" applyFont="1" applyFill="1" applyBorder="1" applyAlignment="1" applyProtection="1">
      <alignment horizontal="center"/>
    </xf>
    <xf numFmtId="0" fontId="12" fillId="7" borderId="18" xfId="1" applyFont="1" applyFill="1" applyBorder="1" applyAlignment="1" applyProtection="1">
      <alignment horizontal="center"/>
    </xf>
    <xf numFmtId="0" fontId="44" fillId="7" borderId="18" xfId="1" applyFont="1" applyFill="1" applyBorder="1" applyProtection="1"/>
    <xf numFmtId="0" fontId="45" fillId="7" borderId="18" xfId="1" applyFont="1" applyFill="1" applyBorder="1" applyAlignment="1" applyProtection="1">
      <alignment horizontal="center"/>
    </xf>
    <xf numFmtId="0" fontId="12" fillId="2" borderId="18" xfId="1" applyFont="1" applyFill="1" applyBorder="1" applyAlignment="1" applyProtection="1">
      <alignment horizontal="center"/>
    </xf>
    <xf numFmtId="0" fontId="44" fillId="2" borderId="18" xfId="1" applyFont="1" applyFill="1" applyBorder="1" applyProtection="1"/>
    <xf numFmtId="0" fontId="45" fillId="2" borderId="18" xfId="1" applyFont="1" applyFill="1" applyBorder="1" applyAlignment="1" applyProtection="1">
      <alignment horizontal="center"/>
    </xf>
    <xf numFmtId="0" fontId="45" fillId="9" borderId="18" xfId="1" applyFont="1" applyFill="1" applyBorder="1" applyAlignment="1" applyProtection="1">
      <alignment horizontal="center"/>
    </xf>
    <xf numFmtId="0" fontId="45" fillId="0" borderId="18" xfId="1" applyFont="1" applyBorder="1" applyAlignment="1" applyProtection="1">
      <alignment horizontal="center"/>
    </xf>
    <xf numFmtId="2" fontId="5" fillId="10" borderId="15" xfId="1" applyNumberFormat="1" applyFont="1" applyFill="1" applyBorder="1" applyAlignment="1" applyProtection="1">
      <alignment horizontal="center"/>
    </xf>
    <xf numFmtId="0" fontId="9" fillId="0" borderId="0" xfId="1" applyNumberFormat="1" applyFont="1" applyFill="1" applyBorder="1" applyProtection="1"/>
    <xf numFmtId="0" fontId="5" fillId="2" borderId="6" xfId="1" applyFont="1" applyFill="1" applyBorder="1" applyAlignment="1" applyProtection="1"/>
    <xf numFmtId="0" fontId="5" fillId="2" borderId="19" xfId="1" applyFont="1" applyFill="1" applyBorder="1" applyAlignment="1" applyProtection="1">
      <alignment horizontal="center"/>
    </xf>
    <xf numFmtId="0" fontId="1" fillId="0" borderId="20" xfId="1" applyBorder="1" applyProtection="1"/>
    <xf numFmtId="0" fontId="1" fillId="0" borderId="21" xfId="1" applyBorder="1" applyProtection="1"/>
    <xf numFmtId="0" fontId="5" fillId="2" borderId="7" xfId="1" applyFont="1" applyFill="1" applyBorder="1" applyAlignment="1" applyProtection="1">
      <alignment horizontal="center"/>
    </xf>
    <xf numFmtId="0" fontId="1" fillId="0" borderId="4" xfId="1" applyBorder="1" applyAlignment="1" applyProtection="1">
      <alignment horizontal="center"/>
    </xf>
    <xf numFmtId="0" fontId="88" fillId="0" borderId="7" xfId="1" applyFont="1" applyBorder="1" applyProtection="1"/>
    <xf numFmtId="0" fontId="5" fillId="0" borderId="19" xfId="1" applyFont="1" applyFill="1" applyBorder="1" applyAlignment="1" applyProtection="1">
      <alignment horizontal="center"/>
    </xf>
    <xf numFmtId="0" fontId="29" fillId="0" borderId="0" xfId="1" applyFont="1" applyAlignment="1" applyProtection="1">
      <alignment horizontal="right"/>
    </xf>
    <xf numFmtId="2" fontId="14" fillId="0" borderId="0" xfId="1" applyNumberFormat="1" applyFont="1" applyAlignment="1" applyProtection="1">
      <alignment horizontal="center"/>
    </xf>
    <xf numFmtId="0" fontId="4" fillId="0" borderId="0" xfId="1" applyFont="1" applyFill="1" applyBorder="1" applyAlignment="1" applyProtection="1">
      <alignment horizontal="center"/>
    </xf>
    <xf numFmtId="49" fontId="5" fillId="4" borderId="19" xfId="1" applyNumberFormat="1" applyFont="1" applyFill="1" applyBorder="1" applyAlignment="1" applyProtection="1">
      <alignment horizontal="center" wrapText="1"/>
    </xf>
    <xf numFmtId="0" fontId="1" fillId="0" borderId="10" xfId="1" applyFill="1" applyBorder="1" applyAlignment="1" applyProtection="1">
      <alignment horizontal="center"/>
    </xf>
    <xf numFmtId="0" fontId="17" fillId="0" borderId="0" xfId="1" applyNumberFormat="1" applyFont="1" applyFill="1" applyBorder="1" applyProtection="1"/>
    <xf numFmtId="0" fontId="4" fillId="0" borderId="0" xfId="1" applyFont="1" applyBorder="1" applyAlignment="1" applyProtection="1"/>
    <xf numFmtId="0" fontId="17" fillId="14" borderId="8" xfId="1" applyNumberFormat="1" applyFont="1" applyFill="1" applyBorder="1" applyProtection="1"/>
    <xf numFmtId="0" fontId="20" fillId="0" borderId="0" xfId="1" applyFont="1" applyProtection="1"/>
    <xf numFmtId="0" fontId="5" fillId="0" borderId="10" xfId="1" applyFont="1" applyFill="1" applyBorder="1" applyAlignment="1" applyProtection="1"/>
    <xf numFmtId="0" fontId="1" fillId="13" borderId="23" xfId="1" applyFill="1" applyBorder="1" applyProtection="1"/>
    <xf numFmtId="0" fontId="5" fillId="13" borderId="0" xfId="1" applyFont="1" applyFill="1" applyBorder="1" applyProtection="1"/>
    <xf numFmtId="0" fontId="8" fillId="17" borderId="10" xfId="1" applyFont="1" applyFill="1" applyBorder="1" applyProtection="1"/>
    <xf numFmtId="0" fontId="8" fillId="17" borderId="4" xfId="1" applyFont="1" applyFill="1" applyBorder="1" applyProtection="1"/>
    <xf numFmtId="0" fontId="5" fillId="17" borderId="29" xfId="1" applyFont="1" applyFill="1" applyBorder="1" applyAlignment="1" applyProtection="1">
      <alignment horizontal="center" wrapText="1"/>
    </xf>
    <xf numFmtId="0" fontId="8" fillId="17" borderId="29" xfId="1" applyFont="1" applyFill="1" applyBorder="1" applyAlignment="1" applyProtection="1">
      <alignment horizontal="center" wrapText="1"/>
    </xf>
    <xf numFmtId="0" fontId="1" fillId="17" borderId="29" xfId="1" applyFill="1" applyBorder="1" applyAlignment="1" applyProtection="1">
      <alignment horizontal="center" wrapText="1"/>
    </xf>
    <xf numFmtId="0" fontId="5" fillId="2" borderId="0" xfId="1" applyFont="1" applyFill="1" applyBorder="1" applyAlignment="1" applyProtection="1">
      <alignment horizontal="center"/>
    </xf>
    <xf numFmtId="0" fontId="12" fillId="0" borderId="0" xfId="2" applyFont="1" applyBorder="1" applyAlignment="1" applyProtection="1">
      <alignment horizontal="center"/>
    </xf>
    <xf numFmtId="0" fontId="45" fillId="13" borderId="0" xfId="1" applyFont="1" applyFill="1" applyBorder="1" applyAlignment="1" applyProtection="1">
      <alignment horizontal="center"/>
    </xf>
    <xf numFmtId="2" fontId="5" fillId="2" borderId="15" xfId="1" applyNumberFormat="1" applyFont="1" applyFill="1" applyBorder="1" applyAlignment="1" applyProtection="1">
      <alignment horizontal="center"/>
    </xf>
    <xf numFmtId="2" fontId="5" fillId="2" borderId="5" xfId="1" applyNumberFormat="1" applyFont="1" applyFill="1" applyBorder="1" applyAlignment="1" applyProtection="1">
      <alignment horizontal="center"/>
    </xf>
    <xf numFmtId="0" fontId="3" fillId="0" borderId="0" xfId="1" applyFont="1" applyBorder="1" applyAlignment="1" applyProtection="1">
      <alignment horizontal="right"/>
    </xf>
    <xf numFmtId="0" fontId="23" fillId="0" borderId="0" xfId="1" applyFont="1" applyBorder="1" applyAlignment="1" applyProtection="1">
      <alignment horizontal="center"/>
    </xf>
    <xf numFmtId="0" fontId="23" fillId="0" borderId="0" xfId="1" applyFont="1" applyBorder="1" applyProtection="1"/>
    <xf numFmtId="0" fontId="28" fillId="0" borderId="0" xfId="1" applyFont="1" applyFill="1" applyBorder="1" applyProtection="1"/>
    <xf numFmtId="0" fontId="3" fillId="0" borderId="0" xfId="1" applyFont="1" applyBorder="1" applyAlignment="1" applyProtection="1">
      <alignment horizontal="center"/>
    </xf>
    <xf numFmtId="0" fontId="5" fillId="0" borderId="8" xfId="0" applyFont="1" applyFill="1" applyBorder="1"/>
    <xf numFmtId="49" fontId="5" fillId="4" borderId="7" xfId="0" applyNumberFormat="1" applyFont="1" applyFill="1" applyBorder="1" applyAlignment="1">
      <alignment horizontal="center" wrapText="1"/>
    </xf>
    <xf numFmtId="0" fontId="5" fillId="0" borderId="7" xfId="0" applyFont="1" applyFill="1" applyBorder="1" applyAlignment="1"/>
    <xf numFmtId="0" fontId="0" fillId="14" borderId="42" xfId="0" applyFill="1" applyBorder="1" applyAlignment="1">
      <alignment horizontal="center"/>
    </xf>
    <xf numFmtId="49" fontId="5" fillId="14" borderId="41" xfId="0" applyNumberFormat="1" applyFont="1" applyFill="1" applyBorder="1" applyAlignment="1">
      <alignment horizontal="center" wrapText="1"/>
    </xf>
    <xf numFmtId="0" fontId="4" fillId="2" borderId="14" xfId="0" applyFont="1" applyFill="1" applyBorder="1" applyAlignment="1">
      <alignment horizontal="center"/>
    </xf>
    <xf numFmtId="2" fontId="5" fillId="0" borderId="10" xfId="0" applyNumberFormat="1" applyFont="1" applyFill="1" applyBorder="1" applyAlignment="1"/>
    <xf numFmtId="1" fontId="65" fillId="0" borderId="0" xfId="0" applyNumberFormat="1" applyFont="1" applyFill="1" applyBorder="1" applyAlignment="1"/>
    <xf numFmtId="0" fontId="64" fillId="0" borderId="0" xfId="0" applyFont="1" applyFill="1" applyBorder="1"/>
    <xf numFmtId="0" fontId="42" fillId="0" borderId="0" xfId="0" applyFont="1" applyFill="1" applyBorder="1"/>
    <xf numFmtId="0" fontId="66" fillId="0" borderId="0" xfId="0" applyFont="1" applyFill="1" applyBorder="1" applyAlignment="1">
      <alignment horizontal="center"/>
    </xf>
    <xf numFmtId="0" fontId="64" fillId="0" borderId="6" xfId="0" applyFont="1" applyBorder="1"/>
    <xf numFmtId="0" fontId="64" fillId="0" borderId="2" xfId="0" applyFont="1" applyBorder="1" applyAlignment="1">
      <alignment horizontal="center"/>
    </xf>
    <xf numFmtId="0" fontId="0" fillId="0" borderId="2" xfId="0" applyBorder="1" applyAlignment="1">
      <alignment horizontal="center"/>
    </xf>
    <xf numFmtId="0" fontId="42" fillId="0" borderId="2" xfId="0" applyFont="1" applyBorder="1" applyAlignment="1">
      <alignment horizontal="center"/>
    </xf>
    <xf numFmtId="0" fontId="66" fillId="0" borderId="2" xfId="0" applyFont="1" applyBorder="1" applyAlignment="1">
      <alignment horizontal="center"/>
    </xf>
    <xf numFmtId="0" fontId="63" fillId="0" borderId="2" xfId="0" applyFont="1" applyBorder="1" applyAlignment="1">
      <alignment horizontal="center"/>
    </xf>
    <xf numFmtId="0" fontId="69" fillId="0" borderId="2" xfId="0" applyFont="1" applyBorder="1" applyAlignment="1">
      <alignment horizontal="center"/>
    </xf>
    <xf numFmtId="0" fontId="42" fillId="0" borderId="7" xfId="0" applyFont="1" applyBorder="1" applyAlignment="1">
      <alignment vertical="center"/>
    </xf>
    <xf numFmtId="0" fontId="43" fillId="6" borderId="26" xfId="0" applyNumberFormat="1" applyFont="1" applyFill="1" applyBorder="1" applyAlignment="1">
      <alignment horizontal="center" vertical="center" wrapText="1"/>
    </xf>
    <xf numFmtId="0" fontId="4" fillId="14" borderId="36" xfId="0" applyFont="1" applyFill="1" applyBorder="1" applyAlignment="1">
      <alignment horizontal="center"/>
    </xf>
    <xf numFmtId="0" fontId="4" fillId="14" borderId="44" xfId="0" applyFont="1" applyFill="1" applyBorder="1" applyAlignment="1">
      <alignment horizontal="center"/>
    </xf>
    <xf numFmtId="0" fontId="0" fillId="14" borderId="45" xfId="0" applyFill="1" applyBorder="1" applyAlignment="1">
      <alignment horizontal="center"/>
    </xf>
    <xf numFmtId="49" fontId="5" fillId="14" borderId="47" xfId="0" applyNumberFormat="1" applyFont="1" applyFill="1" applyBorder="1" applyAlignment="1">
      <alignment horizontal="center" wrapText="1"/>
    </xf>
    <xf numFmtId="0" fontId="29" fillId="0" borderId="12" xfId="0" applyFont="1" applyBorder="1"/>
    <xf numFmtId="0" fontId="14" fillId="7" borderId="6" xfId="0" applyFont="1" applyFill="1" applyBorder="1" applyAlignment="1">
      <alignment horizontal="center" vertical="center" wrapText="1"/>
    </xf>
    <xf numFmtId="49" fontId="42" fillId="14" borderId="0" xfId="0" applyNumberFormat="1" applyFont="1" applyFill="1" applyBorder="1" applyAlignment="1">
      <alignment horizontal="center" wrapText="1"/>
    </xf>
    <xf numFmtId="0" fontId="4" fillId="14" borderId="14" xfId="0" applyFont="1" applyFill="1" applyBorder="1" applyAlignment="1">
      <alignment horizontal="center"/>
    </xf>
    <xf numFmtId="0" fontId="5" fillId="14" borderId="0" xfId="0" applyFont="1" applyFill="1" applyBorder="1" applyAlignment="1"/>
    <xf numFmtId="49" fontId="42" fillId="17" borderId="36" xfId="0" applyNumberFormat="1" applyFont="1" applyFill="1" applyBorder="1" applyAlignment="1">
      <alignment horizontal="center" wrapText="1"/>
    </xf>
    <xf numFmtId="0" fontId="5" fillId="14" borderId="7" xfId="0" applyFont="1" applyFill="1" applyBorder="1" applyAlignment="1"/>
    <xf numFmtId="49" fontId="5" fillId="14" borderId="36" xfId="0" applyNumberFormat="1" applyFont="1" applyFill="1" applyBorder="1" applyAlignment="1">
      <alignment horizontal="center" wrapText="1"/>
    </xf>
    <xf numFmtId="0" fontId="0" fillId="14" borderId="43" xfId="0" applyFill="1" applyBorder="1"/>
    <xf numFmtId="0" fontId="0" fillId="14" borderId="42" xfId="0" applyFill="1" applyBorder="1"/>
    <xf numFmtId="0" fontId="104" fillId="0" borderId="0" xfId="0" applyFont="1"/>
    <xf numFmtId="0" fontId="105" fillId="0" borderId="0" xfId="0" applyFont="1" applyFill="1"/>
    <xf numFmtId="49" fontId="42" fillId="17" borderId="36" xfId="0" applyNumberFormat="1" applyFont="1" applyFill="1" applyBorder="1" applyAlignment="1">
      <alignment horizontal="center" vertical="center" wrapText="1"/>
    </xf>
    <xf numFmtId="0" fontId="5" fillId="2" borderId="14" xfId="0" applyFont="1" applyFill="1" applyBorder="1" applyAlignment="1">
      <alignment horizontal="center"/>
    </xf>
    <xf numFmtId="49" fontId="42" fillId="14" borderId="36" xfId="0" applyNumberFormat="1" applyFont="1" applyFill="1" applyBorder="1" applyAlignment="1">
      <alignment horizontal="center" wrapText="1"/>
    </xf>
    <xf numFmtId="0" fontId="63" fillId="14" borderId="43" xfId="0" applyFont="1" applyFill="1" applyBorder="1"/>
    <xf numFmtId="49" fontId="4" fillId="14" borderId="36" xfId="0" applyNumberFormat="1" applyFont="1" applyFill="1" applyBorder="1" applyAlignment="1">
      <alignment horizontal="center" vertical="center" wrapText="1"/>
    </xf>
    <xf numFmtId="49" fontId="3" fillId="4" borderId="19" xfId="0" applyNumberFormat="1" applyFont="1" applyFill="1" applyBorder="1" applyAlignment="1">
      <alignment horizontal="center" wrapText="1"/>
    </xf>
    <xf numFmtId="0" fontId="0" fillId="0" borderId="10" xfId="0" applyFill="1" applyBorder="1" applyAlignment="1">
      <alignment horizontal="center"/>
    </xf>
    <xf numFmtId="49" fontId="5" fillId="14" borderId="43" xfId="0" applyNumberFormat="1" applyFont="1" applyFill="1" applyBorder="1" applyAlignment="1">
      <alignment horizontal="center" wrapText="1"/>
    </xf>
    <xf numFmtId="0" fontId="101" fillId="2" borderId="6" xfId="0" applyFont="1" applyFill="1" applyBorder="1" applyAlignment="1"/>
    <xf numFmtId="0" fontId="101" fillId="0" borderId="6" xfId="0" applyFont="1" applyFill="1" applyBorder="1" applyAlignment="1"/>
    <xf numFmtId="0" fontId="101" fillId="2" borderId="19" xfId="0" applyFont="1" applyFill="1" applyBorder="1" applyAlignment="1">
      <alignment horizontal="center"/>
    </xf>
    <xf numFmtId="0" fontId="101" fillId="2" borderId="5" xfId="0" applyFont="1" applyFill="1" applyBorder="1" applyAlignment="1">
      <alignment horizontal="center"/>
    </xf>
    <xf numFmtId="0" fontId="100" fillId="13" borderId="20" xfId="0" applyFont="1" applyFill="1" applyBorder="1"/>
    <xf numFmtId="0" fontId="100" fillId="13" borderId="21" xfId="0" applyFont="1" applyFill="1" applyBorder="1"/>
    <xf numFmtId="0" fontId="100" fillId="0" borderId="2" xfId="0" applyFont="1" applyBorder="1"/>
    <xf numFmtId="0" fontId="100" fillId="0" borderId="3" xfId="0" applyFont="1" applyBorder="1"/>
    <xf numFmtId="0" fontId="100" fillId="0" borderId="0" xfId="0" applyFont="1" applyBorder="1"/>
    <xf numFmtId="0" fontId="102" fillId="0" borderId="0" xfId="0" applyFont="1" applyBorder="1" applyAlignment="1">
      <alignment horizontal="center"/>
    </xf>
    <xf numFmtId="0" fontId="102" fillId="2" borderId="5" xfId="0" applyFont="1" applyFill="1" applyBorder="1" applyAlignment="1">
      <alignment horizontal="center"/>
    </xf>
    <xf numFmtId="0" fontId="100" fillId="14" borderId="0" xfId="0" applyFont="1" applyFill="1"/>
    <xf numFmtId="0" fontId="102" fillId="7" borderId="0" xfId="0" applyFont="1" applyFill="1" applyBorder="1" applyAlignment="1">
      <alignment horizontal="center"/>
    </xf>
    <xf numFmtId="0" fontId="101" fillId="14" borderId="1" xfId="0" applyFont="1" applyFill="1" applyBorder="1" applyAlignment="1">
      <alignment horizontal="center"/>
    </xf>
    <xf numFmtId="0" fontId="101" fillId="13" borderId="0" xfId="0" applyFont="1" applyFill="1" applyBorder="1" applyAlignment="1">
      <alignment horizontal="center"/>
    </xf>
    <xf numFmtId="0" fontId="100" fillId="7" borderId="8" xfId="0" applyFont="1" applyFill="1" applyBorder="1"/>
    <xf numFmtId="0" fontId="100" fillId="2" borderId="8" xfId="0" applyFont="1" applyFill="1" applyBorder="1"/>
    <xf numFmtId="0" fontId="102" fillId="9" borderId="30" xfId="0" applyFont="1" applyFill="1" applyBorder="1" applyAlignment="1">
      <alignment horizontal="center"/>
    </xf>
    <xf numFmtId="0" fontId="102" fillId="9" borderId="8" xfId="0" applyFont="1" applyFill="1" applyBorder="1" applyAlignment="1">
      <alignment horizontal="center"/>
    </xf>
    <xf numFmtId="0" fontId="102" fillId="0" borderId="8" xfId="0" applyFont="1" applyBorder="1" applyAlignment="1">
      <alignment horizontal="center"/>
    </xf>
    <xf numFmtId="0" fontId="102" fillId="9" borderId="0" xfId="0" applyFont="1" applyFill="1" applyBorder="1" applyAlignment="1">
      <alignment horizontal="center"/>
    </xf>
    <xf numFmtId="0" fontId="102" fillId="8" borderId="0" xfId="0" applyFont="1" applyFill="1" applyBorder="1" applyAlignment="1">
      <alignment horizontal="center"/>
    </xf>
    <xf numFmtId="2" fontId="102" fillId="2" borderId="5" xfId="0" applyNumberFormat="1" applyFont="1" applyFill="1" applyBorder="1" applyAlignment="1">
      <alignment horizontal="center"/>
    </xf>
    <xf numFmtId="2" fontId="102" fillId="7" borderId="5" xfId="0" applyNumberFormat="1" applyFont="1" applyFill="1" applyBorder="1" applyAlignment="1">
      <alignment horizontal="center"/>
    </xf>
    <xf numFmtId="0" fontId="63" fillId="0" borderId="43" xfId="0" applyFont="1" applyFill="1" applyBorder="1"/>
    <xf numFmtId="49" fontId="5" fillId="14" borderId="41" xfId="0" applyNumberFormat="1" applyFont="1" applyFill="1" applyBorder="1" applyAlignment="1">
      <alignment horizontal="center" vertical="center" wrapText="1"/>
    </xf>
    <xf numFmtId="0" fontId="4" fillId="5" borderId="26" xfId="0" applyFont="1" applyFill="1" applyBorder="1" applyAlignment="1" applyProtection="1">
      <alignment horizontal="center"/>
      <protection locked="0"/>
    </xf>
    <xf numFmtId="0" fontId="4" fillId="17" borderId="46" xfId="0" applyFont="1" applyFill="1" applyBorder="1" applyAlignment="1" applyProtection="1">
      <alignment horizontal="center"/>
      <protection locked="0"/>
    </xf>
    <xf numFmtId="0" fontId="8" fillId="2" borderId="41" xfId="0" applyFont="1" applyFill="1" applyBorder="1" applyAlignment="1" applyProtection="1">
      <alignment horizontal="center"/>
      <protection locked="0"/>
    </xf>
    <xf numFmtId="0" fontId="4" fillId="5" borderId="5" xfId="0" applyFont="1" applyFill="1" applyBorder="1" applyAlignment="1" applyProtection="1">
      <alignment horizontal="center"/>
      <protection locked="0"/>
    </xf>
    <xf numFmtId="2" fontId="8" fillId="14" borderId="41" xfId="0" applyNumberFormat="1" applyFont="1" applyFill="1" applyBorder="1" applyAlignment="1" applyProtection="1">
      <alignment horizontal="center"/>
      <protection locked="0"/>
    </xf>
    <xf numFmtId="0" fontId="4" fillId="5" borderId="5" xfId="0" applyFont="1" applyFill="1" applyBorder="1" applyAlignment="1" applyProtection="1">
      <alignment horizontal="center" vertical="center"/>
      <protection locked="0"/>
    </xf>
    <xf numFmtId="0" fontId="4" fillId="17" borderId="37" xfId="0" applyFont="1" applyFill="1" applyBorder="1" applyAlignment="1" applyProtection="1">
      <alignment horizontal="center" vertical="center"/>
      <protection locked="0"/>
    </xf>
    <xf numFmtId="0" fontId="4" fillId="17" borderId="37" xfId="0" applyFont="1" applyFill="1" applyBorder="1" applyAlignment="1" applyProtection="1">
      <alignment horizontal="center"/>
      <protection locked="0"/>
    </xf>
    <xf numFmtId="0" fontId="103" fillId="2" borderId="41" xfId="0" applyFont="1" applyFill="1" applyBorder="1" applyAlignment="1" applyProtection="1">
      <alignment horizontal="center"/>
      <protection locked="0"/>
    </xf>
    <xf numFmtId="0" fontId="107" fillId="21" borderId="0" xfId="0" applyFont="1" applyFill="1" applyAlignment="1">
      <alignment horizontal="center"/>
    </xf>
    <xf numFmtId="0" fontId="107" fillId="21" borderId="8" xfId="0" applyFont="1" applyFill="1" applyBorder="1" applyAlignment="1">
      <alignment horizontal="center"/>
    </xf>
    <xf numFmtId="0" fontId="107" fillId="21" borderId="8" xfId="0" applyFont="1" applyFill="1" applyBorder="1" applyAlignment="1">
      <alignment horizontal="left"/>
    </xf>
    <xf numFmtId="0" fontId="18" fillId="21" borderId="8" xfId="0" applyFont="1" applyFill="1" applyBorder="1"/>
    <xf numFmtId="49" fontId="5" fillId="21" borderId="0" xfId="0" applyNumberFormat="1" applyFont="1" applyFill="1" applyBorder="1" applyAlignment="1">
      <alignment horizontal="center" wrapText="1"/>
    </xf>
    <xf numFmtId="0" fontId="109" fillId="21" borderId="8" xfId="0" applyFont="1" applyFill="1" applyBorder="1" applyAlignment="1">
      <alignment horizontal="center"/>
    </xf>
    <xf numFmtId="0" fontId="5" fillId="21" borderId="8" xfId="0" applyFont="1" applyFill="1" applyBorder="1"/>
    <xf numFmtId="0" fontId="8" fillId="21" borderId="8" xfId="0" applyFont="1" applyFill="1" applyBorder="1"/>
    <xf numFmtId="0" fontId="42" fillId="22" borderId="8" xfId="0" applyFont="1" applyFill="1" applyBorder="1"/>
    <xf numFmtId="0" fontId="85" fillId="22" borderId="8" xfId="0" applyFont="1" applyFill="1" applyBorder="1"/>
    <xf numFmtId="0" fontId="53" fillId="23" borderId="8" xfId="0" applyFont="1" applyFill="1" applyBorder="1"/>
    <xf numFmtId="0" fontId="57" fillId="23" borderId="8" xfId="0" applyFont="1" applyFill="1" applyBorder="1"/>
    <xf numFmtId="0" fontId="43" fillId="6" borderId="5" xfId="0" applyNumberFormat="1" applyFont="1" applyFill="1" applyBorder="1" applyAlignment="1">
      <alignment horizontal="center" vertical="center" wrapText="1"/>
    </xf>
    <xf numFmtId="0" fontId="64" fillId="0" borderId="6" xfId="0" applyFont="1" applyBorder="1" applyAlignment="1">
      <alignment wrapText="1"/>
    </xf>
    <xf numFmtId="0" fontId="66" fillId="0" borderId="6" xfId="0" applyFont="1" applyBorder="1" applyAlignment="1">
      <alignment wrapText="1"/>
    </xf>
    <xf numFmtId="0" fontId="16" fillId="0" borderId="0" xfId="0" applyNumberFormat="1" applyFont="1" applyFill="1" applyBorder="1" applyAlignment="1">
      <alignment horizontal="center"/>
    </xf>
    <xf numFmtId="0" fontId="5" fillId="0" borderId="0" xfId="0" applyFont="1" applyBorder="1" applyAlignment="1">
      <alignment horizontal="right"/>
    </xf>
    <xf numFmtId="0" fontId="51" fillId="0" borderId="0" xfId="0" applyFont="1" applyBorder="1" applyAlignment="1">
      <alignment horizontal="right"/>
    </xf>
    <xf numFmtId="49" fontId="42" fillId="14" borderId="19" xfId="0" applyNumberFormat="1" applyFont="1" applyFill="1" applyBorder="1" applyAlignment="1">
      <alignment horizontal="center" wrapText="1"/>
    </xf>
    <xf numFmtId="49" fontId="51" fillId="18" borderId="0" xfId="0" applyNumberFormat="1" applyFont="1" applyFill="1" applyBorder="1" applyAlignment="1">
      <alignment horizontal="center" wrapText="1"/>
    </xf>
    <xf numFmtId="0" fontId="110" fillId="24" borderId="7" xfId="0" applyFont="1" applyFill="1" applyBorder="1" applyAlignment="1">
      <alignment horizontal="center"/>
    </xf>
    <xf numFmtId="0" fontId="110" fillId="24" borderId="14" xfId="0" applyFont="1" applyFill="1" applyBorder="1" applyAlignment="1">
      <alignment horizontal="center"/>
    </xf>
    <xf numFmtId="0" fontId="110" fillId="24" borderId="19" xfId="0" applyFont="1" applyFill="1" applyBorder="1" applyAlignment="1">
      <alignment horizontal="center"/>
    </xf>
    <xf numFmtId="0" fontId="111" fillId="0" borderId="7" xfId="0" applyFont="1" applyBorder="1" applyAlignment="1">
      <alignment horizontal="center"/>
    </xf>
    <xf numFmtId="0" fontId="111" fillId="0" borderId="14" xfId="0" applyFont="1" applyBorder="1" applyAlignment="1">
      <alignment horizontal="center"/>
    </xf>
    <xf numFmtId="0" fontId="111" fillId="0" borderId="19" xfId="0" applyFont="1" applyBorder="1" applyAlignment="1">
      <alignment horizontal="center"/>
    </xf>
    <xf numFmtId="49" fontId="42" fillId="14" borderId="19" xfId="1" applyNumberFormat="1" applyFont="1" applyFill="1" applyBorder="1" applyAlignment="1" applyProtection="1">
      <alignment horizontal="center" wrapText="1"/>
    </xf>
    <xf numFmtId="49" fontId="42" fillId="0" borderId="0" xfId="1" applyNumberFormat="1" applyFont="1" applyFill="1" applyBorder="1" applyAlignment="1" applyProtection="1">
      <alignment horizontal="center" wrapText="1"/>
    </xf>
    <xf numFmtId="0" fontId="4" fillId="2" borderId="14" xfId="1" applyFont="1" applyFill="1" applyBorder="1" applyAlignment="1" applyProtection="1">
      <alignment horizontal="center"/>
    </xf>
    <xf numFmtId="0" fontId="5" fillId="0" borderId="0" xfId="1" applyFont="1" applyBorder="1" applyAlignment="1" applyProtection="1">
      <alignment horizontal="right"/>
    </xf>
    <xf numFmtId="0" fontId="51" fillId="0" borderId="0" xfId="1" applyFont="1" applyFill="1"/>
    <xf numFmtId="0" fontId="29" fillId="0" borderId="0" xfId="1" applyFont="1" applyFill="1"/>
    <xf numFmtId="0" fontId="29" fillId="0" borderId="0" xfId="1" applyFont="1"/>
    <xf numFmtId="0" fontId="13" fillId="0" borderId="4" xfId="1" applyNumberFormat="1" applyFont="1" applyFill="1" applyBorder="1" applyAlignment="1"/>
    <xf numFmtId="0" fontId="51" fillId="0" borderId="0" xfId="1" applyFont="1" applyBorder="1" applyAlignment="1">
      <alignment horizontal="right"/>
    </xf>
    <xf numFmtId="0" fontId="51" fillId="0" borderId="0" xfId="1" applyFont="1" applyBorder="1"/>
    <xf numFmtId="0" fontId="51" fillId="0" borderId="0" xfId="1" applyFont="1" applyBorder="1" applyAlignment="1">
      <alignment horizontal="left"/>
    </xf>
    <xf numFmtId="0" fontId="29" fillId="0" borderId="0" xfId="1" applyFont="1" applyBorder="1"/>
    <xf numFmtId="0" fontId="5" fillId="0" borderId="0" xfId="1" applyFont="1" applyFill="1"/>
    <xf numFmtId="0" fontId="1" fillId="0" borderId="0" xfId="1" applyFill="1"/>
    <xf numFmtId="0" fontId="1" fillId="0" borderId="0" xfId="1"/>
    <xf numFmtId="0" fontId="16" fillId="0" borderId="0" xfId="1" applyNumberFormat="1" applyFont="1" applyFill="1" applyBorder="1" applyAlignment="1">
      <alignment horizontal="center"/>
    </xf>
    <xf numFmtId="0" fontId="16" fillId="3" borderId="0" xfId="1" applyNumberFormat="1" applyFont="1" applyFill="1" applyBorder="1" applyAlignment="1">
      <alignment horizontal="center"/>
    </xf>
    <xf numFmtId="0" fontId="112" fillId="0" borderId="1" xfId="1" applyFont="1" applyBorder="1"/>
    <xf numFmtId="0" fontId="112" fillId="0" borderId="0" xfId="1" applyFont="1" applyBorder="1"/>
    <xf numFmtId="1" fontId="51" fillId="0" borderId="0" xfId="1" applyNumberFormat="1" applyFont="1" applyBorder="1"/>
    <xf numFmtId="0" fontId="15" fillId="0" borderId="0" xfId="1" applyFont="1" applyFill="1" applyBorder="1" applyAlignment="1">
      <alignment horizontal="center" vertical="center" wrapText="1"/>
    </xf>
    <xf numFmtId="0" fontId="73" fillId="11" borderId="9" xfId="1" applyFont="1" applyFill="1" applyBorder="1"/>
    <xf numFmtId="0" fontId="73" fillId="11" borderId="1" xfId="1" applyFont="1" applyFill="1" applyBorder="1"/>
    <xf numFmtId="0" fontId="73" fillId="11" borderId="24" xfId="1" applyFont="1" applyFill="1" applyBorder="1"/>
    <xf numFmtId="0" fontId="73" fillId="0" borderId="1" xfId="1" applyFont="1" applyBorder="1"/>
    <xf numFmtId="0" fontId="73" fillId="11" borderId="6" xfId="1" applyFont="1" applyFill="1" applyBorder="1"/>
    <xf numFmtId="0" fontId="73" fillId="11" borderId="2" xfId="1" applyFont="1" applyFill="1" applyBorder="1"/>
    <xf numFmtId="0" fontId="73" fillId="11" borderId="3" xfId="1" applyFont="1" applyFill="1" applyBorder="1"/>
    <xf numFmtId="0" fontId="73" fillId="0" borderId="2" xfId="1" applyFont="1" applyBorder="1"/>
    <xf numFmtId="0" fontId="13" fillId="3" borderId="0" xfId="1" applyNumberFormat="1" applyFont="1" applyFill="1" applyBorder="1" applyAlignment="1">
      <alignment horizontal="center"/>
    </xf>
    <xf numFmtId="0" fontId="3" fillId="0" borderId="0" xfId="1" applyFont="1"/>
    <xf numFmtId="0" fontId="21" fillId="14" borderId="8" xfId="1" applyFont="1" applyFill="1" applyBorder="1"/>
    <xf numFmtId="0" fontId="22" fillId="14" borderId="8" xfId="1" applyFont="1" applyFill="1" applyBorder="1" applyAlignment="1">
      <alignment horizontal="center"/>
    </xf>
    <xf numFmtId="0" fontId="22" fillId="0" borderId="0" xfId="1" applyFont="1" applyFill="1" applyBorder="1" applyAlignment="1">
      <alignment horizontal="center"/>
    </xf>
    <xf numFmtId="0" fontId="30" fillId="0" borderId="0" xfId="1" applyFont="1" applyFill="1" applyBorder="1" applyAlignment="1">
      <alignment horizontal="center"/>
    </xf>
    <xf numFmtId="0" fontId="12" fillId="14" borderId="8" xfId="1" applyFont="1" applyFill="1" applyBorder="1" applyAlignment="1">
      <alignment wrapText="1"/>
    </xf>
    <xf numFmtId="0" fontId="30" fillId="14" borderId="8" xfId="1" applyFont="1" applyFill="1" applyBorder="1" applyAlignment="1">
      <alignment horizontal="center"/>
    </xf>
    <xf numFmtId="0" fontId="12" fillId="0" borderId="0" xfId="1" applyFont="1" applyFill="1" applyBorder="1" applyAlignment="1">
      <alignment wrapText="1"/>
    </xf>
    <xf numFmtId="0" fontId="51" fillId="0" borderId="0" xfId="1" applyFont="1"/>
    <xf numFmtId="0" fontId="3" fillId="23" borderId="8" xfId="1" applyFont="1" applyFill="1" applyBorder="1"/>
    <xf numFmtId="0" fontId="3" fillId="0" borderId="0" xfId="1" applyFont="1" applyBorder="1"/>
    <xf numFmtId="0" fontId="13" fillId="0" borderId="0" xfId="1" applyNumberFormat="1" applyFont="1" applyFill="1" applyBorder="1" applyAlignment="1">
      <alignment horizontal="center"/>
    </xf>
    <xf numFmtId="0" fontId="5" fillId="23" borderId="8" xfId="1" applyFont="1" applyFill="1" applyBorder="1"/>
    <xf numFmtId="0" fontId="5" fillId="0" borderId="0" xfId="1" applyFont="1" applyBorder="1"/>
    <xf numFmtId="0" fontId="1" fillId="0" borderId="8" xfId="1" applyFill="1" applyBorder="1"/>
    <xf numFmtId="0" fontId="30" fillId="0" borderId="8" xfId="1" applyFont="1" applyFill="1" applyBorder="1" applyAlignment="1">
      <alignment horizontal="center"/>
    </xf>
    <xf numFmtId="0" fontId="13" fillId="0" borderId="13" xfId="1" applyNumberFormat="1" applyFont="1" applyFill="1" applyBorder="1" applyAlignment="1">
      <alignment horizontal="center"/>
    </xf>
    <xf numFmtId="0" fontId="29" fillId="14" borderId="8" xfId="1" applyFont="1" applyFill="1" applyBorder="1"/>
    <xf numFmtId="0" fontId="75" fillId="14" borderId="8" xfId="1" applyFont="1" applyFill="1" applyBorder="1" applyAlignment="1">
      <alignment wrapText="1"/>
    </xf>
    <xf numFmtId="0" fontId="90" fillId="14" borderId="8" xfId="1" applyFont="1" applyFill="1" applyBorder="1"/>
    <xf numFmtId="0" fontId="51" fillId="4" borderId="0" xfId="1" applyFont="1" applyFill="1" applyBorder="1"/>
    <xf numFmtId="0" fontId="14" fillId="0" borderId="7" xfId="1" applyFont="1" applyFill="1" applyBorder="1" applyAlignment="1">
      <alignment horizontal="center" vertical="center" wrapText="1"/>
    </xf>
    <xf numFmtId="0" fontId="14" fillId="0" borderId="5" xfId="1" applyFont="1" applyBorder="1"/>
    <xf numFmtId="0" fontId="14" fillId="0" borderId="25" xfId="1" applyFont="1" applyBorder="1" applyAlignment="1">
      <alignment horizontal="center"/>
    </xf>
    <xf numFmtId="0" fontId="74" fillId="0" borderId="0" xfId="1" applyFont="1" applyFill="1" applyBorder="1"/>
    <xf numFmtId="0" fontId="110" fillId="24" borderId="14" xfId="1" applyFont="1" applyFill="1" applyBorder="1"/>
    <xf numFmtId="0" fontId="110" fillId="24" borderId="19" xfId="1" applyFont="1" applyFill="1" applyBorder="1"/>
    <xf numFmtId="0" fontId="73" fillId="0" borderId="0" xfId="1" applyFont="1" applyBorder="1"/>
    <xf numFmtId="1" fontId="113" fillId="0" borderId="0" xfId="1" applyNumberFormat="1" applyFont="1" applyBorder="1" applyAlignment="1"/>
    <xf numFmtId="0" fontId="114" fillId="0" borderId="1" xfId="1" applyFont="1" applyBorder="1"/>
    <xf numFmtId="0" fontId="114" fillId="0" borderId="2" xfId="1" applyFont="1" applyBorder="1"/>
    <xf numFmtId="0" fontId="114" fillId="0" borderId="0" xfId="1" applyFont="1" applyBorder="1"/>
    <xf numFmtId="1" fontId="115" fillId="0" borderId="0" xfId="1" applyNumberFormat="1" applyFont="1" applyBorder="1" applyAlignment="1"/>
    <xf numFmtId="0" fontId="51" fillId="0" borderId="6" xfId="1" applyFont="1" applyBorder="1"/>
    <xf numFmtId="0" fontId="51" fillId="0" borderId="3" xfId="1" applyFont="1" applyBorder="1"/>
    <xf numFmtId="0" fontId="51" fillId="0" borderId="7" xfId="1" applyFont="1" applyBorder="1"/>
    <xf numFmtId="0" fontId="114" fillId="0" borderId="14" xfId="1" applyFont="1" applyBorder="1"/>
    <xf numFmtId="0" fontId="51" fillId="0" borderId="19" xfId="1" applyFont="1" applyBorder="1"/>
    <xf numFmtId="0" fontId="73" fillId="11" borderId="14" xfId="1" applyFont="1" applyFill="1" applyBorder="1"/>
    <xf numFmtId="1" fontId="113" fillId="11" borderId="14" xfId="1" applyNumberFormat="1" applyFont="1" applyFill="1" applyBorder="1" applyAlignment="1"/>
    <xf numFmtId="0" fontId="110" fillId="24" borderId="7" xfId="1" applyFont="1" applyFill="1" applyBorder="1"/>
    <xf numFmtId="0" fontId="5" fillId="0" borderId="0" xfId="1" applyFont="1" applyFill="1" applyBorder="1"/>
    <xf numFmtId="0" fontId="1" fillId="0" borderId="0" xfId="1" applyFill="1" applyBorder="1"/>
    <xf numFmtId="0" fontId="116" fillId="0" borderId="0" xfId="1" applyFont="1" applyFill="1" applyBorder="1"/>
    <xf numFmtId="0" fontId="111" fillId="0" borderId="14" xfId="1" applyFont="1" applyBorder="1" applyAlignment="1">
      <alignment horizontal="center"/>
    </xf>
    <xf numFmtId="0" fontId="111" fillId="0" borderId="14" xfId="1" applyFont="1" applyFill="1" applyBorder="1"/>
    <xf numFmtId="0" fontId="111" fillId="0" borderId="19" xfId="1" applyFont="1" applyBorder="1" applyAlignment="1">
      <alignment horizontal="center"/>
    </xf>
    <xf numFmtId="0" fontId="3" fillId="0" borderId="0" xfId="1" applyFont="1" applyAlignment="1">
      <alignment horizontal="center"/>
    </xf>
    <xf numFmtId="0" fontId="19" fillId="0" borderId="0" xfId="1" applyFont="1" applyFill="1" applyBorder="1"/>
    <xf numFmtId="0" fontId="1" fillId="0" borderId="0" xfId="1" applyBorder="1"/>
    <xf numFmtId="0" fontId="26" fillId="0" borderId="0" xfId="1" applyFont="1" applyFill="1"/>
    <xf numFmtId="0" fontId="27" fillId="0" borderId="0" xfId="1" applyFont="1" applyFill="1"/>
    <xf numFmtId="0" fontId="29" fillId="14" borderId="0" xfId="1" applyFont="1" applyFill="1"/>
    <xf numFmtId="0" fontId="91" fillId="0" borderId="0" xfId="1" applyFont="1"/>
    <xf numFmtId="2" fontId="1" fillId="0" borderId="0" xfId="1" applyNumberFormat="1"/>
    <xf numFmtId="0" fontId="26" fillId="14" borderId="9" xfId="1" applyFont="1" applyFill="1" applyBorder="1"/>
    <xf numFmtId="0" fontId="26" fillId="14" borderId="1" xfId="1" applyFont="1" applyFill="1" applyBorder="1"/>
    <xf numFmtId="0" fontId="89" fillId="14" borderId="24" xfId="1" applyFont="1" applyFill="1" applyBorder="1"/>
    <xf numFmtId="0" fontId="26" fillId="14" borderId="6" xfId="1" applyFont="1" applyFill="1" applyBorder="1"/>
    <xf numFmtId="0" fontId="26" fillId="14" borderId="2" xfId="1" applyFont="1" applyFill="1" applyBorder="1"/>
    <xf numFmtId="0" fontId="89" fillId="14" borderId="3" xfId="1" applyFont="1" applyFill="1" applyBorder="1"/>
    <xf numFmtId="0" fontId="1" fillId="0" borderId="0" xfId="1" applyFont="1" applyBorder="1"/>
    <xf numFmtId="49" fontId="5" fillId="0" borderId="0" xfId="1" applyNumberFormat="1" applyFont="1" applyFill="1" applyBorder="1" applyAlignment="1">
      <alignment horizontal="center"/>
    </xf>
    <xf numFmtId="0" fontId="5" fillId="0" borderId="1" xfId="1" applyFont="1" applyFill="1" applyBorder="1"/>
    <xf numFmtId="0" fontId="43" fillId="6" borderId="25" xfId="1" applyNumberFormat="1" applyFont="1" applyFill="1" applyBorder="1" applyAlignment="1">
      <alignment horizontal="center" wrapText="1"/>
    </xf>
    <xf numFmtId="0" fontId="43" fillId="0" borderId="0" xfId="1" applyNumberFormat="1" applyFont="1" applyFill="1" applyBorder="1" applyAlignment="1">
      <alignment horizontal="center" wrapText="1"/>
    </xf>
    <xf numFmtId="0" fontId="43" fillId="6" borderId="0" xfId="1" applyNumberFormat="1" applyFont="1" applyFill="1" applyBorder="1" applyAlignment="1">
      <alignment horizontal="center" wrapText="1"/>
    </xf>
    <xf numFmtId="0" fontId="1" fillId="0" borderId="0" xfId="1" applyBorder="1" applyProtection="1">
      <protection locked="0"/>
    </xf>
    <xf numFmtId="0" fontId="43" fillId="6" borderId="48" xfId="1" applyNumberFormat="1" applyFont="1" applyFill="1" applyBorder="1" applyAlignment="1">
      <alignment horizontal="center" wrapText="1"/>
    </xf>
    <xf numFmtId="0" fontId="1" fillId="0" borderId="0" xfId="1" applyFont="1"/>
    <xf numFmtId="0" fontId="3" fillId="0" borderId="7" xfId="1" applyFont="1" applyFill="1" applyBorder="1" applyAlignment="1">
      <alignment horizontal="center" vertical="center" wrapText="1"/>
    </xf>
    <xf numFmtId="0" fontId="3" fillId="0" borderId="0" xfId="1" applyFont="1" applyFill="1" applyBorder="1" applyAlignment="1">
      <alignment horizontal="center" vertical="center" wrapText="1"/>
    </xf>
    <xf numFmtId="0" fontId="14" fillId="0" borderId="0" xfId="1" applyFont="1" applyFill="1" applyBorder="1" applyAlignment="1">
      <alignment horizontal="center" vertical="center" wrapText="1"/>
    </xf>
    <xf numFmtId="0" fontId="6" fillId="0" borderId="0" xfId="1" applyNumberFormat="1" applyFont="1" applyFill="1" applyBorder="1"/>
    <xf numFmtId="0" fontId="12" fillId="7" borderId="8" xfId="1" applyFont="1" applyFill="1" applyBorder="1" applyAlignment="1">
      <alignment horizontal="center"/>
    </xf>
    <xf numFmtId="0" fontId="12" fillId="7" borderId="0" xfId="1" applyFont="1" applyFill="1" applyBorder="1" applyAlignment="1">
      <alignment horizontal="center"/>
    </xf>
    <xf numFmtId="0" fontId="48" fillId="0" borderId="0" xfId="1" applyFont="1"/>
    <xf numFmtId="49" fontId="42" fillId="14" borderId="36" xfId="1" applyNumberFormat="1" applyFont="1" applyFill="1" applyBorder="1" applyAlignment="1">
      <alignment horizontal="center" wrapText="1"/>
    </xf>
    <xf numFmtId="49" fontId="3" fillId="4" borderId="5" xfId="1" applyNumberFormat="1" applyFont="1" applyFill="1" applyBorder="1" applyAlignment="1">
      <alignment horizontal="center" wrapText="1"/>
    </xf>
    <xf numFmtId="0" fontId="1" fillId="0" borderId="6" xfId="1" applyFill="1" applyBorder="1" applyAlignment="1">
      <alignment horizontal="center"/>
    </xf>
    <xf numFmtId="0" fontId="1" fillId="0" borderId="0" xfId="1" applyFill="1" applyBorder="1" applyAlignment="1">
      <alignment horizontal="center"/>
    </xf>
    <xf numFmtId="0" fontId="1" fillId="0" borderId="1" xfId="1" applyBorder="1"/>
    <xf numFmtId="0" fontId="1" fillId="0" borderId="1" xfId="1" applyFont="1" applyBorder="1"/>
    <xf numFmtId="0" fontId="1" fillId="0" borderId="24" xfId="1" applyFont="1" applyBorder="1"/>
    <xf numFmtId="0" fontId="1" fillId="0" borderId="0" xfId="1" applyBorder="1" applyAlignment="1">
      <alignment horizontal="right"/>
    </xf>
    <xf numFmtId="2" fontId="14" fillId="0" borderId="0" xfId="1" applyNumberFormat="1" applyFont="1" applyBorder="1" applyAlignment="1">
      <alignment horizontal="center"/>
    </xf>
    <xf numFmtId="49" fontId="42" fillId="4" borderId="5" xfId="1" applyNumberFormat="1" applyFont="1" applyFill="1" applyBorder="1" applyAlignment="1">
      <alignment horizontal="center" wrapText="1"/>
    </xf>
    <xf numFmtId="0" fontId="14" fillId="0" borderId="10" xfId="1" applyFont="1" applyFill="1" applyBorder="1" applyAlignment="1">
      <alignment horizontal="center" vertical="center" wrapText="1"/>
    </xf>
    <xf numFmtId="0" fontId="4" fillId="0" borderId="0" xfId="1" applyFont="1" applyBorder="1" applyAlignment="1">
      <alignment horizontal="center"/>
    </xf>
    <xf numFmtId="0" fontId="4" fillId="0" borderId="38" xfId="1" applyFont="1" applyBorder="1" applyAlignment="1">
      <alignment horizontal="center"/>
    </xf>
    <xf numFmtId="2" fontId="15" fillId="0" borderId="0" xfId="1" applyNumberFormat="1" applyFont="1" applyBorder="1"/>
    <xf numFmtId="0" fontId="5" fillId="0" borderId="0" xfId="1" applyFont="1" applyFill="1" applyBorder="1" applyAlignment="1"/>
    <xf numFmtId="0" fontId="5" fillId="0" borderId="1" xfId="1" applyFont="1" applyFill="1" applyBorder="1" applyAlignment="1"/>
    <xf numFmtId="0" fontId="1" fillId="0" borderId="1" xfId="1" applyFill="1" applyBorder="1"/>
    <xf numFmtId="0" fontId="1" fillId="0" borderId="39" xfId="1" applyBorder="1"/>
    <xf numFmtId="0" fontId="1" fillId="0" borderId="23" xfId="1" applyBorder="1"/>
    <xf numFmtId="0" fontId="1" fillId="0" borderId="24" xfId="1" applyBorder="1" applyAlignment="1">
      <alignment horizontal="center" wrapText="1"/>
    </xf>
    <xf numFmtId="0" fontId="8" fillId="0" borderId="0" xfId="1" applyFont="1" applyFill="1" applyBorder="1"/>
    <xf numFmtId="0" fontId="1" fillId="0" borderId="0" xfId="1" applyBorder="1" applyAlignment="1">
      <alignment horizontal="center" wrapText="1"/>
    </xf>
    <xf numFmtId="0" fontId="8" fillId="17" borderId="0" xfId="1" applyFont="1" applyFill="1"/>
    <xf numFmtId="0" fontId="1" fillId="21" borderId="8" xfId="1" applyFill="1" applyBorder="1"/>
    <xf numFmtId="2" fontId="5" fillId="14" borderId="5" xfId="1" applyNumberFormat="1" applyFont="1" applyFill="1" applyBorder="1" applyAlignment="1"/>
    <xf numFmtId="2" fontId="5" fillId="14" borderId="7" xfId="1" applyNumberFormat="1" applyFont="1" applyFill="1" applyBorder="1" applyAlignment="1"/>
    <xf numFmtId="49" fontId="5" fillId="14" borderId="19" xfId="1" applyNumberFormat="1" applyFont="1" applyFill="1" applyBorder="1" applyAlignment="1">
      <alignment horizontal="center" wrapText="1"/>
    </xf>
    <xf numFmtId="49" fontId="5" fillId="14" borderId="5" xfId="1" applyNumberFormat="1" applyFont="1" applyFill="1" applyBorder="1" applyAlignment="1">
      <alignment horizontal="center" wrapText="1"/>
    </xf>
    <xf numFmtId="49" fontId="5" fillId="14" borderId="14" xfId="1" applyNumberFormat="1" applyFont="1" applyFill="1" applyBorder="1" applyAlignment="1">
      <alignment horizontal="center" wrapText="1"/>
    </xf>
    <xf numFmtId="0" fontId="1" fillId="14" borderId="28" xfId="1" applyFill="1" applyBorder="1"/>
    <xf numFmtId="0" fontId="1" fillId="14" borderId="29" xfId="1" applyFill="1" applyBorder="1"/>
    <xf numFmtId="0" fontId="1" fillId="14" borderId="14" xfId="1" applyFill="1" applyBorder="1"/>
    <xf numFmtId="0" fontId="1" fillId="14" borderId="19" xfId="1" applyFill="1" applyBorder="1" applyAlignment="1">
      <alignment horizontal="center" wrapText="1"/>
    </xf>
    <xf numFmtId="0" fontId="8" fillId="14" borderId="14" xfId="1" applyFont="1" applyFill="1" applyBorder="1"/>
    <xf numFmtId="0" fontId="1" fillId="14" borderId="14" xfId="1" applyFill="1" applyBorder="1" applyAlignment="1">
      <alignment horizontal="center" wrapText="1"/>
    </xf>
    <xf numFmtId="0" fontId="1" fillId="17" borderId="14" xfId="1" applyFill="1" applyBorder="1" applyAlignment="1">
      <alignment horizontal="center" wrapText="1"/>
    </xf>
    <xf numFmtId="0" fontId="1" fillId="17" borderId="14" xfId="1" applyFill="1" applyBorder="1"/>
    <xf numFmtId="0" fontId="3" fillId="17" borderId="14" xfId="1" applyFont="1" applyFill="1" applyBorder="1"/>
    <xf numFmtId="2" fontId="46" fillId="17" borderId="14" xfId="1" applyNumberFormat="1" applyFont="1" applyFill="1" applyBorder="1" applyAlignment="1">
      <alignment horizontal="center"/>
    </xf>
    <xf numFmtId="2" fontId="49" fillId="17" borderId="5" xfId="1" applyNumberFormat="1" applyFont="1" applyFill="1" applyBorder="1" applyAlignment="1">
      <alignment horizontal="center"/>
    </xf>
    <xf numFmtId="0" fontId="5" fillId="2" borderId="15" xfId="1" applyFont="1" applyFill="1" applyBorder="1" applyAlignment="1"/>
    <xf numFmtId="0" fontId="5" fillId="0" borderId="6" xfId="1" applyFont="1" applyFill="1" applyBorder="1" applyAlignment="1"/>
    <xf numFmtId="0" fontId="5" fillId="2" borderId="3" xfId="1" applyFont="1" applyFill="1" applyBorder="1" applyAlignment="1">
      <alignment horizontal="center"/>
    </xf>
    <xf numFmtId="0" fontId="5" fillId="2" borderId="15" xfId="1" applyFont="1" applyFill="1" applyBorder="1" applyAlignment="1">
      <alignment horizontal="center"/>
    </xf>
    <xf numFmtId="0" fontId="1" fillId="0" borderId="31" xfId="1" applyBorder="1"/>
    <xf numFmtId="0" fontId="1" fillId="0" borderId="32" xfId="1" applyBorder="1"/>
    <xf numFmtId="0" fontId="1" fillId="0" borderId="2" xfId="1" applyBorder="1"/>
    <xf numFmtId="0" fontId="1" fillId="0" borderId="3" xfId="1" applyBorder="1"/>
    <xf numFmtId="0" fontId="12" fillId="0" borderId="0" xfId="1" applyFont="1" applyBorder="1" applyAlignment="1">
      <alignment horizontal="center"/>
    </xf>
    <xf numFmtId="0" fontId="5" fillId="13" borderId="0" xfId="1" applyFont="1" applyFill="1" applyBorder="1" applyAlignment="1">
      <alignment horizontal="center"/>
    </xf>
    <xf numFmtId="0" fontId="5" fillId="20" borderId="0" xfId="1" applyFont="1" applyFill="1" applyBorder="1" applyAlignment="1">
      <alignment horizontal="center"/>
    </xf>
    <xf numFmtId="0" fontId="51" fillId="16" borderId="0" xfId="1" applyFont="1" applyFill="1" applyBorder="1" applyAlignment="1">
      <alignment horizontal="center"/>
    </xf>
    <xf numFmtId="0" fontId="5" fillId="14" borderId="8" xfId="1" applyFont="1" applyFill="1" applyBorder="1"/>
    <xf numFmtId="0" fontId="5" fillId="0" borderId="0" xfId="1" applyFont="1" applyBorder="1" applyAlignment="1">
      <alignment horizontal="center"/>
    </xf>
    <xf numFmtId="0" fontId="12" fillId="7" borderId="18" xfId="1" applyFont="1" applyFill="1" applyBorder="1" applyAlignment="1">
      <alignment horizontal="center"/>
    </xf>
    <xf numFmtId="0" fontId="44" fillId="7" borderId="18" xfId="1" applyFont="1" applyFill="1" applyBorder="1"/>
    <xf numFmtId="0" fontId="45" fillId="7" borderId="18" xfId="1" applyFont="1" applyFill="1" applyBorder="1" applyAlignment="1">
      <alignment horizontal="center"/>
    </xf>
    <xf numFmtId="0" fontId="12" fillId="2" borderId="18" xfId="1" applyFont="1" applyFill="1" applyBorder="1" applyAlignment="1">
      <alignment horizontal="center"/>
    </xf>
    <xf numFmtId="0" fontId="44" fillId="2" borderId="18" xfId="1" applyFont="1" applyFill="1" applyBorder="1"/>
    <xf numFmtId="0" fontId="45" fillId="2" borderId="18" xfId="1" applyFont="1" applyFill="1" applyBorder="1" applyAlignment="1">
      <alignment horizontal="center"/>
    </xf>
    <xf numFmtId="0" fontId="45" fillId="9" borderId="18" xfId="1" applyFont="1" applyFill="1" applyBorder="1" applyAlignment="1">
      <alignment horizontal="center"/>
    </xf>
    <xf numFmtId="0" fontId="45" fillId="0" borderId="18" xfId="1" applyFont="1" applyBorder="1" applyAlignment="1">
      <alignment horizontal="center"/>
    </xf>
    <xf numFmtId="0" fontId="45" fillId="0" borderId="0" xfId="1" applyFont="1" applyBorder="1" applyAlignment="1">
      <alignment horizontal="center"/>
    </xf>
    <xf numFmtId="0" fontId="45" fillId="9" borderId="0" xfId="1" applyFont="1" applyFill="1" applyBorder="1" applyAlignment="1">
      <alignment horizontal="center"/>
    </xf>
    <xf numFmtId="0" fontId="45" fillId="8" borderId="0" xfId="1" applyFont="1" applyFill="1" applyBorder="1" applyAlignment="1">
      <alignment horizontal="center"/>
    </xf>
    <xf numFmtId="2" fontId="5" fillId="10" borderId="15" xfId="1" applyNumberFormat="1" applyFont="1" applyFill="1" applyBorder="1" applyAlignment="1">
      <alignment horizontal="center"/>
    </xf>
    <xf numFmtId="0" fontId="17" fillId="14" borderId="8" xfId="1" applyNumberFormat="1" applyFont="1" applyFill="1" applyBorder="1"/>
    <xf numFmtId="0" fontId="5" fillId="21" borderId="8" xfId="1" applyFont="1" applyFill="1" applyBorder="1"/>
    <xf numFmtId="0" fontId="8" fillId="21" borderId="8" xfId="1" applyFont="1" applyFill="1" applyBorder="1"/>
    <xf numFmtId="0" fontId="8" fillId="14" borderId="8" xfId="1" applyFont="1" applyFill="1" applyBorder="1"/>
    <xf numFmtId="0" fontId="5" fillId="2" borderId="6" xfId="1" applyFont="1" applyFill="1" applyBorder="1" applyAlignment="1"/>
    <xf numFmtId="0" fontId="5" fillId="2" borderId="19" xfId="1" applyFont="1" applyFill="1" applyBorder="1" applyAlignment="1">
      <alignment horizontal="center"/>
    </xf>
    <xf numFmtId="0" fontId="5" fillId="2" borderId="5" xfId="1" applyFont="1" applyFill="1" applyBorder="1" applyAlignment="1">
      <alignment horizontal="center"/>
    </xf>
    <xf numFmtId="0" fontId="1" fillId="0" borderId="20" xfId="1" applyBorder="1"/>
    <xf numFmtId="0" fontId="1" fillId="0" borderId="21" xfId="1" applyBorder="1"/>
    <xf numFmtId="0" fontId="44" fillId="7" borderId="8" xfId="1" applyFont="1" applyFill="1" applyBorder="1"/>
    <xf numFmtId="0" fontId="45" fillId="7" borderId="8" xfId="1" applyFont="1" applyFill="1" applyBorder="1" applyAlignment="1">
      <alignment horizontal="center"/>
    </xf>
    <xf numFmtId="0" fontId="12" fillId="2" borderId="8" xfId="1" applyFont="1" applyFill="1" applyBorder="1" applyAlignment="1">
      <alignment horizontal="center"/>
    </xf>
    <xf numFmtId="0" fontId="44" fillId="2" borderId="8" xfId="1" applyFont="1" applyFill="1" applyBorder="1"/>
    <xf numFmtId="0" fontId="45" fillId="2" borderId="8" xfId="1" applyFont="1" applyFill="1" applyBorder="1" applyAlignment="1">
      <alignment horizontal="center"/>
    </xf>
    <xf numFmtId="0" fontId="45" fillId="0" borderId="8" xfId="1" applyFont="1" applyBorder="1" applyAlignment="1">
      <alignment horizontal="center"/>
    </xf>
    <xf numFmtId="0" fontId="45" fillId="9" borderId="8" xfId="1" applyFont="1" applyFill="1" applyBorder="1" applyAlignment="1">
      <alignment horizontal="center"/>
    </xf>
    <xf numFmtId="2" fontId="5" fillId="10" borderId="5" xfId="1" applyNumberFormat="1" applyFont="1" applyFill="1" applyBorder="1" applyAlignment="1">
      <alignment horizontal="center"/>
    </xf>
    <xf numFmtId="0" fontId="1" fillId="0" borderId="4" xfId="1" applyBorder="1" applyAlignment="1">
      <alignment horizontal="center"/>
    </xf>
    <xf numFmtId="0" fontId="88" fillId="14" borderId="7" xfId="1" applyFont="1" applyFill="1" applyBorder="1"/>
    <xf numFmtId="0" fontId="5" fillId="14" borderId="19" xfId="1" applyFont="1" applyFill="1" applyBorder="1" applyAlignment="1">
      <alignment horizontal="center"/>
    </xf>
    <xf numFmtId="0" fontId="29" fillId="0" borderId="0" xfId="1" applyFont="1" applyAlignment="1">
      <alignment horizontal="right"/>
    </xf>
    <xf numFmtId="49" fontId="42" fillId="0" borderId="0" xfId="1" applyNumberFormat="1" applyFont="1" applyFill="1" applyBorder="1" applyAlignment="1">
      <alignment wrapText="1"/>
    </xf>
    <xf numFmtId="2" fontId="14" fillId="0" borderId="0" xfId="1" applyNumberFormat="1" applyFont="1" applyAlignment="1">
      <alignment horizontal="center"/>
    </xf>
    <xf numFmtId="0" fontId="1" fillId="0" borderId="10" xfId="1" applyFill="1" applyBorder="1" applyAlignment="1">
      <alignment horizontal="center"/>
    </xf>
    <xf numFmtId="0" fontId="17" fillId="0" borderId="0" xfId="1" applyNumberFormat="1" applyFont="1" applyFill="1" applyBorder="1"/>
    <xf numFmtId="0" fontId="4" fillId="0" borderId="0" xfId="1" applyFont="1" applyFill="1" applyBorder="1" applyAlignment="1">
      <alignment horizontal="center"/>
    </xf>
    <xf numFmtId="0" fontId="4" fillId="0" borderId="0" xfId="1" applyFont="1" applyBorder="1" applyAlignment="1"/>
    <xf numFmtId="0" fontId="20" fillId="0" borderId="0" xfId="1" applyFont="1"/>
    <xf numFmtId="0" fontId="5" fillId="0" borderId="10" xfId="1" applyFont="1" applyFill="1" applyBorder="1" applyAlignment="1"/>
    <xf numFmtId="0" fontId="1" fillId="0" borderId="42" xfId="1" applyFill="1" applyBorder="1"/>
    <xf numFmtId="0" fontId="5" fillId="13" borderId="23" xfId="1" applyFont="1" applyFill="1" applyBorder="1"/>
    <xf numFmtId="0" fontId="5" fillId="13" borderId="0" xfId="1" applyFont="1" applyFill="1" applyBorder="1"/>
    <xf numFmtId="0" fontId="1" fillId="0" borderId="4" xfId="1" applyBorder="1" applyAlignment="1">
      <alignment horizontal="center" wrapText="1"/>
    </xf>
    <xf numFmtId="0" fontId="8" fillId="17" borderId="10" xfId="1" applyFont="1" applyFill="1" applyBorder="1"/>
    <xf numFmtId="0" fontId="8" fillId="17" borderId="4" xfId="1" applyFont="1" applyFill="1" applyBorder="1"/>
    <xf numFmtId="0" fontId="3" fillId="14" borderId="14" xfId="1" applyFont="1" applyFill="1" applyBorder="1"/>
    <xf numFmtId="0" fontId="5" fillId="17" borderId="29" xfId="1" applyFont="1" applyFill="1" applyBorder="1" applyAlignment="1">
      <alignment horizontal="center" wrapText="1"/>
    </xf>
    <xf numFmtId="0" fontId="8" fillId="17" borderId="29" xfId="1" applyFont="1" applyFill="1" applyBorder="1" applyAlignment="1">
      <alignment horizontal="center" wrapText="1"/>
    </xf>
    <xf numFmtId="0" fontId="1" fillId="17" borderId="29" xfId="1" applyFill="1" applyBorder="1" applyAlignment="1">
      <alignment horizontal="center" wrapText="1"/>
    </xf>
    <xf numFmtId="0" fontId="5" fillId="2" borderId="2" xfId="1" applyFont="1" applyFill="1" applyBorder="1" applyAlignment="1">
      <alignment horizontal="center"/>
    </xf>
    <xf numFmtId="0" fontId="1" fillId="13" borderId="31" xfId="1" applyFill="1" applyBorder="1"/>
    <xf numFmtId="0" fontId="1" fillId="13" borderId="32" xfId="1" applyFill="1" applyBorder="1"/>
    <xf numFmtId="0" fontId="5" fillId="13" borderId="2" xfId="1" applyFont="1" applyFill="1" applyBorder="1"/>
    <xf numFmtId="0" fontId="5" fillId="2" borderId="0" xfId="1" applyFont="1" applyFill="1" applyBorder="1" applyAlignment="1">
      <alignment horizontal="center"/>
    </xf>
    <xf numFmtId="0" fontId="45" fillId="13" borderId="0" xfId="1" applyFont="1" applyFill="1" applyBorder="1" applyAlignment="1">
      <alignment horizontal="center"/>
    </xf>
    <xf numFmtId="2" fontId="5" fillId="2" borderId="15" xfId="1" applyNumberFormat="1" applyFont="1" applyFill="1" applyBorder="1" applyAlignment="1">
      <alignment horizontal="center"/>
    </xf>
    <xf numFmtId="0" fontId="5" fillId="2" borderId="5" xfId="1" applyFont="1" applyFill="1" applyBorder="1" applyAlignment="1"/>
    <xf numFmtId="0" fontId="1" fillId="13" borderId="20" xfId="1" applyFill="1" applyBorder="1"/>
    <xf numFmtId="0" fontId="1" fillId="13" borderId="21" xfId="1" applyFill="1" applyBorder="1"/>
    <xf numFmtId="2" fontId="5" fillId="2" borderId="5" xfId="1" applyNumberFormat="1" applyFont="1" applyFill="1" applyBorder="1" applyAlignment="1">
      <alignment horizontal="center"/>
    </xf>
    <xf numFmtId="0" fontId="5" fillId="0" borderId="0" xfId="1" applyFont="1" applyBorder="1" applyAlignment="1"/>
    <xf numFmtId="0" fontId="23" fillId="0" borderId="0" xfId="1" applyFont="1" applyBorder="1" applyAlignment="1">
      <alignment horizontal="center"/>
    </xf>
    <xf numFmtId="1" fontId="25" fillId="0" borderId="0" xfId="1" applyNumberFormat="1" applyFont="1" applyBorder="1" applyAlignment="1"/>
    <xf numFmtId="0" fontId="1" fillId="4" borderId="0" xfId="1" applyFill="1" applyBorder="1"/>
    <xf numFmtId="0" fontId="21" fillId="0" borderId="0" xfId="1" applyFont="1" applyFill="1" applyBorder="1"/>
    <xf numFmtId="0" fontId="28" fillId="0" borderId="0" xfId="1" applyFont="1" applyFill="1" applyBorder="1"/>
    <xf numFmtId="0" fontId="3" fillId="0" borderId="0" xfId="1" applyFont="1" applyBorder="1" applyAlignment="1">
      <alignment horizontal="center"/>
    </xf>
    <xf numFmtId="0" fontId="26" fillId="0" borderId="1" xfId="1" applyFont="1" applyBorder="1" applyProtection="1"/>
    <xf numFmtId="0" fontId="26" fillId="0" borderId="0" xfId="1" applyFont="1" applyBorder="1" applyProtection="1"/>
    <xf numFmtId="0" fontId="15" fillId="0" borderId="1" xfId="1" applyFont="1" applyBorder="1" applyProtection="1"/>
    <xf numFmtId="0" fontId="15" fillId="0" borderId="2" xfId="1" applyFont="1" applyBorder="1" applyProtection="1"/>
    <xf numFmtId="0" fontId="74" fillId="0" borderId="8" xfId="1" applyFont="1" applyFill="1" applyBorder="1" applyProtection="1"/>
    <xf numFmtId="0" fontId="117" fillId="0" borderId="8" xfId="1" applyFont="1" applyFill="1" applyBorder="1" applyAlignment="1" applyProtection="1">
      <alignment horizontal="center"/>
    </xf>
    <xf numFmtId="0" fontId="75" fillId="0" borderId="8" xfId="1" applyFont="1" applyFill="1" applyBorder="1" applyAlignment="1" applyProtection="1">
      <alignment wrapText="1"/>
    </xf>
    <xf numFmtId="0" fontId="75" fillId="0" borderId="8" xfId="1" applyFont="1" applyFill="1" applyBorder="1" applyAlignment="1" applyProtection="1">
      <alignment horizontal="center"/>
    </xf>
    <xf numFmtId="0" fontId="3" fillId="23" borderId="8" xfId="1" applyFont="1" applyFill="1" applyBorder="1" applyProtection="1"/>
    <xf numFmtId="0" fontId="12" fillId="23" borderId="8" xfId="1" applyFont="1" applyFill="1" applyBorder="1" applyAlignment="1" applyProtection="1">
      <alignment wrapText="1"/>
    </xf>
    <xf numFmtId="0" fontId="5" fillId="23" borderId="8" xfId="1" applyFont="1" applyFill="1" applyBorder="1" applyProtection="1"/>
    <xf numFmtId="0" fontId="110" fillId="24" borderId="14" xfId="1" applyFont="1" applyFill="1" applyBorder="1" applyProtection="1"/>
    <xf numFmtId="0" fontId="110" fillId="24" borderId="19" xfId="1" applyFont="1" applyFill="1" applyBorder="1" applyProtection="1"/>
    <xf numFmtId="0" fontId="78" fillId="0" borderId="1" xfId="1" applyFont="1" applyBorder="1" applyProtection="1"/>
    <xf numFmtId="0" fontId="78" fillId="0" borderId="2" xfId="1" applyFont="1" applyBorder="1" applyProtection="1"/>
    <xf numFmtId="0" fontId="110" fillId="24" borderId="7" xfId="1" applyFont="1" applyFill="1" applyBorder="1" applyProtection="1"/>
    <xf numFmtId="0" fontId="111" fillId="0" borderId="14" xfId="1" applyFont="1" applyBorder="1" applyAlignment="1" applyProtection="1">
      <alignment horizontal="center"/>
    </xf>
    <xf numFmtId="0" fontId="111" fillId="0" borderId="14" xfId="1" applyFont="1" applyFill="1" applyBorder="1" applyProtection="1"/>
    <xf numFmtId="0" fontId="111" fillId="0" borderId="19" xfId="1" applyFont="1" applyBorder="1" applyAlignment="1" applyProtection="1">
      <alignment horizontal="center"/>
    </xf>
    <xf numFmtId="0" fontId="43" fillId="6" borderId="5" xfId="1" applyNumberFormat="1" applyFont="1" applyFill="1" applyBorder="1" applyAlignment="1" applyProtection="1">
      <alignment horizontal="center" wrapText="1"/>
    </xf>
    <xf numFmtId="0" fontId="43" fillId="6" borderId="49" xfId="1" applyNumberFormat="1" applyFont="1" applyFill="1" applyBorder="1" applyAlignment="1" applyProtection="1">
      <alignment horizontal="center" wrapText="1"/>
    </xf>
    <xf numFmtId="0" fontId="29" fillId="13" borderId="8" xfId="1" applyFont="1" applyFill="1" applyBorder="1" applyProtection="1"/>
    <xf numFmtId="0" fontId="29" fillId="0" borderId="8" xfId="1" applyFont="1" applyFill="1" applyBorder="1" applyProtection="1"/>
    <xf numFmtId="0" fontId="29" fillId="18" borderId="8" xfId="1" applyFont="1" applyFill="1" applyBorder="1" applyProtection="1"/>
    <xf numFmtId="0" fontId="29" fillId="0" borderId="8" xfId="1" applyFont="1" applyBorder="1" applyProtection="1"/>
    <xf numFmtId="0" fontId="29" fillId="14" borderId="8" xfId="1" applyFont="1" applyFill="1" applyBorder="1" applyAlignment="1" applyProtection="1">
      <alignment horizontal="center" wrapText="1"/>
    </xf>
    <xf numFmtId="0" fontId="29" fillId="17" borderId="8" xfId="1" applyFont="1" applyFill="1" applyBorder="1" applyAlignment="1" applyProtection="1">
      <alignment horizontal="center" wrapText="1"/>
    </xf>
    <xf numFmtId="0" fontId="29" fillId="19" borderId="0" xfId="1" applyFont="1" applyFill="1" applyBorder="1" applyAlignment="1" applyProtection="1">
      <alignment horizontal="center" wrapText="1"/>
    </xf>
    <xf numFmtId="0" fontId="1" fillId="4" borderId="0" xfId="1" applyFill="1" applyBorder="1" applyProtection="1"/>
    <xf numFmtId="2" fontId="1" fillId="0" borderId="0" xfId="1" applyNumberFormat="1" applyFill="1" applyBorder="1" applyProtection="1"/>
    <xf numFmtId="0" fontId="72" fillId="0" borderId="0" xfId="1" applyNumberFormat="1" applyFont="1" applyFill="1" applyBorder="1" applyAlignment="1" applyProtection="1">
      <alignment horizontal="center"/>
    </xf>
    <xf numFmtId="0" fontId="20" fillId="0" borderId="0" xfId="1" applyFont="1" applyFill="1" applyBorder="1" applyProtection="1"/>
    <xf numFmtId="0" fontId="8" fillId="0" borderId="8" xfId="1" applyFont="1" applyBorder="1" applyProtection="1"/>
    <xf numFmtId="0" fontId="8" fillId="21" borderId="8" xfId="1" applyFont="1" applyFill="1" applyBorder="1" applyProtection="1"/>
    <xf numFmtId="0" fontId="107" fillId="21" borderId="8" xfId="1" applyFont="1" applyFill="1" applyBorder="1" applyAlignment="1" applyProtection="1">
      <alignment horizontal="center"/>
    </xf>
    <xf numFmtId="0" fontId="5" fillId="21" borderId="8" xfId="1" applyFont="1" applyFill="1" applyBorder="1" applyProtection="1"/>
    <xf numFmtId="0" fontId="72" fillId="0" borderId="8" xfId="1" applyNumberFormat="1" applyFont="1" applyFill="1" applyBorder="1" applyAlignment="1" applyProtection="1">
      <alignment horizontal="center"/>
    </xf>
    <xf numFmtId="2" fontId="5" fillId="7" borderId="5" xfId="1" applyNumberFormat="1" applyFont="1" applyFill="1" applyBorder="1" applyAlignment="1" applyProtection="1">
      <alignment horizontal="center"/>
    </xf>
    <xf numFmtId="0" fontId="118" fillId="13" borderId="8" xfId="1" applyFont="1" applyFill="1" applyBorder="1" applyAlignment="1" applyProtection="1">
      <alignment horizontal="center"/>
    </xf>
    <xf numFmtId="0" fontId="119" fillId="13" borderId="8" xfId="1" applyFont="1" applyFill="1" applyBorder="1" applyAlignment="1" applyProtection="1">
      <alignment horizontal="center"/>
    </xf>
    <xf numFmtId="0" fontId="8" fillId="7" borderId="8" xfId="1" applyFont="1" applyFill="1" applyBorder="1" applyProtection="1"/>
    <xf numFmtId="0" fontId="5" fillId="0" borderId="5" xfId="1" applyFont="1" applyFill="1" applyBorder="1" applyAlignment="1" applyProtection="1">
      <alignment horizontal="center"/>
    </xf>
    <xf numFmtId="0" fontId="8" fillId="0" borderId="0" xfId="1" applyFont="1" applyBorder="1" applyProtection="1"/>
    <xf numFmtId="0" fontId="5" fillId="15" borderId="8" xfId="1" applyFont="1" applyFill="1" applyBorder="1" applyProtection="1"/>
    <xf numFmtId="0" fontId="5" fillId="0" borderId="6" xfId="1" applyFont="1" applyFill="1" applyBorder="1" applyAlignment="1" applyProtection="1">
      <alignment horizontal="center"/>
    </xf>
    <xf numFmtId="2" fontId="8" fillId="14" borderId="41" xfId="1" applyNumberFormat="1" applyFont="1" applyFill="1" applyBorder="1" applyAlignment="1" applyProtection="1">
      <alignment horizontal="center"/>
      <protection locked="0"/>
    </xf>
    <xf numFmtId="0" fontId="1" fillId="0" borderId="10" xfId="1" applyBorder="1" applyProtection="1"/>
    <xf numFmtId="49" fontId="51" fillId="18" borderId="0" xfId="1" applyNumberFormat="1" applyFont="1" applyFill="1" applyBorder="1" applyAlignment="1" applyProtection="1">
      <alignment horizontal="center" wrapText="1"/>
    </xf>
    <xf numFmtId="0" fontId="96" fillId="13" borderId="0" xfId="1" applyFont="1" applyFill="1" applyBorder="1" applyProtection="1"/>
    <xf numFmtId="0" fontId="5" fillId="0" borderId="7" xfId="1" applyFont="1" applyFill="1" applyBorder="1" applyAlignment="1" applyProtection="1">
      <alignment horizontal="center"/>
    </xf>
    <xf numFmtId="0" fontId="5" fillId="14" borderId="7" xfId="1" applyFont="1" applyFill="1" applyBorder="1" applyAlignment="1" applyProtection="1"/>
    <xf numFmtId="0" fontId="5" fillId="14" borderId="5" xfId="1" applyFont="1" applyFill="1" applyBorder="1" applyAlignment="1" applyProtection="1"/>
    <xf numFmtId="0" fontId="8" fillId="0" borderId="0" xfId="1" applyFont="1" applyProtection="1"/>
    <xf numFmtId="2" fontId="49" fillId="0" borderId="0" xfId="1" applyNumberFormat="1" applyFont="1" applyFill="1" applyAlignment="1" applyProtection="1">
      <alignment horizontal="center"/>
    </xf>
    <xf numFmtId="0" fontId="5" fillId="8" borderId="0" xfId="1" applyFont="1" applyFill="1" applyProtection="1"/>
    <xf numFmtId="0" fontId="8" fillId="0" borderId="0" xfId="1" applyFont="1" applyFill="1" applyBorder="1" applyAlignment="1" applyProtection="1">
      <alignment horizontal="center" wrapText="1"/>
    </xf>
    <xf numFmtId="0" fontId="8" fillId="15" borderId="0" xfId="1" applyFont="1" applyFill="1" applyBorder="1" applyAlignment="1" applyProtection="1">
      <alignment horizontal="center" wrapText="1"/>
    </xf>
    <xf numFmtId="0" fontId="8" fillId="2" borderId="0" xfId="1" applyFont="1" applyFill="1" applyBorder="1" applyAlignment="1" applyProtection="1">
      <alignment horizontal="center" wrapText="1"/>
    </xf>
    <xf numFmtId="0" fontId="5" fillId="13" borderId="8" xfId="1" applyFont="1" applyFill="1" applyBorder="1" applyAlignment="1" applyProtection="1">
      <alignment horizontal="center" wrapText="1"/>
    </xf>
    <xf numFmtId="0" fontId="29" fillId="13" borderId="0" xfId="1" applyFont="1" applyFill="1" applyBorder="1" applyAlignment="1" applyProtection="1">
      <alignment horizontal="center" wrapText="1"/>
    </xf>
    <xf numFmtId="0" fontId="8" fillId="7" borderId="0" xfId="1" applyFont="1" applyFill="1" applyBorder="1" applyProtection="1"/>
    <xf numFmtId="0" fontId="8" fillId="13" borderId="0" xfId="1" applyFont="1" applyFill="1" applyBorder="1" applyAlignment="1" applyProtection="1">
      <alignment horizontal="center" wrapText="1"/>
    </xf>
    <xf numFmtId="0" fontId="8" fillId="7" borderId="0" xfId="1" applyFont="1" applyFill="1" applyBorder="1" applyAlignment="1" applyProtection="1">
      <alignment horizontal="center" wrapText="1"/>
    </xf>
    <xf numFmtId="0" fontId="8" fillId="0" borderId="0" xfId="1" applyFont="1" applyBorder="1" applyAlignment="1" applyProtection="1">
      <alignment horizontal="center" wrapText="1"/>
    </xf>
    <xf numFmtId="0" fontId="8" fillId="0" borderId="8" xfId="1" applyFont="1" applyBorder="1" applyAlignment="1" applyProtection="1">
      <alignment horizontal="center" wrapText="1"/>
    </xf>
    <xf numFmtId="0" fontId="8" fillId="15" borderId="8" xfId="1" applyFont="1" applyFill="1" applyBorder="1" applyProtection="1"/>
    <xf numFmtId="49" fontId="5" fillId="0" borderId="0" xfId="1" applyNumberFormat="1" applyFont="1" applyFill="1" applyBorder="1" applyAlignment="1" applyProtection="1">
      <alignment horizontal="center" wrapText="1"/>
    </xf>
    <xf numFmtId="0" fontId="1" fillId="14" borderId="42" xfId="1" applyFill="1" applyBorder="1" applyProtection="1"/>
    <xf numFmtId="2" fontId="5" fillId="14" borderId="3" xfId="1" applyNumberFormat="1" applyFont="1" applyFill="1" applyBorder="1" applyAlignment="1" applyProtection="1"/>
    <xf numFmtId="0" fontId="1" fillId="14" borderId="0" xfId="1" applyFill="1" applyBorder="1" applyProtection="1"/>
    <xf numFmtId="0" fontId="1" fillId="14" borderId="43" xfId="1" applyFill="1" applyBorder="1" applyProtection="1"/>
    <xf numFmtId="0" fontId="5" fillId="14" borderId="1" xfId="1" applyFont="1" applyFill="1" applyBorder="1" applyAlignment="1" applyProtection="1"/>
    <xf numFmtId="0" fontId="5" fillId="14" borderId="0" xfId="1" applyFont="1" applyFill="1" applyBorder="1" applyAlignment="1" applyProtection="1"/>
    <xf numFmtId="2" fontId="49" fillId="0" borderId="5" xfId="1" applyNumberFormat="1" applyFont="1" applyFill="1" applyBorder="1" applyAlignment="1" applyProtection="1">
      <alignment horizontal="center"/>
    </xf>
    <xf numFmtId="0" fontId="4" fillId="14" borderId="14" xfId="1" applyFont="1" applyFill="1" applyBorder="1" applyAlignment="1" applyProtection="1">
      <alignment horizontal="center"/>
    </xf>
    <xf numFmtId="0" fontId="4" fillId="17" borderId="37" xfId="1" applyFont="1" applyFill="1" applyBorder="1" applyAlignment="1" applyProtection="1">
      <alignment horizontal="center"/>
      <protection locked="0"/>
    </xf>
    <xf numFmtId="49" fontId="42" fillId="17" borderId="36" xfId="1" applyNumberFormat="1" applyFont="1" applyFill="1" applyBorder="1" applyAlignment="1" applyProtection="1">
      <alignment horizontal="center" wrapText="1"/>
    </xf>
    <xf numFmtId="0" fontId="24" fillId="0" borderId="0" xfId="1" applyFont="1" applyBorder="1" applyProtection="1"/>
    <xf numFmtId="0" fontId="107" fillId="21" borderId="8" xfId="1" applyFont="1" applyFill="1" applyBorder="1" applyAlignment="1" applyProtection="1">
      <alignment horizontal="left"/>
    </xf>
    <xf numFmtId="0" fontId="1" fillId="0" borderId="17" xfId="1" applyFill="1" applyBorder="1" applyProtection="1"/>
    <xf numFmtId="0" fontId="24" fillId="0" borderId="0" xfId="1" applyFont="1" applyFill="1" applyBorder="1" applyProtection="1"/>
    <xf numFmtId="0" fontId="40" fillId="0" borderId="0" xfId="1" applyFont="1" applyBorder="1" applyProtection="1"/>
    <xf numFmtId="0" fontId="1" fillId="0" borderId="16" xfId="1" applyFill="1" applyBorder="1" applyProtection="1"/>
    <xf numFmtId="0" fontId="40" fillId="0" borderId="0" xfId="1" applyFont="1" applyFill="1" applyBorder="1" applyProtection="1"/>
    <xf numFmtId="0" fontId="97" fillId="0" borderId="0" xfId="1" applyFont="1" applyProtection="1"/>
    <xf numFmtId="0" fontId="43" fillId="6" borderId="5" xfId="1" applyNumberFormat="1" applyFont="1" applyFill="1" applyBorder="1" applyAlignment="1" applyProtection="1">
      <alignment horizontal="center" vertical="center" wrapText="1"/>
    </xf>
    <xf numFmtId="49" fontId="5" fillId="21" borderId="0" xfId="1" applyNumberFormat="1" applyFont="1" applyFill="1" applyBorder="1" applyAlignment="1" applyProtection="1">
      <alignment horizontal="center" wrapText="1"/>
    </xf>
    <xf numFmtId="0" fontId="3" fillId="0" borderId="0" xfId="1" applyFont="1" applyFill="1" applyBorder="1" applyProtection="1"/>
    <xf numFmtId="0" fontId="1" fillId="0" borderId="0" xfId="1" applyFont="1" applyFill="1" applyBorder="1" applyProtection="1"/>
    <xf numFmtId="0" fontId="11" fillId="0" borderId="0" xfId="1" applyFont="1" applyAlignment="1" applyProtection="1">
      <alignment horizontal="left"/>
    </xf>
    <xf numFmtId="0" fontId="51" fillId="14" borderId="8" xfId="1" applyFont="1" applyFill="1" applyBorder="1" applyProtection="1"/>
    <xf numFmtId="0" fontId="14" fillId="7" borderId="6" xfId="1" applyFont="1" applyFill="1" applyBorder="1" applyAlignment="1" applyProtection="1">
      <alignment horizontal="center" vertical="center" wrapText="1"/>
    </xf>
    <xf numFmtId="0" fontId="63" fillId="0" borderId="0" xfId="1" applyFont="1" applyProtection="1"/>
    <xf numFmtId="0" fontId="63" fillId="0" borderId="0" xfId="1" applyFont="1" applyBorder="1" applyProtection="1"/>
    <xf numFmtId="0" fontId="71" fillId="0" borderId="0" xfId="1" applyFont="1" applyFill="1" applyBorder="1" applyProtection="1"/>
    <xf numFmtId="0" fontId="42" fillId="0" borderId="0" xfId="1" applyFont="1" applyBorder="1" applyProtection="1"/>
    <xf numFmtId="0" fontId="42" fillId="0" borderId="0" xfId="1" applyFont="1" applyAlignment="1" applyProtection="1">
      <alignment horizontal="center"/>
    </xf>
    <xf numFmtId="0" fontId="42" fillId="0" borderId="0" xfId="1" applyFont="1" applyBorder="1" applyAlignment="1" applyProtection="1">
      <alignment horizontal="center"/>
    </xf>
    <xf numFmtId="0" fontId="5" fillId="0" borderId="0" xfId="1" applyFont="1" applyProtection="1"/>
    <xf numFmtId="0" fontId="111" fillId="0" borderId="7" xfId="1" applyFont="1" applyBorder="1" applyAlignment="1" applyProtection="1">
      <alignment horizontal="center"/>
    </xf>
    <xf numFmtId="0" fontId="42" fillId="0" borderId="7" xfId="1" applyFont="1" applyBorder="1" applyProtection="1"/>
    <xf numFmtId="0" fontId="71" fillId="0" borderId="0" xfId="1" applyFont="1" applyFill="1" applyBorder="1" applyAlignment="1" applyProtection="1">
      <alignment horizontal="center"/>
    </xf>
    <xf numFmtId="0" fontId="29" fillId="0" borderId="12" xfId="1" applyFont="1" applyBorder="1" applyProtection="1"/>
    <xf numFmtId="0" fontId="66" fillId="0" borderId="0" xfId="1" applyFont="1" applyBorder="1" applyProtection="1"/>
    <xf numFmtId="1" fontId="67" fillId="0" borderId="0" xfId="1" applyNumberFormat="1" applyFont="1" applyBorder="1" applyAlignment="1" applyProtection="1"/>
    <xf numFmtId="0" fontId="42" fillId="0" borderId="0" xfId="1" applyFont="1" applyBorder="1" applyAlignment="1" applyProtection="1">
      <alignment wrapText="1"/>
    </xf>
    <xf numFmtId="0" fontId="110" fillId="24" borderId="19" xfId="1" applyFont="1" applyFill="1" applyBorder="1" applyAlignment="1" applyProtection="1">
      <alignment horizontal="center"/>
    </xf>
    <xf numFmtId="0" fontId="110" fillId="24" borderId="14" xfId="1" applyFont="1" applyFill="1" applyBorder="1" applyAlignment="1" applyProtection="1">
      <alignment horizontal="center"/>
    </xf>
    <xf numFmtId="0" fontId="110" fillId="24" borderId="7" xfId="1" applyFont="1" applyFill="1" applyBorder="1" applyAlignment="1" applyProtection="1">
      <alignment horizontal="center"/>
    </xf>
    <xf numFmtId="0" fontId="42" fillId="0" borderId="5" xfId="1" applyFont="1" applyBorder="1" applyAlignment="1" applyProtection="1">
      <alignment wrapText="1"/>
    </xf>
    <xf numFmtId="1" fontId="70" fillId="0" borderId="0" xfId="1" applyNumberFormat="1" applyFont="1" applyBorder="1" applyAlignment="1" applyProtection="1"/>
    <xf numFmtId="0" fontId="69" fillId="0" borderId="0" xfId="1" applyFont="1" applyBorder="1" applyProtection="1"/>
    <xf numFmtId="0" fontId="42" fillId="0" borderId="3" xfId="1" applyFont="1" applyBorder="1" applyProtection="1"/>
    <xf numFmtId="0" fontId="69" fillId="0" borderId="2" xfId="1" applyFont="1" applyBorder="1" applyProtection="1"/>
    <xf numFmtId="0" fontId="42" fillId="0" borderId="6" xfId="1" applyFont="1" applyBorder="1" applyProtection="1"/>
    <xf numFmtId="0" fontId="42" fillId="0" borderId="19" xfId="1" applyFont="1" applyBorder="1" applyProtection="1"/>
    <xf numFmtId="0" fontId="69" fillId="0" borderId="14" xfId="1" applyFont="1" applyBorder="1" applyProtection="1"/>
    <xf numFmtId="0" fontId="1" fillId="0" borderId="14" xfId="1" applyBorder="1" applyProtection="1"/>
    <xf numFmtId="0" fontId="42" fillId="0" borderId="24" xfId="1" applyFont="1" applyBorder="1" applyProtection="1"/>
    <xf numFmtId="0" fontId="69" fillId="0" borderId="1" xfId="1" applyFont="1" applyBorder="1" applyProtection="1"/>
    <xf numFmtId="0" fontId="42" fillId="0" borderId="9" xfId="1" applyFont="1" applyBorder="1" applyProtection="1"/>
    <xf numFmtId="0" fontId="14" fillId="0" borderId="0" xfId="1" applyFont="1" applyFill="1" applyBorder="1" applyProtection="1"/>
    <xf numFmtId="0" fontId="34" fillId="0" borderId="0" xfId="1" applyFont="1" applyFill="1" applyBorder="1" applyProtection="1"/>
    <xf numFmtId="1" fontId="36" fillId="0" borderId="0" xfId="1" applyNumberFormat="1" applyFont="1" applyFill="1" applyBorder="1" applyAlignment="1" applyProtection="1"/>
    <xf numFmtId="0" fontId="66" fillId="0" borderId="2" xfId="1" applyFont="1" applyBorder="1" applyProtection="1"/>
    <xf numFmtId="0" fontId="63" fillId="0" borderId="2" xfId="1" applyFont="1" applyBorder="1" applyProtection="1"/>
    <xf numFmtId="0" fontId="69" fillId="0" borderId="6" xfId="1" applyFont="1" applyBorder="1" applyProtection="1"/>
    <xf numFmtId="0" fontId="69" fillId="0" borderId="24" xfId="1" applyFont="1" applyBorder="1" applyAlignment="1" applyProtection="1">
      <alignment horizontal="right"/>
    </xf>
    <xf numFmtId="0" fontId="66" fillId="0" borderId="1" xfId="1" applyFont="1" applyBorder="1" applyProtection="1"/>
    <xf numFmtId="0" fontId="69" fillId="0" borderId="1" xfId="1" applyFont="1" applyBorder="1" applyAlignment="1" applyProtection="1">
      <alignment horizontal="right"/>
    </xf>
    <xf numFmtId="0" fontId="69" fillId="0" borderId="1" xfId="1" applyFont="1" applyBorder="1" applyAlignment="1" applyProtection="1">
      <alignment horizontal="left"/>
    </xf>
    <xf numFmtId="0" fontId="69" fillId="0" borderId="9" xfId="1" applyFont="1" applyBorder="1" applyProtection="1"/>
    <xf numFmtId="0" fontId="68" fillId="0" borderId="0" xfId="1" applyFont="1" applyFill="1" applyBorder="1" applyProtection="1"/>
    <xf numFmtId="0" fontId="42" fillId="0" borderId="7" xfId="1" applyFont="1" applyBorder="1" applyAlignment="1" applyProtection="1">
      <alignment wrapText="1"/>
    </xf>
    <xf numFmtId="0" fontId="63" fillId="0" borderId="0" xfId="1" applyFont="1" applyBorder="1" applyAlignment="1" applyProtection="1">
      <alignment wrapText="1"/>
    </xf>
    <xf numFmtId="0" fontId="19" fillId="0" borderId="12" xfId="1" applyFont="1" applyFill="1" applyBorder="1" applyProtection="1"/>
    <xf numFmtId="0" fontId="19" fillId="0" borderId="11" xfId="1" applyFont="1" applyFill="1" applyBorder="1" applyProtection="1"/>
    <xf numFmtId="0" fontId="19" fillId="0" borderId="0" xfId="1" applyFont="1" applyFill="1" applyBorder="1" applyAlignment="1" applyProtection="1">
      <alignment horizontal="center"/>
    </xf>
    <xf numFmtId="0" fontId="42" fillId="0" borderId="2" xfId="1" applyFont="1" applyBorder="1" applyProtection="1"/>
    <xf numFmtId="0" fontId="11" fillId="0" borderId="0" xfId="1" applyFont="1" applyFill="1" applyAlignment="1" applyProtection="1">
      <alignment horizontal="left"/>
    </xf>
    <xf numFmtId="0" fontId="42" fillId="4" borderId="0" xfId="1" applyFont="1" applyFill="1" applyBorder="1" applyProtection="1"/>
    <xf numFmtId="0" fontId="42" fillId="0" borderId="14" xfId="1" applyFont="1" applyBorder="1" applyProtection="1"/>
    <xf numFmtId="0" fontId="21" fillId="0" borderId="12" xfId="1" applyFont="1" applyFill="1" applyBorder="1" applyProtection="1"/>
    <xf numFmtId="0" fontId="21" fillId="0" borderId="11" xfId="1" applyFont="1" applyFill="1" applyBorder="1" applyProtection="1"/>
    <xf numFmtId="0" fontId="16" fillId="0" borderId="0" xfId="1" applyNumberFormat="1" applyFont="1" applyFill="1" applyBorder="1" applyAlignment="1" applyProtection="1"/>
    <xf numFmtId="0" fontId="1" fillId="0" borderId="11" xfId="1" applyBorder="1" applyProtection="1"/>
    <xf numFmtId="0" fontId="23" fillId="0" borderId="0" xfId="1" applyFont="1" applyAlignment="1" applyProtection="1">
      <alignment horizontal="center"/>
    </xf>
    <xf numFmtId="0" fontId="42" fillId="0" borderId="10" xfId="1" applyFont="1" applyBorder="1" applyProtection="1"/>
    <xf numFmtId="0" fontId="51" fillId="0" borderId="0" xfId="1" applyFont="1" applyFill="1" applyBorder="1" applyAlignment="1" applyProtection="1">
      <alignment horizontal="right"/>
    </xf>
    <xf numFmtId="0" fontId="63" fillId="0" borderId="14" xfId="1" applyFont="1" applyBorder="1" applyProtection="1"/>
    <xf numFmtId="0" fontId="51" fillId="0" borderId="0" xfId="1" applyFont="1" applyAlignment="1" applyProtection="1">
      <alignment horizontal="right"/>
    </xf>
    <xf numFmtId="1" fontId="1" fillId="0" borderId="0" xfId="1" applyNumberFormat="1" applyProtection="1"/>
    <xf numFmtId="1" fontId="1" fillId="0" borderId="2" xfId="1" applyNumberFormat="1" applyBorder="1" applyProtection="1"/>
    <xf numFmtId="0" fontId="66" fillId="0" borderId="6" xfId="1" applyFont="1" applyBorder="1" applyProtection="1"/>
    <xf numFmtId="0" fontId="66" fillId="0" borderId="24" xfId="1" applyFont="1" applyBorder="1" applyAlignment="1" applyProtection="1">
      <alignment horizontal="right"/>
    </xf>
    <xf numFmtId="0" fontId="63" fillId="0" borderId="1" xfId="1" applyFont="1" applyBorder="1" applyProtection="1"/>
    <xf numFmtId="0" fontId="66" fillId="0" borderId="1" xfId="1" applyFont="1" applyBorder="1" applyAlignment="1" applyProtection="1">
      <alignment horizontal="right"/>
    </xf>
    <xf numFmtId="0" fontId="66" fillId="0" borderId="9" xfId="1" applyFont="1" applyBorder="1" applyAlignment="1" applyProtection="1">
      <alignment horizontal="left"/>
    </xf>
    <xf numFmtId="0" fontId="66" fillId="0" borderId="9" xfId="1" applyFont="1" applyBorder="1" applyProtection="1"/>
    <xf numFmtId="0" fontId="64" fillId="0" borderId="2" xfId="1" applyFont="1" applyBorder="1" applyProtection="1"/>
    <xf numFmtId="0" fontId="64" fillId="0" borderId="6" xfId="1" applyFont="1" applyBorder="1" applyProtection="1"/>
    <xf numFmtId="0" fontId="64" fillId="0" borderId="24" xfId="1" applyFont="1" applyBorder="1" applyAlignment="1" applyProtection="1">
      <alignment horizontal="right"/>
    </xf>
    <xf numFmtId="0" fontId="42" fillId="0" borderId="1" xfId="1" applyFont="1" applyBorder="1" applyProtection="1"/>
    <xf numFmtId="0" fontId="64" fillId="0" borderId="1" xfId="1" applyFont="1" applyBorder="1" applyAlignment="1" applyProtection="1">
      <alignment horizontal="right"/>
    </xf>
    <xf numFmtId="0" fontId="64" fillId="0" borderId="1" xfId="1" applyFont="1" applyBorder="1" applyProtection="1"/>
    <xf numFmtId="0" fontId="64" fillId="0" borderId="9" xfId="1" applyFont="1" applyBorder="1" applyAlignment="1" applyProtection="1">
      <alignment horizontal="left"/>
    </xf>
    <xf numFmtId="0" fontId="64" fillId="0" borderId="9" xfId="1" applyFont="1" applyBorder="1" applyProtection="1"/>
    <xf numFmtId="0" fontId="42" fillId="0" borderId="0" xfId="1" applyFont="1" applyBorder="1" applyAlignment="1" applyProtection="1">
      <alignment horizontal="left"/>
    </xf>
    <xf numFmtId="0" fontId="42" fillId="0" borderId="0" xfId="1" applyFont="1" applyBorder="1" applyAlignment="1" applyProtection="1">
      <alignment horizontal="right"/>
    </xf>
    <xf numFmtId="0" fontId="29" fillId="14" borderId="8" xfId="1" applyFont="1" applyFill="1" applyBorder="1" applyAlignment="1" applyProtection="1">
      <alignment horizontal="center"/>
    </xf>
    <xf numFmtId="0" fontId="13" fillId="3" borderId="8" xfId="1" applyNumberFormat="1" applyFont="1" applyFill="1" applyBorder="1" applyAlignment="1" applyProtection="1">
      <alignment horizontal="center"/>
    </xf>
    <xf numFmtId="0" fontId="42" fillId="22" borderId="8" xfId="1" applyFont="1" applyFill="1" applyBorder="1" applyProtection="1"/>
    <xf numFmtId="0" fontId="63" fillId="14" borderId="8" xfId="1" applyFont="1" applyFill="1" applyBorder="1" applyProtection="1"/>
    <xf numFmtId="0" fontId="85" fillId="22" borderId="8" xfId="1" applyFont="1" applyFill="1" applyBorder="1" applyProtection="1"/>
    <xf numFmtId="0" fontId="85" fillId="13" borderId="8" xfId="1" applyFont="1" applyFill="1" applyBorder="1" applyProtection="1"/>
    <xf numFmtId="0" fontId="42" fillId="0" borderId="0" xfId="1" applyFont="1" applyFill="1" applyProtection="1"/>
    <xf numFmtId="0" fontId="109" fillId="21" borderId="8" xfId="1" applyFont="1" applyFill="1" applyBorder="1" applyAlignment="1" applyProtection="1">
      <alignment horizontal="center"/>
    </xf>
    <xf numFmtId="0" fontId="82" fillId="0" borderId="8" xfId="1" applyFont="1" applyFill="1" applyBorder="1" applyAlignment="1" applyProtection="1">
      <alignment horizontal="right"/>
    </xf>
    <xf numFmtId="0" fontId="82" fillId="0" borderId="8" xfId="1" applyFont="1" applyFill="1" applyBorder="1" applyAlignment="1" applyProtection="1">
      <alignment wrapText="1"/>
    </xf>
    <xf numFmtId="0" fontId="84" fillId="0" borderId="8" xfId="1" applyFont="1" applyFill="1" applyBorder="1" applyAlignment="1" applyProtection="1">
      <alignment horizontal="right"/>
    </xf>
    <xf numFmtId="0" fontId="83" fillId="0" borderId="8" xfId="1" applyFont="1" applyFill="1" applyBorder="1" applyAlignment="1" applyProtection="1">
      <alignment horizontal="right"/>
    </xf>
    <xf numFmtId="0" fontId="68" fillId="0" borderId="8" xfId="1" applyFont="1" applyFill="1" applyBorder="1" applyProtection="1"/>
    <xf numFmtId="0" fontId="107" fillId="21" borderId="0" xfId="1" applyFont="1" applyFill="1" applyAlignment="1" applyProtection="1">
      <alignment horizontal="center"/>
    </xf>
    <xf numFmtId="2" fontId="51" fillId="7" borderId="5" xfId="1" applyNumberFormat="1" applyFont="1" applyFill="1" applyBorder="1" applyAlignment="1" applyProtection="1">
      <alignment horizontal="center"/>
    </xf>
    <xf numFmtId="2" fontId="51" fillId="2" borderId="5" xfId="1" applyNumberFormat="1" applyFont="1" applyFill="1" applyBorder="1" applyAlignment="1" applyProtection="1">
      <alignment horizontal="center"/>
    </xf>
    <xf numFmtId="0" fontId="81" fillId="8" borderId="0" xfId="1" applyFont="1" applyFill="1" applyBorder="1" applyAlignment="1" applyProtection="1">
      <alignment horizontal="center"/>
    </xf>
    <xf numFmtId="0" fontId="81" fillId="0" borderId="0" xfId="1" applyFont="1" applyBorder="1" applyAlignment="1" applyProtection="1">
      <alignment horizontal="center"/>
    </xf>
    <xf numFmtId="0" fontId="81" fillId="0" borderId="8" xfId="1" applyFont="1" applyBorder="1" applyAlignment="1" applyProtection="1">
      <alignment horizontal="center"/>
    </xf>
    <xf numFmtId="0" fontId="81" fillId="2" borderId="18" xfId="1" applyFont="1" applyFill="1" applyBorder="1" applyAlignment="1" applyProtection="1">
      <alignment horizontal="center"/>
    </xf>
    <xf numFmtId="0" fontId="79" fillId="2" borderId="8" xfId="1" applyFont="1" applyFill="1" applyBorder="1" applyProtection="1"/>
    <xf numFmtId="0" fontId="79" fillId="7" borderId="8" xfId="1" applyFont="1" applyFill="1" applyBorder="1" applyProtection="1"/>
    <xf numFmtId="0" fontId="75" fillId="7" borderId="0" xfId="1" applyFont="1" applyFill="1" applyBorder="1" applyAlignment="1" applyProtection="1">
      <alignment horizontal="center"/>
    </xf>
    <xf numFmtId="0" fontId="75" fillId="0" borderId="0" xfId="1" applyFont="1" applyBorder="1" applyAlignment="1" applyProtection="1">
      <alignment horizontal="center"/>
    </xf>
    <xf numFmtId="0" fontId="51" fillId="2" borderId="0" xfId="1" applyFont="1" applyFill="1" applyBorder="1" applyAlignment="1" applyProtection="1">
      <alignment horizontal="center"/>
    </xf>
    <xf numFmtId="0" fontId="51" fillId="2" borderId="5" xfId="1" applyFont="1" applyFill="1" applyBorder="1" applyAlignment="1" applyProtection="1">
      <alignment horizontal="center"/>
    </xf>
    <xf numFmtId="0" fontId="29" fillId="0" borderId="3" xfId="1" applyFont="1" applyBorder="1" applyProtection="1"/>
    <xf numFmtId="0" fontId="29" fillId="0" borderId="2" xfId="1" applyFont="1" applyBorder="1" applyProtection="1"/>
    <xf numFmtId="0" fontId="29" fillId="13" borderId="21" xfId="1" applyFont="1" applyFill="1" applyBorder="1" applyProtection="1"/>
    <xf numFmtId="0" fontId="29" fillId="13" borderId="20" xfId="1" applyFont="1" applyFill="1" applyBorder="1" applyProtection="1"/>
    <xf numFmtId="0" fontId="81" fillId="2" borderId="8" xfId="1" applyFont="1" applyFill="1" applyBorder="1" applyAlignment="1" applyProtection="1">
      <alignment horizontal="center"/>
    </xf>
    <xf numFmtId="0" fontId="51" fillId="13" borderId="2" xfId="1" applyFont="1" applyFill="1" applyBorder="1" applyProtection="1"/>
    <xf numFmtId="0" fontId="5" fillId="0" borderId="7" xfId="1" applyFont="1" applyFill="1" applyBorder="1" applyAlignment="1" applyProtection="1"/>
    <xf numFmtId="0" fontId="5" fillId="2" borderId="5" xfId="1" applyFont="1" applyFill="1" applyBorder="1" applyAlignment="1" applyProtection="1"/>
    <xf numFmtId="2" fontId="80" fillId="0" borderId="5" xfId="1" applyNumberFormat="1" applyFont="1" applyFill="1" applyBorder="1" applyAlignment="1" applyProtection="1">
      <alignment horizontal="center"/>
    </xf>
    <xf numFmtId="2" fontId="80" fillId="0" borderId="0" xfId="1" applyNumberFormat="1" applyFont="1" applyFill="1" applyAlignment="1" applyProtection="1">
      <alignment horizontal="center"/>
    </xf>
    <xf numFmtId="0" fontId="51" fillId="8" borderId="0" xfId="1" applyFont="1" applyFill="1" applyProtection="1"/>
    <xf numFmtId="0" fontId="29" fillId="0" borderId="0" xfId="1" applyFont="1" applyFill="1" applyBorder="1" applyAlignment="1" applyProtection="1">
      <alignment horizontal="center" wrapText="1"/>
    </xf>
    <xf numFmtId="0" fontId="1" fillId="13" borderId="8" xfId="1" applyFill="1" applyBorder="1" applyAlignment="1" applyProtection="1">
      <alignment horizontal="center" wrapText="1"/>
    </xf>
    <xf numFmtId="0" fontId="29" fillId="2" borderId="0" xfId="1" applyFont="1" applyFill="1" applyBorder="1" applyAlignment="1" applyProtection="1">
      <alignment horizontal="center" wrapText="1"/>
    </xf>
    <xf numFmtId="0" fontId="8" fillId="13" borderId="8" xfId="1" applyFont="1" applyFill="1" applyBorder="1" applyAlignment="1" applyProtection="1">
      <alignment horizontal="center" wrapText="1"/>
    </xf>
    <xf numFmtId="0" fontId="29" fillId="7" borderId="0" xfId="1" applyFont="1" applyFill="1" applyBorder="1" applyProtection="1"/>
    <xf numFmtId="0" fontId="29" fillId="7" borderId="0" xfId="1" applyFont="1" applyFill="1" applyBorder="1" applyAlignment="1" applyProtection="1">
      <alignment horizontal="center" wrapText="1"/>
    </xf>
    <xf numFmtId="0" fontId="29" fillId="0" borderId="0" xfId="1" applyFont="1" applyBorder="1" applyAlignment="1" applyProtection="1">
      <alignment horizontal="center" wrapText="1"/>
    </xf>
    <xf numFmtId="0" fontId="29" fillId="0" borderId="0" xfId="1" applyFont="1" applyFill="1" applyBorder="1" applyProtection="1"/>
    <xf numFmtId="0" fontId="29" fillId="0" borderId="4" xfId="1" applyFont="1" applyBorder="1" applyAlignment="1" applyProtection="1">
      <alignment horizontal="center" wrapText="1"/>
    </xf>
    <xf numFmtId="0" fontId="51" fillId="13" borderId="0" xfId="1" applyFont="1" applyFill="1" applyBorder="1" applyProtection="1"/>
    <xf numFmtId="0" fontId="29" fillId="13" borderId="23" xfId="1" applyFont="1" applyFill="1" applyBorder="1" applyProtection="1"/>
    <xf numFmtId="0" fontId="29" fillId="13" borderId="22" xfId="1" applyFont="1" applyFill="1" applyBorder="1" applyProtection="1"/>
    <xf numFmtId="49" fontId="5" fillId="4" borderId="5" xfId="1" applyNumberFormat="1" applyFont="1" applyFill="1" applyBorder="1" applyAlignment="1" applyProtection="1">
      <alignment horizontal="center" wrapText="1"/>
    </xf>
    <xf numFmtId="2" fontId="5" fillId="0" borderId="7" xfId="1" applyNumberFormat="1" applyFont="1" applyFill="1" applyBorder="1" applyAlignment="1" applyProtection="1"/>
    <xf numFmtId="2" fontId="5" fillId="0" borderId="3" xfId="1" applyNumberFormat="1" applyFont="1" applyFill="1" applyBorder="1" applyAlignment="1" applyProtection="1"/>
    <xf numFmtId="0" fontId="79" fillId="0" borderId="0" xfId="1" applyFont="1" applyProtection="1"/>
    <xf numFmtId="0" fontId="29" fillId="0" borderId="24" xfId="1" applyFont="1" applyBorder="1" applyAlignment="1" applyProtection="1">
      <alignment horizontal="center" wrapText="1"/>
    </xf>
    <xf numFmtId="0" fontId="29" fillId="0" borderId="1" xfId="1" applyFont="1" applyBorder="1" applyProtection="1"/>
    <xf numFmtId="0" fontId="51" fillId="13" borderId="18" xfId="1" applyFont="1" applyFill="1" applyBorder="1" applyProtection="1"/>
    <xf numFmtId="0" fontId="51" fillId="0" borderId="0" xfId="1" applyFont="1" applyBorder="1" applyAlignment="1" applyProtection="1">
      <alignment horizontal="center"/>
    </xf>
    <xf numFmtId="0" fontId="73" fillId="0" borderId="0" xfId="1" applyFont="1" applyFill="1" applyBorder="1" applyAlignment="1" applyProtection="1">
      <alignment horizontal="center" vertical="center" wrapText="1"/>
    </xf>
    <xf numFmtId="49" fontId="51" fillId="4" borderId="6" xfId="1" applyNumberFormat="1" applyFont="1" applyFill="1" applyBorder="1" applyAlignment="1" applyProtection="1">
      <alignment horizontal="center" wrapText="1"/>
    </xf>
    <xf numFmtId="49" fontId="51" fillId="4" borderId="15" xfId="1" applyNumberFormat="1" applyFont="1" applyFill="1" applyBorder="1" applyAlignment="1" applyProtection="1">
      <alignment horizontal="center" wrapText="1"/>
    </xf>
    <xf numFmtId="49" fontId="51" fillId="4" borderId="5" xfId="1" applyNumberFormat="1" applyFont="1" applyFill="1" applyBorder="1" applyAlignment="1" applyProtection="1">
      <alignment horizontal="center" wrapText="1"/>
    </xf>
    <xf numFmtId="49" fontId="51" fillId="4" borderId="19" xfId="1" applyNumberFormat="1" applyFont="1" applyFill="1" applyBorder="1" applyAlignment="1" applyProtection="1">
      <alignment horizontal="center" wrapText="1"/>
    </xf>
    <xf numFmtId="0" fontId="51" fillId="0" borderId="0" xfId="1" applyFont="1" applyProtection="1"/>
    <xf numFmtId="0" fontId="29" fillId="0" borderId="0" xfId="1" applyFont="1" applyBorder="1" applyAlignment="1" applyProtection="1">
      <alignment horizontal="right"/>
    </xf>
    <xf numFmtId="0" fontId="29" fillId="14" borderId="8" xfId="1" applyFont="1" applyFill="1" applyBorder="1" applyProtection="1"/>
    <xf numFmtId="0" fontId="5" fillId="15" borderId="19" xfId="1" applyFont="1" applyFill="1" applyBorder="1" applyAlignment="1" applyProtection="1">
      <alignment horizontal="center"/>
    </xf>
    <xf numFmtId="0" fontId="81" fillId="9" borderId="0" xfId="1" applyFont="1" applyFill="1" applyBorder="1" applyAlignment="1" applyProtection="1">
      <alignment horizontal="center"/>
    </xf>
    <xf numFmtId="0" fontId="81" fillId="9" borderId="8" xfId="1" applyFont="1" applyFill="1" applyBorder="1" applyAlignment="1" applyProtection="1">
      <alignment horizontal="center"/>
    </xf>
    <xf numFmtId="0" fontId="120" fillId="13" borderId="8" xfId="1" applyFont="1" applyFill="1" applyBorder="1" applyAlignment="1" applyProtection="1">
      <alignment horizontal="center"/>
    </xf>
    <xf numFmtId="0" fontId="5" fillId="15" borderId="0" xfId="1" applyFont="1" applyFill="1" applyBorder="1" applyAlignment="1" applyProtection="1">
      <alignment horizontal="center"/>
    </xf>
    <xf numFmtId="0" fontId="5" fillId="2" borderId="8" xfId="1" applyFont="1" applyFill="1" applyBorder="1" applyAlignment="1" applyProtection="1">
      <alignment horizontal="center"/>
    </xf>
    <xf numFmtId="0" fontId="121" fillId="13" borderId="8" xfId="1" applyFont="1" applyFill="1" applyBorder="1" applyProtection="1"/>
    <xf numFmtId="2" fontId="51" fillId="7" borderId="15" xfId="1" applyNumberFormat="1" applyFont="1" applyFill="1" applyBorder="1" applyAlignment="1" applyProtection="1">
      <alignment horizontal="center"/>
    </xf>
    <xf numFmtId="0" fontId="75" fillId="7" borderId="8" xfId="1" applyFont="1" applyFill="1" applyBorder="1" applyAlignment="1" applyProtection="1">
      <alignment horizontal="center"/>
    </xf>
    <xf numFmtId="0" fontId="5" fillId="16" borderId="7" xfId="1" applyFont="1" applyFill="1" applyBorder="1" applyAlignment="1" applyProtection="1">
      <alignment horizontal="center"/>
    </xf>
    <xf numFmtId="0" fontId="5" fillId="18" borderId="7" xfId="1" applyFont="1" applyFill="1" applyBorder="1" applyAlignment="1" applyProtection="1">
      <alignment horizontal="center"/>
    </xf>
    <xf numFmtId="0" fontId="120" fillId="13" borderId="7" xfId="1" applyFont="1" applyFill="1" applyBorder="1" applyAlignment="1" applyProtection="1">
      <alignment horizontal="center"/>
    </xf>
    <xf numFmtId="0" fontId="5" fillId="2" borderId="7" xfId="1" applyFont="1" applyFill="1" applyBorder="1" applyAlignment="1" applyProtection="1">
      <alignment horizontal="left"/>
    </xf>
    <xf numFmtId="0" fontId="5" fillId="2" borderId="14" xfId="1" applyFont="1" applyFill="1" applyBorder="1" applyAlignment="1" applyProtection="1">
      <alignment horizontal="center"/>
    </xf>
    <xf numFmtId="0" fontId="29" fillId="9" borderId="0" xfId="1" applyFont="1" applyFill="1" applyBorder="1" applyAlignment="1" applyProtection="1">
      <alignment horizontal="center" wrapText="1"/>
    </xf>
    <xf numFmtId="0" fontId="51" fillId="17" borderId="8" xfId="1" applyFont="1" applyFill="1" applyBorder="1" applyAlignment="1" applyProtection="1">
      <alignment horizontal="center" wrapText="1"/>
    </xf>
    <xf numFmtId="0" fontId="29" fillId="0" borderId="8" xfId="1" applyFont="1" applyBorder="1" applyAlignment="1" applyProtection="1">
      <alignment horizontal="center" wrapText="1"/>
    </xf>
    <xf numFmtId="0" fontId="29" fillId="15" borderId="8" xfId="1" applyFont="1" applyFill="1" applyBorder="1" applyProtection="1"/>
    <xf numFmtId="0" fontId="63" fillId="14" borderId="43" xfId="1" applyFont="1" applyFill="1" applyBorder="1" applyProtection="1"/>
    <xf numFmtId="49" fontId="51" fillId="0" borderId="0" xfId="1" applyNumberFormat="1" applyFont="1" applyFill="1" applyBorder="1" applyAlignment="1" applyProtection="1">
      <alignment horizontal="center" wrapText="1"/>
    </xf>
    <xf numFmtId="49" fontId="4" fillId="14" borderId="36" xfId="1" applyNumberFormat="1" applyFont="1" applyFill="1" applyBorder="1" applyAlignment="1" applyProtection="1">
      <alignment horizontal="center" vertical="center" wrapText="1"/>
    </xf>
    <xf numFmtId="0" fontId="4" fillId="17" borderId="37" xfId="1" applyFont="1" applyFill="1" applyBorder="1" applyAlignment="1" applyProtection="1">
      <alignment horizontal="center" vertical="center"/>
      <protection locked="0"/>
    </xf>
    <xf numFmtId="49" fontId="3" fillId="0" borderId="0" xfId="1" applyNumberFormat="1" applyFont="1" applyFill="1" applyBorder="1" applyAlignment="1" applyProtection="1">
      <alignment horizontal="center" wrapText="1"/>
    </xf>
    <xf numFmtId="49" fontId="42" fillId="17" borderId="36" xfId="1" applyNumberFormat="1" applyFont="1" applyFill="1" applyBorder="1" applyAlignment="1" applyProtection="1">
      <alignment horizontal="center" vertical="center" wrapText="1"/>
    </xf>
    <xf numFmtId="0" fontId="4" fillId="5" borderId="5" xfId="1" applyFont="1" applyFill="1" applyBorder="1" applyAlignment="1" applyProtection="1">
      <alignment horizontal="center" vertical="center"/>
      <protection locked="0"/>
    </xf>
    <xf numFmtId="0" fontId="51" fillId="0" borderId="0" xfId="1" applyFont="1" applyFill="1" applyBorder="1" applyAlignment="1" applyProtection="1">
      <alignment horizontal="center" vertical="center" wrapText="1"/>
    </xf>
    <xf numFmtId="0" fontId="26" fillId="0" borderId="0" xfId="1" applyFont="1" applyFill="1" applyProtection="1"/>
    <xf numFmtId="0" fontId="111" fillId="0" borderId="0" xfId="1" applyFont="1" applyFill="1" applyBorder="1" applyAlignment="1" applyProtection="1">
      <alignment horizontal="center"/>
    </xf>
    <xf numFmtId="0" fontId="122" fillId="0" borderId="0" xfId="1" applyFont="1" applyProtection="1"/>
    <xf numFmtId="0" fontId="122" fillId="0" borderId="0" xfId="1" applyFont="1" applyBorder="1" applyProtection="1"/>
    <xf numFmtId="0" fontId="123" fillId="0" borderId="0" xfId="1" applyFont="1" applyBorder="1" applyProtection="1"/>
    <xf numFmtId="1" fontId="124" fillId="0" borderId="0" xfId="1" applyNumberFormat="1" applyFont="1" applyBorder="1" applyAlignment="1" applyProtection="1"/>
    <xf numFmtId="0" fontId="15" fillId="0" borderId="0" xfId="1" applyFont="1" applyBorder="1" applyProtection="1"/>
    <xf numFmtId="0" fontId="78" fillId="0" borderId="0" xfId="1" applyFont="1" applyBorder="1" applyProtection="1"/>
    <xf numFmtId="0" fontId="3" fillId="0" borderId="0" xfId="1" applyFont="1" applyFill="1" applyProtection="1"/>
    <xf numFmtId="0" fontId="8" fillId="0" borderId="2" xfId="1" applyFont="1" applyBorder="1" applyProtection="1"/>
    <xf numFmtId="0" fontId="8" fillId="0" borderId="1" xfId="1" applyFont="1" applyBorder="1" applyProtection="1"/>
    <xf numFmtId="0" fontId="5" fillId="0" borderId="2" xfId="1" applyFont="1" applyBorder="1" applyProtection="1"/>
    <xf numFmtId="0" fontId="26" fillId="0" borderId="2" xfId="1" applyFont="1" applyBorder="1" applyProtection="1"/>
    <xf numFmtId="0" fontId="5" fillId="0" borderId="1" xfId="1" applyFont="1" applyBorder="1" applyProtection="1"/>
    <xf numFmtId="0" fontId="13" fillId="0" borderId="0" xfId="1" applyNumberFormat="1" applyFont="1" applyFill="1" applyBorder="1" applyAlignment="1" applyProtection="1"/>
    <xf numFmtId="0" fontId="51" fillId="14" borderId="8" xfId="1" applyFont="1" applyFill="1" applyBorder="1" applyAlignment="1" applyProtection="1">
      <alignment horizontal="right"/>
    </xf>
    <xf numFmtId="0" fontId="57" fillId="14" borderId="8" xfId="1" applyFont="1" applyFill="1" applyBorder="1" applyProtection="1"/>
    <xf numFmtId="0" fontId="57" fillId="15" borderId="8" xfId="1" applyFont="1" applyFill="1" applyBorder="1" applyProtection="1"/>
    <xf numFmtId="0" fontId="51" fillId="15" borderId="8" xfId="1" applyFont="1" applyFill="1" applyBorder="1" applyProtection="1"/>
    <xf numFmtId="0" fontId="57" fillId="13" borderId="8" xfId="1" applyFont="1" applyFill="1" applyBorder="1" applyProtection="1"/>
    <xf numFmtId="0" fontId="51" fillId="23" borderId="8" xfId="1" applyFont="1" applyFill="1" applyBorder="1" applyProtection="1"/>
    <xf numFmtId="0" fontId="57" fillId="23" borderId="8" xfId="1" applyFont="1" applyFill="1" applyBorder="1" applyProtection="1"/>
    <xf numFmtId="0" fontId="54" fillId="0" borderId="8" xfId="1" applyFont="1" applyFill="1" applyBorder="1" applyAlignment="1" applyProtection="1">
      <alignment horizontal="center"/>
    </xf>
    <xf numFmtId="0" fontId="55" fillId="0" borderId="8" xfId="1" applyFont="1" applyFill="1" applyBorder="1" applyAlignment="1" applyProtection="1">
      <alignment horizontal="center"/>
    </xf>
    <xf numFmtId="0" fontId="81" fillId="8" borderId="1" xfId="1" applyFont="1" applyFill="1" applyBorder="1" applyAlignment="1" applyProtection="1">
      <alignment horizontal="center"/>
    </xf>
    <xf numFmtId="0" fontId="81" fillId="0" borderId="1" xfId="1" applyFont="1" applyBorder="1" applyAlignment="1" applyProtection="1">
      <alignment horizontal="center"/>
    </xf>
    <xf numFmtId="0" fontId="81" fillId="9" borderId="1" xfId="1" applyFont="1" applyFill="1" applyBorder="1" applyAlignment="1" applyProtection="1">
      <alignment horizontal="center"/>
    </xf>
    <xf numFmtId="0" fontId="81" fillId="0" borderId="30" xfId="1" applyFont="1" applyBorder="1" applyAlignment="1" applyProtection="1">
      <alignment horizontal="center"/>
    </xf>
    <xf numFmtId="0" fontId="81" fillId="9" borderId="30" xfId="1" applyFont="1" applyFill="1" applyBorder="1" applyAlignment="1" applyProtection="1">
      <alignment horizontal="center"/>
    </xf>
    <xf numFmtId="0" fontId="45" fillId="13" borderId="1" xfId="1" applyFont="1" applyFill="1" applyBorder="1" applyAlignment="1" applyProtection="1">
      <alignment horizontal="center"/>
    </xf>
    <xf numFmtId="0" fontId="79" fillId="2" borderId="30" xfId="1" applyFont="1" applyFill="1" applyBorder="1" applyProtection="1"/>
    <xf numFmtId="0" fontId="5" fillId="13" borderId="1" xfId="1" applyFont="1" applyFill="1" applyBorder="1" applyAlignment="1" applyProtection="1">
      <alignment horizontal="center"/>
    </xf>
    <xf numFmtId="0" fontId="79" fillId="7" borderId="30" xfId="1" applyFont="1" applyFill="1" applyBorder="1" applyProtection="1"/>
    <xf numFmtId="0" fontId="12" fillId="14" borderId="1" xfId="1" applyFont="1" applyFill="1" applyBorder="1" applyAlignment="1" applyProtection="1">
      <alignment horizontal="center"/>
    </xf>
    <xf numFmtId="0" fontId="75" fillId="7" borderId="1" xfId="1" applyFont="1" applyFill="1" applyBorder="1" applyAlignment="1" applyProtection="1">
      <alignment horizontal="center"/>
    </xf>
    <xf numFmtId="0" fontId="75" fillId="0" borderId="1" xfId="1" applyFont="1" applyBorder="1" applyAlignment="1" applyProtection="1">
      <alignment horizontal="center"/>
    </xf>
    <xf numFmtId="0" fontId="51" fillId="2" borderId="1" xfId="1" applyFont="1" applyFill="1" applyBorder="1" applyAlignment="1" applyProtection="1">
      <alignment horizontal="center"/>
    </xf>
    <xf numFmtId="0" fontId="29" fillId="0" borderId="19" xfId="1" applyFont="1" applyBorder="1" applyProtection="1"/>
    <xf numFmtId="0" fontId="29" fillId="0" borderId="14" xfId="1" applyFont="1" applyBorder="1" applyProtection="1"/>
    <xf numFmtId="0" fontId="51" fillId="13" borderId="14" xfId="1" applyFont="1" applyFill="1" applyBorder="1" applyProtection="1"/>
    <xf numFmtId="0" fontId="29" fillId="13" borderId="29" xfId="1" applyFont="1" applyFill="1" applyBorder="1" applyProtection="1"/>
    <xf numFmtId="0" fontId="29" fillId="13" borderId="28" xfId="1" applyFont="1" applyFill="1" applyBorder="1" applyProtection="1"/>
    <xf numFmtId="0" fontId="87" fillId="0" borderId="19" xfId="1" applyFont="1" applyFill="1" applyBorder="1" applyAlignment="1" applyProtection="1">
      <alignment horizontal="center"/>
    </xf>
    <xf numFmtId="0" fontId="87" fillId="0" borderId="7" xfId="1" applyFont="1" applyBorder="1" applyAlignment="1" applyProtection="1">
      <alignment wrapText="1"/>
    </xf>
    <xf numFmtId="0" fontId="42" fillId="16" borderId="8" xfId="1" applyFont="1" applyFill="1" applyBorder="1" applyAlignment="1" applyProtection="1">
      <alignment horizontal="center"/>
    </xf>
    <xf numFmtId="0" fontId="42" fillId="16" borderId="8" xfId="1" applyFont="1" applyFill="1" applyBorder="1" applyAlignment="1" applyProtection="1">
      <alignment wrapText="1"/>
    </xf>
    <xf numFmtId="0" fontId="81" fillId="16" borderId="0" xfId="1" applyFont="1" applyFill="1" applyBorder="1" applyAlignment="1" applyProtection="1">
      <alignment horizontal="center"/>
    </xf>
    <xf numFmtId="0" fontId="81" fillId="0" borderId="0" xfId="1" applyFont="1" applyFill="1" applyBorder="1" applyAlignment="1" applyProtection="1">
      <alignment horizontal="center"/>
    </xf>
    <xf numFmtId="0" fontId="81" fillId="13" borderId="8" xfId="1" applyFont="1" applyFill="1" applyBorder="1" applyAlignment="1" applyProtection="1">
      <alignment horizontal="center"/>
    </xf>
    <xf numFmtId="0" fontId="29" fillId="7" borderId="8" xfId="1" applyFont="1" applyFill="1" applyBorder="1" applyProtection="1"/>
    <xf numFmtId="0" fontId="29" fillId="14" borderId="0" xfId="1" applyFont="1" applyFill="1" applyProtection="1"/>
    <xf numFmtId="0" fontId="5" fillId="2" borderId="5" xfId="1" applyFont="1" applyFill="1" applyBorder="1" applyAlignment="1" applyProtection="1">
      <alignment horizontal="right"/>
    </xf>
    <xf numFmtId="0" fontId="29" fillId="16" borderId="8" xfId="1" applyFont="1" applyFill="1" applyBorder="1" applyProtection="1"/>
    <xf numFmtId="0" fontId="29" fillId="16" borderId="0" xfId="1" applyFont="1" applyFill="1" applyBorder="1" applyAlignment="1" applyProtection="1">
      <alignment horizontal="center" wrapText="1"/>
    </xf>
    <xf numFmtId="0" fontId="63" fillId="0" borderId="43" xfId="1" applyFont="1" applyFill="1" applyBorder="1" applyProtection="1"/>
    <xf numFmtId="2" fontId="51" fillId="0" borderId="0" xfId="1" applyNumberFormat="1" applyFont="1" applyFill="1" applyBorder="1" applyAlignment="1" applyProtection="1">
      <alignment horizontal="center"/>
    </xf>
    <xf numFmtId="0" fontId="45" fillId="0" borderId="0" xfId="1" applyFont="1" applyFill="1" applyBorder="1" applyAlignment="1" applyProtection="1">
      <alignment horizontal="center"/>
    </xf>
    <xf numFmtId="0" fontId="79" fillId="0" borderId="0" xfId="1" applyFont="1" applyFill="1" applyBorder="1" applyProtection="1"/>
    <xf numFmtId="0" fontId="5" fillId="0" borderId="0" xfId="1" applyFont="1" applyFill="1" applyBorder="1" applyAlignment="1" applyProtection="1">
      <alignment horizontal="center"/>
    </xf>
    <xf numFmtId="0" fontId="75" fillId="0" borderId="0" xfId="1" applyFont="1" applyFill="1" applyBorder="1" applyAlignment="1" applyProtection="1">
      <alignment horizontal="center"/>
    </xf>
    <xf numFmtId="0" fontId="51" fillId="0" borderId="0" xfId="1" applyFont="1" applyFill="1" applyBorder="1" applyAlignment="1" applyProtection="1">
      <alignment horizontal="center"/>
    </xf>
    <xf numFmtId="0" fontId="87" fillId="0" borderId="7" xfId="1" applyFont="1" applyFill="1" applyBorder="1" applyAlignment="1" applyProtection="1">
      <alignment wrapText="1"/>
    </xf>
    <xf numFmtId="0" fontId="102" fillId="0" borderId="0" xfId="1" applyFont="1" applyBorder="1" applyAlignment="1" applyProtection="1">
      <alignment horizontal="center"/>
    </xf>
    <xf numFmtId="0" fontId="100" fillId="0" borderId="0" xfId="1" applyFont="1" applyBorder="1" applyProtection="1"/>
    <xf numFmtId="0" fontId="100" fillId="0" borderId="3" xfId="1" applyFont="1" applyBorder="1" applyProtection="1"/>
    <xf numFmtId="0" fontId="100" fillId="0" borderId="2" xfId="1" applyFont="1" applyBorder="1" applyProtection="1"/>
    <xf numFmtId="0" fontId="100" fillId="13" borderId="21" xfId="1" applyFont="1" applyFill="1" applyBorder="1" applyProtection="1"/>
    <xf numFmtId="0" fontId="100" fillId="13" borderId="20" xfId="1" applyFont="1" applyFill="1" applyBorder="1" applyProtection="1"/>
    <xf numFmtId="0" fontId="101" fillId="2" borderId="5" xfId="1" applyFont="1" applyFill="1" applyBorder="1" applyAlignment="1" applyProtection="1">
      <alignment horizontal="center"/>
    </xf>
    <xf numFmtId="0" fontId="101" fillId="2" borderId="19" xfId="1" applyFont="1" applyFill="1" applyBorder="1" applyAlignment="1" applyProtection="1">
      <alignment horizontal="center"/>
    </xf>
    <xf numFmtId="0" fontId="101" fillId="0" borderId="6" xfId="1" applyFont="1" applyFill="1" applyBorder="1" applyAlignment="1" applyProtection="1"/>
    <xf numFmtId="0" fontId="101" fillId="2" borderId="6" xfId="1" applyFont="1" applyFill="1" applyBorder="1" applyAlignment="1" applyProtection="1"/>
    <xf numFmtId="0" fontId="96" fillId="16" borderId="0" xfId="1" applyFont="1" applyFill="1" applyBorder="1" applyProtection="1"/>
    <xf numFmtId="0" fontId="51" fillId="13" borderId="1" xfId="1" applyFont="1" applyFill="1" applyBorder="1" applyAlignment="1" applyProtection="1">
      <alignment horizontal="center"/>
    </xf>
    <xf numFmtId="2" fontId="80" fillId="0" borderId="26" xfId="1" applyNumberFormat="1" applyFont="1" applyFill="1" applyBorder="1" applyAlignment="1" applyProtection="1">
      <alignment horizontal="center"/>
    </xf>
    <xf numFmtId="0" fontId="1" fillId="13" borderId="13" xfId="1" applyFill="1" applyBorder="1" applyAlignment="1" applyProtection="1">
      <alignment horizontal="center" wrapText="1"/>
    </xf>
    <xf numFmtId="0" fontId="8" fillId="13" borderId="13" xfId="1" applyFont="1" applyFill="1" applyBorder="1" applyAlignment="1" applyProtection="1">
      <alignment horizontal="center" wrapText="1"/>
    </xf>
    <xf numFmtId="0" fontId="5" fillId="13" borderId="13" xfId="1" applyFont="1" applyFill="1" applyBorder="1" applyAlignment="1" applyProtection="1">
      <alignment horizontal="center" wrapText="1"/>
    </xf>
    <xf numFmtId="0" fontId="5" fillId="13" borderId="27" xfId="1" applyFont="1" applyFill="1" applyBorder="1" applyAlignment="1" applyProtection="1">
      <alignment horizontal="center" wrapText="1"/>
    </xf>
    <xf numFmtId="0" fontId="29" fillId="14" borderId="13" xfId="1" applyFont="1" applyFill="1" applyBorder="1" applyAlignment="1" applyProtection="1">
      <alignment horizontal="center" wrapText="1"/>
    </xf>
    <xf numFmtId="0" fontId="51" fillId="14" borderId="8" xfId="1" applyFont="1" applyFill="1" applyBorder="1" applyAlignment="1" applyProtection="1">
      <alignment horizontal="center" wrapText="1"/>
    </xf>
    <xf numFmtId="49" fontId="5" fillId="4" borderId="26" xfId="1" applyNumberFormat="1" applyFont="1" applyFill="1" applyBorder="1" applyAlignment="1" applyProtection="1">
      <alignment horizontal="center" wrapText="1"/>
    </xf>
    <xf numFmtId="2" fontId="5" fillId="0" borderId="9" xfId="1" applyNumberFormat="1" applyFont="1" applyFill="1" applyBorder="1" applyAlignment="1" applyProtection="1"/>
    <xf numFmtId="2" fontId="5" fillId="0" borderId="4" xfId="1" applyNumberFormat="1" applyFont="1" applyFill="1" applyBorder="1" applyAlignment="1" applyProtection="1"/>
    <xf numFmtId="49" fontId="42" fillId="0" borderId="0" xfId="1" applyNumberFormat="1" applyFont="1" applyFill="1" applyBorder="1" applyAlignment="1" applyProtection="1">
      <alignment horizontal="center" wrapText="1"/>
    </xf>
    <xf numFmtId="0" fontId="51" fillId="0" borderId="0" xfId="1" applyFont="1" applyBorder="1" applyAlignment="1" applyProtection="1">
      <alignment horizontal="right"/>
    </xf>
    <xf numFmtId="0" fontId="122" fillId="14" borderId="8" xfId="1" applyFont="1" applyFill="1" applyBorder="1" applyProtection="1"/>
    <xf numFmtId="2" fontId="122" fillId="14" borderId="8" xfId="1" applyNumberFormat="1" applyFont="1" applyFill="1" applyBorder="1" applyProtection="1"/>
    <xf numFmtId="0" fontId="53" fillId="18" borderId="8" xfId="0" applyFont="1" applyFill="1" applyBorder="1"/>
    <xf numFmtId="0" fontId="53" fillId="18" borderId="8" xfId="0" applyFont="1" applyFill="1" applyBorder="1" applyAlignment="1">
      <alignment vertical="center"/>
    </xf>
    <xf numFmtId="0" fontId="53" fillId="18" borderId="34" xfId="0" applyFont="1" applyFill="1" applyBorder="1" applyAlignment="1">
      <alignment vertical="center"/>
    </xf>
    <xf numFmtId="0" fontId="122" fillId="14" borderId="12" xfId="1" applyFont="1" applyFill="1" applyBorder="1" applyProtection="1"/>
    <xf numFmtId="0" fontId="51" fillId="14" borderId="8" xfId="1" applyFont="1" applyFill="1" applyBorder="1" applyAlignment="1" applyProtection="1">
      <alignment horizontal="center" vertical="center"/>
    </xf>
    <xf numFmtId="0" fontId="51" fillId="14" borderId="34" xfId="1" applyFont="1" applyFill="1" applyBorder="1" applyAlignment="1" applyProtection="1">
      <alignment horizontal="center" vertical="center"/>
    </xf>
    <xf numFmtId="0" fontId="51" fillId="14" borderId="8" xfId="1" applyFont="1" applyFill="1" applyBorder="1" applyAlignment="1" applyProtection="1">
      <alignment horizontal="center"/>
    </xf>
    <xf numFmtId="0" fontId="98" fillId="0" borderId="50" xfId="2" applyFont="1" applyFill="1" applyBorder="1" applyAlignment="1" applyProtection="1">
      <alignment horizontal="center" vertical="center"/>
    </xf>
    <xf numFmtId="0" fontId="98" fillId="0" borderId="50" xfId="1" applyFont="1" applyFill="1" applyBorder="1" applyAlignment="1">
      <alignment wrapText="1"/>
    </xf>
    <xf numFmtId="0" fontId="37" fillId="3" borderId="50" xfId="0" applyNumberFormat="1" applyFont="1" applyFill="1" applyBorder="1" applyAlignment="1">
      <alignment horizontal="center"/>
    </xf>
    <xf numFmtId="0" fontId="5" fillId="0" borderId="50" xfId="0" applyFont="1" applyFill="1" applyBorder="1"/>
    <xf numFmtId="0" fontId="0" fillId="0" borderId="50" xfId="0" applyFill="1" applyBorder="1" applyAlignment="1">
      <alignment horizontal="center"/>
    </xf>
    <xf numFmtId="0" fontId="37" fillId="3" borderId="50" xfId="1" applyNumberFormat="1" applyFont="1" applyFill="1" applyBorder="1" applyAlignment="1">
      <alignment horizontal="center" vertical="center"/>
    </xf>
    <xf numFmtId="2" fontId="73" fillId="0" borderId="50" xfId="0" applyNumberFormat="1" applyFont="1" applyFill="1" applyBorder="1" applyAlignment="1">
      <alignment horizontal="center" vertical="center"/>
    </xf>
    <xf numFmtId="2" fontId="73" fillId="7" borderId="50" xfId="0" applyNumberFormat="1" applyFont="1" applyFill="1" applyBorder="1" applyAlignment="1">
      <alignment vertical="center"/>
    </xf>
    <xf numFmtId="2" fontId="73" fillId="7" borderId="50" xfId="0" applyNumberFormat="1" applyFont="1" applyFill="1" applyBorder="1"/>
    <xf numFmtId="2" fontId="73" fillId="7" borderId="50" xfId="0" applyNumberFormat="1" applyFont="1" applyFill="1" applyBorder="1" applyAlignment="1">
      <alignment horizontal="center" vertical="center"/>
    </xf>
    <xf numFmtId="0" fontId="73" fillId="0" borderId="50" xfId="0" applyFont="1" applyFill="1" applyBorder="1" applyAlignment="1">
      <alignment vertical="center"/>
    </xf>
    <xf numFmtId="2" fontId="73" fillId="7" borderId="50" xfId="1" applyNumberFormat="1" applyFont="1" applyFill="1" applyBorder="1" applyAlignment="1" applyProtection="1">
      <alignment horizontal="center" vertical="center"/>
    </xf>
    <xf numFmtId="0" fontId="99" fillId="0" borderId="51" xfId="1" applyFont="1" applyFill="1" applyBorder="1"/>
    <xf numFmtId="0" fontId="0" fillId="0" borderId="52" xfId="0" applyFill="1" applyBorder="1" applyAlignment="1">
      <alignment horizontal="center"/>
    </xf>
    <xf numFmtId="49" fontId="42" fillId="12" borderId="26" xfId="0" applyNumberFormat="1" applyFont="1" applyFill="1" applyBorder="1" applyAlignment="1">
      <alignment vertical="center" wrapText="1"/>
    </xf>
    <xf numFmtId="0" fontId="29" fillId="0" borderId="50" xfId="0" applyFont="1" applyFill="1" applyBorder="1" applyAlignment="1">
      <alignment horizontal="center"/>
    </xf>
    <xf numFmtId="0" fontId="51" fillId="0" borderId="50" xfId="0" applyFont="1" applyFill="1" applyBorder="1"/>
    <xf numFmtId="0" fontId="29" fillId="0" borderId="50" xfId="0" applyFont="1" applyBorder="1"/>
    <xf numFmtId="0" fontId="5" fillId="0" borderId="50" xfId="0" applyFont="1" applyFill="1" applyBorder="1" applyAlignment="1">
      <alignment vertical="center"/>
    </xf>
    <xf numFmtId="0" fontId="51" fillId="0" borderId="50" xfId="0" applyFont="1" applyFill="1" applyBorder="1" applyAlignment="1">
      <alignment vertical="center"/>
    </xf>
    <xf numFmtId="0" fontId="0" fillId="0" borderId="51" xfId="0" applyFill="1" applyBorder="1" applyAlignment="1">
      <alignment horizontal="center"/>
    </xf>
    <xf numFmtId="0" fontId="29" fillId="0" borderId="42" xfId="0" applyFont="1" applyFill="1" applyBorder="1" applyAlignment="1">
      <alignment horizontal="center"/>
    </xf>
    <xf numFmtId="0" fontId="0" fillId="0" borderId="42" xfId="0" applyFill="1" applyBorder="1" applyAlignment="1">
      <alignment horizontal="center"/>
    </xf>
    <xf numFmtId="0" fontId="29" fillId="0" borderId="42" xfId="0" applyFont="1" applyBorder="1"/>
    <xf numFmtId="0" fontId="3" fillId="0" borderId="50" xfId="0" applyFont="1" applyFill="1" applyBorder="1"/>
    <xf numFmtId="49" fontId="42" fillId="0" borderId="50" xfId="0" applyNumberFormat="1" applyFont="1" applyFill="1" applyBorder="1" applyAlignment="1">
      <alignment horizontal="center" wrapText="1"/>
    </xf>
    <xf numFmtId="0" fontId="11" fillId="0" borderId="50" xfId="0" applyFont="1" applyBorder="1" applyAlignment="1">
      <alignment horizontal="left"/>
    </xf>
    <xf numFmtId="0" fontId="37" fillId="3" borderId="50" xfId="0" applyNumberFormat="1" applyFont="1" applyFill="1" applyBorder="1" applyAlignment="1">
      <alignment horizontal="center" vertical="center"/>
    </xf>
    <xf numFmtId="0" fontId="3" fillId="0" borderId="50" xfId="0" applyFont="1" applyFill="1" applyBorder="1" applyAlignment="1">
      <alignment vertical="center"/>
    </xf>
    <xf numFmtId="49" fontId="42" fillId="0" borderId="50" xfId="0" applyNumberFormat="1" applyFont="1" applyFill="1" applyBorder="1" applyAlignment="1">
      <alignment horizontal="center" vertical="center" wrapText="1"/>
    </xf>
    <xf numFmtId="0" fontId="0" fillId="0" borderId="50" xfId="0" applyBorder="1" applyAlignment="1">
      <alignment vertical="center"/>
    </xf>
    <xf numFmtId="0" fontId="11" fillId="0" borderId="50" xfId="0" applyFont="1" applyBorder="1" applyAlignment="1">
      <alignment horizontal="left" vertical="center"/>
    </xf>
    <xf numFmtId="0" fontId="0" fillId="0" borderId="50" xfId="0" applyBorder="1"/>
    <xf numFmtId="2" fontId="15" fillId="7" borderId="50" xfId="0" applyNumberFormat="1" applyFont="1" applyFill="1" applyBorder="1" applyAlignment="1">
      <alignment horizontal="center" vertical="center"/>
    </xf>
    <xf numFmtId="0" fontId="3" fillId="0" borderId="51" xfId="0" applyFont="1" applyFill="1" applyBorder="1"/>
    <xf numFmtId="0" fontId="3" fillId="0" borderId="42" xfId="0" applyFont="1" applyFill="1" applyBorder="1"/>
    <xf numFmtId="0" fontId="3" fillId="0" borderId="52" xfId="0" applyFont="1" applyFill="1" applyBorder="1" applyAlignment="1">
      <alignment vertical="center"/>
    </xf>
    <xf numFmtId="0" fontId="107" fillId="21" borderId="0" xfId="2" applyFont="1" applyFill="1" applyAlignment="1">
      <alignment horizontal="center"/>
    </xf>
    <xf numFmtId="0" fontId="109" fillId="21" borderId="8" xfId="2" applyFont="1" applyFill="1" applyBorder="1" applyAlignment="1">
      <alignment horizontal="center"/>
    </xf>
    <xf numFmtId="0" fontId="107" fillId="21" borderId="8" xfId="2" applyFont="1" applyFill="1" applyBorder="1" applyAlignment="1">
      <alignment horizontal="center"/>
    </xf>
    <xf numFmtId="0" fontId="63" fillId="14" borderId="8" xfId="1" applyFont="1" applyFill="1" applyBorder="1"/>
    <xf numFmtId="0" fontId="82" fillId="14" borderId="8" xfId="1" applyFont="1" applyFill="1" applyBorder="1" applyAlignment="1">
      <alignment wrapText="1"/>
    </xf>
    <xf numFmtId="0" fontId="42" fillId="14" borderId="8" xfId="1" applyFont="1" applyFill="1" applyBorder="1"/>
    <xf numFmtId="0" fontId="63" fillId="14" borderId="8" xfId="1" applyFont="1" applyFill="1" applyBorder="1" applyAlignment="1">
      <alignment horizontal="right"/>
    </xf>
    <xf numFmtId="0" fontId="14" fillId="0" borderId="3" xfId="1" applyFont="1" applyBorder="1"/>
    <xf numFmtId="2" fontId="125" fillId="14" borderId="8" xfId="1" applyNumberFormat="1" applyFont="1" applyFill="1" applyBorder="1" applyProtection="1"/>
    <xf numFmtId="49" fontId="5" fillId="21" borderId="0" xfId="2" applyNumberFormat="1" applyFont="1" applyFill="1" applyBorder="1" applyAlignment="1">
      <alignment horizontal="center" wrapText="1"/>
    </xf>
    <xf numFmtId="0" fontId="43" fillId="6" borderId="5" xfId="2" applyNumberFormat="1" applyFont="1" applyFill="1" applyBorder="1" applyAlignment="1">
      <alignment horizontal="center" wrapText="1"/>
    </xf>
    <xf numFmtId="0" fontId="43" fillId="6" borderId="5" xfId="2" applyNumberFormat="1" applyFont="1" applyFill="1" applyBorder="1" applyAlignment="1">
      <alignment horizontal="center" vertical="center" wrapText="1"/>
    </xf>
    <xf numFmtId="0" fontId="29" fillId="13" borderId="8" xfId="2" applyFont="1" applyFill="1" applyBorder="1"/>
    <xf numFmtId="0" fontId="29" fillId="0" borderId="8" xfId="2" applyFont="1" applyFill="1" applyBorder="1"/>
    <xf numFmtId="0" fontId="29" fillId="18" borderId="8" xfId="2" applyFont="1" applyFill="1" applyBorder="1"/>
    <xf numFmtId="0" fontId="29" fillId="0" borderId="0" xfId="2" applyFont="1" applyBorder="1" applyAlignment="1">
      <alignment horizontal="center" wrapText="1"/>
    </xf>
    <xf numFmtId="0" fontId="29" fillId="0" borderId="8" xfId="2" applyFont="1" applyBorder="1"/>
    <xf numFmtId="0" fontId="29" fillId="14" borderId="14" xfId="2" applyFont="1" applyFill="1" applyBorder="1" applyAlignment="1">
      <alignment horizontal="center" wrapText="1"/>
    </xf>
    <xf numFmtId="0" fontId="96" fillId="14" borderId="8" xfId="2" applyFont="1" applyFill="1" applyBorder="1" applyAlignment="1">
      <alignment horizontal="center" wrapText="1"/>
    </xf>
    <xf numFmtId="0" fontId="29" fillId="14" borderId="8" xfId="2" applyFont="1" applyFill="1" applyBorder="1" applyAlignment="1">
      <alignment horizontal="center" wrapText="1"/>
    </xf>
    <xf numFmtId="0" fontId="107" fillId="21" borderId="8" xfId="2" applyFont="1" applyFill="1" applyBorder="1" applyAlignment="1">
      <alignment horizontal="left"/>
    </xf>
    <xf numFmtId="0" fontId="3" fillId="14" borderId="0" xfId="1" applyFont="1" applyFill="1" applyAlignment="1" applyProtection="1">
      <alignment horizontal="center"/>
    </xf>
    <xf numFmtId="0" fontId="3" fillId="14" borderId="13" xfId="1" applyFont="1" applyFill="1" applyBorder="1" applyAlignment="1" applyProtection="1">
      <alignment horizontal="center"/>
    </xf>
    <xf numFmtId="0" fontId="66" fillId="14" borderId="5" xfId="1" applyFont="1" applyFill="1" applyBorder="1" applyAlignment="1" applyProtection="1">
      <alignment horizontal="center"/>
    </xf>
    <xf numFmtId="0" fontId="66" fillId="14" borderId="25" xfId="1" applyFont="1" applyFill="1" applyBorder="1" applyAlignment="1" applyProtection="1">
      <alignment horizontal="center"/>
    </xf>
    <xf numFmtId="0" fontId="98" fillId="0" borderId="50" xfId="1" applyFont="1" applyFill="1" applyBorder="1" applyAlignment="1" applyProtection="1">
      <alignment vertical="center"/>
    </xf>
    <xf numFmtId="0" fontId="99" fillId="0" borderId="51" xfId="1" applyFont="1" applyFill="1" applyBorder="1" applyAlignment="1" applyProtection="1">
      <alignment vertical="center"/>
    </xf>
    <xf numFmtId="0" fontId="37" fillId="3" borderId="50" xfId="1" applyNumberFormat="1" applyFont="1" applyFill="1" applyBorder="1" applyAlignment="1" applyProtection="1">
      <alignment horizontal="center" vertical="center"/>
    </xf>
    <xf numFmtId="0" fontId="5" fillId="0" borderId="50" xfId="1" applyFont="1" applyFill="1" applyBorder="1" applyProtection="1"/>
    <xf numFmtId="0" fontId="1" fillId="0" borderId="52" xfId="1" applyFill="1" applyBorder="1" applyProtection="1"/>
    <xf numFmtId="0" fontId="12" fillId="0" borderId="50" xfId="1" applyFont="1" applyFill="1" applyBorder="1" applyAlignment="1" applyProtection="1">
      <alignment wrapText="1"/>
    </xf>
    <xf numFmtId="0" fontId="27" fillId="0" borderId="50" xfId="2" applyFont="1" applyFill="1" applyBorder="1" applyProtection="1"/>
    <xf numFmtId="0" fontId="30" fillId="0" borderId="50" xfId="1" applyFont="1" applyFill="1" applyBorder="1" applyAlignment="1" applyProtection="1">
      <alignment horizontal="center"/>
    </xf>
    <xf numFmtId="0" fontId="1" fillId="0" borderId="50" xfId="1" applyBorder="1" applyProtection="1"/>
    <xf numFmtId="2" fontId="15" fillId="0" borderId="50" xfId="2" applyNumberFormat="1" applyFont="1" applyFill="1" applyBorder="1" applyAlignment="1" applyProtection="1">
      <alignment horizontal="center" vertical="center"/>
    </xf>
    <xf numFmtId="0" fontId="5" fillId="0" borderId="50" xfId="1" applyFont="1" applyFill="1" applyBorder="1" applyAlignment="1" applyProtection="1">
      <alignment vertical="center"/>
    </xf>
    <xf numFmtId="0" fontId="1" fillId="0" borderId="50" xfId="1" applyFill="1" applyBorder="1" applyProtection="1"/>
    <xf numFmtId="0" fontId="27" fillId="0" borderId="50" xfId="1" applyFont="1" applyFill="1" applyBorder="1" applyProtection="1"/>
    <xf numFmtId="0" fontId="1" fillId="14" borderId="50" xfId="1" applyFont="1" applyFill="1" applyBorder="1" applyProtection="1"/>
    <xf numFmtId="0" fontId="26" fillId="14" borderId="50" xfId="1" applyFont="1" applyFill="1" applyBorder="1" applyProtection="1"/>
    <xf numFmtId="0" fontId="27" fillId="14" borderId="50" xfId="1" applyFont="1" applyFill="1" applyBorder="1" applyProtection="1"/>
    <xf numFmtId="2" fontId="50" fillId="10" borderId="50" xfId="1" applyNumberFormat="1" applyFont="1" applyFill="1" applyBorder="1" applyAlignment="1" applyProtection="1">
      <alignment horizontal="center"/>
    </xf>
    <xf numFmtId="0" fontId="29" fillId="0" borderId="8" xfId="2" applyFont="1" applyBorder="1" applyProtection="1"/>
    <xf numFmtId="0" fontId="29" fillId="14" borderId="8" xfId="2" applyFont="1" applyFill="1" applyBorder="1" applyAlignment="1" applyProtection="1">
      <alignment horizontal="center" wrapText="1"/>
    </xf>
    <xf numFmtId="0" fontId="29" fillId="17" borderId="8" xfId="2" applyFont="1" applyFill="1" applyBorder="1" applyAlignment="1" applyProtection="1">
      <alignment horizontal="center" wrapText="1"/>
    </xf>
    <xf numFmtId="0" fontId="29" fillId="19" borderId="0" xfId="2" applyFont="1" applyFill="1" applyBorder="1" applyAlignment="1" applyProtection="1">
      <alignment horizontal="center" wrapText="1"/>
    </xf>
    <xf numFmtId="0" fontId="29" fillId="25" borderId="8" xfId="1" applyNumberFormat="1" applyFont="1" applyFill="1" applyBorder="1" applyAlignment="1" applyProtection="1">
      <alignment horizontal="right"/>
    </xf>
    <xf numFmtId="0" fontId="29" fillId="25" borderId="8" xfId="1" applyNumberFormat="1" applyFont="1" applyFill="1" applyBorder="1" applyProtection="1"/>
    <xf numFmtId="0" fontId="51" fillId="25" borderId="0" xfId="1" applyNumberFormat="1" applyFont="1" applyFill="1" applyBorder="1" applyAlignment="1" applyProtection="1">
      <alignment horizontal="center" wrapText="1"/>
    </xf>
    <xf numFmtId="0" fontId="121" fillId="25" borderId="8" xfId="1" applyFont="1" applyFill="1" applyBorder="1" applyProtection="1"/>
    <xf numFmtId="0" fontId="37" fillId="3" borderId="50" xfId="1" applyNumberFormat="1" applyFont="1" applyFill="1" applyBorder="1" applyAlignment="1" applyProtection="1">
      <alignment horizontal="center"/>
    </xf>
    <xf numFmtId="2" fontId="73" fillId="0" borderId="50" xfId="1" applyNumberFormat="1" applyFont="1" applyFill="1" applyBorder="1" applyAlignment="1" applyProtection="1">
      <alignment horizontal="center" vertical="center"/>
    </xf>
    <xf numFmtId="0" fontId="12" fillId="0" borderId="50" xfId="1" applyFont="1" applyFill="1" applyBorder="1" applyAlignment="1" applyProtection="1">
      <alignment vertical="center" wrapText="1"/>
    </xf>
    <xf numFmtId="0" fontId="73" fillId="0" borderId="50" xfId="1" applyFont="1" applyBorder="1" applyAlignment="1" applyProtection="1">
      <alignment vertical="center"/>
    </xf>
    <xf numFmtId="0" fontId="73" fillId="0" borderId="50" xfId="1" applyFont="1" applyBorder="1" applyAlignment="1" applyProtection="1">
      <alignment horizontal="center" vertical="center"/>
    </xf>
    <xf numFmtId="2" fontId="73" fillId="7" borderId="50" xfId="1" applyNumberFormat="1" applyFont="1" applyFill="1" applyBorder="1" applyAlignment="1" applyProtection="1">
      <alignment vertical="center"/>
    </xf>
    <xf numFmtId="0" fontId="1" fillId="0" borderId="50" xfId="1" applyFill="1" applyBorder="1" applyAlignment="1" applyProtection="1">
      <alignment vertical="center"/>
    </xf>
    <xf numFmtId="0" fontId="1" fillId="0" borderId="51" xfId="1" applyFill="1" applyBorder="1" applyProtection="1"/>
    <xf numFmtId="0" fontId="3" fillId="0" borderId="50" xfId="1" applyFont="1" applyFill="1" applyBorder="1" applyProtection="1"/>
    <xf numFmtId="49" fontId="42" fillId="0" borderId="50" xfId="1" applyNumberFormat="1" applyFont="1" applyFill="1" applyBorder="1" applyAlignment="1" applyProtection="1">
      <alignment horizontal="center" wrapText="1"/>
    </xf>
    <xf numFmtId="0" fontId="11" fillId="0" borderId="50" xfId="1" applyFont="1" applyBorder="1" applyAlignment="1" applyProtection="1">
      <alignment horizontal="left"/>
    </xf>
    <xf numFmtId="0" fontId="3" fillId="0" borderId="50" xfId="1" applyFont="1" applyFill="1" applyBorder="1" applyAlignment="1" applyProtection="1">
      <alignment vertical="center"/>
    </xf>
    <xf numFmtId="0" fontId="29" fillId="0" borderId="53" xfId="1" applyFont="1" applyBorder="1" applyProtection="1"/>
    <xf numFmtId="0" fontId="29" fillId="0" borderId="54" xfId="1" applyFont="1" applyBorder="1" applyProtection="1"/>
    <xf numFmtId="49" fontId="42" fillId="0" borderId="50" xfId="1" applyNumberFormat="1" applyFont="1" applyFill="1" applyBorder="1" applyAlignment="1" applyProtection="1">
      <alignment horizontal="center" vertical="center" wrapText="1"/>
    </xf>
    <xf numFmtId="0" fontId="1" fillId="0" borderId="50" xfId="1" applyBorder="1" applyAlignment="1" applyProtection="1">
      <alignment vertical="center"/>
    </xf>
    <xf numFmtId="0" fontId="11" fillId="0" borderId="50" xfId="1" applyFont="1" applyBorder="1" applyAlignment="1" applyProtection="1">
      <alignment horizontal="left" vertical="center"/>
    </xf>
    <xf numFmtId="0" fontId="5" fillId="0" borderId="55" xfId="1" applyFont="1" applyFill="1" applyBorder="1" applyProtection="1"/>
    <xf numFmtId="0" fontId="1" fillId="0" borderId="54" xfId="1" applyBorder="1" applyAlignment="1" applyProtection="1">
      <alignment vertical="center"/>
    </xf>
    <xf numFmtId="0" fontId="1" fillId="0" borderId="56" xfId="1" applyBorder="1" applyProtection="1"/>
    <xf numFmtId="2" fontId="15" fillId="7" borderId="50" xfId="1" applyNumberFormat="1" applyFont="1" applyFill="1" applyBorder="1" applyAlignment="1" applyProtection="1">
      <alignment horizontal="center" vertical="center"/>
    </xf>
    <xf numFmtId="2" fontId="73" fillId="0" borderId="50" xfId="1" applyNumberFormat="1" applyFont="1" applyFill="1" applyBorder="1" applyAlignment="1" applyProtection="1">
      <alignment horizontal="center"/>
    </xf>
    <xf numFmtId="0" fontId="75" fillId="0" borderId="50" xfId="1" applyFont="1" applyFill="1" applyBorder="1" applyAlignment="1" applyProtection="1">
      <alignment wrapText="1"/>
    </xf>
    <xf numFmtId="0" fontId="73" fillId="0" borderId="53" xfId="1" applyFont="1" applyBorder="1" applyProtection="1"/>
    <xf numFmtId="0" fontId="73" fillId="0" borderId="50" xfId="1" applyFont="1" applyBorder="1" applyAlignment="1" applyProtection="1">
      <alignment horizontal="center"/>
    </xf>
    <xf numFmtId="2" fontId="73" fillId="7" borderId="54" xfId="1" applyNumberFormat="1" applyFont="1" applyFill="1" applyBorder="1" applyProtection="1"/>
    <xf numFmtId="2" fontId="73" fillId="7" borderId="50" xfId="1" applyNumberFormat="1" applyFont="1" applyFill="1" applyBorder="1" applyAlignment="1" applyProtection="1">
      <alignment horizontal="center"/>
    </xf>
    <xf numFmtId="0" fontId="30" fillId="0" borderId="51" xfId="1" applyFont="1" applyFill="1" applyBorder="1" applyAlignment="1" applyProtection="1">
      <alignment horizontal="center"/>
    </xf>
    <xf numFmtId="0" fontId="30" fillId="0" borderId="42" xfId="1" applyFont="1" applyFill="1" applyBorder="1" applyAlignment="1" applyProtection="1">
      <alignment horizontal="center"/>
    </xf>
    <xf numFmtId="0" fontId="29" fillId="0" borderId="42" xfId="1" applyFont="1" applyBorder="1" applyProtection="1"/>
    <xf numFmtId="0" fontId="12" fillId="0" borderId="50" xfId="0" applyFont="1" applyFill="1" applyBorder="1" applyAlignment="1">
      <alignment wrapText="1"/>
    </xf>
    <xf numFmtId="0" fontId="30" fillId="0" borderId="50" xfId="0" applyFont="1" applyFill="1" applyBorder="1" applyAlignment="1">
      <alignment horizontal="center"/>
    </xf>
    <xf numFmtId="0" fontId="0" fillId="0" borderId="50" xfId="0" applyFill="1" applyBorder="1"/>
    <xf numFmtId="2" fontId="73" fillId="0" borderId="50" xfId="0" applyNumberFormat="1" applyFont="1" applyFill="1" applyBorder="1" applyAlignment="1">
      <alignment horizontal="center"/>
    </xf>
    <xf numFmtId="0" fontId="75" fillId="0" borderId="50" xfId="0" applyFont="1" applyFill="1" applyBorder="1" applyAlignment="1">
      <alignment wrapText="1"/>
    </xf>
    <xf numFmtId="0" fontId="73" fillId="0" borderId="50" xfId="0" applyFont="1" applyBorder="1"/>
    <xf numFmtId="0" fontId="73" fillId="0" borderId="50" xfId="0" applyFont="1" applyBorder="1" applyAlignment="1">
      <alignment horizontal="center"/>
    </xf>
    <xf numFmtId="0" fontId="30" fillId="0" borderId="51" xfId="0" applyFont="1" applyFill="1" applyBorder="1" applyAlignment="1">
      <alignment horizontal="center"/>
    </xf>
    <xf numFmtId="0" fontId="30" fillId="0" borderId="42" xfId="0" applyFont="1" applyFill="1" applyBorder="1" applyAlignment="1">
      <alignment horizontal="center"/>
    </xf>
    <xf numFmtId="0" fontId="0" fillId="0" borderId="42" xfId="0" applyFill="1" applyBorder="1"/>
    <xf numFmtId="0" fontId="0" fillId="0" borderId="52" xfId="0" applyFill="1" applyBorder="1"/>
    <xf numFmtId="0" fontId="12" fillId="0" borderId="50" xfId="0" applyFont="1" applyFill="1" applyBorder="1" applyAlignment="1">
      <alignment vertical="center" wrapText="1"/>
    </xf>
    <xf numFmtId="0" fontId="73" fillId="0" borderId="50" xfId="0" applyFont="1" applyBorder="1" applyAlignment="1">
      <alignment vertical="center"/>
    </xf>
    <xf numFmtId="0" fontId="73" fillId="0" borderId="50" xfId="0" applyFont="1" applyBorder="1" applyAlignment="1">
      <alignment horizontal="center" vertical="center"/>
    </xf>
    <xf numFmtId="0" fontId="0" fillId="0" borderId="50" xfId="0" applyFill="1" applyBorder="1" applyAlignment="1">
      <alignment vertical="center"/>
    </xf>
    <xf numFmtId="0" fontId="0" fillId="0" borderId="51" xfId="0" applyFill="1" applyBorder="1"/>
    <xf numFmtId="0" fontId="98" fillId="0" borderId="50" xfId="2" applyFont="1" applyFill="1" applyBorder="1" applyAlignment="1">
      <alignment horizontal="center"/>
    </xf>
    <xf numFmtId="0" fontId="5" fillId="0" borderId="50" xfId="1" applyFont="1" applyFill="1" applyBorder="1"/>
    <xf numFmtId="0" fontId="1" fillId="0" borderId="50" xfId="1" applyFill="1" applyBorder="1"/>
    <xf numFmtId="0" fontId="12" fillId="0" borderId="50" xfId="1" applyFont="1" applyFill="1" applyBorder="1" applyAlignment="1">
      <alignment wrapText="1"/>
    </xf>
    <xf numFmtId="0" fontId="27" fillId="0" borderId="50" xfId="2" applyFont="1" applyFill="1" applyBorder="1"/>
    <xf numFmtId="2" fontId="15" fillId="0" borderId="50" xfId="2" applyNumberFormat="1" applyFont="1" applyFill="1" applyBorder="1" applyAlignment="1">
      <alignment horizontal="center"/>
    </xf>
    <xf numFmtId="2" fontId="50" fillId="10" borderId="50" xfId="1" applyNumberFormat="1" applyFont="1" applyFill="1" applyBorder="1" applyAlignment="1">
      <alignment horizontal="center"/>
    </xf>
    <xf numFmtId="0" fontId="1" fillId="0" borderId="52" xfId="1" applyFill="1" applyBorder="1"/>
    <xf numFmtId="49" fontId="42" fillId="12" borderId="26" xfId="0" applyNumberFormat="1" applyFont="1" applyFill="1" applyBorder="1" applyAlignment="1">
      <alignment horizontal="center" vertical="center" wrapText="1"/>
    </xf>
    <xf numFmtId="49" fontId="51" fillId="18" borderId="0" xfId="0" applyNumberFormat="1" applyFont="1" applyFill="1" applyBorder="1" applyAlignment="1">
      <alignment horizontal="center" wrapText="1"/>
    </xf>
    <xf numFmtId="0" fontId="128" fillId="0" borderId="9" xfId="0" applyFont="1" applyBorder="1"/>
    <xf numFmtId="0" fontId="109" fillId="0" borderId="1" xfId="0" applyFont="1" applyFill="1" applyBorder="1"/>
    <xf numFmtId="0" fontId="128" fillId="21" borderId="1" xfId="0" applyFont="1" applyFill="1" applyBorder="1" applyAlignment="1">
      <alignment horizontal="center"/>
    </xf>
    <xf numFmtId="0" fontId="128" fillId="21" borderId="24" xfId="0" applyFont="1" applyFill="1" applyBorder="1" applyAlignment="1">
      <alignment horizontal="center"/>
    </xf>
    <xf numFmtId="0" fontId="128" fillId="0" borderId="10" xfId="0" applyFont="1" applyBorder="1"/>
    <xf numFmtId="0" fontId="129" fillId="0" borderId="8" xfId="0" applyFont="1" applyFill="1" applyBorder="1"/>
    <xf numFmtId="0" fontId="128" fillId="0" borderId="0" xfId="0" applyFont="1" applyFill="1" applyBorder="1" applyAlignment="1">
      <alignment horizontal="center"/>
    </xf>
    <xf numFmtId="0" fontId="128" fillId="0" borderId="4" xfId="0" applyFont="1" applyFill="1" applyBorder="1" applyAlignment="1">
      <alignment horizontal="center"/>
    </xf>
    <xf numFmtId="0" fontId="130" fillId="2" borderId="8" xfId="0" applyFont="1" applyFill="1" applyBorder="1" applyAlignment="1">
      <alignment wrapText="1"/>
    </xf>
    <xf numFmtId="0" fontId="128" fillId="0" borderId="10" xfId="0" applyFont="1" applyFill="1" applyBorder="1"/>
    <xf numFmtId="0" fontId="130" fillId="0" borderId="0" xfId="0" applyFont="1" applyFill="1" applyBorder="1" applyAlignment="1">
      <alignment wrapText="1"/>
    </xf>
    <xf numFmtId="0" fontId="130" fillId="0" borderId="0" xfId="0" applyFont="1" applyFill="1" applyBorder="1" applyAlignment="1">
      <alignment horizontal="center"/>
    </xf>
    <xf numFmtId="0" fontId="128" fillId="14" borderId="8" xfId="0" applyFont="1" applyFill="1" applyBorder="1" applyAlignment="1">
      <alignment horizontal="center" wrapText="1"/>
    </xf>
    <xf numFmtId="0" fontId="128" fillId="14" borderId="8" xfId="0" applyFont="1" applyFill="1" applyBorder="1" applyAlignment="1">
      <alignment horizontal="center"/>
    </xf>
    <xf numFmtId="0" fontId="109" fillId="14" borderId="8" xfId="0" applyFont="1" applyFill="1" applyBorder="1" applyAlignment="1">
      <alignment horizontal="center"/>
    </xf>
    <xf numFmtId="2" fontId="128" fillId="14" borderId="8" xfId="0" applyNumberFormat="1" applyFont="1" applyFill="1" applyBorder="1" applyAlignment="1">
      <alignment horizontal="center"/>
    </xf>
    <xf numFmtId="0" fontId="109" fillId="16" borderId="0" xfId="0" applyFont="1" applyFill="1" applyBorder="1" applyAlignment="1" applyProtection="1">
      <alignment horizontal="center"/>
    </xf>
    <xf numFmtId="0" fontId="109" fillId="6" borderId="8" xfId="0" applyFont="1" applyFill="1" applyBorder="1" applyAlignment="1">
      <alignment horizontal="center"/>
    </xf>
    <xf numFmtId="0" fontId="131" fillId="6" borderId="8" xfId="0" applyFont="1" applyFill="1" applyBorder="1" applyAlignment="1">
      <alignment horizontal="center"/>
    </xf>
    <xf numFmtId="0" fontId="128" fillId="6" borderId="8" xfId="0" applyFont="1" applyFill="1" applyBorder="1" applyAlignment="1">
      <alignment horizontal="center"/>
    </xf>
    <xf numFmtId="0" fontId="128" fillId="0" borderId="8" xfId="0" applyFont="1" applyBorder="1" applyAlignment="1">
      <alignment horizontal="center"/>
    </xf>
    <xf numFmtId="0" fontId="109" fillId="0" borderId="8" xfId="0" applyFont="1" applyBorder="1" applyAlignment="1">
      <alignment horizontal="center"/>
    </xf>
    <xf numFmtId="0" fontId="128" fillId="0" borderId="6" xfId="0" applyFont="1" applyBorder="1"/>
    <xf numFmtId="0" fontId="130" fillId="0" borderId="2" xfId="0" applyFont="1" applyFill="1" applyBorder="1" applyAlignment="1">
      <alignment wrapText="1"/>
    </xf>
    <xf numFmtId="0" fontId="130" fillId="0" borderId="2" xfId="0" applyFont="1" applyFill="1" applyBorder="1" applyAlignment="1">
      <alignment horizontal="center"/>
    </xf>
    <xf numFmtId="0" fontId="128" fillId="0" borderId="2" xfId="0" applyFont="1" applyFill="1" applyBorder="1" applyAlignment="1">
      <alignment horizontal="center"/>
    </xf>
    <xf numFmtId="0" fontId="128" fillId="0" borderId="3" xfId="0" applyFont="1" applyFill="1" applyBorder="1" applyAlignment="1">
      <alignment horizontal="center"/>
    </xf>
    <xf numFmtId="0" fontId="132" fillId="15" borderId="8" xfId="0" applyFont="1" applyFill="1" applyBorder="1" applyAlignment="1" applyProtection="1">
      <alignment horizontal="center"/>
    </xf>
    <xf numFmtId="0" fontId="134" fillId="21" borderId="8" xfId="0" applyFont="1" applyFill="1" applyBorder="1" applyAlignment="1" applyProtection="1">
      <alignment horizontal="center"/>
    </xf>
    <xf numFmtId="0" fontId="134" fillId="15" borderId="8" xfId="0" applyFont="1" applyFill="1" applyBorder="1" applyAlignment="1" applyProtection="1">
      <alignment horizontal="center"/>
    </xf>
    <xf numFmtId="0" fontId="122" fillId="21" borderId="57" xfId="0" applyFont="1" applyFill="1" applyBorder="1" applyAlignment="1" applyProtection="1">
      <alignment horizontal="center"/>
    </xf>
    <xf numFmtId="0" fontId="135" fillId="0" borderId="8" xfId="0" applyFont="1" applyFill="1" applyBorder="1" applyAlignment="1" applyProtection="1">
      <alignment horizontal="center"/>
    </xf>
    <xf numFmtId="0" fontId="136" fillId="2" borderId="8" xfId="0" applyFont="1" applyFill="1" applyBorder="1" applyAlignment="1" applyProtection="1">
      <alignment horizontal="center"/>
    </xf>
    <xf numFmtId="0" fontId="132" fillId="6" borderId="8" xfId="0" applyFont="1" applyFill="1" applyBorder="1" applyAlignment="1" applyProtection="1">
      <alignment horizontal="center"/>
    </xf>
    <xf numFmtId="0" fontId="98" fillId="16" borderId="50" xfId="2" applyFont="1" applyFill="1" applyBorder="1" applyAlignment="1" applyProtection="1">
      <alignment horizontal="center" vertical="center"/>
    </xf>
    <xf numFmtId="0" fontId="5" fillId="16" borderId="50" xfId="0" applyFont="1" applyFill="1" applyBorder="1"/>
    <xf numFmtId="0" fontId="0" fillId="16" borderId="51" xfId="0" applyFill="1" applyBorder="1" applyAlignment="1">
      <alignment horizontal="center"/>
    </xf>
    <xf numFmtId="0" fontId="29" fillId="16" borderId="42" xfId="0" applyFont="1" applyFill="1" applyBorder="1" applyAlignment="1">
      <alignment horizontal="center"/>
    </xf>
    <xf numFmtId="0" fontId="0" fillId="16" borderId="50" xfId="0" applyFill="1" applyBorder="1" applyAlignment="1">
      <alignment horizontal="center"/>
    </xf>
    <xf numFmtId="0" fontId="51" fillId="16" borderId="50" xfId="0" applyFont="1" applyFill="1" applyBorder="1"/>
    <xf numFmtId="0" fontId="0" fillId="16" borderId="42" xfId="0" applyFill="1" applyBorder="1" applyAlignment="1">
      <alignment horizontal="center"/>
    </xf>
    <xf numFmtId="0" fontId="29" fillId="16" borderId="50" xfId="0" applyFont="1" applyFill="1" applyBorder="1" applyAlignment="1">
      <alignment horizontal="center"/>
    </xf>
    <xf numFmtId="0" fontId="29" fillId="16" borderId="42" xfId="0" applyFont="1" applyFill="1" applyBorder="1"/>
    <xf numFmtId="0" fontId="37" fillId="16" borderId="50" xfId="0" applyNumberFormat="1" applyFont="1" applyFill="1" applyBorder="1" applyAlignment="1">
      <alignment horizontal="center"/>
    </xf>
    <xf numFmtId="0" fontId="0" fillId="16" borderId="52" xfId="0" applyFill="1" applyBorder="1" applyAlignment="1">
      <alignment horizontal="center"/>
    </xf>
    <xf numFmtId="0" fontId="37" fillId="16" borderId="50" xfId="1" applyNumberFormat="1" applyFont="1" applyFill="1" applyBorder="1" applyAlignment="1">
      <alignment horizontal="center" vertical="center"/>
    </xf>
    <xf numFmtId="2" fontId="73" fillId="16" borderId="50" xfId="0" applyNumberFormat="1" applyFont="1" applyFill="1" applyBorder="1" applyAlignment="1">
      <alignment horizontal="center" vertical="center"/>
    </xf>
    <xf numFmtId="0" fontId="5" fillId="16" borderId="50" xfId="0" applyFont="1" applyFill="1" applyBorder="1" applyAlignment="1">
      <alignment vertical="center"/>
    </xf>
    <xf numFmtId="2" fontId="73" fillId="16" borderId="50" xfId="0" applyNumberFormat="1" applyFont="1" applyFill="1" applyBorder="1"/>
    <xf numFmtId="0" fontId="51" fillId="16" borderId="50" xfId="0" applyFont="1" applyFill="1" applyBorder="1" applyAlignment="1">
      <alignment vertical="center"/>
    </xf>
    <xf numFmtId="2" fontId="73" fillId="16" borderId="50" xfId="1" applyNumberFormat="1" applyFont="1" applyFill="1" applyBorder="1" applyAlignment="1" applyProtection="1">
      <alignment horizontal="center" vertical="center"/>
    </xf>
    <xf numFmtId="0" fontId="0" fillId="0" borderId="0" xfId="0" applyProtection="1"/>
    <xf numFmtId="0" fontId="0" fillId="0" borderId="0" xfId="0" applyFill="1" applyProtection="1"/>
    <xf numFmtId="0" fontId="29" fillId="0" borderId="0" xfId="0" applyFont="1" applyProtection="1"/>
    <xf numFmtId="0" fontId="42" fillId="0" borderId="0" xfId="0" applyFont="1" applyBorder="1" applyAlignment="1" applyProtection="1">
      <alignment horizontal="right"/>
    </xf>
    <xf numFmtId="0" fontId="42" fillId="0" borderId="0" xfId="0" applyFont="1" applyBorder="1" applyProtection="1"/>
    <xf numFmtId="0" fontId="42" fillId="0" borderId="0" xfId="0" applyFont="1" applyBorder="1" applyAlignment="1" applyProtection="1">
      <alignment horizontal="left"/>
    </xf>
    <xf numFmtId="0" fontId="63" fillId="0" borderId="0" xfId="0" applyFont="1" applyBorder="1" applyProtection="1"/>
    <xf numFmtId="0" fontId="63" fillId="0" borderId="0" xfId="0" applyFont="1" applyProtection="1"/>
    <xf numFmtId="0" fontId="16" fillId="3" borderId="0" xfId="0" applyNumberFormat="1" applyFont="1" applyFill="1" applyBorder="1" applyAlignment="1" applyProtection="1">
      <alignment horizontal="center"/>
    </xf>
    <xf numFmtId="0" fontId="127" fillId="0" borderId="0" xfId="0" applyFont="1" applyProtection="1"/>
    <xf numFmtId="0" fontId="43" fillId="3" borderId="5" xfId="0" applyNumberFormat="1" applyFont="1" applyFill="1" applyBorder="1" applyAlignment="1" applyProtection="1">
      <alignment horizontal="center" vertical="center" wrapText="1"/>
    </xf>
    <xf numFmtId="0" fontId="42" fillId="21" borderId="26" xfId="0" applyFont="1" applyFill="1" applyBorder="1" applyAlignment="1" applyProtection="1">
      <alignment horizontal="center"/>
    </xf>
    <xf numFmtId="0" fontId="137" fillId="0" borderId="1" xfId="0" applyFont="1" applyBorder="1" applyProtection="1"/>
    <xf numFmtId="0" fontId="137" fillId="0" borderId="58" xfId="0" applyFont="1" applyBorder="1" applyAlignment="1" applyProtection="1">
      <alignment horizontal="left"/>
    </xf>
    <xf numFmtId="0" fontId="137" fillId="0" borderId="59" xfId="0" applyFont="1" applyBorder="1" applyProtection="1"/>
    <xf numFmtId="0" fontId="64" fillId="0" borderId="59" xfId="0" applyFont="1" applyBorder="1" applyProtection="1"/>
    <xf numFmtId="0" fontId="64" fillId="0" borderId="59" xfId="0" applyFont="1" applyBorder="1" applyAlignment="1" applyProtection="1">
      <alignment horizontal="right"/>
    </xf>
    <xf numFmtId="0" fontId="42" fillId="0" borderId="59" xfId="0" applyFont="1" applyBorder="1" applyProtection="1"/>
    <xf numFmtId="0" fontId="0" fillId="0" borderId="59" xfId="0" applyBorder="1" applyProtection="1"/>
    <xf numFmtId="0" fontId="137" fillId="0" borderId="60" xfId="0" applyFont="1" applyBorder="1" applyAlignment="1" applyProtection="1">
      <alignment horizontal="right"/>
    </xf>
    <xf numFmtId="0" fontId="37" fillId="3" borderId="5" xfId="0" applyNumberFormat="1" applyFont="1" applyFill="1" applyBorder="1" applyAlignment="1" applyProtection="1">
      <alignment horizontal="center" vertical="center"/>
    </xf>
    <xf numFmtId="2" fontId="134" fillId="21" borderId="3" xfId="1" applyNumberFormat="1" applyFont="1" applyFill="1" applyBorder="1" applyAlignment="1" applyProtection="1">
      <alignment horizontal="center"/>
    </xf>
    <xf numFmtId="0" fontId="137" fillId="0" borderId="2" xfId="0" applyFont="1" applyBorder="1" applyAlignment="1" applyProtection="1">
      <alignment wrapText="1"/>
    </xf>
    <xf numFmtId="0" fontId="137" fillId="0" borderId="61" xfId="0" applyFont="1" applyBorder="1" applyAlignment="1" applyProtection="1"/>
    <xf numFmtId="2" fontId="137" fillId="0" borderId="61" xfId="0" applyNumberFormat="1" applyFont="1" applyBorder="1" applyAlignment="1" applyProtection="1"/>
    <xf numFmtId="0" fontId="64" fillId="0" borderId="61" xfId="0" applyFont="1" applyBorder="1" applyAlignment="1" applyProtection="1">
      <alignment horizontal="center"/>
    </xf>
    <xf numFmtId="0" fontId="0" fillId="0" borderId="61" xfId="0" applyBorder="1" applyAlignment="1" applyProtection="1">
      <alignment horizontal="center"/>
    </xf>
    <xf numFmtId="0" fontId="0" fillId="0" borderId="0" xfId="0" applyAlignment="1" applyProtection="1">
      <alignment vertical="center"/>
    </xf>
    <xf numFmtId="0" fontId="16" fillId="0" borderId="0" xfId="0" applyNumberFormat="1" applyFont="1" applyFill="1" applyBorder="1" applyAlignment="1" applyProtection="1">
      <alignment horizontal="center"/>
    </xf>
    <xf numFmtId="0" fontId="64" fillId="0" borderId="0" xfId="0" applyFont="1" applyFill="1" applyBorder="1" applyProtection="1"/>
    <xf numFmtId="1" fontId="65" fillId="0" borderId="0" xfId="0" applyNumberFormat="1" applyFont="1" applyFill="1" applyBorder="1" applyAlignment="1" applyProtection="1"/>
    <xf numFmtId="0" fontId="0" fillId="0" borderId="0" xfId="0" applyFill="1" applyBorder="1" applyProtection="1"/>
    <xf numFmtId="0" fontId="42" fillId="0" borderId="0" xfId="0" applyFont="1" applyFill="1" applyBorder="1" applyProtection="1"/>
    <xf numFmtId="0" fontId="66" fillId="0" borderId="0" xfId="0" applyFont="1" applyFill="1" applyBorder="1" applyAlignment="1" applyProtection="1">
      <alignment horizontal="center"/>
    </xf>
    <xf numFmtId="0" fontId="138" fillId="0" borderId="9" xfId="0" applyFont="1" applyBorder="1" applyProtection="1"/>
    <xf numFmtId="0" fontId="138" fillId="0" borderId="62" xfId="0" applyFont="1" applyBorder="1" applyAlignment="1" applyProtection="1">
      <alignment horizontal="left"/>
    </xf>
    <xf numFmtId="0" fontId="138" fillId="0" borderId="63" xfId="0" applyFont="1" applyBorder="1" applyProtection="1"/>
    <xf numFmtId="0" fontId="66" fillId="0" borderId="63" xfId="0" applyFont="1" applyBorder="1" applyProtection="1"/>
    <xf numFmtId="0" fontId="66" fillId="0" borderId="63" xfId="0" applyFont="1" applyBorder="1" applyAlignment="1" applyProtection="1">
      <alignment horizontal="right"/>
    </xf>
    <xf numFmtId="0" fontId="63" fillId="0" borderId="63" xfId="0" applyFont="1" applyBorder="1" applyProtection="1"/>
    <xf numFmtId="0" fontId="0" fillId="0" borderId="63" xfId="0" applyBorder="1" applyProtection="1"/>
    <xf numFmtId="0" fontId="139" fillId="0" borderId="63" xfId="0" applyFont="1" applyBorder="1" applyProtection="1"/>
    <xf numFmtId="0" fontId="138" fillId="0" borderId="64" xfId="0" applyFont="1" applyBorder="1" applyAlignment="1" applyProtection="1">
      <alignment horizontal="right"/>
    </xf>
    <xf numFmtId="0" fontId="66" fillId="0" borderId="0" xfId="0" applyFont="1" applyBorder="1" applyAlignment="1" applyProtection="1">
      <alignment horizontal="right"/>
    </xf>
    <xf numFmtId="0" fontId="138" fillId="0" borderId="6" xfId="0" applyFont="1" applyBorder="1" applyAlignment="1" applyProtection="1">
      <alignment wrapText="1"/>
    </xf>
    <xf numFmtId="0" fontId="66" fillId="0" borderId="65" xfId="0" applyFont="1" applyBorder="1" applyAlignment="1" applyProtection="1">
      <alignment horizontal="center"/>
    </xf>
    <xf numFmtId="0" fontId="0" fillId="0" borderId="65" xfId="0" applyBorder="1" applyAlignment="1" applyProtection="1">
      <alignment horizontal="center"/>
    </xf>
    <xf numFmtId="0" fontId="63" fillId="0" borderId="65" xfId="0" applyFont="1" applyBorder="1" applyAlignment="1" applyProtection="1">
      <alignment horizontal="center"/>
    </xf>
    <xf numFmtId="0" fontId="0" fillId="0" borderId="65" xfId="0" applyBorder="1" applyProtection="1"/>
    <xf numFmtId="1" fontId="67" fillId="0" borderId="65" xfId="0" applyNumberFormat="1" applyFont="1" applyBorder="1" applyAlignment="1" applyProtection="1">
      <alignment horizontal="right"/>
    </xf>
    <xf numFmtId="1" fontId="67" fillId="0" borderId="0" xfId="0" applyNumberFormat="1" applyFont="1" applyBorder="1" applyAlignment="1" applyProtection="1">
      <alignment horizontal="right"/>
    </xf>
    <xf numFmtId="0" fontId="122" fillId="0" borderId="0" xfId="1" applyFont="1" applyFill="1" applyBorder="1" applyProtection="1"/>
    <xf numFmtId="0" fontId="66" fillId="0" borderId="0" xfId="0" applyFont="1" applyBorder="1" applyAlignment="1" applyProtection="1">
      <alignment wrapText="1"/>
    </xf>
    <xf numFmtId="1" fontId="67" fillId="0" borderId="0" xfId="0" applyNumberFormat="1" applyFont="1" applyBorder="1" applyAlignment="1" applyProtection="1">
      <alignment horizontal="left"/>
    </xf>
    <xf numFmtId="0" fontId="66" fillId="0" borderId="0" xfId="0" applyFont="1" applyBorder="1" applyAlignment="1" applyProtection="1">
      <alignment horizontal="center"/>
    </xf>
    <xf numFmtId="0" fontId="0" fillId="0" borderId="0" xfId="0" applyBorder="1" applyAlignment="1" applyProtection="1">
      <alignment horizontal="center"/>
    </xf>
    <xf numFmtId="0" fontId="63" fillId="0" borderId="0" xfId="0" applyFont="1" applyBorder="1" applyAlignment="1" applyProtection="1">
      <alignment horizontal="center"/>
    </xf>
    <xf numFmtId="0" fontId="140" fillId="0" borderId="9" xfId="0" applyFont="1" applyBorder="1" applyProtection="1"/>
    <xf numFmtId="0" fontId="140" fillId="0" borderId="66" xfId="0" applyFont="1" applyFill="1" applyBorder="1" applyAlignment="1" applyProtection="1">
      <alignment horizontal="left"/>
    </xf>
    <xf numFmtId="0" fontId="140" fillId="0" borderId="67" xfId="0" applyFont="1" applyFill="1" applyBorder="1" applyProtection="1"/>
    <xf numFmtId="0" fontId="69" fillId="0" borderId="67" xfId="0" applyFont="1" applyFill="1" applyBorder="1" applyProtection="1"/>
    <xf numFmtId="0" fontId="69" fillId="0" borderId="67" xfId="0" applyFont="1" applyFill="1" applyBorder="1" applyAlignment="1" applyProtection="1">
      <alignment horizontal="right"/>
    </xf>
    <xf numFmtId="0" fontId="66" fillId="0" borderId="67" xfId="0" applyFont="1" applyFill="1" applyBorder="1" applyProtection="1"/>
    <xf numFmtId="0" fontId="0" fillId="0" borderId="67" xfId="0" applyFill="1" applyBorder="1" applyProtection="1"/>
    <xf numFmtId="0" fontId="66" fillId="0" borderId="67" xfId="0" applyFont="1" applyFill="1" applyBorder="1" applyAlignment="1" applyProtection="1"/>
    <xf numFmtId="0" fontId="140" fillId="0" borderId="68" xfId="0" applyFont="1" applyFill="1" applyBorder="1" applyAlignment="1" applyProtection="1">
      <alignment horizontal="right"/>
    </xf>
    <xf numFmtId="2" fontId="134" fillId="21" borderId="15" xfId="1" applyNumberFormat="1" applyFont="1" applyFill="1" applyBorder="1" applyAlignment="1" applyProtection="1">
      <alignment horizontal="center"/>
    </xf>
    <xf numFmtId="0" fontId="140" fillId="0" borderId="6" xfId="0" applyFont="1" applyBorder="1" applyProtection="1"/>
    <xf numFmtId="0" fontId="69" fillId="0" borderId="69" xfId="0" applyFont="1" applyFill="1" applyBorder="1" applyAlignment="1" applyProtection="1">
      <alignment horizontal="center"/>
    </xf>
    <xf numFmtId="0" fontId="0" fillId="0" borderId="69" xfId="0" applyFill="1" applyBorder="1" applyAlignment="1" applyProtection="1">
      <alignment horizontal="center"/>
    </xf>
    <xf numFmtId="0" fontId="66" fillId="0" borderId="69" xfId="0" applyFont="1" applyFill="1" applyBorder="1" applyAlignment="1" applyProtection="1">
      <alignment horizontal="center"/>
    </xf>
    <xf numFmtId="0" fontId="0" fillId="0" borderId="69" xfId="0" applyFill="1" applyBorder="1" applyProtection="1"/>
    <xf numFmtId="0" fontId="66" fillId="0" borderId="69" xfId="0" applyFont="1" applyFill="1" applyBorder="1" applyAlignment="1" applyProtection="1"/>
    <xf numFmtId="2" fontId="0" fillId="0" borderId="0" xfId="0" applyNumberFormat="1" applyProtection="1"/>
    <xf numFmtId="0" fontId="122" fillId="14" borderId="0" xfId="1" applyFont="1" applyFill="1" applyBorder="1" applyProtection="1"/>
    <xf numFmtId="0" fontId="69" fillId="0" borderId="0" xfId="0" applyFont="1" applyBorder="1" applyProtection="1"/>
    <xf numFmtId="1" fontId="70" fillId="0" borderId="0" xfId="0" applyNumberFormat="1" applyFont="1" applyBorder="1" applyAlignment="1" applyProtection="1"/>
    <xf numFmtId="1" fontId="70" fillId="0" borderId="0" xfId="0" applyNumberFormat="1" applyFont="1" applyBorder="1" applyAlignment="1" applyProtection="1">
      <alignment horizontal="left"/>
    </xf>
    <xf numFmtId="0" fontId="69" fillId="0" borderId="0" xfId="0" applyFont="1" applyBorder="1" applyAlignment="1" applyProtection="1">
      <alignment horizontal="center"/>
    </xf>
    <xf numFmtId="1" fontId="70" fillId="0" borderId="0" xfId="0" applyNumberFormat="1" applyFont="1" applyBorder="1" applyAlignment="1" applyProtection="1">
      <alignment horizontal="right"/>
    </xf>
    <xf numFmtId="1" fontId="70" fillId="0" borderId="0" xfId="0" applyNumberFormat="1" applyFont="1" applyFill="1" applyBorder="1" applyAlignment="1" applyProtection="1"/>
    <xf numFmtId="0" fontId="128" fillId="0" borderId="0" xfId="0" applyFont="1" applyProtection="1"/>
    <xf numFmtId="0" fontId="42" fillId="14" borderId="7" xfId="0" applyFont="1" applyFill="1" applyBorder="1" applyProtection="1"/>
    <xf numFmtId="0" fontId="66" fillId="14" borderId="14" xfId="0" applyFont="1" applyFill="1" applyBorder="1" applyAlignment="1" applyProtection="1">
      <alignment horizontal="center"/>
    </xf>
    <xf numFmtId="0" fontId="42" fillId="14" borderId="19" xfId="0" applyFont="1" applyFill="1" applyBorder="1" applyProtection="1"/>
    <xf numFmtId="0" fontId="66" fillId="14" borderId="2" xfId="0" applyFont="1" applyFill="1" applyBorder="1" applyAlignment="1" applyProtection="1">
      <alignment horizontal="center"/>
    </xf>
    <xf numFmtId="0" fontId="42" fillId="14" borderId="3" xfId="0" applyFont="1" applyFill="1" applyBorder="1" applyProtection="1"/>
    <xf numFmtId="0" fontId="69" fillId="14" borderId="14" xfId="0" applyFont="1" applyFill="1" applyBorder="1" applyProtection="1"/>
    <xf numFmtId="0" fontId="69" fillId="14" borderId="2" xfId="0" applyFont="1" applyFill="1" applyBorder="1" applyProtection="1"/>
    <xf numFmtId="0" fontId="0" fillId="14" borderId="2" xfId="0" applyFill="1" applyBorder="1" applyProtection="1"/>
    <xf numFmtId="0" fontId="63" fillId="14" borderId="2" xfId="0" applyFont="1" applyFill="1" applyBorder="1" applyProtection="1"/>
    <xf numFmtId="0" fontId="0" fillId="14" borderId="14" xfId="0" applyFill="1" applyBorder="1" applyProtection="1"/>
    <xf numFmtId="0" fontId="63" fillId="14" borderId="14" xfId="0" applyFont="1" applyFill="1" applyBorder="1" applyProtection="1"/>
    <xf numFmtId="0" fontId="42" fillId="14" borderId="6" xfId="0" applyFont="1" applyFill="1" applyBorder="1" applyProtection="1"/>
    <xf numFmtId="0" fontId="66" fillId="0" borderId="0" xfId="0" applyFont="1" applyBorder="1" applyProtection="1"/>
    <xf numFmtId="2" fontId="0" fillId="0" borderId="0" xfId="0" applyNumberFormat="1" applyAlignment="1" applyProtection="1">
      <alignment vertical="center"/>
    </xf>
    <xf numFmtId="0" fontId="140" fillId="0" borderId="5" xfId="0" applyFont="1" applyBorder="1" applyAlignment="1" applyProtection="1">
      <alignment wrapText="1"/>
    </xf>
    <xf numFmtId="0" fontId="66" fillId="11" borderId="7" xfId="0" applyFont="1" applyFill="1" applyBorder="1" applyAlignment="1" applyProtection="1"/>
    <xf numFmtId="0" fontId="66" fillId="11" borderId="14" xfId="0" applyFont="1" applyFill="1" applyBorder="1" applyAlignment="1" applyProtection="1"/>
    <xf numFmtId="0" fontId="110" fillId="24" borderId="70" xfId="0" applyFont="1" applyFill="1" applyBorder="1" applyAlignment="1" applyProtection="1">
      <alignment horizontal="center"/>
    </xf>
    <xf numFmtId="0" fontId="110" fillId="24" borderId="71" xfId="0" applyFont="1" applyFill="1" applyBorder="1" applyAlignment="1" applyProtection="1">
      <alignment horizontal="center"/>
    </xf>
    <xf numFmtId="0" fontId="110" fillId="24" borderId="72" xfId="0" applyFont="1" applyFill="1" applyBorder="1" applyAlignment="1" applyProtection="1">
      <alignment horizontal="center"/>
    </xf>
    <xf numFmtId="0" fontId="66" fillId="11" borderId="14" xfId="0" applyFont="1" applyFill="1" applyBorder="1" applyAlignment="1" applyProtection="1">
      <alignment horizontal="center"/>
    </xf>
    <xf numFmtId="0" fontId="66" fillId="11" borderId="19" xfId="0" applyFont="1" applyFill="1" applyBorder="1" applyAlignment="1" applyProtection="1">
      <alignment horizontal="center"/>
    </xf>
    <xf numFmtId="0" fontId="42" fillId="0" borderId="0" xfId="0" applyFont="1" applyBorder="1" applyAlignment="1" applyProtection="1">
      <alignment wrapText="1"/>
    </xf>
    <xf numFmtId="1" fontId="67" fillId="0" borderId="0" xfId="0" applyNumberFormat="1" applyFont="1" applyBorder="1" applyAlignment="1" applyProtection="1"/>
    <xf numFmtId="0" fontId="71" fillId="0" borderId="8" xfId="0" applyFont="1" applyFill="1" applyBorder="1" applyAlignment="1" applyProtection="1">
      <alignment horizontal="center"/>
    </xf>
    <xf numFmtId="0" fontId="71" fillId="0" borderId="0" xfId="0" applyFont="1" applyFill="1" applyBorder="1" applyAlignment="1" applyProtection="1">
      <alignment horizontal="center"/>
    </xf>
    <xf numFmtId="0" fontId="42" fillId="0" borderId="7" xfId="0" applyFont="1" applyBorder="1" applyAlignment="1" applyProtection="1">
      <alignment vertical="center"/>
    </xf>
    <xf numFmtId="0" fontId="141" fillId="0" borderId="73" xfId="0" applyFont="1" applyBorder="1" applyAlignment="1" applyProtection="1">
      <alignment horizontal="center"/>
    </xf>
    <xf numFmtId="0" fontId="141" fillId="0" borderId="74" xfId="0" applyFont="1" applyBorder="1" applyAlignment="1" applyProtection="1">
      <alignment horizontal="center"/>
    </xf>
    <xf numFmtId="0" fontId="142" fillId="0" borderId="70" xfId="0" applyFont="1" applyBorder="1" applyAlignment="1" applyProtection="1">
      <alignment horizontal="center"/>
    </xf>
    <xf numFmtId="0" fontId="142" fillId="0" borderId="71" xfId="0" applyFont="1" applyBorder="1" applyAlignment="1" applyProtection="1">
      <alignment horizontal="center"/>
    </xf>
    <xf numFmtId="0" fontId="142" fillId="0" borderId="72" xfId="0" applyFont="1" applyBorder="1" applyAlignment="1" applyProtection="1">
      <alignment horizontal="center"/>
    </xf>
    <xf numFmtId="0" fontId="126" fillId="0" borderId="75" xfId="0" applyFont="1" applyBorder="1" applyAlignment="1" applyProtection="1">
      <alignment horizontal="center"/>
    </xf>
    <xf numFmtId="0" fontId="126" fillId="0" borderId="76" xfId="0" applyFont="1" applyBorder="1" applyAlignment="1" applyProtection="1">
      <alignment horizontal="center"/>
    </xf>
    <xf numFmtId="0" fontId="111" fillId="0" borderId="0" xfId="0" applyFont="1" applyBorder="1" applyAlignment="1" applyProtection="1">
      <alignment horizontal="center"/>
    </xf>
    <xf numFmtId="0" fontId="42" fillId="0" borderId="77" xfId="0" applyFont="1" applyBorder="1" applyAlignment="1" applyProtection="1">
      <alignment horizontal="right"/>
    </xf>
    <xf numFmtId="0" fontId="143" fillId="0" borderId="35" xfId="0" applyFont="1" applyBorder="1" applyAlignment="1" applyProtection="1">
      <alignment horizontal="center"/>
    </xf>
    <xf numFmtId="0" fontId="143" fillId="0" borderId="78" xfId="0" applyFont="1" applyBorder="1" applyAlignment="1" applyProtection="1">
      <alignment horizontal="center"/>
    </xf>
    <xf numFmtId="0" fontId="143" fillId="0" borderId="79" xfId="0" applyFont="1" applyBorder="1" applyAlignment="1" applyProtection="1">
      <alignment horizontal="center"/>
    </xf>
    <xf numFmtId="0" fontId="42" fillId="0" borderId="0" xfId="0" applyFont="1" applyAlignment="1" applyProtection="1">
      <alignment horizontal="center"/>
    </xf>
    <xf numFmtId="0" fontId="51" fillId="0" borderId="0" xfId="0" applyFont="1" applyAlignment="1" applyProtection="1">
      <alignment horizontal="right"/>
    </xf>
    <xf numFmtId="0" fontId="66" fillId="11" borderId="0" xfId="0" applyFont="1" applyFill="1" applyBorder="1" applyAlignment="1" applyProtection="1">
      <alignment horizontal="center"/>
    </xf>
    <xf numFmtId="0" fontId="66" fillId="0" borderId="66" xfId="0" applyFont="1" applyBorder="1" applyAlignment="1" applyProtection="1">
      <alignment horizontal="center"/>
    </xf>
    <xf numFmtId="0" fontId="66" fillId="0" borderId="67" xfId="0" applyFont="1" applyBorder="1" applyAlignment="1" applyProtection="1">
      <alignment horizontal="center"/>
    </xf>
    <xf numFmtId="0" fontId="66" fillId="0" borderId="68" xfId="0" applyFont="1" applyBorder="1" applyAlignment="1" applyProtection="1">
      <alignment horizontal="center"/>
    </xf>
    <xf numFmtId="0" fontId="42" fillId="14" borderId="5" xfId="0" applyFont="1" applyFill="1" applyBorder="1" applyProtection="1"/>
    <xf numFmtId="1" fontId="67" fillId="14" borderId="14" xfId="0" applyNumberFormat="1" applyFont="1" applyFill="1" applyBorder="1" applyAlignment="1" applyProtection="1">
      <alignment horizontal="right"/>
    </xf>
    <xf numFmtId="0" fontId="66" fillId="0" borderId="80" xfId="0" applyFont="1" applyBorder="1" applyAlignment="1" applyProtection="1">
      <alignment horizontal="center"/>
    </xf>
    <xf numFmtId="0" fontId="66" fillId="0" borderId="81" xfId="0" applyFont="1" applyBorder="1" applyAlignment="1" applyProtection="1">
      <alignment horizontal="center"/>
    </xf>
    <xf numFmtId="0" fontId="66" fillId="0" borderId="80" xfId="0" applyFont="1" applyBorder="1" applyProtection="1"/>
    <xf numFmtId="0" fontId="66" fillId="0" borderId="81" xfId="0" applyFont="1" applyBorder="1" applyProtection="1"/>
    <xf numFmtId="1" fontId="67" fillId="14" borderId="14" xfId="0" applyNumberFormat="1" applyFont="1" applyFill="1" applyBorder="1" applyAlignment="1" applyProtection="1"/>
    <xf numFmtId="0" fontId="13" fillId="3" borderId="0" xfId="0" applyNumberFormat="1" applyFont="1" applyFill="1" applyBorder="1" applyAlignment="1" applyProtection="1">
      <alignment horizontal="center"/>
    </xf>
    <xf numFmtId="0" fontId="13" fillId="0" borderId="0" xfId="0" applyNumberFormat="1" applyFont="1" applyFill="1" applyBorder="1" applyAlignment="1" applyProtection="1">
      <alignment horizontal="center"/>
    </xf>
    <xf numFmtId="0" fontId="63" fillId="0" borderId="80" xfId="0" applyFont="1" applyBorder="1" applyProtection="1"/>
    <xf numFmtId="0" fontId="63" fillId="0" borderId="81" xfId="0" applyFont="1" applyBorder="1" applyProtection="1"/>
    <xf numFmtId="0" fontId="42" fillId="14" borderId="14" xfId="0" applyFont="1" applyFill="1" applyBorder="1" applyProtection="1"/>
    <xf numFmtId="0" fontId="42" fillId="14" borderId="2" xfId="0" applyFont="1" applyFill="1" applyBorder="1" applyProtection="1"/>
    <xf numFmtId="0" fontId="3" fillId="0" borderId="0" xfId="0" applyFont="1" applyProtection="1"/>
    <xf numFmtId="0" fontId="3" fillId="0" borderId="0" xfId="0" applyFont="1" applyFill="1" applyProtection="1"/>
    <xf numFmtId="0" fontId="42" fillId="14" borderId="82" xfId="0" applyFont="1" applyFill="1" applyBorder="1" applyProtection="1"/>
    <xf numFmtId="0" fontId="51" fillId="0" borderId="0" xfId="0" applyFont="1" applyBorder="1" applyAlignment="1" applyProtection="1">
      <alignment horizontal="right"/>
    </xf>
    <xf numFmtId="0" fontId="63" fillId="14" borderId="83" xfId="0" applyFont="1" applyFill="1" applyBorder="1" applyProtection="1"/>
    <xf numFmtId="0" fontId="63" fillId="14" borderId="84" xfId="0" applyFont="1" applyFill="1" applyBorder="1" applyProtection="1"/>
    <xf numFmtId="0" fontId="63" fillId="14" borderId="85" xfId="0" applyFont="1" applyFill="1" applyBorder="1" applyProtection="1"/>
    <xf numFmtId="0" fontId="42" fillId="14" borderId="84" xfId="0" applyFont="1" applyFill="1" applyBorder="1" applyProtection="1"/>
    <xf numFmtId="0" fontId="42" fillId="14" borderId="85" xfId="0" applyFont="1" applyFill="1" applyBorder="1" applyProtection="1"/>
    <xf numFmtId="2" fontId="0" fillId="0" borderId="0" xfId="0" applyNumberFormat="1" applyFill="1" applyProtection="1"/>
    <xf numFmtId="0" fontId="63" fillId="0" borderId="14" xfId="0" applyFont="1" applyBorder="1" applyProtection="1"/>
    <xf numFmtId="0" fontId="63" fillId="14" borderId="86" xfId="0" applyFont="1" applyFill="1" applyBorder="1" applyProtection="1"/>
    <xf numFmtId="0" fontId="42" fillId="0" borderId="14" xfId="0" applyFont="1" applyBorder="1" applyProtection="1"/>
    <xf numFmtId="0" fontId="42" fillId="14" borderId="86" xfId="0" applyFont="1" applyFill="1" applyBorder="1" applyProtection="1"/>
    <xf numFmtId="0" fontId="42" fillId="14" borderId="83" xfId="0" applyFont="1" applyFill="1" applyBorder="1" applyProtection="1"/>
    <xf numFmtId="0" fontId="0" fillId="0" borderId="14" xfId="0" applyBorder="1" applyProtection="1"/>
    <xf numFmtId="0" fontId="51" fillId="0" borderId="0" xfId="0" applyFont="1" applyFill="1" applyBorder="1" applyAlignment="1" applyProtection="1">
      <alignment horizontal="right"/>
    </xf>
    <xf numFmtId="0" fontId="42" fillId="14" borderId="9" xfId="0" applyFont="1" applyFill="1" applyBorder="1" applyProtection="1"/>
    <xf numFmtId="0" fontId="42" fillId="14" borderId="1" xfId="0" applyFont="1" applyFill="1" applyBorder="1" applyProtection="1"/>
    <xf numFmtId="0" fontId="0" fillId="14" borderId="1" xfId="0" applyFill="1" applyBorder="1" applyProtection="1"/>
    <xf numFmtId="0" fontId="42" fillId="14" borderId="87" xfId="0" applyFont="1" applyFill="1" applyBorder="1" applyProtection="1"/>
    <xf numFmtId="0" fontId="42" fillId="14" borderId="88" xfId="0" applyFont="1" applyFill="1" applyBorder="1" applyProtection="1"/>
    <xf numFmtId="0" fontId="63" fillId="14" borderId="1" xfId="0" applyFont="1" applyFill="1" applyBorder="1" applyProtection="1"/>
    <xf numFmtId="0" fontId="42" fillId="14" borderId="24" xfId="0" applyFont="1" applyFill="1" applyBorder="1" applyProtection="1"/>
    <xf numFmtId="0" fontId="42" fillId="0" borderId="2" xfId="0" applyFont="1" applyBorder="1" applyProtection="1"/>
    <xf numFmtId="0" fontId="0" fillId="0" borderId="2" xfId="0" applyBorder="1" applyProtection="1"/>
    <xf numFmtId="0" fontId="42" fillId="0" borderId="84" xfId="0" applyFont="1" applyBorder="1" applyProtection="1"/>
    <xf numFmtId="0" fontId="42" fillId="0" borderId="85" xfId="0" applyFont="1" applyBorder="1" applyProtection="1"/>
    <xf numFmtId="0" fontId="42" fillId="0" borderId="86" xfId="0" applyFont="1" applyBorder="1" applyProtection="1"/>
    <xf numFmtId="0" fontId="42" fillId="0" borderId="83" xfId="0" applyFont="1" applyBorder="1" applyProtection="1"/>
    <xf numFmtId="0" fontId="42" fillId="0" borderId="81" xfId="0" applyFont="1" applyBorder="1" applyProtection="1"/>
    <xf numFmtId="0" fontId="42" fillId="0" borderId="80" xfId="0" applyFont="1" applyBorder="1" applyProtection="1"/>
    <xf numFmtId="0" fontId="42" fillId="4" borderId="0" xfId="0" applyFont="1" applyFill="1" applyBorder="1" applyProtection="1"/>
    <xf numFmtId="0" fontId="42" fillId="14" borderId="10" xfId="0" applyFont="1" applyFill="1" applyBorder="1" applyProtection="1"/>
    <xf numFmtId="0" fontId="42" fillId="14" borderId="0" xfId="0" applyFont="1" applyFill="1" applyBorder="1" applyProtection="1"/>
    <xf numFmtId="0" fontId="42" fillId="14" borderId="4" xfId="0" applyFont="1" applyFill="1" applyBorder="1" applyProtection="1"/>
    <xf numFmtId="0" fontId="63" fillId="0" borderId="0" xfId="0" applyFont="1" applyBorder="1" applyAlignment="1" applyProtection="1">
      <alignment wrapText="1"/>
    </xf>
    <xf numFmtId="0" fontId="68" fillId="0" borderId="8" xfId="0" applyFont="1" applyFill="1" applyBorder="1" applyProtection="1"/>
    <xf numFmtId="0" fontId="68" fillId="0" borderId="89" xfId="0" applyFont="1" applyFill="1" applyBorder="1" applyProtection="1"/>
    <xf numFmtId="0" fontId="68" fillId="0" borderId="90" xfId="0" applyFont="1" applyFill="1" applyBorder="1" applyProtection="1"/>
    <xf numFmtId="0" fontId="68" fillId="0" borderId="91" xfId="0" applyFont="1" applyFill="1" applyBorder="1" applyProtection="1"/>
    <xf numFmtId="0" fontId="68" fillId="0" borderId="92" xfId="0" applyFont="1" applyFill="1" applyBorder="1" applyProtection="1"/>
    <xf numFmtId="0" fontId="68" fillId="0" borderId="27" xfId="0" applyFont="1" applyFill="1" applyBorder="1" applyProtection="1"/>
    <xf numFmtId="0" fontId="68" fillId="0" borderId="0" xfId="0" applyFont="1" applyFill="1" applyBorder="1" applyProtection="1"/>
    <xf numFmtId="0" fontId="42" fillId="0" borderId="7" xfId="0" applyFont="1" applyBorder="1" applyAlignment="1" applyProtection="1">
      <alignment wrapText="1"/>
    </xf>
    <xf numFmtId="0" fontId="110" fillId="24" borderId="73" xfId="0" applyFont="1" applyFill="1" applyBorder="1" applyAlignment="1" applyProtection="1">
      <alignment horizontal="center"/>
    </xf>
    <xf numFmtId="0" fontId="110" fillId="24" borderId="74" xfId="0" applyFont="1" applyFill="1" applyBorder="1" applyAlignment="1" applyProtection="1">
      <alignment horizontal="center"/>
    </xf>
    <xf numFmtId="0" fontId="144" fillId="24" borderId="93" xfId="0" applyFont="1" applyFill="1" applyBorder="1" applyAlignment="1" applyProtection="1">
      <alignment horizontal="center" wrapText="1"/>
    </xf>
    <xf numFmtId="0" fontId="110" fillId="24" borderId="7" xfId="0" applyFont="1" applyFill="1" applyBorder="1" applyAlignment="1" applyProtection="1">
      <alignment horizontal="center"/>
    </xf>
    <xf numFmtId="0" fontId="110" fillId="24" borderId="14" xfId="0" applyFont="1" applyFill="1" applyBorder="1" applyAlignment="1" applyProtection="1">
      <alignment horizontal="center"/>
    </xf>
    <xf numFmtId="0" fontId="110" fillId="24" borderId="19" xfId="0" applyFont="1" applyFill="1" applyBorder="1" applyAlignment="1" applyProtection="1">
      <alignment horizontal="center"/>
    </xf>
    <xf numFmtId="0" fontId="110" fillId="24" borderId="94" xfId="0" applyFont="1" applyFill="1" applyBorder="1" applyAlignment="1" applyProtection="1">
      <alignment horizontal="center"/>
    </xf>
    <xf numFmtId="0" fontId="110" fillId="24" borderId="75" xfId="0" applyFont="1" applyFill="1" applyBorder="1" applyAlignment="1" applyProtection="1">
      <alignment horizontal="center"/>
    </xf>
    <xf numFmtId="0" fontId="144" fillId="24" borderId="95" xfId="0" applyFont="1" applyFill="1" applyBorder="1" applyAlignment="1" applyProtection="1">
      <alignment horizontal="center" wrapText="1"/>
    </xf>
    <xf numFmtId="0" fontId="110" fillId="24" borderId="76" xfId="0" applyFont="1" applyFill="1" applyBorder="1" applyAlignment="1" applyProtection="1">
      <alignment horizontal="center"/>
    </xf>
    <xf numFmtId="0" fontId="110" fillId="0" borderId="0" xfId="0" applyFont="1" applyFill="1" applyBorder="1" applyAlignment="1" applyProtection="1">
      <alignment horizontal="center"/>
    </xf>
    <xf numFmtId="0" fontId="42" fillId="0" borderId="0" xfId="0" applyFont="1" applyBorder="1" applyAlignment="1" applyProtection="1">
      <alignment horizontal="center"/>
    </xf>
    <xf numFmtId="0" fontId="71" fillId="0" borderId="0" xfId="0" applyFont="1" applyFill="1" applyBorder="1" applyProtection="1"/>
    <xf numFmtId="0" fontId="3" fillId="0" borderId="0" xfId="0" applyFont="1" applyBorder="1" applyProtection="1"/>
    <xf numFmtId="0" fontId="19" fillId="0" borderId="0" xfId="0" applyFont="1" applyFill="1" applyBorder="1" applyProtection="1"/>
    <xf numFmtId="0" fontId="0" fillId="0" borderId="0" xfId="0" applyBorder="1" applyProtection="1"/>
    <xf numFmtId="0" fontId="51" fillId="14" borderId="8" xfId="0" applyFont="1" applyFill="1" applyBorder="1" applyProtection="1"/>
    <xf numFmtId="0" fontId="51" fillId="0" borderId="0" xfId="0" applyFont="1" applyFill="1" applyBorder="1" applyProtection="1"/>
    <xf numFmtId="0" fontId="29" fillId="0" borderId="0" xfId="0" applyFont="1" applyAlignment="1" applyProtection="1">
      <alignment horizontal="right"/>
    </xf>
    <xf numFmtId="0" fontId="72" fillId="0" borderId="0" xfId="0" applyNumberFormat="1" applyFont="1" applyFill="1" applyBorder="1" applyAlignment="1" applyProtection="1">
      <alignment horizontal="left"/>
    </xf>
    <xf numFmtId="0" fontId="3" fillId="0" borderId="0" xfId="0" applyFont="1" applyAlignment="1" applyProtection="1">
      <alignment horizontal="center"/>
    </xf>
    <xf numFmtId="0" fontId="107" fillId="21" borderId="8" xfId="0" applyFont="1" applyFill="1" applyBorder="1" applyAlignment="1" applyProtection="1">
      <alignment horizontal="left"/>
    </xf>
    <xf numFmtId="0" fontId="72" fillId="0" borderId="8" xfId="0" applyNumberFormat="1" applyFont="1" applyFill="1" applyBorder="1" applyAlignment="1" applyProtection="1">
      <alignment horizontal="center"/>
    </xf>
    <xf numFmtId="0" fontId="5" fillId="21" borderId="8" xfId="0" applyFont="1" applyFill="1" applyBorder="1" applyProtection="1"/>
    <xf numFmtId="0" fontId="107" fillId="15" borderId="8" xfId="0" applyFont="1" applyFill="1" applyBorder="1" applyAlignment="1" applyProtection="1">
      <alignment horizontal="center"/>
    </xf>
    <xf numFmtId="0" fontId="8" fillId="15" borderId="8" xfId="0" applyFont="1" applyFill="1" applyBorder="1" applyProtection="1"/>
    <xf numFmtId="0" fontId="8" fillId="0" borderId="8" xfId="0" applyFont="1" applyBorder="1" applyProtection="1"/>
    <xf numFmtId="0" fontId="8" fillId="21" borderId="8" xfId="0" applyFont="1" applyFill="1" applyBorder="1" applyProtection="1"/>
    <xf numFmtId="0" fontId="72" fillId="0" borderId="8" xfId="0" applyNumberFormat="1" applyFont="1" applyFill="1" applyBorder="1" applyAlignment="1" applyProtection="1">
      <alignment horizontal="left"/>
    </xf>
    <xf numFmtId="0" fontId="107" fillId="21" borderId="8" xfId="0" applyFont="1" applyFill="1" applyBorder="1" applyAlignment="1" applyProtection="1">
      <alignment horizontal="center"/>
    </xf>
    <xf numFmtId="0" fontId="3" fillId="0" borderId="0" xfId="0" applyFont="1" applyBorder="1" applyAlignment="1" applyProtection="1">
      <alignment horizontal="right"/>
    </xf>
    <xf numFmtId="0" fontId="23" fillId="0" borderId="0" xfId="0" applyFont="1" applyBorder="1" applyAlignment="1" applyProtection="1">
      <alignment horizontal="center"/>
    </xf>
    <xf numFmtId="0" fontId="23" fillId="0" borderId="0" xfId="0" applyFont="1" applyBorder="1" applyProtection="1"/>
    <xf numFmtId="0" fontId="72" fillId="0" borderId="13" xfId="0" applyNumberFormat="1" applyFont="1" applyFill="1" applyBorder="1" applyAlignment="1" applyProtection="1">
      <alignment horizontal="center"/>
    </xf>
    <xf numFmtId="0" fontId="5" fillId="21" borderId="13" xfId="0" applyFont="1" applyFill="1" applyBorder="1" applyProtection="1"/>
    <xf numFmtId="0" fontId="72" fillId="0" borderId="13" xfId="0" applyNumberFormat="1" applyFont="1" applyFill="1" applyBorder="1" applyAlignment="1" applyProtection="1">
      <alignment horizontal="left"/>
    </xf>
    <xf numFmtId="0" fontId="21" fillId="0" borderId="0" xfId="0" applyFont="1" applyFill="1" applyBorder="1" applyProtection="1"/>
    <xf numFmtId="0" fontId="1" fillId="0" borderId="0" xfId="0" applyFont="1" applyBorder="1" applyProtection="1"/>
    <xf numFmtId="0" fontId="28" fillId="0" borderId="0" xfId="0" applyFont="1" applyFill="1" applyBorder="1" applyProtection="1"/>
    <xf numFmtId="0" fontId="3" fillId="0" borderId="0" xfId="0" applyFont="1" applyBorder="1" applyAlignment="1" applyProtection="1">
      <alignment horizontal="center"/>
    </xf>
    <xf numFmtId="0" fontId="145" fillId="6" borderId="5" xfId="0" applyNumberFormat="1" applyFont="1" applyFill="1" applyBorder="1" applyAlignment="1" applyProtection="1">
      <alignment horizontal="center" wrapText="1"/>
    </xf>
    <xf numFmtId="0" fontId="145" fillId="6" borderId="5" xfId="0" applyNumberFormat="1" applyFont="1" applyFill="1" applyBorder="1" applyAlignment="1" applyProtection="1">
      <alignment horizontal="center" vertical="center" wrapText="1"/>
    </xf>
    <xf numFmtId="0" fontId="147" fillId="2" borderId="8" xfId="0" applyFont="1" applyFill="1" applyBorder="1" applyAlignment="1" applyProtection="1">
      <alignment wrapText="1"/>
    </xf>
    <xf numFmtId="0" fontId="136" fillId="15" borderId="8" xfId="0" applyFont="1" applyFill="1" applyBorder="1" applyAlignment="1" applyProtection="1">
      <alignment horizontal="center"/>
    </xf>
    <xf numFmtId="0" fontId="147" fillId="15" borderId="8" xfId="0" applyFont="1" applyFill="1" applyBorder="1" applyAlignment="1" applyProtection="1">
      <alignment horizontal="center"/>
    </xf>
    <xf numFmtId="0" fontId="42" fillId="0" borderId="9" xfId="0" applyFont="1" applyFill="1" applyBorder="1"/>
    <xf numFmtId="0" fontId="42" fillId="0" borderId="1" xfId="0" applyFont="1" applyFill="1" applyBorder="1"/>
    <xf numFmtId="0" fontId="63" fillId="21" borderId="1" xfId="0" applyFont="1" applyFill="1" applyBorder="1" applyAlignment="1">
      <alignment horizontal="center"/>
    </xf>
    <xf numFmtId="0" fontId="63" fillId="21" borderId="24" xfId="0" applyFont="1" applyFill="1" applyBorder="1" applyAlignment="1">
      <alignment horizontal="center"/>
    </xf>
    <xf numFmtId="0" fontId="68" fillId="0" borderId="96" xfId="0" applyFont="1" applyFill="1" applyBorder="1"/>
    <xf numFmtId="0" fontId="63" fillId="0" borderId="0" xfId="0" applyFont="1" applyFill="1" applyBorder="1"/>
    <xf numFmtId="0" fontId="63" fillId="0" borderId="4" xfId="0" applyFont="1" applyFill="1" applyBorder="1"/>
    <xf numFmtId="0" fontId="82" fillId="0" borderId="96" xfId="0" applyFont="1" applyFill="1" applyBorder="1" applyAlignment="1">
      <alignment wrapText="1"/>
    </xf>
    <xf numFmtId="0" fontId="42" fillId="0" borderId="10" xfId="0" applyFont="1" applyFill="1" applyBorder="1"/>
    <xf numFmtId="0" fontId="42" fillId="23" borderId="96" xfId="0" applyFont="1" applyFill="1" applyBorder="1"/>
    <xf numFmtId="0" fontId="85" fillId="23" borderId="8" xfId="0" applyFont="1" applyFill="1" applyBorder="1"/>
    <xf numFmtId="0" fontId="42" fillId="23" borderId="8" xfId="0" applyFont="1" applyFill="1" applyBorder="1"/>
    <xf numFmtId="0" fontId="42" fillId="15" borderId="96" xfId="0" applyFont="1" applyFill="1" applyBorder="1"/>
    <xf numFmtId="0" fontId="85" fillId="15" borderId="8" xfId="0" applyFont="1" applyFill="1" applyBorder="1"/>
    <xf numFmtId="0" fontId="82" fillId="0" borderId="0" xfId="0" applyFont="1" applyFill="1" applyBorder="1" applyAlignment="1">
      <alignment horizontal="center"/>
    </xf>
    <xf numFmtId="0" fontId="42" fillId="14" borderId="96" xfId="0" applyFont="1" applyFill="1" applyBorder="1"/>
    <xf numFmtId="0" fontId="85" fillId="14" borderId="8" xfId="0" applyFont="1" applyFill="1" applyBorder="1"/>
    <xf numFmtId="0" fontId="82" fillId="0" borderId="10" xfId="0" applyFont="1" applyFill="1" applyBorder="1" applyAlignment="1">
      <alignment wrapText="1"/>
    </xf>
    <xf numFmtId="0" fontId="82" fillId="0" borderId="0" xfId="0" applyFont="1" applyFill="1" applyBorder="1" applyAlignment="1">
      <alignment wrapText="1"/>
    </xf>
    <xf numFmtId="0" fontId="42" fillId="16" borderId="0" xfId="0" applyFont="1" applyFill="1" applyBorder="1" applyAlignment="1" applyProtection="1">
      <alignment horizontal="center"/>
    </xf>
    <xf numFmtId="0" fontId="63" fillId="14" borderId="96" xfId="0" applyFont="1" applyFill="1" applyBorder="1" applyAlignment="1">
      <alignment horizontal="center" wrapText="1"/>
    </xf>
    <xf numFmtId="0" fontId="42" fillId="14" borderId="8" xfId="0" applyFont="1" applyFill="1" applyBorder="1"/>
    <xf numFmtId="0" fontId="63" fillId="14" borderId="8" xfId="0" applyFont="1" applyFill="1" applyBorder="1" applyAlignment="1">
      <alignment horizontal="center"/>
    </xf>
    <xf numFmtId="0" fontId="42" fillId="14" borderId="97" xfId="0" applyFont="1" applyFill="1" applyBorder="1" applyAlignment="1">
      <alignment horizontal="right"/>
    </xf>
    <xf numFmtId="0" fontId="42" fillId="14" borderId="21" xfId="0" applyFont="1" applyFill="1" applyBorder="1"/>
    <xf numFmtId="0" fontId="63" fillId="0" borderId="2" xfId="0" applyFont="1" applyFill="1" applyBorder="1"/>
    <xf numFmtId="0" fontId="63" fillId="0" borderId="3" xfId="0" applyFont="1" applyFill="1" applyBorder="1"/>
    <xf numFmtId="0" fontId="150" fillId="15" borderId="8" xfId="0" applyFont="1" applyFill="1" applyBorder="1" applyAlignment="1" applyProtection="1">
      <alignment horizontal="center"/>
    </xf>
    <xf numFmtId="0" fontId="148" fillId="15" borderId="8" xfId="0" applyFont="1" applyFill="1" applyBorder="1" applyAlignment="1" applyProtection="1">
      <alignment horizontal="center"/>
    </xf>
    <xf numFmtId="0" fontId="149" fillId="15" borderId="57" xfId="0" applyFont="1" applyFill="1" applyBorder="1" applyAlignment="1" applyProtection="1">
      <alignment horizontal="center"/>
    </xf>
    <xf numFmtId="0" fontId="151" fillId="0" borderId="96" xfId="0" applyFont="1" applyFill="1" applyBorder="1" applyProtection="1"/>
    <xf numFmtId="0" fontId="152" fillId="15" borderId="8" xfId="0" applyFont="1" applyFill="1" applyBorder="1" applyAlignment="1" applyProtection="1">
      <alignment horizontal="center"/>
    </xf>
    <xf numFmtId="0" fontId="146" fillId="15" borderId="8" xfId="0" applyFont="1" applyFill="1" applyBorder="1" applyAlignment="1" applyProtection="1">
      <alignment horizontal="center"/>
    </xf>
    <xf numFmtId="0" fontId="42" fillId="15" borderId="8" xfId="0" applyFont="1" applyFill="1" applyBorder="1" applyAlignment="1">
      <alignment horizontal="center"/>
    </xf>
    <xf numFmtId="0" fontId="153" fillId="0" borderId="0" xfId="0" applyFont="1" applyProtection="1"/>
    <xf numFmtId="0" fontId="16" fillId="0" borderId="0" xfId="0" applyNumberFormat="1" applyFont="1" applyFill="1" applyBorder="1" applyAlignment="1">
      <alignment horizontal="center"/>
    </xf>
    <xf numFmtId="49" fontId="51" fillId="18" borderId="0" xfId="0" applyNumberFormat="1" applyFont="1" applyFill="1" applyBorder="1" applyAlignment="1">
      <alignment horizontal="center" wrapText="1"/>
    </xf>
    <xf numFmtId="0" fontId="0" fillId="0" borderId="9" xfId="0" applyBorder="1"/>
    <xf numFmtId="0" fontId="0" fillId="0" borderId="6" xfId="0" applyBorder="1"/>
    <xf numFmtId="0" fontId="134" fillId="0" borderId="1" xfId="0" applyFont="1" applyFill="1" applyBorder="1"/>
    <xf numFmtId="0" fontId="122" fillId="21" borderId="1" xfId="0" applyFont="1" applyFill="1" applyBorder="1" applyAlignment="1">
      <alignment horizontal="center"/>
    </xf>
    <xf numFmtId="0" fontId="122" fillId="21" borderId="24" xfId="0" applyFont="1" applyFill="1" applyBorder="1" applyAlignment="1">
      <alignment horizontal="center"/>
    </xf>
    <xf numFmtId="0" fontId="154" fillId="0" borderId="8" xfId="0" applyFont="1" applyFill="1" applyBorder="1"/>
    <xf numFmtId="0" fontId="122" fillId="0" borderId="0" xfId="0" applyFont="1" applyFill="1" applyBorder="1"/>
    <xf numFmtId="0" fontId="122" fillId="0" borderId="4" xfId="0" applyFont="1" applyFill="1" applyBorder="1"/>
    <xf numFmtId="0" fontId="155" fillId="0" borderId="8" xfId="0" applyFont="1" applyFill="1" applyBorder="1" applyAlignment="1">
      <alignment wrapText="1"/>
    </xf>
    <xf numFmtId="0" fontId="134" fillId="0" borderId="0" xfId="0" applyFont="1" applyFill="1" applyBorder="1"/>
    <xf numFmtId="0" fontId="134" fillId="23" borderId="8" xfId="0" applyFont="1" applyFill="1" applyBorder="1"/>
    <xf numFmtId="0" fontId="134" fillId="15" borderId="8" xfId="0" applyFont="1" applyFill="1" applyBorder="1"/>
    <xf numFmtId="0" fontId="132" fillId="15" borderId="8" xfId="0" applyFont="1" applyFill="1" applyBorder="1"/>
    <xf numFmtId="0" fontId="155" fillId="0" borderId="0" xfId="0" applyFont="1" applyFill="1" applyBorder="1" applyAlignment="1">
      <alignment horizontal="center"/>
    </xf>
    <xf numFmtId="0" fontId="134" fillId="14" borderId="8" xfId="0" applyFont="1" applyFill="1" applyBorder="1"/>
    <xf numFmtId="0" fontId="132" fillId="14" borderId="8" xfId="0" applyFont="1" applyFill="1" applyBorder="1"/>
    <xf numFmtId="0" fontId="155" fillId="0" borderId="0" xfId="0" applyFont="1" applyFill="1" applyBorder="1" applyAlignment="1">
      <alignment wrapText="1"/>
    </xf>
    <xf numFmtId="0" fontId="134" fillId="14" borderId="8" xfId="0" applyFont="1" applyFill="1" applyBorder="1" applyAlignment="1">
      <alignment horizontal="center" wrapText="1"/>
    </xf>
    <xf numFmtId="0" fontId="134" fillId="16" borderId="0" xfId="0" applyFont="1" applyFill="1" applyBorder="1" applyAlignment="1" applyProtection="1">
      <alignment horizontal="center"/>
    </xf>
    <xf numFmtId="0" fontId="122" fillId="14" borderId="8" xfId="0" applyFont="1" applyFill="1" applyBorder="1" applyAlignment="1">
      <alignment horizontal="center"/>
    </xf>
    <xf numFmtId="0" fontId="134" fillId="14" borderId="21" xfId="0" applyFont="1" applyFill="1" applyBorder="1" applyAlignment="1">
      <alignment horizontal="right"/>
    </xf>
    <xf numFmtId="0" fontId="134" fillId="14" borderId="21" xfId="0" applyFont="1" applyFill="1" applyBorder="1"/>
    <xf numFmtId="0" fontId="122" fillId="0" borderId="2" xfId="0" applyFont="1" applyFill="1" applyBorder="1"/>
    <xf numFmtId="0" fontId="122" fillId="0" borderId="3" xfId="0" applyFont="1" applyFill="1" applyBorder="1"/>
    <xf numFmtId="0" fontId="156" fillId="0" borderId="96" xfId="0" applyFont="1" applyFill="1" applyBorder="1"/>
    <xf numFmtId="0" fontId="157" fillId="15" borderId="8" xfId="0" applyFont="1" applyFill="1" applyBorder="1" applyAlignment="1" applyProtection="1">
      <alignment horizontal="center"/>
    </xf>
    <xf numFmtId="0" fontId="4" fillId="15" borderId="8" xfId="0" applyFont="1" applyFill="1" applyBorder="1" applyAlignment="1" applyProtection="1">
      <alignment horizontal="center"/>
    </xf>
    <xf numFmtId="0" fontId="158" fillId="15" borderId="57" xfId="0" applyFont="1" applyFill="1" applyBorder="1" applyAlignment="1" applyProtection="1">
      <alignment horizontal="center"/>
    </xf>
    <xf numFmtId="0" fontId="159" fillId="0" borderId="96" xfId="0" applyFont="1" applyFill="1" applyBorder="1" applyProtection="1"/>
    <xf numFmtId="0" fontId="160" fillId="15" borderId="8" xfId="0" applyFont="1" applyFill="1" applyBorder="1" applyAlignment="1" applyProtection="1">
      <alignment horizontal="center"/>
    </xf>
    <xf numFmtId="0" fontId="4" fillId="15" borderId="8" xfId="0" applyFont="1" applyFill="1" applyBorder="1" applyAlignment="1">
      <alignment horizontal="center"/>
    </xf>
    <xf numFmtId="0" fontId="158" fillId="0" borderId="0" xfId="0" applyFont="1" applyFill="1" applyBorder="1"/>
    <xf numFmtId="0" fontId="158" fillId="0" borderId="4" xfId="0" applyFont="1" applyFill="1" applyBorder="1"/>
    <xf numFmtId="0" fontId="161" fillId="0" borderId="96" xfId="0" applyFont="1" applyFill="1" applyBorder="1" applyAlignment="1">
      <alignment wrapText="1"/>
    </xf>
    <xf numFmtId="0" fontId="162" fillId="15" borderId="8" xfId="0" applyFont="1" applyFill="1" applyBorder="1" applyAlignment="1" applyProtection="1">
      <alignment horizontal="center"/>
    </xf>
    <xf numFmtId="0" fontId="4" fillId="0" borderId="10" xfId="0" applyFont="1" applyFill="1" applyBorder="1"/>
    <xf numFmtId="0" fontId="4" fillId="0" borderId="0" xfId="0" applyFont="1" applyFill="1" applyBorder="1"/>
    <xf numFmtId="0" fontId="4" fillId="23" borderId="96" xfId="0" applyFont="1" applyFill="1" applyBorder="1"/>
    <xf numFmtId="0" fontId="157" fillId="23" borderId="8" xfId="0" applyFont="1" applyFill="1" applyBorder="1"/>
    <xf numFmtId="0" fontId="4" fillId="23" borderId="8" xfId="0" applyFont="1" applyFill="1" applyBorder="1"/>
    <xf numFmtId="0" fontId="4" fillId="15" borderId="96" xfId="0" applyFont="1" applyFill="1" applyBorder="1"/>
    <xf numFmtId="0" fontId="157" fillId="13" borderId="8" xfId="0" applyFont="1" applyFill="1" applyBorder="1"/>
    <xf numFmtId="0" fontId="157" fillId="15" borderId="8" xfId="0" applyFont="1" applyFill="1" applyBorder="1"/>
    <xf numFmtId="0" fontId="161" fillId="0" borderId="0" xfId="0" applyFont="1" applyFill="1" applyBorder="1" applyAlignment="1">
      <alignment horizontal="center"/>
    </xf>
    <xf numFmtId="0" fontId="4" fillId="14" borderId="96" xfId="0" applyFont="1" applyFill="1" applyBorder="1"/>
    <xf numFmtId="0" fontId="157" fillId="14" borderId="8" xfId="0" applyFont="1" applyFill="1" applyBorder="1"/>
    <xf numFmtId="0" fontId="161" fillId="0" borderId="10" xfId="0" applyFont="1" applyFill="1" applyBorder="1" applyAlignment="1">
      <alignment wrapText="1"/>
    </xf>
    <xf numFmtId="0" fontId="161" fillId="0" borderId="0" xfId="0" applyFont="1" applyFill="1" applyBorder="1" applyAlignment="1">
      <alignment wrapText="1"/>
    </xf>
    <xf numFmtId="0" fontId="4" fillId="16" borderId="0" xfId="0" applyFont="1" applyFill="1" applyBorder="1" applyAlignment="1" applyProtection="1">
      <alignment horizontal="center"/>
    </xf>
    <xf numFmtId="0" fontId="158" fillId="14" borderId="96" xfId="0" applyFont="1" applyFill="1" applyBorder="1" applyAlignment="1">
      <alignment horizontal="center" wrapText="1"/>
    </xf>
    <xf numFmtId="0" fontId="4" fillId="14" borderId="8" xfId="0" applyFont="1" applyFill="1" applyBorder="1"/>
    <xf numFmtId="0" fontId="158" fillId="14" borderId="8" xfId="0" applyFont="1" applyFill="1" applyBorder="1" applyAlignment="1">
      <alignment horizontal="center"/>
    </xf>
    <xf numFmtId="0" fontId="4" fillId="14" borderId="97" xfId="0" applyFont="1" applyFill="1" applyBorder="1" applyAlignment="1">
      <alignment horizontal="right"/>
    </xf>
    <xf numFmtId="0" fontId="4" fillId="14" borderId="21" xfId="0" applyFont="1" applyFill="1" applyBorder="1"/>
    <xf numFmtId="0" fontId="158" fillId="0" borderId="2" xfId="0" applyFont="1" applyFill="1" applyBorder="1"/>
    <xf numFmtId="0" fontId="158" fillId="0" borderId="3" xfId="0" applyFont="1" applyFill="1" applyBorder="1"/>
    <xf numFmtId="0" fontId="143" fillId="0" borderId="0" xfId="0" applyFont="1" applyBorder="1" applyAlignment="1" applyProtection="1">
      <alignment horizontal="center"/>
    </xf>
    <xf numFmtId="0" fontId="163" fillId="0" borderId="0" xfId="0" applyNumberFormat="1" applyFont="1" applyFill="1" applyBorder="1" applyAlignment="1" applyProtection="1">
      <alignment horizontal="center" vertical="center"/>
    </xf>
    <xf numFmtId="2" fontId="126" fillId="0" borderId="0" xfId="1" applyNumberFormat="1" applyFont="1" applyFill="1" applyBorder="1" applyAlignment="1" applyProtection="1">
      <alignment horizontal="center"/>
    </xf>
    <xf numFmtId="49" fontId="42" fillId="0" borderId="0" xfId="1" applyNumberFormat="1" applyFont="1" applyFill="1" applyBorder="1" applyAlignment="1" applyProtection="1">
      <alignment horizontal="center" wrapText="1"/>
    </xf>
    <xf numFmtId="0" fontId="4" fillId="2" borderId="14" xfId="1" applyFont="1" applyFill="1" applyBorder="1" applyAlignment="1" applyProtection="1">
      <alignment horizontal="center"/>
    </xf>
    <xf numFmtId="49" fontId="51" fillId="18" borderId="0" xfId="1" applyNumberFormat="1" applyFont="1" applyFill="1" applyBorder="1" applyAlignment="1" applyProtection="1">
      <alignment horizontal="center" wrapText="1"/>
    </xf>
    <xf numFmtId="49" fontId="42" fillId="14" borderId="19" xfId="1" applyNumberFormat="1" applyFont="1" applyFill="1" applyBorder="1" applyAlignment="1" applyProtection="1">
      <alignment horizontal="center" wrapText="1"/>
    </xf>
    <xf numFmtId="49" fontId="42" fillId="0" borderId="0" xfId="1" applyNumberFormat="1" applyFont="1" applyFill="1" applyBorder="1" applyAlignment="1" applyProtection="1">
      <alignment horizontal="center" wrapText="1"/>
    </xf>
    <xf numFmtId="49" fontId="42" fillId="0" borderId="0" xfId="1" applyNumberFormat="1" applyFont="1" applyFill="1" applyBorder="1" applyAlignment="1" applyProtection="1">
      <alignment horizontal="center" wrapText="1"/>
    </xf>
    <xf numFmtId="49" fontId="42" fillId="12" borderId="26" xfId="0" applyNumberFormat="1" applyFont="1" applyFill="1" applyBorder="1" applyAlignment="1">
      <alignment horizontal="center" wrapText="1"/>
    </xf>
    <xf numFmtId="0" fontId="42" fillId="0" borderId="0" xfId="0" applyFont="1" applyAlignment="1">
      <alignment horizontal="right"/>
    </xf>
    <xf numFmtId="0" fontId="42" fillId="0" borderId="0" xfId="0" applyFont="1" applyFill="1" applyBorder="1" applyAlignment="1">
      <alignment horizontal="right"/>
    </xf>
    <xf numFmtId="0" fontId="12" fillId="0" borderId="50" xfId="0" applyFont="1" applyFill="1" applyBorder="1" applyAlignment="1">
      <alignment horizontal="center" vertical="center" wrapText="1"/>
    </xf>
    <xf numFmtId="49" fontId="5" fillId="14" borderId="40" xfId="1" applyNumberFormat="1" applyFont="1" applyFill="1" applyBorder="1" applyAlignment="1" applyProtection="1">
      <alignment horizontal="center" wrapText="1"/>
    </xf>
    <xf numFmtId="49" fontId="42" fillId="0" borderId="0" xfId="1" applyNumberFormat="1" applyFont="1" applyFill="1" applyBorder="1" applyAlignment="1" applyProtection="1">
      <alignment wrapText="1"/>
    </xf>
    <xf numFmtId="49" fontId="134" fillId="14" borderId="5" xfId="1" applyNumberFormat="1" applyFont="1" applyFill="1" applyBorder="1" applyAlignment="1" applyProtection="1">
      <alignment horizontal="center" wrapText="1"/>
    </xf>
    <xf numFmtId="49" fontId="5" fillId="0" borderId="40" xfId="1" applyNumberFormat="1" applyFont="1" applyFill="1" applyBorder="1" applyAlignment="1" applyProtection="1">
      <alignment horizontal="center" wrapText="1"/>
    </xf>
    <xf numFmtId="0" fontId="64" fillId="0" borderId="6" xfId="1" applyFont="1" applyBorder="1" applyAlignment="1" applyProtection="1">
      <alignment wrapText="1"/>
    </xf>
    <xf numFmtId="0" fontId="66" fillId="0" borderId="6" xfId="1" applyFont="1" applyBorder="1" applyAlignment="1" applyProtection="1">
      <alignment wrapText="1"/>
    </xf>
    <xf numFmtId="0" fontId="42" fillId="0" borderId="0" xfId="1" applyFont="1" applyAlignment="1" applyProtection="1">
      <alignment horizontal="right"/>
    </xf>
    <xf numFmtId="0" fontId="42" fillId="0" borderId="0" xfId="1" applyFont="1" applyFill="1" applyBorder="1" applyAlignment="1" applyProtection="1">
      <alignment horizontal="right"/>
    </xf>
    <xf numFmtId="1" fontId="167" fillId="0" borderId="0" xfId="1" applyNumberFormat="1" applyFont="1" applyBorder="1" applyAlignment="1" applyProtection="1">
      <alignment horizontal="left"/>
    </xf>
    <xf numFmtId="1" fontId="167" fillId="0" borderId="0" xfId="1" applyNumberFormat="1" applyFont="1" applyBorder="1" applyAlignment="1" applyProtection="1">
      <alignment horizontal="right"/>
    </xf>
    <xf numFmtId="0" fontId="122" fillId="14" borderId="13" xfId="1" applyFont="1" applyFill="1" applyBorder="1" applyProtection="1"/>
    <xf numFmtId="0" fontId="122" fillId="14" borderId="27" xfId="1" applyFont="1" applyFill="1" applyBorder="1" applyProtection="1"/>
    <xf numFmtId="0" fontId="64" fillId="0" borderId="0" xfId="1" applyFont="1" applyBorder="1" applyAlignment="1" applyProtection="1">
      <alignment wrapText="1"/>
    </xf>
    <xf numFmtId="1" fontId="167" fillId="0" borderId="0" xfId="1" applyNumberFormat="1" applyFont="1" applyFill="1" applyBorder="1" applyAlignment="1" applyProtection="1">
      <alignment horizontal="right"/>
    </xf>
    <xf numFmtId="0" fontId="66" fillId="0" borderId="0" xfId="1" applyFont="1" applyFill="1" applyBorder="1" applyAlignment="1" applyProtection="1">
      <alignment horizontal="center"/>
    </xf>
    <xf numFmtId="49" fontId="5" fillId="14" borderId="5" xfId="1" applyNumberFormat="1" applyFont="1" applyFill="1" applyBorder="1" applyAlignment="1" applyProtection="1">
      <alignment horizontal="center" vertical="center" wrapText="1"/>
    </xf>
    <xf numFmtId="49" fontId="5" fillId="14" borderId="26" xfId="1" applyNumberFormat="1" applyFont="1" applyFill="1" applyBorder="1" applyAlignment="1" applyProtection="1">
      <alignment horizontal="center" vertical="center" wrapText="1"/>
    </xf>
    <xf numFmtId="49" fontId="42" fillId="17" borderId="5" xfId="1" applyNumberFormat="1" applyFont="1" applyFill="1" applyBorder="1" applyAlignment="1" applyProtection="1">
      <alignment horizontal="center" wrapText="1"/>
    </xf>
    <xf numFmtId="0" fontId="4" fillId="17" borderId="5" xfId="1" applyFont="1" applyFill="1" applyBorder="1" applyAlignment="1" applyProtection="1">
      <alignment horizontal="center"/>
      <protection locked="0"/>
    </xf>
    <xf numFmtId="0" fontId="1" fillId="14" borderId="26" xfId="1" applyFill="1" applyBorder="1" applyProtection="1"/>
    <xf numFmtId="49" fontId="5" fillId="14" borderId="26" xfId="1" applyNumberFormat="1" applyFont="1" applyFill="1" applyBorder="1" applyAlignment="1" applyProtection="1">
      <alignment horizontal="center" wrapText="1"/>
    </xf>
    <xf numFmtId="0" fontId="8" fillId="2" borderId="5" xfId="1" applyFont="1" applyFill="1" applyBorder="1" applyAlignment="1" applyProtection="1">
      <alignment horizontal="center"/>
      <protection locked="0"/>
    </xf>
    <xf numFmtId="0" fontId="103" fillId="2" borderId="5" xfId="1" applyFont="1" applyFill="1" applyBorder="1" applyAlignment="1" applyProtection="1">
      <alignment horizontal="center"/>
      <protection locked="0"/>
    </xf>
    <xf numFmtId="0" fontId="64" fillId="0" borderId="26" xfId="1" applyFont="1" applyBorder="1"/>
    <xf numFmtId="0" fontId="64" fillId="0" borderId="15" xfId="1" applyFont="1" applyBorder="1" applyAlignment="1">
      <alignment wrapText="1"/>
    </xf>
    <xf numFmtId="0" fontId="66" fillId="0" borderId="9" xfId="1" applyFont="1" applyBorder="1"/>
    <xf numFmtId="0" fontId="66" fillId="0" borderId="6" xfId="1" applyFont="1" applyBorder="1" applyAlignment="1">
      <alignment wrapText="1"/>
    </xf>
    <xf numFmtId="0" fontId="63" fillId="0" borderId="0" xfId="1" applyFont="1"/>
    <xf numFmtId="0" fontId="42" fillId="0" borderId="0" xfId="1" applyFont="1" applyBorder="1"/>
    <xf numFmtId="0" fontId="63" fillId="0" borderId="0" xfId="1" applyFont="1" applyBorder="1" applyAlignment="1">
      <alignment wrapText="1"/>
    </xf>
    <xf numFmtId="0" fontId="42" fillId="0" borderId="5" xfId="1" applyFont="1" applyBorder="1" applyAlignment="1">
      <alignment wrapText="1"/>
    </xf>
    <xf numFmtId="0" fontId="69" fillId="0" borderId="26" xfId="1" applyFont="1" applyBorder="1"/>
    <xf numFmtId="0" fontId="69" fillId="0" borderId="15" xfId="1" applyFont="1" applyBorder="1"/>
    <xf numFmtId="0" fontId="69" fillId="0" borderId="0" xfId="1" applyFont="1" applyBorder="1"/>
    <xf numFmtId="0" fontId="42" fillId="0" borderId="0" xfId="1" applyFont="1" applyBorder="1" applyAlignment="1">
      <alignment wrapText="1"/>
    </xf>
    <xf numFmtId="0" fontId="63" fillId="0" borderId="0" xfId="1" applyFont="1" applyBorder="1"/>
    <xf numFmtId="0" fontId="42" fillId="0" borderId="5" xfId="1" applyFont="1" applyBorder="1"/>
    <xf numFmtId="0" fontId="64" fillId="0" borderId="1" xfId="1" applyFont="1" applyBorder="1" applyAlignment="1">
      <alignment horizontal="left"/>
    </xf>
    <xf numFmtId="0" fontId="64" fillId="0" borderId="24" xfId="1" applyFont="1" applyBorder="1" applyAlignment="1">
      <alignment horizontal="right"/>
    </xf>
    <xf numFmtId="0" fontId="66" fillId="0" borderId="24" xfId="1" applyFont="1" applyBorder="1" applyAlignment="1">
      <alignment horizontal="right"/>
    </xf>
    <xf numFmtId="0" fontId="66" fillId="0" borderId="1" xfId="1" applyFont="1" applyBorder="1" applyAlignment="1">
      <alignment horizontal="left"/>
    </xf>
    <xf numFmtId="0" fontId="69" fillId="0" borderId="1" xfId="1" applyFont="1" applyBorder="1" applyAlignment="1">
      <alignment horizontal="left"/>
    </xf>
    <xf numFmtId="0" fontId="69" fillId="0" borderId="24" xfId="1" applyFont="1" applyBorder="1" applyAlignment="1">
      <alignment horizontal="right"/>
    </xf>
    <xf numFmtId="49" fontId="42" fillId="14" borderId="19" xfId="1" applyNumberFormat="1" applyFont="1" applyFill="1" applyBorder="1" applyAlignment="1">
      <alignment wrapText="1"/>
    </xf>
    <xf numFmtId="0" fontId="4" fillId="2" borderId="14" xfId="1" applyFont="1" applyFill="1" applyBorder="1" applyAlignment="1">
      <alignment horizontal="center"/>
    </xf>
    <xf numFmtId="0" fontId="4" fillId="2" borderId="5" xfId="1" applyFont="1" applyFill="1" applyBorder="1" applyAlignment="1" applyProtection="1">
      <alignment horizontal="center"/>
      <protection locked="0"/>
    </xf>
    <xf numFmtId="49" fontId="42" fillId="14" borderId="5" xfId="1" applyNumberFormat="1" applyFont="1" applyFill="1" applyBorder="1" applyAlignment="1">
      <alignment horizontal="center" wrapText="1"/>
    </xf>
    <xf numFmtId="0" fontId="1" fillId="0" borderId="26" xfId="1" applyFill="1" applyBorder="1"/>
    <xf numFmtId="0" fontId="8" fillId="2" borderId="15" xfId="1" applyFont="1" applyFill="1" applyBorder="1" applyAlignment="1" applyProtection="1">
      <alignment horizontal="center"/>
      <protection locked="0"/>
    </xf>
    <xf numFmtId="49" fontId="5" fillId="4" borderId="19" xfId="1" applyNumberFormat="1" applyFont="1" applyFill="1" applyBorder="1" applyAlignment="1">
      <alignment horizontal="center" wrapText="1"/>
    </xf>
    <xf numFmtId="0" fontId="4" fillId="2" borderId="5" xfId="1" applyFont="1" applyFill="1" applyBorder="1" applyAlignment="1">
      <alignment horizontal="center"/>
    </xf>
    <xf numFmtId="1" fontId="32" fillId="0" borderId="0" xfId="1" applyNumberFormat="1" applyFont="1" applyBorder="1" applyAlignment="1" applyProtection="1">
      <alignment horizontal="left"/>
    </xf>
    <xf numFmtId="1" fontId="32" fillId="0" borderId="0" xfId="1" applyNumberFormat="1" applyFont="1" applyBorder="1" applyAlignment="1" applyProtection="1">
      <alignment horizontal="right"/>
    </xf>
    <xf numFmtId="1" fontId="32" fillId="0" borderId="0" xfId="1" applyNumberFormat="1" applyFont="1" applyFill="1" applyBorder="1" applyAlignment="1" applyProtection="1">
      <alignment horizontal="right"/>
    </xf>
    <xf numFmtId="1" fontId="31" fillId="0" borderId="0" xfId="1" applyNumberFormat="1" applyFont="1" applyFill="1" applyBorder="1" applyAlignment="1" applyProtection="1">
      <alignment horizontal="center"/>
    </xf>
    <xf numFmtId="0" fontId="64" fillId="0" borderId="26" xfId="1" applyFont="1" applyBorder="1" applyProtection="1"/>
    <xf numFmtId="0" fontId="64" fillId="0" borderId="15" xfId="1" applyFont="1" applyBorder="1" applyProtection="1"/>
    <xf numFmtId="0" fontId="64" fillId="0" borderId="0" xfId="1" applyFont="1" applyBorder="1" applyProtection="1"/>
    <xf numFmtId="0" fontId="42" fillId="0" borderId="5" xfId="1" applyFont="1" applyBorder="1" applyProtection="1"/>
    <xf numFmtId="0" fontId="64" fillId="0" borderId="1" xfId="1" applyFont="1" applyBorder="1" applyAlignment="1" applyProtection="1">
      <alignment horizontal="left"/>
    </xf>
    <xf numFmtId="0" fontId="66" fillId="0" borderId="1" xfId="1" applyFont="1" applyBorder="1" applyAlignment="1" applyProtection="1">
      <alignment horizontal="left"/>
    </xf>
    <xf numFmtId="0" fontId="1" fillId="0" borderId="26" xfId="1" applyFill="1" applyBorder="1" applyProtection="1"/>
    <xf numFmtId="0" fontId="1" fillId="0" borderId="15" xfId="1" applyFill="1" applyBorder="1" applyProtection="1"/>
    <xf numFmtId="0" fontId="8" fillId="14" borderId="5" xfId="1" applyFont="1" applyFill="1" applyBorder="1" applyAlignment="1" applyProtection="1">
      <alignment horizontal="center"/>
      <protection locked="0"/>
    </xf>
    <xf numFmtId="49" fontId="5" fillId="14" borderId="7" xfId="1" applyNumberFormat="1" applyFont="1" applyFill="1" applyBorder="1" applyAlignment="1" applyProtection="1">
      <alignment horizontal="center" wrapText="1"/>
    </xf>
    <xf numFmtId="0" fontId="96" fillId="14" borderId="12" xfId="2" applyFont="1" applyFill="1" applyBorder="1" applyAlignment="1" applyProtection="1">
      <alignment horizontal="center" wrapText="1"/>
    </xf>
    <xf numFmtId="0" fontId="29" fillId="13" borderId="13" xfId="2" applyFont="1" applyFill="1" applyBorder="1" applyProtection="1"/>
    <xf numFmtId="0" fontId="29" fillId="0" borderId="13" xfId="2" applyFont="1" applyFill="1" applyBorder="1" applyProtection="1"/>
    <xf numFmtId="0" fontId="29" fillId="18" borderId="13" xfId="2" applyFont="1" applyFill="1" applyBorder="1" applyProtection="1"/>
    <xf numFmtId="0" fontId="29" fillId="0" borderId="0" xfId="2" applyFont="1" applyFill="1" applyBorder="1" applyAlignment="1" applyProtection="1">
      <alignment horizontal="center" wrapText="1"/>
    </xf>
    <xf numFmtId="0" fontId="1" fillId="14" borderId="19" xfId="1" applyFill="1" applyBorder="1" applyProtection="1"/>
    <xf numFmtId="0" fontId="12" fillId="14" borderId="14" xfId="1" applyFont="1" applyFill="1" applyBorder="1" applyAlignment="1" applyProtection="1">
      <alignment horizontal="center"/>
    </xf>
    <xf numFmtId="0" fontId="5" fillId="13" borderId="14" xfId="1" applyFont="1" applyFill="1" applyBorder="1" applyAlignment="1" applyProtection="1">
      <alignment horizontal="center"/>
    </xf>
    <xf numFmtId="0" fontId="5" fillId="20" borderId="14" xfId="1" applyFont="1" applyFill="1" applyBorder="1" applyAlignment="1" applyProtection="1">
      <alignment horizontal="center"/>
    </xf>
    <xf numFmtId="0" fontId="51" fillId="16" borderId="14" xfId="1" applyFont="1" applyFill="1" applyBorder="1" applyAlignment="1" applyProtection="1">
      <alignment horizontal="center"/>
    </xf>
    <xf numFmtId="0" fontId="134" fillId="2" borderId="5" xfId="1" applyFont="1" applyFill="1" applyBorder="1" applyAlignment="1" applyProtection="1">
      <alignment horizontal="center"/>
      <protection locked="0"/>
    </xf>
    <xf numFmtId="49" fontId="134" fillId="2" borderId="5" xfId="1" applyNumberFormat="1" applyFont="1" applyFill="1" applyBorder="1" applyAlignment="1" applyProtection="1">
      <alignment horizontal="center" wrapText="1"/>
    </xf>
    <xf numFmtId="0" fontId="134" fillId="2" borderId="14" xfId="1" applyFont="1" applyFill="1" applyBorder="1" applyAlignment="1" applyProtection="1">
      <alignment horizontal="center"/>
    </xf>
    <xf numFmtId="0" fontId="29" fillId="17" borderId="12" xfId="2" applyFont="1" applyFill="1" applyBorder="1" applyAlignment="1" applyProtection="1">
      <alignment horizontal="center" wrapText="1"/>
    </xf>
    <xf numFmtId="0" fontId="29" fillId="0" borderId="12" xfId="2" applyFont="1" applyBorder="1" applyProtection="1"/>
    <xf numFmtId="0" fontId="29" fillId="0" borderId="0" xfId="2" applyFont="1" applyFill="1" applyBorder="1" applyProtection="1"/>
    <xf numFmtId="0" fontId="8" fillId="14" borderId="12" xfId="1" applyFont="1" applyFill="1" applyBorder="1" applyProtection="1"/>
    <xf numFmtId="2" fontId="51" fillId="7" borderId="5" xfId="0" applyNumberFormat="1" applyFont="1" applyFill="1" applyBorder="1" applyAlignment="1">
      <alignment horizontal="center"/>
    </xf>
    <xf numFmtId="0" fontId="51" fillId="7" borderId="0" xfId="1" applyFont="1" applyFill="1" applyBorder="1" applyAlignment="1" applyProtection="1">
      <alignment horizontal="center"/>
    </xf>
    <xf numFmtId="0" fontId="5" fillId="14" borderId="1" xfId="1" applyFont="1" applyFill="1" applyBorder="1" applyAlignment="1" applyProtection="1">
      <alignment horizontal="center"/>
    </xf>
    <xf numFmtId="0" fontId="29" fillId="2" borderId="8" xfId="1" applyFont="1" applyFill="1" applyBorder="1" applyProtection="1"/>
    <xf numFmtId="0" fontId="51" fillId="9" borderId="30" xfId="1" applyFont="1" applyFill="1" applyBorder="1" applyAlignment="1" applyProtection="1">
      <alignment horizontal="center"/>
    </xf>
    <xf numFmtId="0" fontId="51" fillId="9" borderId="8" xfId="1" applyFont="1" applyFill="1" applyBorder="1" applyAlignment="1" applyProtection="1">
      <alignment horizontal="center"/>
    </xf>
    <xf numFmtId="0" fontId="51" fillId="0" borderId="8" xfId="1" applyFont="1" applyBorder="1" applyAlignment="1" applyProtection="1">
      <alignment horizontal="center"/>
    </xf>
    <xf numFmtId="0" fontId="51" fillId="9" borderId="0" xfId="1" applyFont="1" applyFill="1" applyBorder="1" applyAlignment="1" applyProtection="1">
      <alignment horizontal="center"/>
    </xf>
    <xf numFmtId="0" fontId="51" fillId="8" borderId="0" xfId="1" applyFont="1" applyFill="1" applyBorder="1" applyAlignment="1" applyProtection="1">
      <alignment horizontal="center"/>
    </xf>
    <xf numFmtId="0" fontId="51" fillId="2" borderId="5" xfId="0" applyFont="1" applyFill="1" applyBorder="1" applyAlignment="1">
      <alignment horizontal="center"/>
    </xf>
    <xf numFmtId="0" fontId="66" fillId="11" borderId="9" xfId="0" applyFont="1" applyFill="1" applyBorder="1" applyAlignment="1">
      <alignment horizontal="center"/>
    </xf>
    <xf numFmtId="0" fontId="66" fillId="11" borderId="1" xfId="0" applyFont="1" applyFill="1" applyBorder="1" applyAlignment="1">
      <alignment horizontal="center"/>
    </xf>
    <xf numFmtId="0" fontId="66" fillId="11" borderId="24" xfId="0" applyFont="1" applyFill="1" applyBorder="1" applyAlignment="1">
      <alignment horizontal="center"/>
    </xf>
    <xf numFmtId="0" fontId="66" fillId="11" borderId="6" xfId="0" applyFont="1" applyFill="1" applyBorder="1" applyAlignment="1">
      <alignment horizontal="center"/>
    </xf>
    <xf numFmtId="0" fontId="66" fillId="11" borderId="2" xfId="0" applyFont="1" applyFill="1" applyBorder="1" applyAlignment="1">
      <alignment horizontal="center"/>
    </xf>
    <xf numFmtId="0" fontId="66" fillId="11" borderId="3" xfId="0" applyFont="1" applyFill="1" applyBorder="1" applyAlignment="1">
      <alignment horizontal="center"/>
    </xf>
    <xf numFmtId="0" fontId="66" fillId="11" borderId="7" xfId="0" applyFont="1" applyFill="1" applyBorder="1" applyAlignment="1">
      <alignment horizontal="center"/>
    </xf>
    <xf numFmtId="0" fontId="66" fillId="11" borderId="14" xfId="0" applyFont="1" applyFill="1" applyBorder="1" applyAlignment="1">
      <alignment horizontal="center"/>
    </xf>
    <xf numFmtId="0" fontId="66" fillId="11" borderId="19" xfId="0" applyFont="1" applyFill="1" applyBorder="1" applyAlignment="1">
      <alignment horizontal="center"/>
    </xf>
    <xf numFmtId="1" fontId="70" fillId="0" borderId="2" xfId="0" applyNumberFormat="1" applyFont="1" applyBorder="1" applyAlignment="1">
      <alignment horizontal="right"/>
    </xf>
    <xf numFmtId="1" fontId="70" fillId="0" borderId="3" xfId="0" applyNumberFormat="1" applyFont="1" applyBorder="1" applyAlignment="1">
      <alignment horizontal="right"/>
    </xf>
    <xf numFmtId="1" fontId="67" fillId="0" borderId="2" xfId="0" applyNumberFormat="1" applyFont="1" applyBorder="1" applyAlignment="1">
      <alignment horizontal="right"/>
    </xf>
    <xf numFmtId="1" fontId="67" fillId="0" borderId="3" xfId="0" applyNumberFormat="1" applyFont="1" applyBorder="1" applyAlignment="1">
      <alignment horizontal="right"/>
    </xf>
    <xf numFmtId="1" fontId="65" fillId="0" borderId="2" xfId="0" applyNumberFormat="1" applyFont="1" applyBorder="1" applyAlignment="1">
      <alignment horizontal="right"/>
    </xf>
    <xf numFmtId="1" fontId="65" fillId="0" borderId="3" xfId="0" applyNumberFormat="1" applyFont="1" applyBorder="1" applyAlignment="1">
      <alignment horizontal="right"/>
    </xf>
    <xf numFmtId="1" fontId="25" fillId="0" borderId="0" xfId="0" applyNumberFormat="1" applyFont="1" applyBorder="1" applyAlignment="1">
      <alignment horizontal="right"/>
    </xf>
    <xf numFmtId="1" fontId="42" fillId="0" borderId="0" xfId="0" applyNumberFormat="1" applyFont="1" applyBorder="1" applyAlignment="1">
      <alignment horizontal="center"/>
    </xf>
    <xf numFmtId="0" fontId="16" fillId="0" borderId="0" xfId="0" applyNumberFormat="1" applyFont="1" applyFill="1" applyBorder="1" applyAlignment="1">
      <alignment horizontal="center"/>
    </xf>
    <xf numFmtId="49" fontId="42" fillId="17" borderId="44" xfId="0" applyNumberFormat="1" applyFont="1" applyFill="1" applyBorder="1" applyAlignment="1">
      <alignment horizontal="center" vertical="center" wrapText="1"/>
    </xf>
    <xf numFmtId="49" fontId="42" fillId="17" borderId="45" xfId="0" applyNumberFormat="1" applyFont="1" applyFill="1" applyBorder="1" applyAlignment="1">
      <alignment horizontal="center" vertical="center" wrapText="1"/>
    </xf>
    <xf numFmtId="0" fontId="5" fillId="0" borderId="0" xfId="0" applyFont="1" applyBorder="1" applyAlignment="1">
      <alignment horizontal="right"/>
    </xf>
    <xf numFmtId="1" fontId="25" fillId="0" borderId="0" xfId="0" applyNumberFormat="1" applyFont="1" applyBorder="1" applyAlignment="1">
      <alignment horizontal="left"/>
    </xf>
    <xf numFmtId="2" fontId="49" fillId="0" borderId="7" xfId="0" applyNumberFormat="1" applyFont="1" applyFill="1" applyBorder="1" applyAlignment="1">
      <alignment horizontal="center"/>
    </xf>
    <xf numFmtId="2" fontId="49" fillId="0" borderId="19" xfId="0" applyNumberFormat="1" applyFont="1" applyFill="1" applyBorder="1" applyAlignment="1">
      <alignment horizontal="center"/>
    </xf>
    <xf numFmtId="0" fontId="73" fillId="7" borderId="50" xfId="0" applyFont="1" applyFill="1" applyBorder="1" applyAlignment="1">
      <alignment horizontal="center" vertical="center"/>
    </xf>
    <xf numFmtId="1" fontId="70" fillId="0" borderId="6" xfId="0" applyNumberFormat="1" applyFont="1" applyBorder="1" applyAlignment="1">
      <alignment horizontal="left"/>
    </xf>
    <xf numFmtId="1" fontId="70" fillId="0" borderId="2" xfId="0" applyNumberFormat="1" applyFont="1" applyBorder="1" applyAlignment="1">
      <alignment horizontal="left"/>
    </xf>
    <xf numFmtId="1" fontId="67" fillId="0" borderId="6" xfId="0" applyNumberFormat="1" applyFont="1" applyBorder="1" applyAlignment="1">
      <alignment horizontal="left"/>
    </xf>
    <xf numFmtId="1" fontId="67" fillId="0" borderId="2" xfId="0" applyNumberFormat="1" applyFont="1" applyBorder="1" applyAlignment="1">
      <alignment horizontal="left"/>
    </xf>
    <xf numFmtId="1" fontId="65" fillId="0" borderId="6" xfId="0" applyNumberFormat="1" applyFont="1" applyBorder="1" applyAlignment="1">
      <alignment horizontal="left"/>
    </xf>
    <xf numFmtId="1" fontId="65" fillId="0" borderId="2" xfId="0" applyNumberFormat="1" applyFont="1" applyBorder="1" applyAlignment="1">
      <alignment horizontal="left"/>
    </xf>
    <xf numFmtId="0" fontId="73" fillId="7" borderId="50" xfId="0" applyFont="1" applyFill="1" applyBorder="1" applyAlignment="1">
      <alignment horizontal="center" vertical="center" wrapText="1"/>
    </xf>
    <xf numFmtId="0" fontId="5" fillId="0" borderId="0" xfId="0" applyFont="1" applyBorder="1" applyAlignment="1" applyProtection="1">
      <alignment horizontal="right"/>
    </xf>
    <xf numFmtId="1" fontId="25" fillId="0" borderId="0" xfId="0" applyNumberFormat="1" applyFont="1" applyBorder="1" applyAlignment="1" applyProtection="1">
      <alignment horizontal="left"/>
    </xf>
    <xf numFmtId="1" fontId="25" fillId="0" borderId="0" xfId="0" applyNumberFormat="1" applyFont="1" applyBorder="1" applyAlignment="1" applyProtection="1">
      <alignment horizontal="right"/>
    </xf>
    <xf numFmtId="0" fontId="66" fillId="11" borderId="1" xfId="0" applyFont="1" applyFill="1" applyBorder="1" applyAlignment="1" applyProtection="1">
      <alignment horizontal="center"/>
    </xf>
    <xf numFmtId="0" fontId="66" fillId="11" borderId="24" xfId="0" applyFont="1" applyFill="1" applyBorder="1" applyAlignment="1" applyProtection="1">
      <alignment horizontal="center"/>
    </xf>
    <xf numFmtId="0" fontId="66" fillId="11" borderId="2" xfId="0" applyFont="1" applyFill="1" applyBorder="1" applyAlignment="1" applyProtection="1">
      <alignment horizontal="center"/>
    </xf>
    <xf numFmtId="0" fontId="66" fillId="11" borderId="3" xfId="0" applyFont="1" applyFill="1" applyBorder="1" applyAlignment="1" applyProtection="1">
      <alignment horizontal="center"/>
    </xf>
    <xf numFmtId="0" fontId="66" fillId="11" borderId="9" xfId="0" applyFont="1" applyFill="1" applyBorder="1" applyAlignment="1" applyProtection="1">
      <alignment horizontal="center"/>
    </xf>
    <xf numFmtId="0" fontId="66" fillId="11" borderId="6" xfId="0" applyFont="1" applyFill="1" applyBorder="1" applyAlignment="1" applyProtection="1">
      <alignment horizontal="center"/>
    </xf>
    <xf numFmtId="1" fontId="164" fillId="0" borderId="65" xfId="0" applyNumberFormat="1" applyFont="1" applyBorder="1" applyAlignment="1">
      <alignment horizontal="right"/>
    </xf>
    <xf numFmtId="1" fontId="164" fillId="0" borderId="101" xfId="0" applyNumberFormat="1" applyFont="1" applyBorder="1" applyAlignment="1">
      <alignment horizontal="right"/>
    </xf>
    <xf numFmtId="1" fontId="42" fillId="0" borderId="0" xfId="0" applyNumberFormat="1" applyFont="1" applyBorder="1" applyAlignment="1" applyProtection="1">
      <alignment horizontal="center"/>
    </xf>
    <xf numFmtId="1" fontId="166" fillId="0" borderId="102" xfId="0" applyNumberFormat="1" applyFont="1" applyBorder="1" applyAlignment="1">
      <alignment horizontal="left"/>
    </xf>
    <xf numFmtId="1" fontId="166" fillId="0" borderId="69" xfId="0" applyNumberFormat="1" applyFont="1" applyBorder="1" applyAlignment="1">
      <alignment horizontal="left"/>
    </xf>
    <xf numFmtId="1" fontId="166" fillId="0" borderId="69" xfId="0" applyNumberFormat="1" applyFont="1" applyBorder="1" applyAlignment="1">
      <alignment horizontal="right"/>
    </xf>
    <xf numFmtId="1" fontId="166" fillId="0" borderId="103" xfId="0" applyNumberFormat="1" applyFont="1" applyBorder="1" applyAlignment="1">
      <alignment horizontal="right"/>
    </xf>
    <xf numFmtId="1" fontId="165" fillId="0" borderId="98" xfId="0" applyNumberFormat="1" applyFont="1" applyBorder="1" applyAlignment="1">
      <alignment horizontal="left"/>
    </xf>
    <xf numFmtId="1" fontId="165" fillId="0" borderId="61" xfId="0" applyNumberFormat="1" applyFont="1" applyBorder="1" applyAlignment="1">
      <alignment horizontal="left"/>
    </xf>
    <xf numFmtId="1" fontId="165" fillId="0" borderId="61" xfId="0" applyNumberFormat="1" applyFont="1" applyBorder="1" applyAlignment="1">
      <alignment horizontal="right"/>
    </xf>
    <xf numFmtId="1" fontId="165" fillId="0" borderId="99" xfId="0" applyNumberFormat="1" applyFont="1" applyBorder="1" applyAlignment="1">
      <alignment horizontal="right"/>
    </xf>
    <xf numFmtId="1" fontId="164" fillId="0" borderId="100" xfId="0" applyNumberFormat="1" applyFont="1" applyBorder="1" applyAlignment="1">
      <alignment horizontal="left"/>
    </xf>
    <xf numFmtId="1" fontId="164" fillId="0" borderId="65" xfId="0" applyNumberFormat="1" applyFont="1" applyBorder="1" applyAlignment="1">
      <alignment horizontal="left"/>
    </xf>
    <xf numFmtId="0" fontId="73" fillId="16" borderId="50" xfId="0" applyFont="1" applyFill="1" applyBorder="1" applyAlignment="1">
      <alignment horizontal="center" vertical="center" wrapText="1"/>
    </xf>
    <xf numFmtId="0" fontId="73" fillId="16" borderId="50" xfId="0" applyFont="1" applyFill="1" applyBorder="1" applyAlignment="1">
      <alignment horizontal="center" vertical="center"/>
    </xf>
    <xf numFmtId="49" fontId="42" fillId="5" borderId="26" xfId="0" applyNumberFormat="1" applyFont="1" applyFill="1" applyBorder="1" applyAlignment="1">
      <alignment horizontal="center" wrapText="1"/>
    </xf>
    <xf numFmtId="49" fontId="42" fillId="5" borderId="15" xfId="0" applyNumberFormat="1" applyFont="1" applyFill="1" applyBorder="1" applyAlignment="1">
      <alignment horizontal="center" wrapText="1"/>
    </xf>
    <xf numFmtId="1" fontId="25" fillId="0" borderId="11" xfId="0" applyNumberFormat="1" applyFont="1" applyBorder="1" applyAlignment="1">
      <alignment horizontal="right"/>
    </xf>
    <xf numFmtId="0" fontId="51" fillId="0" borderId="0" xfId="0" applyFont="1" applyBorder="1" applyAlignment="1">
      <alignment horizontal="right"/>
    </xf>
    <xf numFmtId="2" fontId="49" fillId="0" borderId="9" xfId="0" applyNumberFormat="1" applyFont="1" applyFill="1" applyBorder="1" applyAlignment="1">
      <alignment horizontal="center"/>
    </xf>
    <xf numFmtId="2" fontId="49" fillId="0" borderId="24" xfId="0" applyNumberFormat="1" applyFont="1" applyFill="1" applyBorder="1" applyAlignment="1">
      <alignment horizontal="center"/>
    </xf>
    <xf numFmtId="49" fontId="42" fillId="14" borderId="9" xfId="0" applyNumberFormat="1" applyFont="1" applyFill="1" applyBorder="1" applyAlignment="1">
      <alignment horizontal="center" wrapText="1"/>
    </xf>
    <xf numFmtId="49" fontId="42" fillId="14" borderId="19" xfId="0" applyNumberFormat="1" applyFont="1" applyFill="1" applyBorder="1" applyAlignment="1">
      <alignment horizontal="center" wrapText="1"/>
    </xf>
    <xf numFmtId="0" fontId="15" fillId="7" borderId="50" xfId="0" applyFont="1" applyFill="1" applyBorder="1" applyAlignment="1">
      <alignment horizontal="center" vertical="center"/>
    </xf>
    <xf numFmtId="49" fontId="42" fillId="5" borderId="26" xfId="0" applyNumberFormat="1" applyFont="1" applyFill="1" applyBorder="1" applyAlignment="1">
      <alignment horizontal="center" vertical="center" wrapText="1"/>
    </xf>
    <xf numFmtId="49" fontId="42" fillId="5" borderId="15" xfId="0" applyNumberFormat="1" applyFont="1" applyFill="1" applyBorder="1" applyAlignment="1">
      <alignment horizontal="center" vertical="center" wrapText="1"/>
    </xf>
    <xf numFmtId="2" fontId="80" fillId="0" borderId="7" xfId="0" applyNumberFormat="1" applyFont="1" applyFill="1" applyBorder="1" applyAlignment="1">
      <alignment horizontal="center"/>
    </xf>
    <xf numFmtId="2" fontId="80" fillId="0" borderId="19" xfId="0" applyNumberFormat="1" applyFont="1" applyFill="1" applyBorder="1" applyAlignment="1">
      <alignment horizontal="center"/>
    </xf>
    <xf numFmtId="49" fontId="51" fillId="18" borderId="0" xfId="0" applyNumberFormat="1" applyFont="1" applyFill="1" applyBorder="1" applyAlignment="1">
      <alignment horizontal="center" wrapText="1"/>
    </xf>
    <xf numFmtId="0" fontId="106" fillId="7" borderId="50" xfId="0" applyFont="1" applyFill="1" applyBorder="1" applyAlignment="1">
      <alignment horizontal="center" vertical="center"/>
    </xf>
    <xf numFmtId="1" fontId="166" fillId="0" borderId="2" xfId="0" applyNumberFormat="1" applyFont="1" applyBorder="1" applyAlignment="1">
      <alignment horizontal="right"/>
    </xf>
    <xf numFmtId="1" fontId="166" fillId="0" borderId="3" xfId="0" applyNumberFormat="1" applyFont="1" applyBorder="1" applyAlignment="1">
      <alignment horizontal="right"/>
    </xf>
    <xf numFmtId="1" fontId="166" fillId="0" borderId="6" xfId="0" applyNumberFormat="1" applyFont="1" applyBorder="1" applyAlignment="1">
      <alignment horizontal="left"/>
    </xf>
    <xf numFmtId="1" fontId="166" fillId="0" borderId="2" xfId="0" applyNumberFormat="1" applyFont="1" applyBorder="1" applyAlignment="1">
      <alignment horizontal="left"/>
    </xf>
    <xf numFmtId="1" fontId="124" fillId="0" borderId="2" xfId="0" applyNumberFormat="1" applyFont="1" applyBorder="1" applyAlignment="1">
      <alignment horizontal="right"/>
    </xf>
    <xf numFmtId="1" fontId="124" fillId="0" borderId="3" xfId="0" applyNumberFormat="1" applyFont="1" applyBorder="1" applyAlignment="1">
      <alignment horizontal="right"/>
    </xf>
    <xf numFmtId="1" fontId="124" fillId="0" borderId="6" xfId="0" applyNumberFormat="1" applyFont="1" applyBorder="1" applyAlignment="1">
      <alignment horizontal="left"/>
    </xf>
    <xf numFmtId="1" fontId="124" fillId="0" borderId="2" xfId="0" applyNumberFormat="1" applyFont="1" applyBorder="1" applyAlignment="1">
      <alignment horizontal="left"/>
    </xf>
    <xf numFmtId="1" fontId="167" fillId="0" borderId="2" xfId="0" applyNumberFormat="1" applyFont="1" applyBorder="1" applyAlignment="1">
      <alignment horizontal="right"/>
    </xf>
    <xf numFmtId="1" fontId="167" fillId="0" borderId="3" xfId="0" applyNumberFormat="1" applyFont="1" applyBorder="1" applyAlignment="1">
      <alignment horizontal="right"/>
    </xf>
    <xf numFmtId="1" fontId="167" fillId="0" borderId="6" xfId="0" applyNumberFormat="1" applyFont="1" applyBorder="1" applyAlignment="1">
      <alignment horizontal="left"/>
    </xf>
    <xf numFmtId="1" fontId="167" fillId="0" borderId="2" xfId="0" applyNumberFormat="1" applyFont="1" applyBorder="1" applyAlignment="1">
      <alignment horizontal="left"/>
    </xf>
    <xf numFmtId="1" fontId="25" fillId="0" borderId="0" xfId="1" applyNumberFormat="1" applyFont="1" applyBorder="1" applyAlignment="1" applyProtection="1">
      <alignment horizontal="right"/>
    </xf>
    <xf numFmtId="49" fontId="42" fillId="5" borderId="26" xfId="1" applyNumberFormat="1" applyFont="1" applyFill="1" applyBorder="1" applyAlignment="1" applyProtection="1">
      <alignment horizontal="center" vertical="center" wrapText="1"/>
    </xf>
    <xf numFmtId="49" fontId="42" fillId="5" borderId="15" xfId="1" applyNumberFormat="1" applyFont="1" applyFill="1" applyBorder="1" applyAlignment="1" applyProtection="1">
      <alignment horizontal="center" vertical="center" wrapText="1"/>
    </xf>
    <xf numFmtId="1" fontId="42" fillId="0" borderId="0" xfId="1" applyNumberFormat="1" applyFont="1" applyBorder="1" applyAlignment="1" applyProtection="1">
      <alignment horizontal="center"/>
    </xf>
    <xf numFmtId="0" fontId="5" fillId="0" borderId="0" xfId="1" applyFont="1" applyBorder="1" applyAlignment="1" applyProtection="1">
      <alignment horizontal="right"/>
    </xf>
    <xf numFmtId="1" fontId="25" fillId="0" borderId="0" xfId="1" applyNumberFormat="1" applyFont="1" applyBorder="1" applyAlignment="1" applyProtection="1">
      <alignment horizontal="left"/>
    </xf>
    <xf numFmtId="1" fontId="25" fillId="0" borderId="11" xfId="1" applyNumberFormat="1" applyFont="1" applyBorder="1" applyAlignment="1" applyProtection="1">
      <alignment horizontal="right"/>
    </xf>
    <xf numFmtId="0" fontId="51" fillId="0" borderId="0" xfId="1" applyFont="1" applyBorder="1" applyAlignment="1" applyProtection="1">
      <alignment horizontal="right"/>
    </xf>
    <xf numFmtId="2" fontId="49" fillId="0" borderId="9" xfId="1" applyNumberFormat="1" applyFont="1" applyFill="1" applyBorder="1" applyAlignment="1" applyProtection="1">
      <alignment horizontal="center"/>
    </xf>
    <xf numFmtId="2" fontId="49" fillId="0" borderId="24" xfId="1" applyNumberFormat="1" applyFont="1" applyFill="1" applyBorder="1" applyAlignment="1" applyProtection="1">
      <alignment horizontal="center"/>
    </xf>
    <xf numFmtId="0" fontId="66" fillId="11" borderId="9" xfId="1" applyFont="1" applyFill="1" applyBorder="1" applyAlignment="1" applyProtection="1">
      <alignment horizontal="center"/>
    </xf>
    <xf numFmtId="0" fontId="66" fillId="11" borderId="1" xfId="1" applyFont="1" applyFill="1" applyBorder="1" applyAlignment="1" applyProtection="1">
      <alignment horizontal="center"/>
    </xf>
    <xf numFmtId="0" fontId="66" fillId="11" borderId="24" xfId="1" applyFont="1" applyFill="1" applyBorder="1" applyAlignment="1" applyProtection="1">
      <alignment horizontal="center"/>
    </xf>
    <xf numFmtId="0" fontId="66" fillId="11" borderId="6" xfId="1" applyFont="1" applyFill="1" applyBorder="1" applyAlignment="1" applyProtection="1">
      <alignment horizontal="center"/>
    </xf>
    <xf numFmtId="0" fontId="66" fillId="11" borderId="2" xfId="1" applyFont="1" applyFill="1" applyBorder="1" applyAlignment="1" applyProtection="1">
      <alignment horizontal="center"/>
    </xf>
    <xf numFmtId="0" fontId="66" fillId="11" borderId="3" xfId="1" applyFont="1" applyFill="1" applyBorder="1" applyAlignment="1" applyProtection="1">
      <alignment horizontal="center"/>
    </xf>
    <xf numFmtId="0" fontId="15" fillId="7" borderId="50" xfId="1" applyFont="1" applyFill="1" applyBorder="1" applyAlignment="1" applyProtection="1">
      <alignment horizontal="center" vertical="center"/>
    </xf>
    <xf numFmtId="0" fontId="66" fillId="11" borderId="7" xfId="1" applyFont="1" applyFill="1" applyBorder="1" applyAlignment="1" applyProtection="1">
      <alignment horizontal="center"/>
    </xf>
    <xf numFmtId="0" fontId="66" fillId="11" borderId="14" xfId="1" applyFont="1" applyFill="1" applyBorder="1" applyAlignment="1" applyProtection="1">
      <alignment horizontal="center"/>
    </xf>
    <xf numFmtId="0" fontId="66" fillId="11" borderId="19" xfId="1" applyFont="1" applyFill="1" applyBorder="1" applyAlignment="1" applyProtection="1">
      <alignment horizontal="center"/>
    </xf>
    <xf numFmtId="1" fontId="167" fillId="0" borderId="2" xfId="1" applyNumberFormat="1" applyFont="1" applyBorder="1" applyAlignment="1" applyProtection="1">
      <alignment horizontal="right"/>
    </xf>
    <xf numFmtId="1" fontId="167" fillId="0" borderId="3" xfId="1" applyNumberFormat="1" applyFont="1" applyBorder="1" applyAlignment="1" applyProtection="1">
      <alignment horizontal="right"/>
    </xf>
    <xf numFmtId="1" fontId="167" fillId="0" borderId="6" xfId="1" applyNumberFormat="1" applyFont="1" applyBorder="1" applyAlignment="1" applyProtection="1">
      <alignment horizontal="left"/>
    </xf>
    <xf numFmtId="1" fontId="167" fillId="0" borderId="2" xfId="1" applyNumberFormat="1" applyFont="1" applyBorder="1" applyAlignment="1" applyProtection="1">
      <alignment horizontal="left"/>
    </xf>
    <xf numFmtId="0" fontId="3" fillId="0" borderId="51" xfId="1" applyFont="1" applyFill="1" applyBorder="1" applyAlignment="1" applyProtection="1">
      <alignment horizontal="center"/>
    </xf>
    <xf numFmtId="0" fontId="3" fillId="0" borderId="42" xfId="1" applyFont="1" applyFill="1" applyBorder="1" applyAlignment="1" applyProtection="1">
      <alignment horizontal="center"/>
    </xf>
    <xf numFmtId="0" fontId="3" fillId="0" borderId="52" xfId="1" applyFont="1" applyFill="1" applyBorder="1" applyAlignment="1" applyProtection="1">
      <alignment horizontal="center"/>
    </xf>
    <xf numFmtId="1" fontId="166" fillId="0" borderId="6" xfId="1" applyNumberFormat="1" applyFont="1" applyBorder="1" applyAlignment="1" applyProtection="1">
      <alignment horizontal="left"/>
    </xf>
    <xf numFmtId="1" fontId="166" fillId="0" borderId="2" xfId="1" applyNumberFormat="1" applyFont="1" applyBorder="1" applyAlignment="1" applyProtection="1">
      <alignment horizontal="left"/>
    </xf>
    <xf numFmtId="1" fontId="166" fillId="0" borderId="2" xfId="1" applyNumberFormat="1" applyFont="1" applyBorder="1" applyAlignment="1" applyProtection="1">
      <alignment horizontal="right"/>
    </xf>
    <xf numFmtId="1" fontId="166" fillId="0" borderId="3" xfId="1" applyNumberFormat="1" applyFont="1" applyBorder="1" applyAlignment="1" applyProtection="1">
      <alignment horizontal="right"/>
    </xf>
    <xf numFmtId="1" fontId="124" fillId="0" borderId="2" xfId="1" applyNumberFormat="1" applyFont="1" applyBorder="1" applyAlignment="1" applyProtection="1">
      <alignment horizontal="right"/>
    </xf>
    <xf numFmtId="1" fontId="124" fillId="0" borderId="3" xfId="1" applyNumberFormat="1" applyFont="1" applyBorder="1" applyAlignment="1" applyProtection="1">
      <alignment horizontal="right"/>
    </xf>
    <xf numFmtId="1" fontId="124" fillId="0" borderId="6" xfId="1" applyNumberFormat="1" applyFont="1" applyBorder="1" applyAlignment="1" applyProtection="1">
      <alignment horizontal="left"/>
    </xf>
    <xf numFmtId="1" fontId="124" fillId="0" borderId="2" xfId="1" applyNumberFormat="1" applyFont="1" applyBorder="1" applyAlignment="1" applyProtection="1">
      <alignment horizontal="left"/>
    </xf>
    <xf numFmtId="2" fontId="80" fillId="0" borderId="7" xfId="1" applyNumberFormat="1" applyFont="1" applyFill="1" applyBorder="1" applyAlignment="1" applyProtection="1">
      <alignment horizontal="center"/>
    </xf>
    <xf numFmtId="2" fontId="80" fillId="0" borderId="19" xfId="1" applyNumberFormat="1" applyFont="1" applyFill="1" applyBorder="1" applyAlignment="1" applyProtection="1">
      <alignment horizontal="center"/>
    </xf>
    <xf numFmtId="49" fontId="51" fillId="18" borderId="0" xfId="1" applyNumberFormat="1" applyFont="1" applyFill="1" applyBorder="1" applyAlignment="1" applyProtection="1">
      <alignment horizontal="center" wrapText="1"/>
    </xf>
    <xf numFmtId="0" fontId="106" fillId="7" borderId="50" xfId="1" applyFont="1" applyFill="1" applyBorder="1" applyAlignment="1" applyProtection="1">
      <alignment horizontal="center" vertical="center"/>
    </xf>
    <xf numFmtId="2" fontId="49" fillId="17" borderId="9" xfId="1" applyNumberFormat="1" applyFont="1" applyFill="1" applyBorder="1" applyAlignment="1">
      <alignment horizontal="center"/>
    </xf>
    <xf numFmtId="2" fontId="49" fillId="17" borderId="24" xfId="1" applyNumberFormat="1" applyFont="1" applyFill="1" applyBorder="1" applyAlignment="1">
      <alignment horizontal="center"/>
    </xf>
    <xf numFmtId="1" fontId="25" fillId="0" borderId="0" xfId="1" applyNumberFormat="1" applyFont="1" applyBorder="1" applyAlignment="1">
      <alignment horizontal="right"/>
    </xf>
    <xf numFmtId="1" fontId="51" fillId="0" borderId="2" xfId="1" applyNumberFormat="1" applyFont="1" applyBorder="1" applyAlignment="1">
      <alignment horizontal="center"/>
    </xf>
    <xf numFmtId="0" fontId="73" fillId="11" borderId="9" xfId="1" applyFont="1" applyFill="1" applyBorder="1" applyAlignment="1">
      <alignment horizontal="center"/>
    </xf>
    <xf numFmtId="0" fontId="73" fillId="11" borderId="1" xfId="1" applyFont="1" applyFill="1" applyBorder="1" applyAlignment="1">
      <alignment horizontal="center"/>
    </xf>
    <xf numFmtId="0" fontId="73" fillId="11" borderId="24" xfId="1" applyFont="1" applyFill="1" applyBorder="1" applyAlignment="1">
      <alignment horizontal="center"/>
    </xf>
    <xf numFmtId="0" fontId="73" fillId="11" borderId="6" xfId="1" applyFont="1" applyFill="1" applyBorder="1" applyAlignment="1">
      <alignment horizontal="center"/>
    </xf>
    <xf numFmtId="0" fontId="73" fillId="11" borderId="2" xfId="1" applyFont="1" applyFill="1" applyBorder="1" applyAlignment="1">
      <alignment horizontal="center"/>
    </xf>
    <xf numFmtId="0" fontId="73" fillId="11" borderId="3" xfId="1" applyFont="1" applyFill="1" applyBorder="1" applyAlignment="1">
      <alignment horizontal="center"/>
    </xf>
    <xf numFmtId="1" fontId="124" fillId="0" borderId="6" xfId="1" applyNumberFormat="1" applyFont="1" applyBorder="1" applyAlignment="1">
      <alignment horizontal="left"/>
    </xf>
    <xf numFmtId="1" fontId="124" fillId="0" borderId="2" xfId="1" applyNumberFormat="1" applyFont="1" applyBorder="1" applyAlignment="1">
      <alignment horizontal="left"/>
    </xf>
    <xf numFmtId="49" fontId="42" fillId="5" borderId="26" xfId="1" applyNumberFormat="1" applyFont="1" applyFill="1" applyBorder="1" applyAlignment="1">
      <alignment horizontal="center" wrapText="1"/>
    </xf>
    <xf numFmtId="49" fontId="42" fillId="5" borderId="33" xfId="1" applyNumberFormat="1" applyFont="1" applyFill="1" applyBorder="1" applyAlignment="1">
      <alignment horizontal="center" wrapText="1"/>
    </xf>
    <xf numFmtId="49" fontId="42" fillId="5" borderId="15" xfId="1" applyNumberFormat="1" applyFont="1" applyFill="1" applyBorder="1" applyAlignment="1">
      <alignment horizontal="center" wrapText="1"/>
    </xf>
    <xf numFmtId="49" fontId="51" fillId="18" borderId="35" xfId="2" applyNumberFormat="1" applyFont="1" applyFill="1" applyBorder="1" applyAlignment="1">
      <alignment horizontal="center" wrapText="1"/>
    </xf>
    <xf numFmtId="1" fontId="166" fillId="0" borderId="2" xfId="1" applyNumberFormat="1" applyFont="1" applyBorder="1" applyAlignment="1">
      <alignment horizontal="right"/>
    </xf>
    <xf numFmtId="1" fontId="166" fillId="0" borderId="3" xfId="1" applyNumberFormat="1" applyFont="1" applyBorder="1" applyAlignment="1">
      <alignment horizontal="right"/>
    </xf>
    <xf numFmtId="1" fontId="166" fillId="0" borderId="6" xfId="1" applyNumberFormat="1" applyFont="1" applyBorder="1" applyAlignment="1">
      <alignment horizontal="left"/>
    </xf>
    <xf numFmtId="1" fontId="166" fillId="0" borderId="2" xfId="1" applyNumberFormat="1" applyFont="1" applyBorder="1" applyAlignment="1">
      <alignment horizontal="left"/>
    </xf>
    <xf numFmtId="2" fontId="49" fillId="17" borderId="7" xfId="1" applyNumberFormat="1" applyFont="1" applyFill="1" applyBorder="1" applyAlignment="1">
      <alignment horizontal="center"/>
    </xf>
    <xf numFmtId="2" fontId="49" fillId="17" borderId="19" xfId="1" applyNumberFormat="1" applyFont="1" applyFill="1" applyBorder="1" applyAlignment="1">
      <alignment horizontal="center"/>
    </xf>
    <xf numFmtId="1" fontId="124" fillId="0" borderId="2" xfId="1" applyNumberFormat="1" applyFont="1" applyBorder="1" applyAlignment="1">
      <alignment horizontal="right"/>
    </xf>
    <xf numFmtId="1" fontId="124" fillId="0" borderId="3" xfId="1" applyNumberFormat="1" applyFont="1" applyBorder="1" applyAlignment="1">
      <alignment horizontal="right"/>
    </xf>
    <xf numFmtId="1" fontId="167" fillId="0" borderId="2" xfId="1" applyNumberFormat="1" applyFont="1" applyBorder="1" applyAlignment="1">
      <alignment horizontal="right"/>
    </xf>
    <xf numFmtId="1" fontId="167" fillId="0" borderId="3" xfId="1" applyNumberFormat="1" applyFont="1" applyBorder="1" applyAlignment="1">
      <alignment horizontal="right"/>
    </xf>
    <xf numFmtId="1" fontId="167" fillId="0" borderId="6" xfId="1" applyNumberFormat="1" applyFont="1" applyBorder="1" applyAlignment="1">
      <alignment horizontal="left"/>
    </xf>
    <xf numFmtId="1" fontId="167" fillId="0" borderId="2" xfId="1" applyNumberFormat="1" applyFont="1" applyBorder="1" applyAlignment="1">
      <alignment horizontal="left"/>
    </xf>
    <xf numFmtId="0" fontId="50" fillId="10" borderId="50" xfId="1" applyFont="1" applyFill="1" applyBorder="1" applyAlignment="1">
      <alignment horizontal="center" vertical="center"/>
    </xf>
    <xf numFmtId="49" fontId="42" fillId="5" borderId="26" xfId="1" applyNumberFormat="1" applyFont="1" applyFill="1" applyBorder="1" applyAlignment="1" applyProtection="1">
      <alignment horizontal="center" wrapText="1"/>
    </xf>
    <xf numFmtId="49" fontId="42" fillId="5" borderId="33" xfId="1" applyNumberFormat="1" applyFont="1" applyFill="1" applyBorder="1" applyAlignment="1" applyProtection="1">
      <alignment horizontal="center" wrapText="1"/>
    </xf>
    <xf numFmtId="49" fontId="42" fillId="5" borderId="15" xfId="1" applyNumberFormat="1" applyFont="1" applyFill="1" applyBorder="1" applyAlignment="1" applyProtection="1">
      <alignment horizontal="center" wrapText="1"/>
    </xf>
    <xf numFmtId="49" fontId="51" fillId="18" borderId="35" xfId="2" applyNumberFormat="1" applyFont="1" applyFill="1" applyBorder="1" applyAlignment="1" applyProtection="1">
      <alignment horizontal="center" wrapText="1"/>
    </xf>
    <xf numFmtId="2" fontId="49" fillId="17" borderId="7" xfId="1" applyNumberFormat="1" applyFont="1" applyFill="1" applyBorder="1" applyAlignment="1" applyProtection="1">
      <alignment horizontal="center"/>
    </xf>
    <xf numFmtId="2" fontId="49" fillId="17" borderId="19" xfId="1" applyNumberFormat="1" applyFont="1" applyFill="1" applyBorder="1" applyAlignment="1" applyProtection="1">
      <alignment horizontal="center"/>
    </xf>
    <xf numFmtId="49" fontId="42" fillId="0" borderId="0" xfId="1" applyNumberFormat="1" applyFont="1" applyFill="1" applyBorder="1" applyAlignment="1" applyProtection="1">
      <alignment horizontal="center" wrapText="1"/>
    </xf>
    <xf numFmtId="2" fontId="49" fillId="17" borderId="9" xfId="1" applyNumberFormat="1" applyFont="1" applyFill="1" applyBorder="1" applyAlignment="1" applyProtection="1">
      <alignment horizontal="center"/>
    </xf>
    <xf numFmtId="2" fontId="49" fillId="17" borderId="24" xfId="1" applyNumberFormat="1" applyFont="1" applyFill="1" applyBorder="1" applyAlignment="1" applyProtection="1">
      <alignment horizontal="center"/>
    </xf>
    <xf numFmtId="1" fontId="51" fillId="0" borderId="2" xfId="1" applyNumberFormat="1" applyFont="1" applyBorder="1" applyAlignment="1" applyProtection="1">
      <alignment horizontal="center"/>
    </xf>
    <xf numFmtId="1" fontId="31" fillId="11" borderId="9" xfId="1" applyNumberFormat="1" applyFont="1" applyFill="1" applyBorder="1" applyAlignment="1" applyProtection="1">
      <alignment horizontal="center"/>
    </xf>
    <xf numFmtId="1" fontId="31" fillId="11" borderId="1" xfId="1" applyNumberFormat="1" applyFont="1" applyFill="1" applyBorder="1" applyAlignment="1" applyProtection="1">
      <alignment horizontal="center"/>
    </xf>
    <xf numFmtId="1" fontId="31" fillId="11" borderId="24" xfId="1" applyNumberFormat="1" applyFont="1" applyFill="1" applyBorder="1" applyAlignment="1" applyProtection="1">
      <alignment horizontal="center"/>
    </xf>
    <xf numFmtId="1" fontId="31" fillId="11" borderId="6" xfId="1" applyNumberFormat="1" applyFont="1" applyFill="1" applyBorder="1" applyAlignment="1" applyProtection="1">
      <alignment horizontal="center"/>
    </xf>
    <xf numFmtId="1" fontId="31" fillId="11" borderId="2" xfId="1" applyNumberFormat="1" applyFont="1" applyFill="1" applyBorder="1" applyAlignment="1" applyProtection="1">
      <alignment horizontal="center"/>
    </xf>
    <xf numFmtId="1" fontId="31" fillId="11" borderId="3" xfId="1" applyNumberFormat="1" applyFont="1" applyFill="1" applyBorder="1" applyAlignment="1" applyProtection="1">
      <alignment horizontal="center"/>
    </xf>
    <xf numFmtId="1" fontId="31" fillId="11" borderId="7" xfId="1" applyNumberFormat="1" applyFont="1" applyFill="1" applyBorder="1" applyAlignment="1" applyProtection="1">
      <alignment horizontal="center"/>
    </xf>
    <xf numFmtId="1" fontId="31" fillId="11" borderId="14" xfId="1" applyNumberFormat="1" applyFont="1" applyFill="1" applyBorder="1" applyAlignment="1" applyProtection="1">
      <alignment horizontal="center"/>
    </xf>
    <xf numFmtId="1" fontId="31" fillId="11" borderId="19" xfId="1" applyNumberFormat="1" applyFont="1" applyFill="1" applyBorder="1" applyAlignment="1" applyProtection="1">
      <alignment horizontal="center"/>
    </xf>
    <xf numFmtId="0" fontId="50" fillId="10" borderId="50" xfId="1" applyFont="1" applyFill="1" applyBorder="1" applyAlignment="1" applyProtection="1">
      <alignment horizontal="center" vertical="center"/>
    </xf>
  </cellXfs>
  <cellStyles count="3">
    <cellStyle name="Normal 2" xfId="2" xr:uid="{00000000-0005-0000-0000-000001000000}"/>
    <cellStyle name="Normal 3" xfId="1" xr:uid="{00000000-0005-0000-0000-000002000000}"/>
    <cellStyle name="Standard" xfId="0" builtinId="0"/>
  </cellStyles>
  <dxfs count="1298">
    <dxf>
      <font>
        <color theme="0" tint="-0.14996795556505021"/>
      </font>
      <fill>
        <patternFill>
          <bgColor theme="0" tint="-0.14996795556505021"/>
        </patternFill>
      </fill>
    </dxf>
    <dxf>
      <font>
        <b/>
        <i val="0"/>
        <color rgb="FF00B050"/>
      </font>
    </dxf>
    <dxf>
      <fill>
        <patternFill patternType="none">
          <bgColor auto="1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indexed="23"/>
      </font>
      <fill>
        <patternFill>
          <bgColor indexed="55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ndense val="0"/>
        <extend val="0"/>
        <color auto="1"/>
      </font>
    </dxf>
    <dxf>
      <font>
        <color theme="0" tint="-4.9989318521683403E-2"/>
      </font>
    </dxf>
    <dxf>
      <font>
        <condense val="0"/>
        <extend val="0"/>
        <color indexed="9"/>
      </font>
    </dxf>
    <dxf>
      <fill>
        <patternFill>
          <bgColor indexed="10"/>
        </patternFill>
      </fill>
    </dxf>
    <dxf>
      <font>
        <color theme="0" tint="-0.14996795556505021"/>
      </font>
      <fill>
        <patternFill>
          <bgColor theme="0" tint="-0.14996795556505021"/>
        </patternFill>
      </fill>
    </dxf>
    <dxf>
      <font>
        <b/>
        <i val="0"/>
        <color rgb="FF00B050"/>
      </font>
    </dxf>
    <dxf>
      <fill>
        <patternFill patternType="none">
          <bgColor auto="1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ndense val="0"/>
        <extend val="0"/>
        <color auto="1"/>
      </font>
    </dxf>
    <dxf>
      <font>
        <color theme="0" tint="-4.9989318521683403E-2"/>
      </font>
    </dxf>
    <dxf>
      <font>
        <condense val="0"/>
        <extend val="0"/>
        <color indexed="9"/>
      </font>
    </dxf>
    <dxf>
      <fill>
        <patternFill>
          <bgColor indexed="10"/>
        </patternFill>
      </fill>
    </dxf>
    <dxf>
      <font>
        <color theme="0" tint="-0.14996795556505021"/>
      </font>
      <fill>
        <patternFill>
          <bgColor theme="0" tint="-0.14996795556505021"/>
        </patternFill>
      </fill>
    </dxf>
    <dxf>
      <fill>
        <patternFill>
          <bgColor rgb="FFFF0000"/>
        </patternFill>
      </fill>
    </dxf>
    <dxf>
      <font>
        <b/>
        <i val="0"/>
        <color rgb="FF00B050"/>
      </font>
    </dxf>
    <dxf>
      <fill>
        <patternFill patternType="none">
          <bgColor auto="1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24994659260841701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auto="1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ndense val="0"/>
        <extend val="0"/>
        <color indexed="9"/>
      </font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14996795556505021"/>
      </font>
      <fill>
        <patternFill>
          <bgColor theme="0" tint="-0.14996795556505021"/>
        </patternFill>
      </fill>
    </dxf>
    <dxf>
      <fill>
        <patternFill>
          <bgColor rgb="FFFF0000"/>
        </patternFill>
      </fill>
    </dxf>
    <dxf>
      <font>
        <b/>
        <i val="0"/>
        <color rgb="FF00B050"/>
      </font>
    </dxf>
    <dxf>
      <fill>
        <patternFill patternType="none">
          <bgColor auto="1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auto="1"/>
      </font>
    </dxf>
    <dxf>
      <font>
        <color theme="0" tint="-4.9989318521683403E-2"/>
      </font>
      <fill>
        <patternFill patternType="solid">
          <bgColor theme="0" tint="-4.9989318521683403E-2"/>
        </patternFill>
      </fill>
    </dxf>
    <dxf>
      <font>
        <condense val="0"/>
        <extend val="0"/>
        <color indexed="9"/>
      </font>
    </dxf>
    <dxf>
      <fill>
        <patternFill>
          <bgColor indexed="10"/>
        </patternFill>
      </fill>
    </dxf>
    <dxf>
      <font>
        <color theme="0" tint="-0.14996795556505021"/>
      </font>
      <fill>
        <patternFill>
          <bgColor theme="0" tint="-0.14996795556505021"/>
        </patternFill>
      </fill>
    </dxf>
    <dxf>
      <fill>
        <patternFill>
          <bgColor rgb="FFFF0000"/>
        </patternFill>
      </fill>
    </dxf>
    <dxf>
      <font>
        <b/>
        <i val="0"/>
        <color rgb="FF00B050"/>
      </font>
    </dxf>
    <dxf>
      <fill>
        <patternFill patternType="none">
          <bgColor auto="1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auto="1"/>
      </font>
    </dxf>
    <dxf>
      <font>
        <color theme="0" tint="-4.9989318521683403E-2"/>
      </font>
      <fill>
        <patternFill patternType="solid">
          <bgColor theme="0" tint="-4.9989318521683403E-2"/>
        </patternFill>
      </fill>
    </dxf>
    <dxf>
      <font>
        <condense val="0"/>
        <extend val="0"/>
        <color indexed="9"/>
      </font>
    </dxf>
    <dxf>
      <fill>
        <patternFill>
          <bgColor indexed="10"/>
        </patternFill>
      </fill>
    </dxf>
    <dxf>
      <font>
        <color theme="0" tint="-0.14996795556505021"/>
      </font>
      <fill>
        <patternFill>
          <bgColor theme="0" tint="-0.14996795556505021"/>
        </patternFill>
      </fill>
    </dxf>
    <dxf>
      <fill>
        <patternFill patternType="none">
          <bgColor auto="1"/>
        </patternFill>
      </fill>
    </dxf>
    <dxf>
      <font>
        <b/>
        <i val="0"/>
        <color rgb="FF00B050"/>
      </font>
      <fill>
        <patternFill patternType="none">
          <bgColor auto="1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ndense val="0"/>
        <extend val="0"/>
        <color auto="1"/>
      </font>
    </dxf>
    <dxf>
      <fill>
        <patternFill>
          <bgColor indexed="29"/>
        </patternFill>
      </fill>
    </dxf>
    <dxf>
      <font>
        <color theme="0" tint="-0.14996795556505021"/>
      </font>
      <fill>
        <patternFill>
          <bgColor theme="0" tint="-0.14996795556505021"/>
        </patternFill>
      </fill>
    </dxf>
    <dxf>
      <fill>
        <patternFill>
          <bgColor rgb="FFFF0000"/>
        </patternFill>
      </fill>
    </dxf>
    <dxf>
      <font>
        <b/>
        <i val="0"/>
        <color rgb="FF00B050"/>
      </font>
    </dxf>
    <dxf>
      <fill>
        <patternFill patternType="none">
          <bgColor auto="1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24994659260841701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auto="1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ndense val="0"/>
        <extend val="0"/>
        <color indexed="9"/>
      </font>
    </dxf>
    <dxf>
      <fill>
        <patternFill>
          <bgColor indexed="10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ndense val="0"/>
        <extend val="0"/>
        <color auto="1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24994659260841701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auto="1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ndense val="0"/>
        <extend val="0"/>
        <color indexed="9"/>
      </font>
    </dxf>
    <dxf>
      <fill>
        <patternFill>
          <bgColor indexed="10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ndense val="0"/>
        <extend val="0"/>
        <color auto="1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24994659260841701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auto="1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ndense val="0"/>
        <extend val="0"/>
        <color indexed="9"/>
      </font>
    </dxf>
    <dxf>
      <fill>
        <patternFill>
          <bgColor indexed="1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00B0F0"/>
      </font>
      <fill>
        <patternFill patternType="none">
          <bgColor auto="1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auto="1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ndense val="0"/>
        <extend val="0"/>
        <color indexed="9"/>
      </font>
    </dxf>
    <dxf>
      <fill>
        <patternFill>
          <bgColor indexed="1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00B0F0"/>
      </font>
      <fill>
        <patternFill patternType="none">
          <bgColor auto="1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auto="1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ndense val="0"/>
        <extend val="0"/>
        <color indexed="9"/>
      </font>
    </dxf>
    <dxf>
      <fill>
        <patternFill>
          <bgColor indexed="10"/>
        </patternFill>
      </fill>
    </dxf>
    <dxf>
      <font>
        <color theme="0" tint="-0.14996795556505021"/>
      </font>
      <fill>
        <patternFill>
          <bgColor theme="0" tint="-0.14996795556505021"/>
        </patternFill>
      </fill>
    </dxf>
    <dxf>
      <fill>
        <patternFill>
          <bgColor rgb="FFFF0000"/>
        </patternFill>
      </fill>
    </dxf>
    <dxf>
      <font>
        <b/>
        <i val="0"/>
        <color rgb="FF00B050"/>
      </font>
    </dxf>
    <dxf>
      <fill>
        <patternFill patternType="none">
          <bgColor auto="1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auto="1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ndense val="0"/>
        <extend val="0"/>
        <color indexed="9"/>
      </font>
    </dxf>
    <dxf>
      <fill>
        <patternFill>
          <bgColor indexed="10"/>
        </patternFill>
      </fill>
    </dxf>
    <dxf>
      <font>
        <color theme="0" tint="-0.14996795556505021"/>
      </font>
      <fill>
        <patternFill>
          <bgColor theme="0" tint="-0.14996795556505021"/>
        </patternFill>
      </fill>
    </dxf>
    <dxf>
      <fill>
        <patternFill>
          <bgColor rgb="FFFF0000"/>
        </patternFill>
      </fill>
    </dxf>
    <dxf>
      <font>
        <b/>
        <i val="0"/>
        <color rgb="FF00B050"/>
      </font>
    </dxf>
    <dxf>
      <fill>
        <patternFill patternType="none">
          <bgColor auto="1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ndense val="0"/>
        <extend val="0"/>
        <color auto="1"/>
      </font>
    </dxf>
    <dxf>
      <fill>
        <patternFill>
          <bgColor indexed="29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ont>
        <color theme="0" tint="-0.14996795556505021"/>
      </font>
      <fill>
        <patternFill>
          <bgColor theme="0" tint="-0.14996795556505021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C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rgb="FFFF0000"/>
        </patternFill>
      </fill>
    </dxf>
    <dxf>
      <fill>
        <patternFill>
          <bgColor indexed="10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C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C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color theme="0" tint="-0.14996795556505021"/>
      </font>
      <fill>
        <patternFill>
          <bgColor theme="0" tint="-0.14996795556505021"/>
        </patternFill>
      </fill>
    </dxf>
    <dxf>
      <fill>
        <patternFill>
          <bgColor rgb="FFFF0000"/>
        </patternFill>
      </fill>
    </dxf>
    <dxf>
      <font>
        <b/>
        <i val="0"/>
        <color rgb="FF00B050"/>
      </font>
    </dxf>
    <dxf>
      <fill>
        <patternFill patternType="none">
          <bgColor auto="1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rgb="FFFF0000"/>
        </patternFill>
      </fill>
    </dxf>
    <dxf>
      <fill>
        <patternFill>
          <bgColor indexed="10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auto="1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ndense val="0"/>
        <extend val="0"/>
        <color indexed="9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14996795556505021"/>
      </font>
      <fill>
        <patternFill>
          <bgColor theme="0" tint="-0.14996795556505021"/>
        </patternFill>
      </fill>
    </dxf>
    <dxf>
      <fill>
        <patternFill>
          <bgColor rgb="FFFF0000"/>
        </patternFill>
      </fill>
    </dxf>
    <dxf>
      <font>
        <b/>
        <i val="0"/>
        <color rgb="FF00B050"/>
      </font>
    </dxf>
    <dxf>
      <fill>
        <patternFill patternType="none">
          <bgColor auto="1"/>
        </patternFill>
      </fill>
    </dxf>
    <dxf>
      <fill>
        <patternFill>
          <bgColor indexed="1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auto="1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ndense val="0"/>
        <extend val="0"/>
        <color indexed="9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</dxfs>
  <tableStyles count="0" defaultTableStyle="TableStyleMedium9" defaultPivotStyle="PivotStyleLight16"/>
  <colors>
    <mruColors>
      <color rgb="FF0000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g"/><Relationship Id="rId2" Type="http://schemas.openxmlformats.org/officeDocument/2006/relationships/image" Target="../media/image6.jpg"/><Relationship Id="rId1" Type="http://schemas.openxmlformats.org/officeDocument/2006/relationships/image" Target="../media/image5.jp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jpg"/><Relationship Id="rId2" Type="http://schemas.openxmlformats.org/officeDocument/2006/relationships/image" Target="../media/image9.jpg"/><Relationship Id="rId1" Type="http://schemas.openxmlformats.org/officeDocument/2006/relationships/image" Target="../media/image8.jp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jpeg"/><Relationship Id="rId1" Type="http://schemas.openxmlformats.org/officeDocument/2006/relationships/image" Target="../media/image1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jpeg"/><Relationship Id="rId1" Type="http://schemas.openxmlformats.org/officeDocument/2006/relationships/image" Target="../media/image1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g"/><Relationship Id="rId2" Type="http://schemas.openxmlformats.org/officeDocument/2006/relationships/image" Target="../media/image6.jpg"/><Relationship Id="rId1" Type="http://schemas.openxmlformats.org/officeDocument/2006/relationships/image" Target="../media/image5.jp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g"/><Relationship Id="rId2" Type="http://schemas.openxmlformats.org/officeDocument/2006/relationships/image" Target="../media/image6.jpg"/><Relationship Id="rId1" Type="http://schemas.openxmlformats.org/officeDocument/2006/relationships/image" Target="../media/image5.jp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jpg"/><Relationship Id="rId2" Type="http://schemas.openxmlformats.org/officeDocument/2006/relationships/image" Target="../media/image6.jpg"/><Relationship Id="rId1" Type="http://schemas.openxmlformats.org/officeDocument/2006/relationships/image" Target="../media/image5.jp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jpg"/><Relationship Id="rId2" Type="http://schemas.openxmlformats.org/officeDocument/2006/relationships/image" Target="../media/image6.jpg"/><Relationship Id="rId1" Type="http://schemas.openxmlformats.org/officeDocument/2006/relationships/image" Target="../media/image5.jp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jpeg"/><Relationship Id="rId1" Type="http://schemas.openxmlformats.org/officeDocument/2006/relationships/image" Target="../media/image1.jpe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jpg"/><Relationship Id="rId1" Type="http://schemas.openxmlformats.org/officeDocument/2006/relationships/image" Target="../media/image1.jpe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jpeg"/><Relationship Id="rId1" Type="http://schemas.openxmlformats.org/officeDocument/2006/relationships/image" Target="../media/image1.jpe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jpg"/><Relationship Id="rId1" Type="http://schemas.openxmlformats.org/officeDocument/2006/relationships/image" Target="../media/image1.jpe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jpg"/><Relationship Id="rId1" Type="http://schemas.openxmlformats.org/officeDocument/2006/relationships/image" Target="../media/image1.jpe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jpeg"/><Relationship Id="rId1" Type="http://schemas.openxmlformats.org/officeDocument/2006/relationships/image" Target="../media/image22.jpe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jpeg"/><Relationship Id="rId1" Type="http://schemas.openxmlformats.org/officeDocument/2006/relationships/image" Target="../media/image2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54</xdr:col>
      <xdr:colOff>29068</xdr:colOff>
      <xdr:row>109</xdr:row>
      <xdr:rowOff>88335</xdr:rowOff>
    </xdr:from>
    <xdr:to>
      <xdr:col>120</xdr:col>
      <xdr:colOff>55459</xdr:colOff>
      <xdr:row>114</xdr:row>
      <xdr:rowOff>171849</xdr:rowOff>
    </xdr:to>
    <xdr:pic>
      <xdr:nvPicPr>
        <xdr:cNvPr id="4" name="Picture 3" descr="FR VR stiker+exbar.jp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099841" y="5422335"/>
          <a:ext cx="15612755" cy="1504623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twoCellAnchor>
  <xdr:twoCellAnchor editAs="oneCell">
    <xdr:from>
      <xdr:col>0</xdr:col>
      <xdr:colOff>86591</xdr:colOff>
      <xdr:row>48</xdr:row>
      <xdr:rowOff>69272</xdr:rowOff>
    </xdr:from>
    <xdr:to>
      <xdr:col>22</xdr:col>
      <xdr:colOff>848590</xdr:colOff>
      <xdr:row>89</xdr:row>
      <xdr:rowOff>118640</xdr:rowOff>
    </xdr:to>
    <xdr:pic>
      <xdr:nvPicPr>
        <xdr:cNvPr id="1506" name="Picture 4" descr="ViRAY.jpg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86591" y="69272"/>
          <a:ext cx="6425044" cy="3478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53</xdr:col>
      <xdr:colOff>2785341</xdr:colOff>
      <xdr:row>109</xdr:row>
      <xdr:rowOff>116898</xdr:rowOff>
    </xdr:from>
    <xdr:to>
      <xdr:col>82</xdr:col>
      <xdr:colOff>0</xdr:colOff>
      <xdr:row>114</xdr:row>
      <xdr:rowOff>509145</xdr:rowOff>
    </xdr:to>
    <xdr:pic>
      <xdr:nvPicPr>
        <xdr:cNvPr id="2" name="Picture 1" descr="FRT VR stiker+exbar.jpg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01341" y="5398943"/>
          <a:ext cx="14610773" cy="1535248"/>
        </a:xfrm>
        <a:prstGeom prst="rect">
          <a:avLst/>
        </a:prstGeom>
      </xdr:spPr>
    </xdr:pic>
    <xdr:clientData/>
  </xdr:twoCellAnchor>
  <xdr:twoCellAnchor editAs="oneCell">
    <xdr:from>
      <xdr:col>1</xdr:col>
      <xdr:colOff>17318</xdr:colOff>
      <xdr:row>48</xdr:row>
      <xdr:rowOff>69273</xdr:rowOff>
    </xdr:from>
    <xdr:to>
      <xdr:col>22</xdr:col>
      <xdr:colOff>377316</xdr:colOff>
      <xdr:row>87</xdr:row>
      <xdr:rowOff>175657</xdr:rowOff>
    </xdr:to>
    <xdr:pic>
      <xdr:nvPicPr>
        <xdr:cNvPr id="3" name="Picture 2" descr="pics.jp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5136" y="69273"/>
          <a:ext cx="6836998" cy="329292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52</xdr:col>
      <xdr:colOff>2848844</xdr:colOff>
      <xdr:row>124</xdr:row>
      <xdr:rowOff>62781</xdr:rowOff>
    </xdr:from>
    <xdr:to>
      <xdr:col>90</xdr:col>
      <xdr:colOff>138548</xdr:colOff>
      <xdr:row>124</xdr:row>
      <xdr:rowOff>2078183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23526" y="6539781"/>
          <a:ext cx="18140794" cy="2015402"/>
        </a:xfrm>
        <a:prstGeom prst="rect">
          <a:avLst/>
        </a:prstGeom>
      </xdr:spPr>
    </xdr:pic>
    <xdr:clientData/>
  </xdr:twoCellAnchor>
  <xdr:twoCellAnchor editAs="oneCell">
    <xdr:from>
      <xdr:col>52</xdr:col>
      <xdr:colOff>2861602</xdr:colOff>
      <xdr:row>130</xdr:row>
      <xdr:rowOff>99581</xdr:rowOff>
    </xdr:from>
    <xdr:to>
      <xdr:col>90</xdr:col>
      <xdr:colOff>103909</xdr:colOff>
      <xdr:row>132</xdr:row>
      <xdr:rowOff>381000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36284" y="10299990"/>
          <a:ext cx="18093397" cy="1874692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48</xdr:row>
      <xdr:rowOff>329046</xdr:rowOff>
    </xdr:from>
    <xdr:to>
      <xdr:col>39</xdr:col>
      <xdr:colOff>76830</xdr:colOff>
      <xdr:row>79</xdr:row>
      <xdr:rowOff>467591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329046"/>
          <a:ext cx="9030330" cy="4572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52</xdr:col>
      <xdr:colOff>2836718</xdr:colOff>
      <xdr:row>123</xdr:row>
      <xdr:rowOff>86591</xdr:rowOff>
    </xdr:from>
    <xdr:to>
      <xdr:col>90</xdr:col>
      <xdr:colOff>170150</xdr:colOff>
      <xdr:row>123</xdr:row>
      <xdr:rowOff>1961735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36536" y="5732318"/>
          <a:ext cx="18184523" cy="1875144"/>
        </a:xfrm>
        <a:prstGeom prst="rect">
          <a:avLst/>
        </a:prstGeom>
      </xdr:spPr>
    </xdr:pic>
    <xdr:clientData/>
  </xdr:twoCellAnchor>
  <xdr:twoCellAnchor editAs="oneCell">
    <xdr:from>
      <xdr:col>52</xdr:col>
      <xdr:colOff>2840182</xdr:colOff>
      <xdr:row>134</xdr:row>
      <xdr:rowOff>99583</xdr:rowOff>
    </xdr:from>
    <xdr:to>
      <xdr:col>90</xdr:col>
      <xdr:colOff>91354</xdr:colOff>
      <xdr:row>136</xdr:row>
      <xdr:rowOff>320886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0" y="8810628"/>
          <a:ext cx="18102263" cy="1814575"/>
        </a:xfrm>
        <a:prstGeom prst="rect">
          <a:avLst/>
        </a:prstGeom>
      </xdr:spPr>
    </xdr:pic>
    <xdr:clientData/>
  </xdr:twoCellAnchor>
  <xdr:twoCellAnchor editAs="oneCell">
    <xdr:from>
      <xdr:col>0</xdr:col>
      <xdr:colOff>121225</xdr:colOff>
      <xdr:row>48</xdr:row>
      <xdr:rowOff>502226</xdr:rowOff>
    </xdr:from>
    <xdr:to>
      <xdr:col>39</xdr:col>
      <xdr:colOff>711657</xdr:colOff>
      <xdr:row>80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25" y="502226"/>
          <a:ext cx="9803705" cy="502227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52</xdr:col>
      <xdr:colOff>72035</xdr:colOff>
      <xdr:row>91</xdr:row>
      <xdr:rowOff>115661</xdr:rowOff>
    </xdr:from>
    <xdr:to>
      <xdr:col>100</xdr:col>
      <xdr:colOff>29882</xdr:colOff>
      <xdr:row>105</xdr:row>
      <xdr:rowOff>263495</xdr:rowOff>
    </xdr:to>
    <xdr:pic>
      <xdr:nvPicPr>
        <xdr:cNvPr id="6" name="Picture 5" descr="FR VR stiker+exbar.jpg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95106" y="4755697"/>
          <a:ext cx="13592205" cy="1467727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twoCellAnchor>
  <xdr:twoCellAnchor editAs="oneCell">
    <xdr:from>
      <xdr:col>1</xdr:col>
      <xdr:colOff>140644</xdr:colOff>
      <xdr:row>25</xdr:row>
      <xdr:rowOff>217714</xdr:rowOff>
    </xdr:from>
    <xdr:to>
      <xdr:col>39</xdr:col>
      <xdr:colOff>408213</xdr:colOff>
      <xdr:row>66</xdr:row>
      <xdr:rowOff>110474</xdr:rowOff>
    </xdr:to>
    <xdr:pic>
      <xdr:nvPicPr>
        <xdr:cNvPr id="2818" name="Picture 6" descr="SCV F.jpg">
          <a:extLst>
            <a:ext uri="{FF2B5EF4-FFF2-40B4-BE49-F238E27FC236}">
              <a16:creationId xmlns:a16="http://schemas.microsoft.com/office/drawing/2014/main" id="{00000000-0008-0000-04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371965" y="217714"/>
          <a:ext cx="5696819" cy="29135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67</xdr:col>
      <xdr:colOff>10533</xdr:colOff>
      <xdr:row>95</xdr:row>
      <xdr:rowOff>103910</xdr:rowOff>
    </xdr:from>
    <xdr:to>
      <xdr:col>119</xdr:col>
      <xdr:colOff>77645</xdr:colOff>
      <xdr:row>98</xdr:row>
      <xdr:rowOff>127499</xdr:rowOff>
    </xdr:to>
    <xdr:pic>
      <xdr:nvPicPr>
        <xdr:cNvPr id="4" name="Picture 3" descr="FR VR stiker+exbar.jpg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548897" y="4693228"/>
          <a:ext cx="15653474" cy="1512951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twoCellAnchor>
  <xdr:twoCellAnchor editAs="oneCell">
    <xdr:from>
      <xdr:col>1</xdr:col>
      <xdr:colOff>228187</xdr:colOff>
      <xdr:row>24</xdr:row>
      <xdr:rowOff>108857</xdr:rowOff>
    </xdr:from>
    <xdr:to>
      <xdr:col>3</xdr:col>
      <xdr:colOff>2027464</xdr:colOff>
      <xdr:row>65</xdr:row>
      <xdr:rowOff>158284</xdr:rowOff>
    </xdr:to>
    <xdr:pic>
      <xdr:nvPicPr>
        <xdr:cNvPr id="3832" name="Picture 4" descr="SCV F_ViRAY.jpg">
          <a:extLst>
            <a:ext uri="{FF2B5EF4-FFF2-40B4-BE49-F238E27FC236}">
              <a16:creationId xmlns:a16="http://schemas.microsoft.com/office/drawing/2014/main" id="{00000000-0008-0000-0500-0000F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337044" y="108857"/>
          <a:ext cx="4479884" cy="2893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67</xdr:col>
      <xdr:colOff>2869186</xdr:colOff>
      <xdr:row>99</xdr:row>
      <xdr:rowOff>62779</xdr:rowOff>
    </xdr:from>
    <xdr:to>
      <xdr:col>105</xdr:col>
      <xdr:colOff>173181</xdr:colOff>
      <xdr:row>99</xdr:row>
      <xdr:rowOff>2008910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42141" y="6834188"/>
          <a:ext cx="18155086" cy="1946131"/>
        </a:xfrm>
        <a:prstGeom prst="rect">
          <a:avLst/>
        </a:prstGeom>
      </xdr:spPr>
    </xdr:pic>
    <xdr:clientData/>
  </xdr:twoCellAnchor>
  <xdr:twoCellAnchor editAs="oneCell">
    <xdr:from>
      <xdr:col>67</xdr:col>
      <xdr:colOff>2849704</xdr:colOff>
      <xdr:row>102</xdr:row>
      <xdr:rowOff>117330</xdr:rowOff>
    </xdr:from>
    <xdr:to>
      <xdr:col>105</xdr:col>
      <xdr:colOff>86590</xdr:colOff>
      <xdr:row>106</xdr:row>
      <xdr:rowOff>17319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22659" y="10283103"/>
          <a:ext cx="18087977" cy="1978170"/>
        </a:xfrm>
        <a:prstGeom prst="rect">
          <a:avLst/>
        </a:prstGeom>
      </xdr:spPr>
    </xdr:pic>
    <xdr:clientData/>
  </xdr:twoCellAnchor>
  <xdr:twoCellAnchor editAs="oneCell">
    <xdr:from>
      <xdr:col>1</xdr:col>
      <xdr:colOff>93086</xdr:colOff>
      <xdr:row>24</xdr:row>
      <xdr:rowOff>387494</xdr:rowOff>
    </xdr:from>
    <xdr:to>
      <xdr:col>51</xdr:col>
      <xdr:colOff>246156</xdr:colOff>
      <xdr:row>60</xdr:row>
      <xdr:rowOff>398318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995" y="387494"/>
          <a:ext cx="10007116" cy="629732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68</xdr:col>
      <xdr:colOff>29006</xdr:colOff>
      <xdr:row>99</xdr:row>
      <xdr:rowOff>97415</xdr:rowOff>
    </xdr:from>
    <xdr:to>
      <xdr:col>105</xdr:col>
      <xdr:colOff>103909</xdr:colOff>
      <xdr:row>100</xdr:row>
      <xdr:rowOff>34637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55006" y="6747597"/>
          <a:ext cx="18016539" cy="1807585"/>
        </a:xfrm>
        <a:prstGeom prst="rect">
          <a:avLst/>
        </a:prstGeom>
      </xdr:spPr>
    </xdr:pic>
    <xdr:clientData/>
  </xdr:twoCellAnchor>
  <xdr:twoCellAnchor editAs="oneCell">
    <xdr:from>
      <xdr:col>67</xdr:col>
      <xdr:colOff>2884340</xdr:colOff>
      <xdr:row>103</xdr:row>
      <xdr:rowOff>100010</xdr:rowOff>
    </xdr:from>
    <xdr:to>
      <xdr:col>105</xdr:col>
      <xdr:colOff>103908</xdr:colOff>
      <xdr:row>106</xdr:row>
      <xdr:rowOff>329046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00885" y="10473601"/>
          <a:ext cx="18070659" cy="19088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245919</xdr:rowOff>
    </xdr:from>
    <xdr:to>
      <xdr:col>52</xdr:col>
      <xdr:colOff>7587</xdr:colOff>
      <xdr:row>59</xdr:row>
      <xdr:rowOff>155863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5919"/>
          <a:ext cx="9844314" cy="579812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65</xdr:col>
      <xdr:colOff>2842344</xdr:colOff>
      <xdr:row>61</xdr:row>
      <xdr:rowOff>110404</xdr:rowOff>
    </xdr:from>
    <xdr:to>
      <xdr:col>103</xdr:col>
      <xdr:colOff>190498</xdr:colOff>
      <xdr:row>102</xdr:row>
      <xdr:rowOff>335953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14753" y="7280131"/>
          <a:ext cx="18199245" cy="1836140"/>
        </a:xfrm>
        <a:prstGeom prst="rect">
          <a:avLst/>
        </a:prstGeom>
      </xdr:spPr>
    </xdr:pic>
    <xdr:clientData/>
  </xdr:twoCellAnchor>
  <xdr:twoCellAnchor editAs="oneCell">
    <xdr:from>
      <xdr:col>66</xdr:col>
      <xdr:colOff>28141</xdr:colOff>
      <xdr:row>105</xdr:row>
      <xdr:rowOff>106507</xdr:rowOff>
    </xdr:from>
    <xdr:to>
      <xdr:col>103</xdr:col>
      <xdr:colOff>207818</xdr:colOff>
      <xdr:row>110</xdr:row>
      <xdr:rowOff>69272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10005" y="10358871"/>
          <a:ext cx="18121313" cy="1954356"/>
        </a:xfrm>
        <a:prstGeom prst="rect">
          <a:avLst/>
        </a:prstGeom>
      </xdr:spPr>
    </xdr:pic>
    <xdr:clientData/>
  </xdr:twoCellAnchor>
  <xdr:twoCellAnchor editAs="oneCell">
    <xdr:from>
      <xdr:col>0</xdr:col>
      <xdr:colOff>69273</xdr:colOff>
      <xdr:row>25</xdr:row>
      <xdr:rowOff>51955</xdr:rowOff>
    </xdr:from>
    <xdr:to>
      <xdr:col>52</xdr:col>
      <xdr:colOff>637978</xdr:colOff>
      <xdr:row>60</xdr:row>
      <xdr:rowOff>519546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3" y="311728"/>
          <a:ext cx="9660750" cy="6459682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65</xdr:col>
      <xdr:colOff>2842345</xdr:colOff>
      <xdr:row>99</xdr:row>
      <xdr:rowOff>110408</xdr:rowOff>
    </xdr:from>
    <xdr:to>
      <xdr:col>103</xdr:col>
      <xdr:colOff>138545</xdr:colOff>
      <xdr:row>102</xdr:row>
      <xdr:rowOff>434624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95754" y="8059453"/>
          <a:ext cx="18147291" cy="1830898"/>
        </a:xfrm>
        <a:prstGeom prst="rect">
          <a:avLst/>
        </a:prstGeom>
      </xdr:spPr>
    </xdr:pic>
    <xdr:clientData/>
  </xdr:twoCellAnchor>
  <xdr:twoCellAnchor editAs="oneCell">
    <xdr:from>
      <xdr:col>65</xdr:col>
      <xdr:colOff>2851007</xdr:colOff>
      <xdr:row>105</xdr:row>
      <xdr:rowOff>106508</xdr:rowOff>
    </xdr:from>
    <xdr:to>
      <xdr:col>103</xdr:col>
      <xdr:colOff>138546</xdr:colOff>
      <xdr:row>109</xdr:row>
      <xdr:rowOff>242455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49098" y="10220326"/>
          <a:ext cx="18138630" cy="2040947"/>
        </a:xfrm>
        <a:prstGeom prst="rect">
          <a:avLst/>
        </a:prstGeom>
      </xdr:spPr>
    </xdr:pic>
    <xdr:clientData/>
  </xdr:twoCellAnchor>
  <xdr:twoCellAnchor editAs="oneCell">
    <xdr:from>
      <xdr:col>1</xdr:col>
      <xdr:colOff>340300</xdr:colOff>
      <xdr:row>25</xdr:row>
      <xdr:rowOff>51954</xdr:rowOff>
    </xdr:from>
    <xdr:to>
      <xdr:col>52</xdr:col>
      <xdr:colOff>765792</xdr:colOff>
      <xdr:row>60</xdr:row>
      <xdr:rowOff>380999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209" y="311727"/>
          <a:ext cx="9032628" cy="613063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68</xdr:col>
      <xdr:colOff>44532</xdr:colOff>
      <xdr:row>96</xdr:row>
      <xdr:rowOff>129886</xdr:rowOff>
    </xdr:from>
    <xdr:to>
      <xdr:col>127</xdr:col>
      <xdr:colOff>51955</xdr:colOff>
      <xdr:row>99</xdr:row>
      <xdr:rowOff>42927</xdr:rowOff>
    </xdr:to>
    <xdr:pic>
      <xdr:nvPicPr>
        <xdr:cNvPr id="2" name="Picture 1" descr="FR VR stiker+exbar.jpg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080668" y="5498522"/>
          <a:ext cx="14554695" cy="1437041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twoCellAnchor>
  <xdr:twoCellAnchor editAs="oneCell">
    <xdr:from>
      <xdr:col>1</xdr:col>
      <xdr:colOff>389864</xdr:colOff>
      <xdr:row>0</xdr:row>
      <xdr:rowOff>0</xdr:rowOff>
    </xdr:from>
    <xdr:to>
      <xdr:col>4</xdr:col>
      <xdr:colOff>1731818</xdr:colOff>
      <xdr:row>65</xdr:row>
      <xdr:rowOff>249682</xdr:rowOff>
    </xdr:to>
    <xdr:pic>
      <xdr:nvPicPr>
        <xdr:cNvPr id="13503" name="Picture 8" descr="ViRAY_SCV F_ViRAY.jpg">
          <a:extLst>
            <a:ext uri="{FF2B5EF4-FFF2-40B4-BE49-F238E27FC236}">
              <a16:creationId xmlns:a16="http://schemas.microsoft.com/office/drawing/2014/main" id="{00000000-0008-0000-0A00-0000BF3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493773" y="0"/>
          <a:ext cx="4978772" cy="3315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52</xdr:col>
      <xdr:colOff>287</xdr:colOff>
      <xdr:row>91</xdr:row>
      <xdr:rowOff>116897</xdr:rowOff>
    </xdr:from>
    <xdr:ext cx="13641685" cy="1481334"/>
    <xdr:pic>
      <xdr:nvPicPr>
        <xdr:cNvPr id="2" name="Picture 1" descr="FR VR stiker+exbar.jpg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01242" y="5121852"/>
          <a:ext cx="13641685" cy="1481334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oneCellAnchor>
  <xdr:oneCellAnchor>
    <xdr:from>
      <xdr:col>0</xdr:col>
      <xdr:colOff>0</xdr:colOff>
      <xdr:row>0</xdr:row>
      <xdr:rowOff>0</xdr:rowOff>
    </xdr:from>
    <xdr:ext cx="6022179" cy="3224238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6022179" cy="3224238"/>
        </a:xfrm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66</xdr:col>
      <xdr:colOff>2912564</xdr:colOff>
      <xdr:row>95</xdr:row>
      <xdr:rowOff>121227</xdr:rowOff>
    </xdr:from>
    <xdr:ext cx="15653475" cy="1512951"/>
    <xdr:pic>
      <xdr:nvPicPr>
        <xdr:cNvPr id="2" name="Picture 1" descr="FR VR stiker+exbar.jpg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905155" y="5074227"/>
          <a:ext cx="15653475" cy="1512951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oneCellAnchor>
  <xdr:oneCellAnchor>
    <xdr:from>
      <xdr:col>1</xdr:col>
      <xdr:colOff>346364</xdr:colOff>
      <xdr:row>24</xdr:row>
      <xdr:rowOff>86591</xdr:rowOff>
    </xdr:from>
    <xdr:ext cx="4831773" cy="2938227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273" y="86591"/>
          <a:ext cx="4831773" cy="2938227"/>
        </a:xfrm>
        <a:prstGeom prst="rect">
          <a:avLst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67</xdr:col>
      <xdr:colOff>37746</xdr:colOff>
      <xdr:row>96</xdr:row>
      <xdr:rowOff>155863</xdr:rowOff>
    </xdr:from>
    <xdr:ext cx="15653475" cy="1512951"/>
    <xdr:pic>
      <xdr:nvPicPr>
        <xdr:cNvPr id="2" name="Picture 1" descr="FR VR stiker+exbar.jpg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991746" y="5195454"/>
          <a:ext cx="15653475" cy="1512951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oneCellAnchor>
  <xdr:twoCellAnchor editAs="oneCell">
    <xdr:from>
      <xdr:col>1</xdr:col>
      <xdr:colOff>272143</xdr:colOff>
      <xdr:row>24</xdr:row>
      <xdr:rowOff>81642</xdr:rowOff>
    </xdr:from>
    <xdr:to>
      <xdr:col>4</xdr:col>
      <xdr:colOff>1088573</xdr:colOff>
      <xdr:row>66</xdr:row>
      <xdr:rowOff>65328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81642"/>
          <a:ext cx="4463144" cy="289437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68</xdr:col>
      <xdr:colOff>22142</xdr:colOff>
      <xdr:row>96</xdr:row>
      <xdr:rowOff>121228</xdr:rowOff>
    </xdr:from>
    <xdr:ext cx="14522244" cy="1436543"/>
    <xdr:pic>
      <xdr:nvPicPr>
        <xdr:cNvPr id="2" name="Picture 1" descr="FR VR stiker+exbar.jpg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84506" y="5663046"/>
          <a:ext cx="14522244" cy="1436543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oneCellAnchor>
  <xdr:oneCellAnchor>
    <xdr:from>
      <xdr:col>1</xdr:col>
      <xdr:colOff>540574</xdr:colOff>
      <xdr:row>24</xdr:row>
      <xdr:rowOff>155864</xdr:rowOff>
    </xdr:from>
    <xdr:ext cx="5428930" cy="3320143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4483" y="155864"/>
          <a:ext cx="5428930" cy="3320143"/>
        </a:xfrm>
        <a:prstGeom prst="rect">
          <a:avLst/>
        </a:prstGeom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65</xdr:col>
      <xdr:colOff>2762099</xdr:colOff>
      <xdr:row>58</xdr:row>
      <xdr:rowOff>114246</xdr:rowOff>
    </xdr:from>
    <xdr:to>
      <xdr:col>115</xdr:col>
      <xdr:colOff>26651</xdr:colOff>
      <xdr:row>68</xdr:row>
      <xdr:rowOff>53522</xdr:rowOff>
    </xdr:to>
    <xdr:pic>
      <xdr:nvPicPr>
        <xdr:cNvPr id="2" name="Picture 35" descr="FR 122_EXBAR12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2246278" y="4454925"/>
          <a:ext cx="9973623" cy="1269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49</xdr:col>
      <xdr:colOff>1295400</xdr:colOff>
      <xdr:row>115</xdr:row>
      <xdr:rowOff>38100</xdr:rowOff>
    </xdr:from>
    <xdr:to>
      <xdr:col>49</xdr:col>
      <xdr:colOff>1323975</xdr:colOff>
      <xdr:row>116</xdr:row>
      <xdr:rowOff>190500</xdr:rowOff>
    </xdr:to>
    <xdr:sp macro="" textlink="">
      <xdr:nvSpPr>
        <xdr:cNvPr id="3" name="Line 10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SpPr>
          <a:spLocks noChangeShapeType="1"/>
        </xdr:cNvSpPr>
      </xdr:nvSpPr>
      <xdr:spPr bwMode="auto">
        <a:xfrm flipH="1">
          <a:off x="8153400" y="17240250"/>
          <a:ext cx="0" cy="1905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 type="triangle" w="med" len="med"/>
        </a:ln>
      </xdr:spPr>
    </xdr:sp>
    <xdr:clientData/>
  </xdr:twoCellAnchor>
  <xdr:twoCellAnchor editAs="oneCell">
    <xdr:from>
      <xdr:col>1</xdr:col>
      <xdr:colOff>268680</xdr:colOff>
      <xdr:row>0</xdr:row>
      <xdr:rowOff>76236</xdr:rowOff>
    </xdr:from>
    <xdr:to>
      <xdr:col>4</xdr:col>
      <xdr:colOff>1809751</xdr:colOff>
      <xdr:row>51</xdr:row>
      <xdr:rowOff>196159</xdr:rowOff>
    </xdr:to>
    <xdr:pic>
      <xdr:nvPicPr>
        <xdr:cNvPr id="4" name="Picture 6" descr="LA 12_ViRAY.jpg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377537" y="76236"/>
          <a:ext cx="5187785" cy="32631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66</xdr:col>
      <xdr:colOff>2716892</xdr:colOff>
      <xdr:row>67</xdr:row>
      <xdr:rowOff>163285</xdr:rowOff>
    </xdr:from>
    <xdr:to>
      <xdr:col>129</xdr:col>
      <xdr:colOff>56695</xdr:colOff>
      <xdr:row>70</xdr:row>
      <xdr:rowOff>301500</xdr:rowOff>
    </xdr:to>
    <xdr:pic>
      <xdr:nvPicPr>
        <xdr:cNvPr id="2" name="Picture 35" descr="FR 122_EXBAR12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2228285" y="4517571"/>
          <a:ext cx="10144124" cy="13084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379640</xdr:colOff>
      <xdr:row>0</xdr:row>
      <xdr:rowOff>0</xdr:rowOff>
    </xdr:from>
    <xdr:to>
      <xdr:col>4</xdr:col>
      <xdr:colOff>1506725</xdr:colOff>
      <xdr:row>38</xdr:row>
      <xdr:rowOff>40822</xdr:rowOff>
    </xdr:to>
    <xdr:pic>
      <xdr:nvPicPr>
        <xdr:cNvPr id="3" name="Picture 5" descr="SC 8_LA 12_ViRAY.jpg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488497" y="0"/>
          <a:ext cx="4773799" cy="2855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6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comments" Target="../comments7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comments" Target="../comments8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comments" Target="../comments9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comments" Target="../comments10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4" Type="http://schemas.openxmlformats.org/officeDocument/2006/relationships/comments" Target="../comments11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4" Type="http://schemas.openxmlformats.org/officeDocument/2006/relationships/comments" Target="../comments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4" Type="http://schemas.openxmlformats.org/officeDocument/2006/relationships/comments" Target="../comments13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comments" Target="../comments14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comments" Target="../comments15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comments" Target="../comments16.xml"/><Relationship Id="rId2" Type="http://schemas.openxmlformats.org/officeDocument/2006/relationships/vmlDrawing" Target="../drawings/vmlDrawing16.vml"/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Relationship Id="rId4" Type="http://schemas.openxmlformats.org/officeDocument/2006/relationships/comments" Target="../comments1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A1:CJ194"/>
  <sheetViews>
    <sheetView tabSelected="1" topLeftCell="A49" zoomScale="50" zoomScaleNormal="50" workbookViewId="0">
      <selection activeCell="B115" sqref="B115"/>
    </sheetView>
  </sheetViews>
  <sheetFormatPr baseColWidth="10" defaultColWidth="8.88671875" defaultRowHeight="15.6" x14ac:dyDescent="0.3"/>
  <cols>
    <col min="1" max="1" width="3" customWidth="1"/>
    <col min="2" max="2" width="27.109375" style="13" customWidth="1"/>
    <col min="3" max="3" width="19.5546875" style="13" hidden="1" customWidth="1"/>
    <col min="4" max="4" width="27.33203125" style="19" customWidth="1"/>
    <col min="5" max="5" width="27.109375" style="19" customWidth="1"/>
    <col min="6" max="6" width="35.88671875" style="19" hidden="1" customWidth="1"/>
    <col min="7" max="7" width="9.88671875" style="19" hidden="1" customWidth="1"/>
    <col min="8" max="8" width="7" hidden="1" customWidth="1"/>
    <col min="9" max="9" width="11" hidden="1" customWidth="1"/>
    <col min="10" max="10" width="11.5546875" hidden="1" customWidth="1"/>
    <col min="11" max="11" width="11" hidden="1" customWidth="1"/>
    <col min="12" max="12" width="12.5546875" hidden="1" customWidth="1"/>
    <col min="13" max="13" width="14.88671875" hidden="1" customWidth="1"/>
    <col min="14" max="14" width="12.5546875" hidden="1" customWidth="1"/>
    <col min="15" max="15" width="8" hidden="1" customWidth="1"/>
    <col min="16" max="16" width="12" hidden="1" customWidth="1"/>
    <col min="17" max="17" width="13.44140625" hidden="1" customWidth="1"/>
    <col min="18" max="18" width="25.5546875" hidden="1" customWidth="1"/>
    <col min="19" max="19" width="12" hidden="1" customWidth="1"/>
    <col min="20" max="20" width="20.44140625" hidden="1" customWidth="1"/>
    <col min="21" max="21" width="6.33203125" hidden="1" customWidth="1"/>
    <col min="22" max="22" width="14.88671875" hidden="1" customWidth="1"/>
    <col min="23" max="23" width="36.88671875" customWidth="1"/>
    <col min="24" max="24" width="21.88671875" hidden="1" customWidth="1"/>
    <col min="25" max="25" width="12.33203125" hidden="1" customWidth="1"/>
    <col min="26" max="26" width="16.88671875" hidden="1" customWidth="1"/>
    <col min="27" max="28" width="18.44140625" hidden="1" customWidth="1"/>
    <col min="29" max="31" width="17.6640625" hidden="1" customWidth="1"/>
    <col min="32" max="32" width="14" hidden="1" customWidth="1"/>
    <col min="33" max="34" width="18.44140625" hidden="1" customWidth="1"/>
    <col min="35" max="35" width="17.6640625" hidden="1" customWidth="1"/>
    <col min="36" max="37" width="18.44140625" hidden="1" customWidth="1"/>
    <col min="38" max="38" width="10.109375" hidden="1" customWidth="1"/>
    <col min="39" max="39" width="9.88671875" hidden="1" customWidth="1"/>
    <col min="40" max="40" width="9.88671875" customWidth="1"/>
    <col min="41" max="41" width="10.33203125" bestFit="1" customWidth="1"/>
    <col min="42" max="42" width="91" hidden="1" customWidth="1"/>
    <col min="43" max="43" width="17.44140625" hidden="1" customWidth="1"/>
    <col min="44" max="44" width="11.88671875" hidden="1" customWidth="1"/>
    <col min="45" max="45" width="6.44140625" hidden="1" customWidth="1"/>
    <col min="46" max="46" width="4.88671875" hidden="1" customWidth="1"/>
    <col min="47" max="47" width="6.88671875" hidden="1" customWidth="1"/>
    <col min="48" max="48" width="134.6640625" hidden="1" customWidth="1"/>
    <col min="49" max="49" width="17" hidden="1" customWidth="1"/>
    <col min="50" max="50" width="16.33203125" hidden="1" customWidth="1"/>
    <col min="51" max="51" width="20.44140625" hidden="1" customWidth="1"/>
    <col min="52" max="52" width="11.88671875" hidden="1" customWidth="1"/>
    <col min="53" max="53" width="38.88671875" hidden="1" customWidth="1"/>
    <col min="54" max="54" width="42.6640625" bestFit="1" customWidth="1"/>
    <col min="55" max="84" width="7.88671875" customWidth="1"/>
    <col min="85" max="85" width="12.5546875" hidden="1" customWidth="1"/>
    <col min="86" max="86" width="12.88671875" hidden="1" customWidth="1"/>
    <col min="87" max="87" width="0" hidden="1" customWidth="1"/>
    <col min="88" max="88" width="11.44140625" hidden="1" customWidth="1"/>
    <col min="89" max="120" width="0" hidden="1" customWidth="1"/>
  </cols>
  <sheetData>
    <row r="1" spans="2:7" ht="17.399999999999999" hidden="1" x14ac:dyDescent="0.3">
      <c r="D1" s="745" t="s">
        <v>202</v>
      </c>
      <c r="E1" s="745" t="s">
        <v>203</v>
      </c>
      <c r="F1" s="745" t="s">
        <v>204</v>
      </c>
    </row>
    <row r="2" spans="2:7" ht="21" hidden="1" x14ac:dyDescent="0.4">
      <c r="B2" s="153" t="s">
        <v>29</v>
      </c>
      <c r="C2" s="154">
        <v>650</v>
      </c>
      <c r="D2" s="750">
        <f>+COS(($B$115*-1)*3.14159265358979/180)*C2</f>
        <v>650</v>
      </c>
      <c r="E2" s="746">
        <f>+COS(($B$115*-1)*3.14159265358979/180)*50</f>
        <v>50</v>
      </c>
      <c r="F2" s="746">
        <f>+COS((($B$115*-1)+58.1516306)*3.14159265358979/180)*91.9127</f>
        <v>48.499858560820385</v>
      </c>
    </row>
    <row r="3" spans="2:7" ht="38.25" hidden="1" customHeight="1" x14ac:dyDescent="0.4">
      <c r="B3" s="153" t="s">
        <v>69</v>
      </c>
      <c r="C3" s="154">
        <f>+C15-48.5</f>
        <v>98</v>
      </c>
      <c r="D3" s="750">
        <f>+C15-F2</f>
        <v>98.000141439179615</v>
      </c>
    </row>
    <row r="4" spans="2:7" ht="53.4" hidden="1" x14ac:dyDescent="0.4">
      <c r="B4" s="151" t="s">
        <v>40</v>
      </c>
      <c r="C4" s="152">
        <v>1050</v>
      </c>
      <c r="D4" s="750">
        <f>+COS(($B$115*-1)*3.14159265358979/180)*C4</f>
        <v>1050</v>
      </c>
    </row>
    <row r="5" spans="2:7" ht="53.4" hidden="1" x14ac:dyDescent="0.4">
      <c r="B5" s="151" t="s">
        <v>206</v>
      </c>
      <c r="C5" s="152">
        <f>+C15+401.5</f>
        <v>548</v>
      </c>
      <c r="D5" s="750">
        <f>+(COS(($B$115*-1)*3.14159265358979/180)*400)+$D$3</f>
        <v>498.00014143917963</v>
      </c>
    </row>
    <row r="6" spans="2:7" s="14" customFormat="1" ht="17.399999999999999" hidden="1" x14ac:dyDescent="0.3">
      <c r="B6" s="241"/>
      <c r="C6" s="242"/>
      <c r="D6" s="19"/>
      <c r="E6" s="19"/>
      <c r="F6" s="19"/>
      <c r="G6" s="19"/>
    </row>
    <row r="7" spans="2:7" ht="34.799999999999997" hidden="1" x14ac:dyDescent="0.3">
      <c r="B7" s="162" t="s">
        <v>122</v>
      </c>
      <c r="C7" s="163">
        <v>5800</v>
      </c>
      <c r="D7" s="163">
        <v>10000</v>
      </c>
    </row>
    <row r="8" spans="2:7" ht="34.799999999999997" hidden="1" x14ac:dyDescent="0.3">
      <c r="B8" s="162" t="s">
        <v>169</v>
      </c>
      <c r="C8" s="163">
        <v>8000</v>
      </c>
      <c r="D8" s="163">
        <v>8000</v>
      </c>
      <c r="E8" s="163">
        <v>8000</v>
      </c>
    </row>
    <row r="9" spans="2:7" ht="17.399999999999999" hidden="1" x14ac:dyDescent="0.3">
      <c r="B9" s="163"/>
      <c r="C9" s="164" t="s">
        <v>22</v>
      </c>
      <c r="D9" s="164" t="s">
        <v>23</v>
      </c>
    </row>
    <row r="10" spans="2:7" ht="17.399999999999999" hidden="1" x14ac:dyDescent="0.3">
      <c r="B10" s="163" t="s">
        <v>17</v>
      </c>
      <c r="C10" s="165">
        <f>+((C13-C15)/C13)*C12</f>
        <v>49.519228413962033</v>
      </c>
      <c r="D10" s="165">
        <f>+(C15/C13)*C12</f>
        <v>40.280771586037964</v>
      </c>
    </row>
    <row r="11" spans="2:7" s="14" customFormat="1" ht="17.399999999999999" hidden="1" x14ac:dyDescent="0.3">
      <c r="B11" s="241"/>
      <c r="C11" s="242"/>
      <c r="D11" s="19"/>
      <c r="E11" s="19"/>
      <c r="F11" s="19"/>
      <c r="G11" s="19"/>
    </row>
    <row r="12" spans="2:7" ht="17.399999999999999" hidden="1" x14ac:dyDescent="0.3">
      <c r="B12" s="167" t="s">
        <v>74</v>
      </c>
      <c r="C12" s="168">
        <f>+(B118*25.5)+30+4.3+30</f>
        <v>89.8</v>
      </c>
    </row>
    <row r="13" spans="2:7" ht="17.399999999999999" hidden="1" x14ac:dyDescent="0.3">
      <c r="B13" s="169" t="s">
        <v>75</v>
      </c>
      <c r="C13" s="168">
        <v>326.60000000000002</v>
      </c>
    </row>
    <row r="14" spans="2:7" ht="17.399999999999999" hidden="1" x14ac:dyDescent="0.3">
      <c r="B14" s="170">
        <f>+B118</f>
        <v>1</v>
      </c>
      <c r="C14" s="171">
        <f>IF(B14&lt;=24,B14)</f>
        <v>1</v>
      </c>
    </row>
    <row r="15" spans="2:7" ht="17.399999999999999" hidden="1" x14ac:dyDescent="0.3">
      <c r="B15" s="169" t="s">
        <v>76</v>
      </c>
      <c r="C15" s="167">
        <f>+X121</f>
        <v>146.5</v>
      </c>
    </row>
    <row r="16" spans="2:7" ht="17.399999999999999" hidden="1" x14ac:dyDescent="0.3">
      <c r="B16" s="241"/>
      <c r="C16" s="242"/>
    </row>
    <row r="17" spans="2:3" ht="17.399999999999999" hidden="1" x14ac:dyDescent="0.3">
      <c r="B17" s="241"/>
      <c r="C17" s="242"/>
    </row>
    <row r="18" spans="2:3" ht="17.399999999999999" hidden="1" x14ac:dyDescent="0.3">
      <c r="B18" s="241"/>
      <c r="C18" s="242"/>
    </row>
    <row r="19" spans="2:3" ht="17.399999999999999" hidden="1" x14ac:dyDescent="0.3">
      <c r="B19" s="241"/>
      <c r="C19" s="242"/>
    </row>
    <row r="20" spans="2:3" ht="17.399999999999999" hidden="1" x14ac:dyDescent="0.3">
      <c r="B20" s="241"/>
      <c r="C20" s="242"/>
    </row>
    <row r="21" spans="2:3" ht="17.399999999999999" hidden="1" x14ac:dyDescent="0.3">
      <c r="B21" s="241"/>
      <c r="C21" s="242"/>
    </row>
    <row r="22" spans="2:3" ht="17.399999999999999" hidden="1" x14ac:dyDescent="0.3">
      <c r="B22" s="241"/>
      <c r="C22" s="242"/>
    </row>
    <row r="23" spans="2:3" ht="17.399999999999999" hidden="1" x14ac:dyDescent="0.3">
      <c r="B23" s="241"/>
      <c r="C23" s="242"/>
    </row>
    <row r="24" spans="2:3" ht="17.399999999999999" hidden="1" x14ac:dyDescent="0.3">
      <c r="B24" s="241"/>
      <c r="C24" s="242"/>
    </row>
    <row r="25" spans="2:3" ht="17.399999999999999" hidden="1" x14ac:dyDescent="0.3">
      <c r="B25" s="241"/>
      <c r="C25" s="242"/>
    </row>
    <row r="26" spans="2:3" ht="17.399999999999999" hidden="1" x14ac:dyDescent="0.3">
      <c r="B26" s="241"/>
      <c r="C26" s="242"/>
    </row>
    <row r="27" spans="2:3" ht="17.399999999999999" hidden="1" x14ac:dyDescent="0.3">
      <c r="B27" s="241"/>
      <c r="C27" s="242"/>
    </row>
    <row r="28" spans="2:3" ht="17.399999999999999" hidden="1" x14ac:dyDescent="0.3">
      <c r="B28" s="241"/>
      <c r="C28" s="242"/>
    </row>
    <row r="29" spans="2:3" ht="17.399999999999999" hidden="1" x14ac:dyDescent="0.3">
      <c r="B29" s="241"/>
      <c r="C29" s="242"/>
    </row>
    <row r="30" spans="2:3" ht="17.399999999999999" hidden="1" x14ac:dyDescent="0.3">
      <c r="B30" s="241"/>
      <c r="C30" s="242"/>
    </row>
    <row r="31" spans="2:3" ht="17.399999999999999" hidden="1" x14ac:dyDescent="0.3">
      <c r="B31" s="241"/>
      <c r="C31" s="242"/>
    </row>
    <row r="32" spans="2:3" ht="17.399999999999999" hidden="1" x14ac:dyDescent="0.3">
      <c r="B32" s="241"/>
      <c r="C32" s="242"/>
    </row>
    <row r="33" spans="2:3" ht="17.399999999999999" hidden="1" x14ac:dyDescent="0.3">
      <c r="B33" s="241"/>
      <c r="C33" s="242"/>
    </row>
    <row r="34" spans="2:3" ht="17.399999999999999" hidden="1" x14ac:dyDescent="0.3">
      <c r="B34" s="241"/>
      <c r="C34" s="242"/>
    </row>
    <row r="35" spans="2:3" ht="17.399999999999999" hidden="1" x14ac:dyDescent="0.3">
      <c r="B35" s="241"/>
      <c r="C35" s="242"/>
    </row>
    <row r="36" spans="2:3" ht="17.399999999999999" hidden="1" x14ac:dyDescent="0.3">
      <c r="B36" s="241"/>
      <c r="C36" s="242"/>
    </row>
    <row r="37" spans="2:3" ht="17.399999999999999" hidden="1" x14ac:dyDescent="0.3">
      <c r="B37" s="241"/>
      <c r="C37" s="242"/>
    </row>
    <row r="38" spans="2:3" ht="17.399999999999999" hidden="1" x14ac:dyDescent="0.3">
      <c r="B38" s="241"/>
      <c r="C38" s="242"/>
    </row>
    <row r="39" spans="2:3" ht="17.399999999999999" hidden="1" x14ac:dyDescent="0.3">
      <c r="B39" s="241"/>
      <c r="C39" s="242"/>
    </row>
    <row r="40" spans="2:3" ht="17.399999999999999" hidden="1" x14ac:dyDescent="0.3">
      <c r="B40" s="241"/>
      <c r="C40" s="242"/>
    </row>
    <row r="41" spans="2:3" ht="17.399999999999999" hidden="1" x14ac:dyDescent="0.3">
      <c r="B41" s="241"/>
      <c r="C41" s="242"/>
    </row>
    <row r="42" spans="2:3" ht="17.399999999999999" hidden="1" x14ac:dyDescent="0.3">
      <c r="B42" s="241"/>
      <c r="C42" s="242"/>
    </row>
    <row r="43" spans="2:3" ht="17.399999999999999" hidden="1" x14ac:dyDescent="0.3">
      <c r="B43" s="241"/>
      <c r="C43" s="242"/>
    </row>
    <row r="44" spans="2:3" ht="17.399999999999999" hidden="1" x14ac:dyDescent="0.3">
      <c r="B44" s="241"/>
      <c r="C44" s="242"/>
    </row>
    <row r="45" spans="2:3" ht="17.399999999999999" hidden="1" x14ac:dyDescent="0.3">
      <c r="B45" s="241"/>
      <c r="C45" s="242"/>
    </row>
    <row r="46" spans="2:3" ht="17.399999999999999" hidden="1" x14ac:dyDescent="0.3">
      <c r="B46" s="241"/>
      <c r="C46" s="242"/>
    </row>
    <row r="47" spans="2:3" hidden="1" x14ac:dyDescent="0.3"/>
    <row r="48" spans="2:3" ht="63.75" hidden="1" customHeight="1" x14ac:dyDescent="0.3"/>
    <row r="49" spans="2:86" s="143" customFormat="1" ht="24.75" customHeight="1" thickBot="1" x14ac:dyDescent="0.45">
      <c r="B49" s="141"/>
      <c r="C49" s="141"/>
      <c r="D49" s="142"/>
      <c r="E49" s="142"/>
      <c r="F49" s="142"/>
      <c r="G49" s="142"/>
      <c r="AR49" s="144"/>
      <c r="AS49" s="144"/>
      <c r="BB49" s="181" t="s">
        <v>28</v>
      </c>
      <c r="BC49" s="1994">
        <f>+C12</f>
        <v>89.8</v>
      </c>
      <c r="BD49" s="1994"/>
      <c r="BE49" s="182" t="s">
        <v>17</v>
      </c>
      <c r="BF49" s="182"/>
      <c r="BG49" s="183" t="s">
        <v>113</v>
      </c>
      <c r="BH49" s="184"/>
      <c r="BI49" s="184"/>
      <c r="BJ49" s="184"/>
      <c r="BK49" s="184"/>
      <c r="BL49" s="184"/>
      <c r="BM49" s="184"/>
      <c r="BN49" s="184"/>
      <c r="BO49" s="184"/>
      <c r="BP49" s="184"/>
      <c r="BQ49" s="184"/>
      <c r="BR49" s="184"/>
      <c r="BS49" s="184"/>
      <c r="BT49" s="184"/>
      <c r="BU49" s="184"/>
      <c r="BV49" s="184"/>
      <c r="BW49" s="184"/>
      <c r="BX49" s="184"/>
      <c r="BY49" s="184"/>
      <c r="BZ49" s="184"/>
      <c r="CA49" s="185"/>
      <c r="CB49" s="185"/>
      <c r="CC49" s="185"/>
      <c r="CD49" s="185"/>
      <c r="CE49" s="185"/>
      <c r="CF49" s="185"/>
      <c r="CG49" s="185"/>
      <c r="CH49" s="185"/>
    </row>
    <row r="50" spans="2:86" ht="29.25" customHeight="1" x14ac:dyDescent="0.45">
      <c r="AR50" s="14"/>
      <c r="AS50" s="89"/>
      <c r="AT50" s="43"/>
      <c r="AU50" s="43"/>
      <c r="AV50" s="43"/>
      <c r="AW50" s="43"/>
      <c r="AX50" s="43"/>
      <c r="AY50" s="43"/>
      <c r="AZ50" s="43"/>
      <c r="BA50" s="760"/>
      <c r="BB50" s="186" t="s">
        <v>30</v>
      </c>
      <c r="BC50" s="238" t="s">
        <v>31</v>
      </c>
      <c r="BD50" s="187"/>
      <c r="BE50" s="187"/>
      <c r="BF50" s="187"/>
      <c r="BG50" s="187"/>
      <c r="BH50" s="187"/>
      <c r="BI50" s="187"/>
      <c r="BJ50" s="187"/>
      <c r="BK50" s="187"/>
      <c r="BL50" s="187"/>
      <c r="BM50" s="187"/>
      <c r="BN50" s="187"/>
      <c r="BO50" s="187"/>
      <c r="BP50" s="187"/>
      <c r="BQ50" s="187"/>
      <c r="BR50" s="187"/>
      <c r="BS50" s="187"/>
      <c r="BT50" s="187"/>
      <c r="BU50" s="239"/>
      <c r="BV50" s="232"/>
      <c r="BW50" s="232"/>
      <c r="BX50" s="188" t="s">
        <v>32</v>
      </c>
      <c r="BY50" s="1978"/>
      <c r="BZ50" s="1979"/>
      <c r="CA50" s="1979"/>
      <c r="CB50" s="1979"/>
      <c r="CC50" s="1979"/>
      <c r="CD50" s="1979"/>
      <c r="CE50" s="1979"/>
      <c r="CF50" s="1980"/>
      <c r="CG50" s="185"/>
      <c r="CH50" s="185"/>
    </row>
    <row r="51" spans="2:86" ht="29.25" customHeight="1" thickBot="1" x14ac:dyDescent="0.5">
      <c r="AR51" s="1995"/>
      <c r="AS51" s="1995"/>
      <c r="AT51" s="43"/>
      <c r="AU51" s="43"/>
      <c r="AV51" s="43"/>
      <c r="AW51" s="43"/>
      <c r="AX51" s="43"/>
      <c r="AY51" s="43"/>
      <c r="AZ51" s="43"/>
      <c r="BA51" s="1347">
        <f>+IF(AND(BW51&gt;0,BC51&gt;0),BC51)</f>
        <v>47.209130760725401</v>
      </c>
      <c r="BB51" s="758" t="s">
        <v>78</v>
      </c>
      <c r="BC51" s="2007">
        <f>+((D4-D5)/D4)*C12</f>
        <v>47.209130760725401</v>
      </c>
      <c r="BD51" s="2008"/>
      <c r="BE51" s="678"/>
      <c r="BF51" s="678"/>
      <c r="BG51" s="678"/>
      <c r="BH51" s="678"/>
      <c r="BI51" s="678"/>
      <c r="BJ51" s="678"/>
      <c r="BK51" s="678"/>
      <c r="BL51" s="678"/>
      <c r="BM51" s="678"/>
      <c r="BN51" s="678"/>
      <c r="BO51" s="678"/>
      <c r="BP51" s="678"/>
      <c r="BQ51" s="678"/>
      <c r="BR51" s="678"/>
      <c r="BS51" s="678"/>
      <c r="BT51" s="678"/>
      <c r="BU51" s="679"/>
      <c r="BV51" s="680"/>
      <c r="BW51" s="1991">
        <f>+(D5/D4)*C12</f>
        <v>42.590869239274603</v>
      </c>
      <c r="BX51" s="1992"/>
      <c r="BY51" s="1981"/>
      <c r="BZ51" s="1982"/>
      <c r="CA51" s="1982"/>
      <c r="CB51" s="1982"/>
      <c r="CC51" s="1982"/>
      <c r="CD51" s="1982"/>
      <c r="CE51" s="1982"/>
      <c r="CF51" s="1983"/>
      <c r="CG51" s="1347">
        <f>+IF(AND(BC51&gt;0,BW51&gt;0),BW51)</f>
        <v>42.590869239274603</v>
      </c>
      <c r="CH51" s="185"/>
    </row>
    <row r="52" spans="2:86" ht="17.25" customHeight="1" thickBot="1" x14ac:dyDescent="0.5">
      <c r="AR52" s="760"/>
      <c r="AS52" s="760"/>
      <c r="AT52" s="43"/>
      <c r="AU52" s="43"/>
      <c r="AV52" s="43"/>
      <c r="AW52" s="43"/>
      <c r="AX52" s="43"/>
      <c r="AY52" s="43"/>
      <c r="AZ52" s="43"/>
      <c r="BA52" s="760"/>
      <c r="BB52" s="674"/>
      <c r="BC52" s="673"/>
      <c r="BD52" s="673"/>
      <c r="BE52" s="674"/>
      <c r="BF52" s="674"/>
      <c r="BG52" s="674"/>
      <c r="BH52" s="674"/>
      <c r="BI52" s="674"/>
      <c r="BJ52" s="674"/>
      <c r="BK52" s="674"/>
      <c r="BL52" s="674"/>
      <c r="BM52" s="674"/>
      <c r="BN52" s="674"/>
      <c r="BO52" s="674"/>
      <c r="BP52" s="674"/>
      <c r="BQ52" s="674"/>
      <c r="BR52" s="674"/>
      <c r="BS52" s="674"/>
      <c r="BT52" s="674"/>
      <c r="BU52" s="15"/>
      <c r="BV52" s="675"/>
      <c r="BW52" s="675"/>
      <c r="BX52" s="673"/>
      <c r="BY52" s="676"/>
      <c r="BZ52" s="676"/>
      <c r="CA52" s="676"/>
      <c r="CB52" s="676"/>
      <c r="CC52" s="676"/>
      <c r="CD52" s="676"/>
      <c r="CE52" s="676"/>
      <c r="CF52" s="676"/>
      <c r="CG52" s="185"/>
      <c r="CH52" s="185"/>
    </row>
    <row r="53" spans="2:86" ht="29.25" customHeight="1" x14ac:dyDescent="0.45">
      <c r="AT53" s="43"/>
      <c r="AU53" s="43"/>
      <c r="AV53" s="43"/>
      <c r="AW53" s="43"/>
      <c r="AX53" s="43"/>
      <c r="AY53" s="43"/>
      <c r="AZ53" s="43"/>
      <c r="BA53" s="760"/>
      <c r="BB53" s="189" t="s">
        <v>30</v>
      </c>
      <c r="BC53" s="1978"/>
      <c r="BD53" s="1979"/>
      <c r="BE53" s="1979"/>
      <c r="BF53" s="1979"/>
      <c r="BG53" s="1979"/>
      <c r="BH53" s="1979"/>
      <c r="BI53" s="1979"/>
      <c r="BJ53" s="1979"/>
      <c r="BK53" s="421" t="s">
        <v>31</v>
      </c>
      <c r="BL53" s="190"/>
      <c r="BM53" s="190"/>
      <c r="BN53" s="190"/>
      <c r="BO53" s="190"/>
      <c r="BP53" s="190"/>
      <c r="BQ53" s="190"/>
      <c r="BR53" s="190"/>
      <c r="BS53" s="190"/>
      <c r="BT53" s="190"/>
      <c r="BU53" s="190"/>
      <c r="BV53" s="190"/>
      <c r="BW53" s="190"/>
      <c r="BX53" s="190"/>
      <c r="BY53" s="190"/>
      <c r="BZ53" s="236"/>
      <c r="CA53" s="237"/>
      <c r="CB53" s="237"/>
      <c r="CC53" s="237"/>
      <c r="CD53" s="237"/>
      <c r="CE53" s="237"/>
      <c r="CF53" s="191" t="s">
        <v>32</v>
      </c>
      <c r="CG53" s="185"/>
      <c r="CH53" s="185"/>
    </row>
    <row r="54" spans="2:86" ht="29.25" customHeight="1" thickBot="1" x14ac:dyDescent="0.45">
      <c r="BA54" s="1347">
        <f>+IF(AND(CE54&gt;0,BK54&gt;0),BK54)</f>
        <v>81.418654570249203</v>
      </c>
      <c r="BB54" s="759" t="s">
        <v>79</v>
      </c>
      <c r="BC54" s="1981"/>
      <c r="BD54" s="1982"/>
      <c r="BE54" s="1982"/>
      <c r="BF54" s="1982"/>
      <c r="BG54" s="1982"/>
      <c r="BH54" s="1982"/>
      <c r="BI54" s="1982"/>
      <c r="BJ54" s="1982"/>
      <c r="BK54" s="2005">
        <f>+((D4-D3)/D4)*C12</f>
        <v>81.418654570249203</v>
      </c>
      <c r="BL54" s="2006"/>
      <c r="BM54" s="681"/>
      <c r="BN54" s="681"/>
      <c r="BO54" s="681"/>
      <c r="BP54" s="681"/>
      <c r="BQ54" s="681"/>
      <c r="BR54" s="681"/>
      <c r="BS54" s="681"/>
      <c r="BT54" s="681"/>
      <c r="BU54" s="681"/>
      <c r="BV54" s="681"/>
      <c r="BW54" s="681"/>
      <c r="BX54" s="681"/>
      <c r="BY54" s="681"/>
      <c r="BZ54" s="679"/>
      <c r="CA54" s="682"/>
      <c r="CB54" s="682"/>
      <c r="CC54" s="682"/>
      <c r="CD54" s="682"/>
      <c r="CE54" s="1989">
        <f>+(D3/D4)*C12</f>
        <v>8.3813454297507892</v>
      </c>
      <c r="CF54" s="1990"/>
      <c r="CG54" s="1347">
        <f>+IF(AND(BK54&gt;0,CE54&gt;0),CE54)</f>
        <v>8.3813454297507892</v>
      </c>
      <c r="CH54" s="185"/>
    </row>
    <row r="55" spans="2:86" ht="21.6" thickBot="1" x14ac:dyDescent="0.45">
      <c r="AR55" s="53"/>
      <c r="AS55" s="53"/>
      <c r="BB55" s="198"/>
      <c r="BC55" s="198"/>
      <c r="BD55" s="198"/>
      <c r="BE55" s="198"/>
      <c r="BF55" s="198"/>
      <c r="BG55" s="198"/>
      <c r="BH55" s="199"/>
      <c r="BI55" s="198"/>
      <c r="BJ55" s="198"/>
      <c r="BK55" s="198"/>
      <c r="BL55" s="198"/>
      <c r="BM55" s="198"/>
      <c r="BN55" s="198"/>
      <c r="BO55" s="198"/>
      <c r="BP55" s="198"/>
      <c r="BQ55" s="198"/>
      <c r="BR55" s="198"/>
      <c r="BS55" s="198"/>
      <c r="BT55" s="198"/>
      <c r="BU55" s="198"/>
      <c r="BV55" s="198"/>
      <c r="BW55" s="198"/>
      <c r="BX55" s="198"/>
      <c r="BY55" s="198"/>
      <c r="BZ55" s="199"/>
      <c r="CA55" s="185"/>
      <c r="CB55" s="185"/>
      <c r="CC55" s="185"/>
      <c r="CD55" s="185"/>
      <c r="CE55" s="185"/>
      <c r="CF55" s="185"/>
      <c r="CG55" s="185"/>
      <c r="CH55" s="185"/>
    </row>
    <row r="56" spans="2:86" ht="21" hidden="1" x14ac:dyDescent="0.4">
      <c r="AR56" s="53"/>
      <c r="AS56" s="53"/>
      <c r="BB56" s="198"/>
      <c r="BC56" s="198"/>
      <c r="BD56" s="198"/>
      <c r="BE56" s="198"/>
      <c r="BF56" s="198"/>
      <c r="BG56" s="198"/>
      <c r="BH56" s="199"/>
      <c r="BI56" s="198"/>
      <c r="BJ56" s="198"/>
      <c r="BK56" s="198"/>
      <c r="BL56" s="198"/>
      <c r="BM56" s="198"/>
      <c r="BN56" s="198"/>
      <c r="BO56" s="198"/>
      <c r="BP56" s="198"/>
      <c r="BQ56" s="198"/>
      <c r="BR56" s="198"/>
      <c r="BS56" s="198"/>
      <c r="BT56" s="198"/>
      <c r="BU56" s="198"/>
      <c r="BV56" s="198"/>
      <c r="BW56" s="198"/>
      <c r="BX56" s="198"/>
      <c r="BY56" s="198"/>
      <c r="BZ56" s="199"/>
      <c r="CA56" s="185"/>
      <c r="CB56" s="185"/>
      <c r="CC56" s="185"/>
      <c r="CD56" s="185"/>
      <c r="CE56" s="185"/>
      <c r="CF56" s="185"/>
      <c r="CG56" s="185"/>
      <c r="CH56" s="185"/>
    </row>
    <row r="57" spans="2:86" ht="21.6" hidden="1" thickBot="1" x14ac:dyDescent="0.45">
      <c r="AR57" s="53"/>
      <c r="AS57" s="53"/>
      <c r="BB57" s="228" t="s">
        <v>93</v>
      </c>
      <c r="BC57" s="198"/>
      <c r="BD57" s="198"/>
      <c r="BE57" s="198"/>
      <c r="BF57" s="198"/>
      <c r="BG57" s="198"/>
      <c r="BH57" s="199"/>
      <c r="BI57" s="198"/>
      <c r="BJ57" s="198"/>
      <c r="BK57" s="198"/>
      <c r="BL57" s="198"/>
      <c r="BM57" s="198"/>
      <c r="BN57" s="198"/>
      <c r="BO57" s="198"/>
      <c r="BP57" s="198"/>
      <c r="BQ57" s="198"/>
      <c r="BR57" s="198"/>
      <c r="BS57" s="198"/>
      <c r="BT57" s="198"/>
      <c r="BU57" s="198"/>
      <c r="BV57" s="198"/>
      <c r="BW57" s="198"/>
      <c r="BX57" s="198"/>
      <c r="BY57" s="198"/>
      <c r="BZ57" s="199"/>
      <c r="CA57" s="185"/>
      <c r="CB57" s="185"/>
      <c r="CC57" s="185"/>
      <c r="CD57" s="185"/>
      <c r="CE57" s="185"/>
      <c r="CF57" s="185"/>
      <c r="CG57" s="185"/>
      <c r="CH57" s="185"/>
    </row>
    <row r="58" spans="2:86" ht="21.6" hidden="1" thickBot="1" x14ac:dyDescent="0.45">
      <c r="AT58" s="44"/>
      <c r="AU58" s="44"/>
      <c r="AV58" s="44"/>
      <c r="AW58" s="44"/>
      <c r="AX58" s="44"/>
      <c r="AY58" s="44"/>
      <c r="AZ58" s="44"/>
      <c r="BA58" s="44"/>
      <c r="BB58" s="228" t="s">
        <v>92</v>
      </c>
      <c r="BC58" s="185"/>
      <c r="BD58" s="185"/>
      <c r="BE58" s="185"/>
      <c r="BF58" s="185"/>
      <c r="BG58" s="185"/>
      <c r="BH58" s="185"/>
      <c r="BI58" s="185"/>
      <c r="BJ58" s="185"/>
      <c r="BK58" s="185"/>
      <c r="BL58" s="185"/>
      <c r="BM58" s="185"/>
      <c r="BN58" s="185"/>
      <c r="BO58" s="185"/>
      <c r="BP58" s="185"/>
      <c r="BQ58" s="185"/>
      <c r="BR58" s="185"/>
      <c r="BS58" s="185"/>
      <c r="BT58" s="185"/>
      <c r="BU58" s="185"/>
      <c r="BV58" s="185"/>
      <c r="BW58" s="185"/>
      <c r="BX58" s="185"/>
      <c r="BY58" s="185"/>
      <c r="BZ58" s="185"/>
      <c r="CA58" s="185"/>
      <c r="CB58" s="185"/>
      <c r="CC58" s="185"/>
      <c r="CD58" s="210" t="b">
        <f>IF(CE106=29,28)</f>
        <v>0</v>
      </c>
      <c r="CE58" s="234"/>
      <c r="CF58" s="212" t="b">
        <f>IF(CE106=29,30)</f>
        <v>0</v>
      </c>
      <c r="CG58" s="185"/>
      <c r="CH58" s="185"/>
    </row>
    <row r="59" spans="2:86" ht="21.6" hidden="1" thickBot="1" x14ac:dyDescent="0.45">
      <c r="AT59" s="44"/>
      <c r="AU59" s="44"/>
      <c r="AV59" s="44"/>
      <c r="AW59" s="44"/>
      <c r="AX59" s="44"/>
      <c r="AY59" s="44"/>
      <c r="AZ59" s="44"/>
      <c r="BA59" s="44"/>
      <c r="BB59" s="228" t="s">
        <v>91</v>
      </c>
      <c r="BC59" s="185"/>
      <c r="BD59" s="185"/>
      <c r="BE59" s="185"/>
      <c r="BF59" s="185"/>
      <c r="BG59" s="185"/>
      <c r="BH59" s="185"/>
      <c r="BI59" s="185"/>
      <c r="BJ59" s="185"/>
      <c r="BK59" s="185"/>
      <c r="BL59" s="185"/>
      <c r="BM59" s="185"/>
      <c r="BN59" s="185"/>
      <c r="BO59" s="185"/>
      <c r="BP59" s="185"/>
      <c r="BQ59" s="185"/>
      <c r="BR59" s="185"/>
      <c r="BS59" s="185"/>
      <c r="BT59" s="185"/>
      <c r="BU59" s="185"/>
      <c r="BV59" s="185"/>
      <c r="BW59" s="185"/>
      <c r="BX59" s="185"/>
      <c r="BY59" s="185"/>
      <c r="BZ59" s="185"/>
      <c r="CA59" s="185"/>
      <c r="CB59" s="210" t="b">
        <f>IF(CD106=28,26)</f>
        <v>0</v>
      </c>
      <c r="CC59" s="234"/>
      <c r="CD59" s="234"/>
      <c r="CE59" s="234"/>
      <c r="CF59" s="212" t="b">
        <f>IF(CD106=28,30)</f>
        <v>0</v>
      </c>
      <c r="CG59" s="185"/>
      <c r="CH59" s="185"/>
    </row>
    <row r="60" spans="2:86" ht="21.6" hidden="1" thickBot="1" x14ac:dyDescent="0.45">
      <c r="AR60" s="44"/>
      <c r="AS60" s="44"/>
      <c r="AT60" s="44"/>
      <c r="AU60" s="44"/>
      <c r="AV60" s="44"/>
      <c r="AW60" s="44"/>
      <c r="AX60" s="44"/>
      <c r="AY60" s="44"/>
      <c r="AZ60" s="44"/>
      <c r="BA60" s="44"/>
      <c r="BB60" s="228" t="s">
        <v>90</v>
      </c>
      <c r="BC60" s="185"/>
      <c r="BD60" s="185"/>
      <c r="BE60" s="185"/>
      <c r="BF60" s="185"/>
      <c r="BG60" s="185"/>
      <c r="BH60" s="185"/>
      <c r="BI60" s="185"/>
      <c r="BJ60" s="185"/>
      <c r="BK60" s="185"/>
      <c r="BL60" s="185"/>
      <c r="BM60" s="185"/>
      <c r="BN60" s="185"/>
      <c r="BO60" s="185"/>
      <c r="BP60" s="185"/>
      <c r="BQ60" s="185"/>
      <c r="BR60" s="185"/>
      <c r="BS60" s="185"/>
      <c r="BT60" s="185"/>
      <c r="BU60" s="185"/>
      <c r="BV60" s="185"/>
      <c r="BW60" s="185"/>
      <c r="BX60" s="185"/>
      <c r="BY60" s="185"/>
      <c r="BZ60" s="210" t="b">
        <f>IF(CC106=27,24)</f>
        <v>0</v>
      </c>
      <c r="CA60" s="234"/>
      <c r="CB60" s="234"/>
      <c r="CC60" s="234"/>
      <c r="CD60" s="234"/>
      <c r="CE60" s="234"/>
      <c r="CF60" s="212" t="b">
        <f>IF(CC106=27,30)</f>
        <v>0</v>
      </c>
      <c r="CG60" s="185"/>
      <c r="CH60" s="185"/>
    </row>
    <row r="61" spans="2:86" ht="21.6" hidden="1" thickBot="1" x14ac:dyDescent="0.45">
      <c r="U61" s="108"/>
      <c r="V61" s="4"/>
      <c r="W61" s="4"/>
      <c r="X61" s="4"/>
      <c r="Y61" s="4"/>
      <c r="Z61" s="4"/>
      <c r="AA61" s="4"/>
      <c r="AB61" s="4"/>
      <c r="AC61" s="4"/>
      <c r="AD61" s="4"/>
      <c r="AE61" s="4"/>
      <c r="AF61" s="4"/>
      <c r="AG61" s="4"/>
      <c r="AH61" s="4"/>
      <c r="AI61" s="4"/>
      <c r="AJ61" s="4"/>
      <c r="AK61" s="4"/>
      <c r="AL61" s="4"/>
      <c r="AM61" s="4"/>
      <c r="AN61" s="4"/>
      <c r="AO61" s="4"/>
      <c r="BB61" s="228" t="s">
        <v>89</v>
      </c>
      <c r="BC61" s="185"/>
      <c r="BD61" s="185"/>
      <c r="BE61" s="185"/>
      <c r="BF61" s="185"/>
      <c r="BG61" s="185"/>
      <c r="BH61" s="185"/>
      <c r="BI61" s="185"/>
      <c r="BJ61" s="185"/>
      <c r="BK61" s="185"/>
      <c r="BL61" s="185"/>
      <c r="BM61" s="185"/>
      <c r="BN61" s="185"/>
      <c r="BO61" s="185"/>
      <c r="BP61" s="185"/>
      <c r="BQ61" s="185"/>
      <c r="BR61" s="185"/>
      <c r="BS61" s="185"/>
      <c r="BT61" s="185"/>
      <c r="BU61" s="185"/>
      <c r="BV61" s="185"/>
      <c r="BW61" s="185"/>
      <c r="BX61" s="210" t="b">
        <f>IF(CB106=26,22)</f>
        <v>0</v>
      </c>
      <c r="BY61" s="234"/>
      <c r="BZ61" s="234"/>
      <c r="CA61" s="234"/>
      <c r="CB61" s="234"/>
      <c r="CC61" s="234"/>
      <c r="CD61" s="234"/>
      <c r="CE61" s="234"/>
      <c r="CF61" s="212" t="b">
        <f>IF(CB106=26,30)</f>
        <v>0</v>
      </c>
      <c r="CG61" s="185"/>
      <c r="CH61" s="185"/>
    </row>
    <row r="62" spans="2:86" ht="21.6" hidden="1" thickBot="1" x14ac:dyDescent="0.45">
      <c r="E62" s="102"/>
      <c r="F62" s="102"/>
      <c r="G62" s="102"/>
      <c r="U62" s="108"/>
      <c r="V62" s="4"/>
      <c r="W62" s="4"/>
      <c r="X62" s="4"/>
      <c r="Y62" s="4"/>
      <c r="Z62" s="4"/>
      <c r="AA62" s="4"/>
      <c r="AB62" s="4"/>
      <c r="AC62" s="4"/>
      <c r="AD62" s="4"/>
      <c r="AE62" s="4"/>
      <c r="AF62" s="4"/>
      <c r="AG62" s="4"/>
      <c r="AH62" s="4"/>
      <c r="AI62" s="4"/>
      <c r="AJ62" s="4"/>
      <c r="AK62" s="4"/>
      <c r="AL62" s="4"/>
      <c r="AM62" s="4"/>
      <c r="AN62" s="4"/>
      <c r="AO62" s="4"/>
      <c r="AT62" s="4"/>
      <c r="AU62" s="4"/>
      <c r="AV62" s="4"/>
      <c r="AW62" s="4"/>
      <c r="AX62" s="4"/>
      <c r="AY62" s="4"/>
      <c r="AZ62" s="4"/>
      <c r="BA62" s="4"/>
      <c r="BB62" s="228" t="s">
        <v>88</v>
      </c>
      <c r="BC62" s="185"/>
      <c r="BD62" s="185"/>
      <c r="BE62" s="185"/>
      <c r="BF62" s="185"/>
      <c r="BG62" s="185"/>
      <c r="BH62" s="185"/>
      <c r="BI62" s="185"/>
      <c r="BJ62" s="185"/>
      <c r="BK62" s="185"/>
      <c r="BL62" s="185"/>
      <c r="BM62" s="185"/>
      <c r="BN62" s="185"/>
      <c r="BO62" s="185"/>
      <c r="BP62" s="185"/>
      <c r="BQ62" s="185"/>
      <c r="BR62" s="185"/>
      <c r="BS62" s="185"/>
      <c r="BT62" s="185"/>
      <c r="BU62" s="185"/>
      <c r="BV62" s="210" t="b">
        <f>IF(CA106=25,20)</f>
        <v>0</v>
      </c>
      <c r="BW62" s="234"/>
      <c r="BX62" s="234"/>
      <c r="BY62" s="234"/>
      <c r="BZ62" s="234"/>
      <c r="CA62" s="234"/>
      <c r="CB62" s="234"/>
      <c r="CC62" s="234"/>
      <c r="CD62" s="234"/>
      <c r="CE62" s="234"/>
      <c r="CF62" s="212" t="b">
        <f>IF(CA106=25,30)</f>
        <v>0</v>
      </c>
      <c r="CG62" s="185"/>
      <c r="CH62" s="185"/>
    </row>
    <row r="63" spans="2:86" ht="21.6" hidden="1" thickBot="1" x14ac:dyDescent="0.45">
      <c r="E63" s="102"/>
      <c r="F63" s="102"/>
      <c r="G63" s="102"/>
      <c r="U63" s="108"/>
      <c r="V63" s="4"/>
      <c r="W63" s="4"/>
      <c r="X63" s="4"/>
      <c r="Y63" s="4"/>
      <c r="Z63" s="4"/>
      <c r="AA63" s="4"/>
      <c r="AB63" s="4"/>
      <c r="AC63" s="4"/>
      <c r="AD63" s="4"/>
      <c r="AE63" s="4"/>
      <c r="AF63" s="4"/>
      <c r="AG63" s="4"/>
      <c r="AH63" s="4"/>
      <c r="AI63" s="4"/>
      <c r="AJ63" s="4"/>
      <c r="AK63" s="4"/>
      <c r="AL63" s="4"/>
      <c r="AM63" s="4"/>
      <c r="AN63" s="4"/>
      <c r="AO63" s="4"/>
      <c r="AT63" s="4"/>
      <c r="AU63" s="4"/>
      <c r="AV63" s="4"/>
      <c r="AW63" s="4"/>
      <c r="AX63" s="4"/>
      <c r="AY63" s="4"/>
      <c r="AZ63" s="4"/>
      <c r="BA63" s="4"/>
      <c r="BB63" s="148" t="s">
        <v>15</v>
      </c>
      <c r="BC63" s="185"/>
      <c r="BD63" s="185"/>
      <c r="BE63" s="185"/>
      <c r="BF63" s="185"/>
      <c r="BG63" s="185"/>
      <c r="BH63" s="185"/>
      <c r="BI63" s="185"/>
      <c r="BJ63" s="185"/>
      <c r="BK63" s="185"/>
      <c r="BL63" s="185"/>
      <c r="BM63" s="185"/>
      <c r="BN63" s="185"/>
      <c r="BO63" s="185"/>
      <c r="BP63" s="185"/>
      <c r="BQ63" s="185"/>
      <c r="BR63" s="185"/>
      <c r="BS63" s="185"/>
      <c r="BT63" s="210" t="b">
        <f>IF(BZ106=24,18)</f>
        <v>0</v>
      </c>
      <c r="BU63" s="234"/>
      <c r="BV63" s="234"/>
      <c r="BW63" s="234"/>
      <c r="BX63" s="234"/>
      <c r="BY63" s="234"/>
      <c r="BZ63" s="234"/>
      <c r="CA63" s="234"/>
      <c r="CB63" s="234"/>
      <c r="CC63" s="234"/>
      <c r="CD63" s="234"/>
      <c r="CE63" s="234"/>
      <c r="CF63" s="212" t="b">
        <f>IF(BZ106=24,30)</f>
        <v>0</v>
      </c>
      <c r="CG63" s="185"/>
      <c r="CH63" s="185"/>
    </row>
    <row r="64" spans="2:86" ht="21.6" hidden="1" thickBot="1" x14ac:dyDescent="0.45">
      <c r="E64" s="103"/>
      <c r="F64" s="103"/>
      <c r="G64" s="103"/>
      <c r="U64" s="68"/>
      <c r="V64" s="4"/>
      <c r="W64" s="4"/>
      <c r="X64" s="4"/>
      <c r="Y64" s="4"/>
      <c r="Z64" s="4"/>
      <c r="AA64" s="4"/>
      <c r="AB64" s="4"/>
      <c r="AC64" s="4"/>
      <c r="AD64" s="4"/>
      <c r="AE64" s="4"/>
      <c r="AF64" s="4"/>
      <c r="AG64" s="4"/>
      <c r="AH64" s="4"/>
      <c r="AI64" s="4"/>
      <c r="AJ64" s="4"/>
      <c r="AK64" s="4"/>
      <c r="AL64" s="4"/>
      <c r="AM64" s="4"/>
      <c r="AN64" s="4"/>
      <c r="AO64" s="4"/>
      <c r="AT64" s="4"/>
      <c r="AU64" s="4"/>
      <c r="AV64" s="4"/>
      <c r="AW64" s="4"/>
      <c r="AX64" s="4"/>
      <c r="AY64" s="4"/>
      <c r="AZ64" s="4"/>
      <c r="BA64" s="4"/>
      <c r="BB64" s="148" t="s">
        <v>87</v>
      </c>
      <c r="BC64" s="185"/>
      <c r="BD64" s="185"/>
      <c r="BE64" s="185"/>
      <c r="BF64" s="185"/>
      <c r="BG64" s="185"/>
      <c r="BH64" s="185"/>
      <c r="BI64" s="185"/>
      <c r="BJ64" s="185"/>
      <c r="BK64" s="185"/>
      <c r="BL64" s="185"/>
      <c r="BM64" s="185"/>
      <c r="BN64" s="185"/>
      <c r="BO64" s="185"/>
      <c r="BP64" s="185"/>
      <c r="BQ64" s="185"/>
      <c r="BR64" s="210" t="b">
        <f>IF(BY106=23,16)</f>
        <v>0</v>
      </c>
      <c r="BS64" s="234"/>
      <c r="BT64" s="234"/>
      <c r="BU64" s="234"/>
      <c r="BV64" s="234"/>
      <c r="BW64" s="234"/>
      <c r="BX64" s="234"/>
      <c r="BY64" s="234"/>
      <c r="BZ64" s="234"/>
      <c r="CA64" s="234"/>
      <c r="CB64" s="234"/>
      <c r="CC64" s="234"/>
      <c r="CD64" s="234"/>
      <c r="CE64" s="234"/>
      <c r="CF64" s="212" t="b">
        <f>IF(BY106=23,30)</f>
        <v>0</v>
      </c>
      <c r="CG64" s="185"/>
      <c r="CH64" s="185"/>
    </row>
    <row r="65" spans="2:86" ht="21.6" hidden="1" thickBot="1" x14ac:dyDescent="0.45">
      <c r="E65" s="103"/>
      <c r="F65" s="103"/>
      <c r="G65" s="103"/>
      <c r="U65" s="108"/>
      <c r="V65" s="4"/>
      <c r="W65" s="4"/>
      <c r="X65" s="4"/>
      <c r="Y65" s="4"/>
      <c r="Z65" s="4"/>
      <c r="AA65" s="4"/>
      <c r="AB65" s="4"/>
      <c r="AC65" s="4"/>
      <c r="AD65" s="4"/>
      <c r="AE65" s="4"/>
      <c r="AF65" s="4"/>
      <c r="AG65" s="4"/>
      <c r="AH65" s="4"/>
      <c r="AI65" s="4"/>
      <c r="AJ65" s="4"/>
      <c r="AK65" s="4"/>
      <c r="AL65" s="4"/>
      <c r="AM65" s="4"/>
      <c r="AN65" s="4"/>
      <c r="AO65" s="4"/>
      <c r="AT65" s="4"/>
      <c r="AU65" s="4"/>
      <c r="AV65" s="4"/>
      <c r="AW65" s="4"/>
      <c r="AX65" s="4"/>
      <c r="AY65" s="4"/>
      <c r="AZ65" s="4"/>
      <c r="BA65" s="4"/>
      <c r="BB65" s="148">
        <v>12</v>
      </c>
      <c r="BC65" s="182"/>
      <c r="BD65" s="182"/>
      <c r="BE65" s="182"/>
      <c r="BF65" s="182"/>
      <c r="BG65" s="182"/>
      <c r="BH65" s="182"/>
      <c r="BI65" s="182"/>
      <c r="BJ65" s="182"/>
      <c r="BK65" s="182"/>
      <c r="BL65" s="182"/>
      <c r="BM65" s="182"/>
      <c r="BN65" s="182"/>
      <c r="BO65" s="182"/>
      <c r="BP65" s="182"/>
      <c r="BQ65" s="182"/>
      <c r="BR65" s="208" t="b">
        <f>IF(BX106=22,16)</f>
        <v>0</v>
      </c>
      <c r="BS65" s="230"/>
      <c r="BT65" s="230"/>
      <c r="BU65" s="230"/>
      <c r="BV65" s="230"/>
      <c r="BW65" s="230"/>
      <c r="BX65" s="230"/>
      <c r="BY65" s="230"/>
      <c r="BZ65" s="230"/>
      <c r="CA65" s="235"/>
      <c r="CB65" s="235"/>
      <c r="CC65" s="209" t="b">
        <f>IF(BX106=22,27)</f>
        <v>0</v>
      </c>
      <c r="CD65" s="185"/>
      <c r="CE65" s="185"/>
      <c r="CF65" s="185"/>
      <c r="CG65" s="185"/>
      <c r="CH65" s="185"/>
    </row>
    <row r="66" spans="2:86" ht="21.6" hidden="1" thickBot="1" x14ac:dyDescent="0.45">
      <c r="T66" s="4"/>
      <c r="U66" s="4"/>
      <c r="V66" s="4"/>
      <c r="W66" s="4"/>
      <c r="X66" s="4"/>
      <c r="Y66" s="4"/>
      <c r="Z66" s="4"/>
      <c r="AA66" s="4"/>
      <c r="AB66" s="4"/>
      <c r="AC66" s="4"/>
      <c r="AD66" s="4"/>
      <c r="AE66" s="4"/>
      <c r="AF66" s="4"/>
      <c r="AG66" s="4"/>
      <c r="AH66" s="4"/>
      <c r="AI66" s="4"/>
      <c r="AJ66" s="4"/>
      <c r="AK66" s="4"/>
      <c r="AL66" s="4"/>
      <c r="AM66" s="4"/>
      <c r="AN66" s="4"/>
      <c r="AO66" s="4"/>
      <c r="AT66" s="4"/>
      <c r="AU66" s="4"/>
      <c r="AV66" s="4"/>
      <c r="AW66" s="4"/>
      <c r="AX66" s="4"/>
      <c r="AY66" s="4"/>
      <c r="AZ66" s="4"/>
      <c r="BA66" s="4"/>
      <c r="BB66" s="148">
        <v>11</v>
      </c>
      <c r="BC66" s="185"/>
      <c r="BD66" s="185"/>
      <c r="BE66" s="185"/>
      <c r="BF66" s="185"/>
      <c r="BG66" s="185"/>
      <c r="BH66" s="185"/>
      <c r="BI66" s="185"/>
      <c r="BJ66" s="185"/>
      <c r="BK66" s="185"/>
      <c r="BL66" s="185"/>
      <c r="BM66" s="185"/>
      <c r="BN66" s="210" t="b">
        <f>IF(BW106=21,12)</f>
        <v>0</v>
      </c>
      <c r="BO66" s="234"/>
      <c r="BP66" s="234"/>
      <c r="BQ66" s="234"/>
      <c r="BR66" s="234"/>
      <c r="BS66" s="234"/>
      <c r="BT66" s="234"/>
      <c r="BU66" s="234"/>
      <c r="BV66" s="234"/>
      <c r="BW66" s="234"/>
      <c r="BX66" s="234"/>
      <c r="BY66" s="234"/>
      <c r="BZ66" s="234"/>
      <c r="CA66" s="234"/>
      <c r="CB66" s="234"/>
      <c r="CC66" s="234"/>
      <c r="CD66" s="234"/>
      <c r="CE66" s="234"/>
      <c r="CF66" s="212" t="b">
        <f>IF(BW106=21,30)</f>
        <v>0</v>
      </c>
      <c r="CG66" s="185"/>
      <c r="CH66" s="185"/>
    </row>
    <row r="67" spans="2:86" ht="21.6" hidden="1" thickBot="1" x14ac:dyDescent="0.45">
      <c r="T67" s="4"/>
      <c r="U67" s="4"/>
      <c r="V67" s="4"/>
      <c r="W67" s="4"/>
      <c r="X67" s="4"/>
      <c r="Y67" s="4"/>
      <c r="Z67" s="4"/>
      <c r="AA67" s="4"/>
      <c r="AB67" s="4"/>
      <c r="AC67" s="4"/>
      <c r="AD67" s="4"/>
      <c r="AE67" s="4"/>
      <c r="AF67" s="4"/>
      <c r="AG67" s="4"/>
      <c r="AH67" s="4"/>
      <c r="AI67" s="4"/>
      <c r="AJ67" s="4"/>
      <c r="AK67" s="4"/>
      <c r="AL67" s="4"/>
      <c r="AM67" s="4"/>
      <c r="AN67" s="4"/>
      <c r="AO67" s="4"/>
      <c r="AT67" s="27"/>
      <c r="AU67" s="27"/>
      <c r="AV67" s="27"/>
      <c r="AW67" s="27"/>
      <c r="AX67" s="27"/>
      <c r="AY67" s="27"/>
      <c r="AZ67" s="27"/>
      <c r="BA67" s="27"/>
      <c r="BB67" s="148">
        <v>10</v>
      </c>
      <c r="BC67" s="185"/>
      <c r="BD67" s="185"/>
      <c r="BE67" s="185"/>
      <c r="BF67" s="185"/>
      <c r="BG67" s="185"/>
      <c r="BH67" s="185"/>
      <c r="BI67" s="185"/>
      <c r="BJ67" s="185"/>
      <c r="BL67" s="210" t="b">
        <f>IF(BV106=20,10)</f>
        <v>0</v>
      </c>
      <c r="BM67" s="234"/>
      <c r="BN67" s="234"/>
      <c r="BO67" s="234"/>
      <c r="BP67" s="234"/>
      <c r="BQ67" s="234"/>
      <c r="BR67" s="234"/>
      <c r="BS67" s="234"/>
      <c r="BT67" s="234"/>
      <c r="BU67" s="234"/>
      <c r="BV67" s="234"/>
      <c r="BW67" s="234"/>
      <c r="BX67" s="234"/>
      <c r="BY67" s="234"/>
      <c r="BZ67" s="234"/>
      <c r="CA67" s="234"/>
      <c r="CB67" s="234"/>
      <c r="CC67" s="234"/>
      <c r="CD67" s="234"/>
      <c r="CE67" s="234"/>
      <c r="CF67" s="212" t="b">
        <f>IF(BV106=20,30)</f>
        <v>0</v>
      </c>
      <c r="CG67" s="185"/>
      <c r="CH67" s="185"/>
    </row>
    <row r="68" spans="2:86" ht="21.6" hidden="1" thickBot="1" x14ac:dyDescent="0.45">
      <c r="AT68" s="27"/>
      <c r="AU68" s="27"/>
      <c r="AV68" s="27"/>
      <c r="AW68" s="27"/>
      <c r="AX68" s="27"/>
      <c r="AY68" s="27"/>
      <c r="AZ68" s="27"/>
      <c r="BA68" s="27"/>
      <c r="BB68" s="148">
        <v>9</v>
      </c>
      <c r="BC68" s="185"/>
      <c r="BD68" s="185"/>
      <c r="BE68" s="185"/>
      <c r="BF68" s="185"/>
      <c r="BG68" s="185"/>
      <c r="BH68" s="185"/>
      <c r="BI68" s="185"/>
      <c r="BJ68" s="185"/>
      <c r="BK68" s="210" t="b">
        <f>IF(BU106=19,9)</f>
        <v>0</v>
      </c>
      <c r="BL68" s="229"/>
      <c r="BM68" s="229"/>
      <c r="BN68" s="229"/>
      <c r="BO68" s="229"/>
      <c r="BP68" s="229"/>
      <c r="BQ68" s="224"/>
      <c r="BR68" s="229"/>
      <c r="BS68" s="229"/>
      <c r="BT68" s="229"/>
      <c r="BU68" s="229"/>
      <c r="BV68" s="229"/>
      <c r="BW68" s="224"/>
      <c r="BX68" s="229"/>
      <c r="BY68" s="229"/>
      <c r="BZ68" s="229"/>
      <c r="CA68" s="234"/>
      <c r="CB68" s="234"/>
      <c r="CC68" s="224"/>
      <c r="CD68" s="234"/>
      <c r="CE68" s="212" t="b">
        <f>IF(BU106=19,29)</f>
        <v>0</v>
      </c>
      <c r="CF68" s="185"/>
      <c r="CG68" s="185"/>
      <c r="CH68" s="185"/>
    </row>
    <row r="69" spans="2:86" ht="21.6" hidden="1" thickBot="1" x14ac:dyDescent="0.45">
      <c r="AT69" s="27"/>
      <c r="AU69" s="27"/>
      <c r="AV69" s="27"/>
      <c r="AW69" s="27"/>
      <c r="AX69" s="27"/>
      <c r="AY69" s="27"/>
      <c r="AZ69" s="27"/>
      <c r="BA69" s="27"/>
      <c r="BB69" s="148">
        <v>8</v>
      </c>
      <c r="BC69" s="182"/>
      <c r="BD69" s="182"/>
      <c r="BE69" s="182"/>
      <c r="BF69" s="182"/>
      <c r="BG69" s="182"/>
      <c r="BH69" s="182"/>
      <c r="BI69" s="182"/>
      <c r="BJ69" s="182"/>
      <c r="BK69" s="208" t="b">
        <f>IF(BT106=18,9)</f>
        <v>0</v>
      </c>
      <c r="BL69" s="230"/>
      <c r="BM69" s="230"/>
      <c r="BN69" s="230"/>
      <c r="BO69" s="230"/>
      <c r="BP69" s="230"/>
      <c r="BQ69" s="2"/>
      <c r="BR69" s="230"/>
      <c r="BS69" s="230"/>
      <c r="BT69" s="230"/>
      <c r="BU69" s="230"/>
      <c r="BV69" s="230"/>
      <c r="BW69" s="2"/>
      <c r="BX69" s="230"/>
      <c r="BY69" s="230"/>
      <c r="BZ69" s="230"/>
      <c r="CA69" s="235"/>
      <c r="CB69" s="235"/>
      <c r="CC69" s="209" t="b">
        <f>IF(BT106=18,27)</f>
        <v>0</v>
      </c>
      <c r="CD69" s="185"/>
      <c r="CE69" s="185"/>
      <c r="CF69" s="185"/>
      <c r="CG69" s="185"/>
      <c r="CH69" s="185"/>
    </row>
    <row r="70" spans="2:86" ht="21.6" hidden="1" thickBot="1" x14ac:dyDescent="0.45">
      <c r="AT70" s="27"/>
      <c r="AU70" s="27"/>
      <c r="AV70" s="27"/>
      <c r="AW70" s="27"/>
      <c r="AX70" s="27"/>
      <c r="AY70" s="27"/>
      <c r="AZ70" s="27"/>
      <c r="BA70" s="27"/>
      <c r="BB70" s="231">
        <v>7</v>
      </c>
      <c r="BC70" s="182"/>
      <c r="BD70" s="182"/>
      <c r="BE70" s="182"/>
      <c r="BF70" s="182"/>
      <c r="BG70" s="182"/>
      <c r="BH70" s="182"/>
      <c r="BI70" s="182"/>
      <c r="BJ70" s="182"/>
      <c r="BK70" s="208" t="b">
        <f>IF(BS106=17,9)</f>
        <v>0</v>
      </c>
      <c r="BL70" s="2"/>
      <c r="BM70" s="230"/>
      <c r="BN70" s="230"/>
      <c r="BO70" s="230"/>
      <c r="BP70" s="230"/>
      <c r="BQ70" s="230"/>
      <c r="BR70" s="230"/>
      <c r="BS70" s="230"/>
      <c r="BT70" s="230"/>
      <c r="BU70" s="230"/>
      <c r="BV70" s="230"/>
      <c r="BW70" s="230"/>
      <c r="BX70" s="230"/>
      <c r="BY70" s="230"/>
      <c r="BZ70" s="2"/>
      <c r="CA70" s="209" t="b">
        <f>IF(BS106=17,25)</f>
        <v>0</v>
      </c>
      <c r="CB70" s="185"/>
      <c r="CC70" s="185"/>
      <c r="CD70" s="185"/>
      <c r="CE70" s="185"/>
      <c r="CF70" s="185"/>
      <c r="CG70" s="185"/>
      <c r="CH70" s="185"/>
    </row>
    <row r="71" spans="2:86" ht="21.6" hidden="1" thickBot="1" x14ac:dyDescent="0.45">
      <c r="T71" s="4"/>
      <c r="U71" s="4"/>
      <c r="V71" s="4"/>
      <c r="W71" s="4"/>
      <c r="X71" s="4"/>
      <c r="Y71" s="4"/>
      <c r="Z71" s="4"/>
      <c r="AA71" s="4"/>
      <c r="AB71" s="4"/>
      <c r="AC71" s="4"/>
      <c r="AD71" s="4"/>
      <c r="AE71" s="4"/>
      <c r="AF71" s="4"/>
      <c r="AG71" s="4"/>
      <c r="AH71" s="4"/>
      <c r="AI71" s="4"/>
      <c r="AJ71" s="4"/>
      <c r="AK71" s="4"/>
      <c r="AL71" s="4"/>
      <c r="AM71" s="4"/>
      <c r="AN71" s="4"/>
      <c r="AO71" s="4"/>
      <c r="AQ71" s="32"/>
      <c r="AR71" s="33"/>
      <c r="AS71" s="33"/>
      <c r="AT71" s="27"/>
      <c r="AU71" s="27"/>
      <c r="AV71" s="27"/>
      <c r="AW71" s="27"/>
      <c r="AX71" s="27"/>
      <c r="AY71" s="27"/>
      <c r="AZ71" s="27"/>
      <c r="BA71" s="27"/>
      <c r="BB71" s="231">
        <v>6</v>
      </c>
      <c r="BC71" s="182"/>
      <c r="BD71" s="182"/>
      <c r="BE71" s="182"/>
      <c r="BF71" s="182"/>
      <c r="BG71" s="182"/>
      <c r="BH71" s="182"/>
      <c r="BI71" s="182"/>
      <c r="BK71" s="233" t="b">
        <f>IF(BR106=16,9)</f>
        <v>0</v>
      </c>
      <c r="BL71" s="182"/>
      <c r="BM71" s="182"/>
      <c r="BN71" s="182"/>
      <c r="BO71" s="182"/>
      <c r="BP71" s="182"/>
      <c r="BQ71" s="182"/>
      <c r="BR71" s="182"/>
      <c r="BS71" s="182"/>
      <c r="BT71" s="182"/>
      <c r="BU71" s="182"/>
      <c r="BV71" s="182"/>
      <c r="BW71" s="182"/>
      <c r="BX71" s="182"/>
      <c r="BY71" s="209" t="b">
        <f>IF(BR106=16,23)</f>
        <v>0</v>
      </c>
      <c r="CA71" s="185"/>
      <c r="CB71" s="185"/>
      <c r="CC71" s="185"/>
      <c r="CD71" s="185"/>
      <c r="CE71" s="185"/>
      <c r="CF71" s="185"/>
      <c r="CG71" s="185"/>
      <c r="CH71" s="185"/>
    </row>
    <row r="72" spans="2:86" ht="21.6" hidden="1" thickBot="1" x14ac:dyDescent="0.45">
      <c r="T72" s="4"/>
      <c r="U72" s="4"/>
      <c r="V72" s="4"/>
      <c r="W72" s="4"/>
      <c r="X72" s="4"/>
      <c r="Y72" s="4"/>
      <c r="Z72" s="4"/>
      <c r="AA72" s="4"/>
      <c r="AB72" s="4"/>
      <c r="AC72" s="4"/>
      <c r="AD72" s="4"/>
      <c r="AE72" s="4"/>
      <c r="AF72" s="4"/>
      <c r="AG72" s="4"/>
      <c r="AH72" s="4"/>
      <c r="AI72" s="4"/>
      <c r="AJ72" s="4"/>
      <c r="AK72" s="4"/>
      <c r="AL72" s="4"/>
      <c r="AM72" s="4"/>
      <c r="AN72" s="4"/>
      <c r="AO72" s="4"/>
      <c r="AQ72" s="32"/>
      <c r="AR72" s="33"/>
      <c r="AS72" s="33"/>
      <c r="AT72" s="27"/>
      <c r="AU72" s="27"/>
      <c r="AV72" s="27"/>
      <c r="AW72" s="27"/>
      <c r="AX72" s="27"/>
      <c r="AY72" s="27"/>
      <c r="AZ72" s="27"/>
      <c r="BA72" s="27"/>
      <c r="BB72" s="148" t="s">
        <v>86</v>
      </c>
      <c r="BC72" s="182"/>
      <c r="BD72" s="182"/>
      <c r="BE72" s="182"/>
      <c r="BF72" s="182"/>
      <c r="BG72" s="182"/>
      <c r="BH72" s="182"/>
      <c r="BI72" s="182"/>
      <c r="BJ72" s="210" t="b">
        <f>IF(BQ106=15,8)</f>
        <v>0</v>
      </c>
      <c r="BK72" s="229"/>
      <c r="BL72" s="229"/>
      <c r="BM72" s="224"/>
      <c r="BN72" s="229"/>
      <c r="BO72" s="229"/>
      <c r="BP72" s="229"/>
      <c r="BQ72" s="229"/>
      <c r="BR72" s="229"/>
      <c r="BS72" s="229"/>
      <c r="BT72" s="229"/>
      <c r="BU72" s="224"/>
      <c r="BV72" s="229"/>
      <c r="BW72" s="229"/>
      <c r="BX72" s="212" t="b">
        <f>IF(BQ106=15,22)</f>
        <v>0</v>
      </c>
      <c r="BY72" s="182"/>
      <c r="BZ72" s="182"/>
      <c r="CA72" s="185"/>
      <c r="CB72" s="185"/>
      <c r="CC72" s="185"/>
      <c r="CD72" s="185"/>
      <c r="CE72" s="185"/>
      <c r="CF72" s="185"/>
      <c r="CG72" s="185"/>
      <c r="CH72" s="185"/>
    </row>
    <row r="73" spans="2:86" ht="21.6" hidden="1" thickBot="1" x14ac:dyDescent="0.45">
      <c r="T73" s="4"/>
      <c r="U73" s="4"/>
      <c r="V73" s="4"/>
      <c r="W73" s="4"/>
      <c r="X73" s="4"/>
      <c r="Y73" s="4"/>
      <c r="Z73" s="4"/>
      <c r="AA73" s="4"/>
      <c r="AB73" s="4"/>
      <c r="AC73" s="4"/>
      <c r="AD73" s="4"/>
      <c r="AE73" s="4"/>
      <c r="AF73" s="4"/>
      <c r="AG73" s="4"/>
      <c r="AH73" s="4"/>
      <c r="AI73" s="4"/>
      <c r="AJ73" s="4"/>
      <c r="AK73" s="4"/>
      <c r="AL73" s="4"/>
      <c r="AM73" s="4"/>
      <c r="AN73" s="4"/>
      <c r="AO73" s="4"/>
      <c r="AQ73" s="32"/>
      <c r="AR73" s="33"/>
      <c r="AS73" s="33"/>
      <c r="AT73" s="27"/>
      <c r="AU73" s="27"/>
      <c r="AV73" s="27"/>
      <c r="AW73" s="27"/>
      <c r="AX73" s="27"/>
      <c r="AY73" s="27"/>
      <c r="AZ73" s="27"/>
      <c r="BA73" s="27"/>
      <c r="BB73" s="148" t="s">
        <v>85</v>
      </c>
      <c r="BC73" s="182"/>
      <c r="BD73" s="182"/>
      <c r="BE73" s="182"/>
      <c r="BF73" s="182"/>
      <c r="BG73" s="182"/>
      <c r="BH73" s="210" t="b">
        <f>IF(BP106=14,6)</f>
        <v>0</v>
      </c>
      <c r="BI73" s="229"/>
      <c r="BJ73" s="229"/>
      <c r="BK73" s="224"/>
      <c r="BL73" s="229"/>
      <c r="BM73" s="229"/>
      <c r="BN73" s="229"/>
      <c r="BO73" s="229"/>
      <c r="BP73" s="229"/>
      <c r="BQ73" s="229"/>
      <c r="BR73" s="229"/>
      <c r="BS73" s="229"/>
      <c r="BT73" s="229"/>
      <c r="BU73" s="224"/>
      <c r="BV73" s="229"/>
      <c r="BW73" s="229"/>
      <c r="BX73" s="212" t="b">
        <f>IF(BP106=14,22)</f>
        <v>0</v>
      </c>
      <c r="BY73" s="182"/>
      <c r="BZ73" s="182"/>
      <c r="CA73" s="185"/>
      <c r="CB73" s="185"/>
      <c r="CC73" s="185"/>
      <c r="CD73" s="185"/>
      <c r="CE73" s="185"/>
      <c r="CF73" s="185"/>
      <c r="CG73" s="185"/>
      <c r="CH73" s="185"/>
    </row>
    <row r="74" spans="2:86" ht="21.6" hidden="1" thickBot="1" x14ac:dyDescent="0.45">
      <c r="T74" s="4"/>
      <c r="U74" s="4"/>
      <c r="V74" s="4"/>
      <c r="W74" s="4"/>
      <c r="X74" s="4"/>
      <c r="Y74" s="4"/>
      <c r="Z74" s="4"/>
      <c r="AA74" s="4"/>
      <c r="AB74" s="4"/>
      <c r="AC74" s="4"/>
      <c r="AD74" s="4"/>
      <c r="AE74" s="4"/>
      <c r="AF74" s="4"/>
      <c r="AG74" s="4"/>
      <c r="AH74" s="4"/>
      <c r="AI74" s="4"/>
      <c r="AJ74" s="4"/>
      <c r="AK74" s="4"/>
      <c r="AL74" s="4"/>
      <c r="AM74" s="4"/>
      <c r="AN74" s="4"/>
      <c r="AO74" s="4"/>
      <c r="AQ74" s="32"/>
      <c r="AR74" s="33"/>
      <c r="AS74" s="33"/>
      <c r="AT74" s="27"/>
      <c r="AU74" s="27"/>
      <c r="AV74" s="27"/>
      <c r="AW74" s="27"/>
      <c r="AX74" s="27"/>
      <c r="AY74" s="27"/>
      <c r="AZ74" s="27"/>
      <c r="BA74" s="27"/>
      <c r="BB74" s="148">
        <v>5</v>
      </c>
      <c r="BC74" s="182"/>
      <c r="BD74" s="182"/>
      <c r="BE74" s="182"/>
      <c r="BF74" s="210" t="b">
        <f>IF(BO106=13,4)</f>
        <v>0</v>
      </c>
      <c r="BG74" s="229"/>
      <c r="BH74" s="229"/>
      <c r="BI74" s="224"/>
      <c r="BJ74" s="229"/>
      <c r="BK74" s="229"/>
      <c r="BL74" s="229"/>
      <c r="BM74" s="229"/>
      <c r="BN74" s="229"/>
      <c r="BO74" s="229"/>
      <c r="BP74" s="229"/>
      <c r="BQ74" s="229"/>
      <c r="BR74" s="229"/>
      <c r="BS74" s="229"/>
      <c r="BT74" s="229"/>
      <c r="BU74" s="224"/>
      <c r="BV74" s="229"/>
      <c r="BW74" s="229"/>
      <c r="BX74" s="212" t="b">
        <f>IF(BO106=13,22)</f>
        <v>0</v>
      </c>
      <c r="BY74" s="182"/>
      <c r="BZ74" s="182"/>
      <c r="CA74" s="185"/>
      <c r="CB74" s="185"/>
      <c r="CC74" s="185"/>
      <c r="CD74" s="185"/>
      <c r="CE74" s="185"/>
      <c r="CF74" s="185"/>
      <c r="CG74" s="185"/>
      <c r="CH74" s="185"/>
    </row>
    <row r="75" spans="2:86" ht="21.6" hidden="1" thickBot="1" x14ac:dyDescent="0.45">
      <c r="T75" s="4"/>
      <c r="U75" s="4"/>
      <c r="V75" s="4"/>
      <c r="W75" s="4"/>
      <c r="X75" s="4"/>
      <c r="Y75" s="4"/>
      <c r="Z75" s="4"/>
      <c r="AA75" s="4"/>
      <c r="AB75" s="4"/>
      <c r="AC75" s="4"/>
      <c r="AD75" s="4"/>
      <c r="AE75" s="4"/>
      <c r="AF75" s="4"/>
      <c r="AG75" s="4"/>
      <c r="AH75" s="4"/>
      <c r="AI75" s="4"/>
      <c r="AJ75" s="4"/>
      <c r="AK75" s="4"/>
      <c r="AL75" s="4"/>
      <c r="AM75" s="4"/>
      <c r="AN75" s="4"/>
      <c r="AO75" s="4"/>
      <c r="AQ75" s="32"/>
      <c r="AR75" s="33"/>
      <c r="AS75" s="33"/>
      <c r="AT75" s="27"/>
      <c r="AU75" s="27"/>
      <c r="AV75" s="27"/>
      <c r="AW75" s="27"/>
      <c r="AX75" s="27"/>
      <c r="AY75" s="27"/>
      <c r="AZ75" s="27"/>
      <c r="BA75" s="27"/>
      <c r="BB75" s="148">
        <v>4</v>
      </c>
      <c r="BC75" s="182"/>
      <c r="BD75" s="210" t="b">
        <f>IF(BN106=12,2)</f>
        <v>0</v>
      </c>
      <c r="BE75" s="229"/>
      <c r="BF75" s="229"/>
      <c r="BG75" s="224"/>
      <c r="BH75" s="229"/>
      <c r="BI75" s="229"/>
      <c r="BJ75" s="229"/>
      <c r="BK75" s="229"/>
      <c r="BL75" s="229"/>
      <c r="BM75" s="229"/>
      <c r="BN75" s="229"/>
      <c r="BO75" s="229"/>
      <c r="BP75" s="229"/>
      <c r="BQ75" s="229"/>
      <c r="BR75" s="229"/>
      <c r="BS75" s="229"/>
      <c r="BT75" s="229"/>
      <c r="BU75" s="224"/>
      <c r="BV75" s="229"/>
      <c r="BW75" s="229"/>
      <c r="BX75" s="212" t="b">
        <f>IF(BN106=12,22)</f>
        <v>0</v>
      </c>
      <c r="BY75" s="182"/>
      <c r="BZ75" s="182"/>
      <c r="CA75" s="185"/>
      <c r="CB75" s="185"/>
      <c r="CC75" s="185"/>
      <c r="CD75" s="185"/>
      <c r="CE75" s="185"/>
      <c r="CF75" s="185"/>
      <c r="CG75" s="185"/>
      <c r="CH75" s="185"/>
    </row>
    <row r="76" spans="2:86" ht="21.6" hidden="1" thickBot="1" x14ac:dyDescent="0.45">
      <c r="B76" s="24"/>
      <c r="T76" s="4"/>
      <c r="U76" s="4"/>
      <c r="V76" s="4"/>
      <c r="W76" s="4"/>
      <c r="X76" s="4"/>
      <c r="Y76" s="4"/>
      <c r="Z76" s="4"/>
      <c r="AA76" s="4"/>
      <c r="AB76" s="4"/>
      <c r="AC76" s="4"/>
      <c r="AD76" s="4"/>
      <c r="AE76" s="4"/>
      <c r="AF76" s="4"/>
      <c r="AG76" s="4"/>
      <c r="AH76" s="4"/>
      <c r="AI76" s="4"/>
      <c r="AJ76" s="4"/>
      <c r="AK76" s="4"/>
      <c r="AL76" s="4"/>
      <c r="AM76" s="4"/>
      <c r="AN76" s="4"/>
      <c r="AO76" s="4"/>
      <c r="AQ76" s="32"/>
      <c r="AR76" s="33"/>
      <c r="AS76" s="33"/>
      <c r="AT76" s="27"/>
      <c r="AU76" s="27"/>
      <c r="AV76" s="27"/>
      <c r="AW76" s="27"/>
      <c r="AX76" s="27"/>
      <c r="AY76" s="27"/>
      <c r="AZ76" s="27"/>
      <c r="BA76" s="27"/>
      <c r="BB76" s="148">
        <v>3</v>
      </c>
      <c r="BC76" s="210">
        <f>IF(BM106=11,1)</f>
        <v>1</v>
      </c>
      <c r="BD76" s="230"/>
      <c r="BE76" s="2"/>
      <c r="BF76" s="230"/>
      <c r="BG76" s="230"/>
      <c r="BH76" s="230"/>
      <c r="BI76" s="230"/>
      <c r="BJ76" s="230"/>
      <c r="BK76" s="230"/>
      <c r="BL76" s="230"/>
      <c r="BM76" s="230"/>
      <c r="BN76" s="230"/>
      <c r="BO76" s="230"/>
      <c r="BP76" s="230"/>
      <c r="BQ76" s="230"/>
      <c r="BR76" s="230"/>
      <c r="BS76" s="230"/>
      <c r="BT76" s="230"/>
      <c r="BU76" s="2"/>
      <c r="BV76" s="230"/>
      <c r="BW76" s="209">
        <f>IF(BM106=11,21)</f>
        <v>21</v>
      </c>
      <c r="BX76" s="182"/>
      <c r="BY76" s="182"/>
      <c r="BZ76" s="182"/>
      <c r="CA76" s="185"/>
      <c r="CB76" s="185"/>
      <c r="CC76" s="185"/>
      <c r="CD76" s="185"/>
      <c r="CE76" s="185"/>
      <c r="CF76" s="185"/>
      <c r="CG76" s="185"/>
      <c r="CH76" s="185"/>
    </row>
    <row r="77" spans="2:86" ht="21.6" hidden="1" thickBot="1" x14ac:dyDescent="0.45">
      <c r="B77" s="166"/>
      <c r="T77" s="4"/>
      <c r="U77" s="4"/>
      <c r="V77" s="4"/>
      <c r="W77" s="4"/>
      <c r="X77" s="4"/>
      <c r="Y77" s="4"/>
      <c r="Z77" s="4"/>
      <c r="AA77" s="4"/>
      <c r="AB77" s="4"/>
      <c r="AC77" s="4"/>
      <c r="AD77" s="4"/>
      <c r="AE77" s="4"/>
      <c r="AF77" s="4"/>
      <c r="AG77" s="4"/>
      <c r="AH77" s="4"/>
      <c r="AI77" s="4"/>
      <c r="AJ77" s="4"/>
      <c r="AK77" s="4"/>
      <c r="AL77" s="4"/>
      <c r="AM77" s="4"/>
      <c r="AN77" s="4"/>
      <c r="AO77" s="4"/>
      <c r="AQ77" s="32"/>
      <c r="AR77" s="33"/>
      <c r="AS77" s="33"/>
      <c r="AT77" s="27"/>
      <c r="AU77" s="27"/>
      <c r="AV77" s="27"/>
      <c r="AW77" s="27"/>
      <c r="AX77" s="27"/>
      <c r="AY77" s="27"/>
      <c r="AZ77" s="27"/>
      <c r="BA77" s="27"/>
      <c r="BB77" s="148">
        <v>2</v>
      </c>
      <c r="BC77" s="208" t="b">
        <f>IF(BL106=10,1)</f>
        <v>0</v>
      </c>
      <c r="BD77" s="230"/>
      <c r="BE77" s="230"/>
      <c r="BF77" s="230"/>
      <c r="BG77" s="230"/>
      <c r="BH77" s="230"/>
      <c r="BI77" s="230"/>
      <c r="BJ77" s="230"/>
      <c r="BK77" s="230"/>
      <c r="BL77" s="230"/>
      <c r="BM77" s="230"/>
      <c r="BN77" s="230"/>
      <c r="BO77" s="230"/>
      <c r="BP77" s="230"/>
      <c r="BQ77" s="230"/>
      <c r="BR77" s="230"/>
      <c r="BS77" s="230"/>
      <c r="BT77" s="230"/>
      <c r="BU77" s="209" t="b">
        <f>IF(BL106=10,19)</f>
        <v>0</v>
      </c>
      <c r="BV77" s="182"/>
      <c r="BW77" s="182"/>
      <c r="BX77" s="182"/>
      <c r="BY77" s="182"/>
      <c r="BZ77" s="182"/>
      <c r="CA77" s="185"/>
      <c r="CB77" s="185"/>
      <c r="CC77" s="185"/>
      <c r="CD77" s="185"/>
      <c r="CE77" s="185"/>
      <c r="CF77" s="185"/>
      <c r="CG77" s="185"/>
      <c r="CH77" s="185"/>
    </row>
    <row r="78" spans="2:86" ht="21.6" hidden="1" thickBot="1" x14ac:dyDescent="0.45">
      <c r="T78" s="4"/>
      <c r="U78" s="4"/>
      <c r="V78" s="4"/>
      <c r="W78" s="4"/>
      <c r="X78" s="4"/>
      <c r="Y78" s="4"/>
      <c r="Z78" s="4"/>
      <c r="AA78" s="4"/>
      <c r="AB78" s="4"/>
      <c r="AC78" s="4"/>
      <c r="AD78" s="4"/>
      <c r="AE78" s="4"/>
      <c r="AF78" s="4"/>
      <c r="AG78" s="4"/>
      <c r="AH78" s="4"/>
      <c r="AI78" s="4"/>
      <c r="AJ78" s="4"/>
      <c r="AK78" s="4"/>
      <c r="AL78" s="4"/>
      <c r="AM78" s="4"/>
      <c r="AN78" s="4"/>
      <c r="AO78" s="4"/>
      <c r="AQ78" s="32"/>
      <c r="AR78" s="33"/>
      <c r="AS78" s="33"/>
      <c r="AU78" s="27"/>
      <c r="AV78" s="27"/>
      <c r="AW78" s="27"/>
      <c r="AX78" s="27"/>
      <c r="AY78" s="27"/>
      <c r="AZ78" s="27"/>
      <c r="BA78" s="27"/>
      <c r="BB78" s="148">
        <v>1</v>
      </c>
      <c r="BC78" s="208" t="b">
        <f>IF(BK106=9,1)</f>
        <v>0</v>
      </c>
      <c r="BD78" s="230"/>
      <c r="BE78" s="230"/>
      <c r="BF78" s="230"/>
      <c r="BG78" s="230"/>
      <c r="BH78" s="230"/>
      <c r="BI78" s="230"/>
      <c r="BJ78" s="230"/>
      <c r="BK78" s="230"/>
      <c r="BL78" s="230"/>
      <c r="BM78" s="230"/>
      <c r="BN78" s="230"/>
      <c r="BO78" s="230"/>
      <c r="BP78" s="230"/>
      <c r="BQ78" s="230"/>
      <c r="BR78" s="230"/>
      <c r="BS78" s="209" t="b">
        <f>IF(BK106=9,17)</f>
        <v>0</v>
      </c>
      <c r="BT78" s="182"/>
      <c r="BU78" s="182"/>
      <c r="BV78" s="182"/>
      <c r="BW78" s="182"/>
      <c r="BX78" s="182"/>
      <c r="BY78" s="182"/>
      <c r="BZ78" s="182"/>
      <c r="CA78" s="185"/>
      <c r="CB78" s="185"/>
      <c r="CC78" s="185"/>
      <c r="CD78" s="185"/>
      <c r="CE78" s="185"/>
      <c r="CF78" s="185"/>
      <c r="CG78" s="185"/>
      <c r="CH78" s="185"/>
    </row>
    <row r="79" spans="2:86" ht="21.6" hidden="1" thickBot="1" x14ac:dyDescent="0.45">
      <c r="T79" s="4"/>
      <c r="U79" s="4"/>
      <c r="V79" s="4"/>
      <c r="W79" s="4"/>
      <c r="X79" s="4"/>
      <c r="Y79" s="4"/>
      <c r="Z79" s="4"/>
      <c r="AA79" s="4"/>
      <c r="AB79" s="4"/>
      <c r="AC79" s="4"/>
      <c r="AD79" s="4"/>
      <c r="AE79" s="4"/>
      <c r="AF79" s="4"/>
      <c r="AG79" s="4"/>
      <c r="AH79" s="4"/>
      <c r="AI79" s="4"/>
      <c r="AJ79" s="4"/>
      <c r="AK79" s="4"/>
      <c r="AL79" s="4"/>
      <c r="AM79" s="4"/>
      <c r="AN79" s="4"/>
      <c r="AO79" s="4"/>
      <c r="AQ79" s="32"/>
      <c r="AR79" s="33"/>
      <c r="AS79" s="33"/>
      <c r="AT79" s="27"/>
      <c r="AU79" s="27"/>
      <c r="AV79" s="27"/>
      <c r="AW79" s="27"/>
      <c r="AX79" s="27"/>
      <c r="AY79" s="27"/>
      <c r="AZ79" s="27"/>
      <c r="BA79" s="27"/>
      <c r="BB79" s="148" t="s">
        <v>84</v>
      </c>
      <c r="BD79" s="182"/>
      <c r="BE79" s="208" t="b">
        <f>IF(BJ106=8,3)</f>
        <v>0</v>
      </c>
      <c r="BF79" s="230"/>
      <c r="BG79" s="230"/>
      <c r="BH79" s="230"/>
      <c r="BI79" s="230"/>
      <c r="BJ79" s="230"/>
      <c r="BK79" s="230"/>
      <c r="BL79" s="230"/>
      <c r="BM79" s="230"/>
      <c r="BN79" s="230"/>
      <c r="BO79" s="209" t="b">
        <f>IF(BJ106=8,5)</f>
        <v>0</v>
      </c>
      <c r="BP79" s="182"/>
      <c r="BR79" s="182"/>
      <c r="BS79" s="182"/>
      <c r="BT79" s="182"/>
      <c r="BU79" s="182"/>
      <c r="BV79" s="182"/>
      <c r="BW79" s="182"/>
      <c r="BX79" s="182"/>
      <c r="BY79" s="182"/>
      <c r="BZ79" s="182"/>
      <c r="CA79" s="185"/>
      <c r="CB79" s="185"/>
      <c r="CC79" s="185"/>
      <c r="CD79" s="185"/>
      <c r="CE79" s="185"/>
      <c r="CF79" s="185"/>
      <c r="CG79" s="185"/>
      <c r="CH79" s="185"/>
    </row>
    <row r="80" spans="2:86" ht="21.6" hidden="1" thickBot="1" x14ac:dyDescent="0.45">
      <c r="T80" s="4"/>
      <c r="U80" s="4"/>
      <c r="V80" s="4"/>
      <c r="W80" s="4"/>
      <c r="X80" s="4"/>
      <c r="Y80" s="4"/>
      <c r="Z80" s="4"/>
      <c r="AA80" s="4"/>
      <c r="AB80" s="4"/>
      <c r="AC80" s="4"/>
      <c r="AD80" s="4"/>
      <c r="AE80" s="4"/>
      <c r="AF80" s="4"/>
      <c r="AG80" s="4"/>
      <c r="AH80" s="4"/>
      <c r="AI80" s="4"/>
      <c r="AJ80" s="4"/>
      <c r="AK80" s="4"/>
      <c r="AL80" s="4"/>
      <c r="AM80" s="4"/>
      <c r="AN80" s="4"/>
      <c r="AO80" s="4"/>
      <c r="AQ80" s="32"/>
      <c r="AR80" s="33"/>
      <c r="AS80" s="33"/>
      <c r="AU80" s="27"/>
      <c r="AV80" s="27"/>
      <c r="AW80" s="27"/>
      <c r="AX80" s="27"/>
      <c r="AY80" s="27"/>
      <c r="AZ80" s="27"/>
      <c r="BA80" s="27"/>
      <c r="BB80" s="148" t="s">
        <v>16</v>
      </c>
      <c r="BC80" s="182"/>
      <c r="BD80" s="210" t="b">
        <f>IF(BI106=7,2)</f>
        <v>0</v>
      </c>
      <c r="BE80" s="230"/>
      <c r="BF80" s="230"/>
      <c r="BG80" s="230"/>
      <c r="BH80" s="230"/>
      <c r="BI80" s="230"/>
      <c r="BJ80" s="230"/>
      <c r="BK80" s="230"/>
      <c r="BL80" s="230"/>
      <c r="BM80" s="2"/>
      <c r="BN80" s="209" t="b">
        <f>IF(BI106=7,12)</f>
        <v>0</v>
      </c>
      <c r="BO80" s="182"/>
      <c r="BP80" s="182"/>
      <c r="BQ80" s="182"/>
      <c r="BR80" s="182"/>
      <c r="BS80" s="182"/>
      <c r="BT80" s="182"/>
      <c r="BU80" s="182"/>
      <c r="BV80" s="182"/>
      <c r="BW80" s="182"/>
      <c r="BX80" s="182"/>
      <c r="BY80" s="182"/>
      <c r="BZ80" s="182"/>
      <c r="CA80" s="185"/>
      <c r="CB80" s="185"/>
      <c r="CC80" s="185"/>
      <c r="CD80" s="185"/>
      <c r="CE80" s="185"/>
      <c r="CF80" s="185"/>
      <c r="CG80" s="185"/>
      <c r="CH80" s="185"/>
    </row>
    <row r="81" spans="2:87" ht="21.6" hidden="1" thickBot="1" x14ac:dyDescent="0.45">
      <c r="T81" s="4"/>
      <c r="U81" s="4"/>
      <c r="V81" s="4"/>
      <c r="W81" s="4"/>
      <c r="X81" s="4"/>
      <c r="Y81" s="4"/>
      <c r="Z81" s="4"/>
      <c r="AA81" s="4"/>
      <c r="AB81" s="4"/>
      <c r="AC81" s="4"/>
      <c r="AD81" s="4"/>
      <c r="AE81" s="4"/>
      <c r="AF81" s="4"/>
      <c r="AG81" s="4"/>
      <c r="AH81" s="4"/>
      <c r="AI81" s="4"/>
      <c r="AJ81" s="4"/>
      <c r="AK81" s="4"/>
      <c r="AL81" s="4"/>
      <c r="AM81" s="4"/>
      <c r="AN81" s="4"/>
      <c r="AO81" s="4"/>
      <c r="AQ81" s="32"/>
      <c r="AR81" s="33"/>
      <c r="AS81" s="33"/>
      <c r="AU81" s="27"/>
      <c r="AV81" s="27"/>
      <c r="AW81" s="27"/>
      <c r="AX81" s="27"/>
      <c r="AY81" s="27"/>
      <c r="AZ81" s="27"/>
      <c r="BA81" s="27"/>
      <c r="BB81" s="148" t="s">
        <v>83</v>
      </c>
      <c r="BC81" s="210" t="b">
        <f>IF(BH106=6,1)</f>
        <v>0</v>
      </c>
      <c r="BD81" s="229"/>
      <c r="BE81" s="229"/>
      <c r="BF81" s="229"/>
      <c r="BG81" s="229"/>
      <c r="BH81" s="229"/>
      <c r="BI81" s="229"/>
      <c r="BJ81" s="229"/>
      <c r="BK81" s="229"/>
      <c r="BL81" s="229"/>
      <c r="BM81" s="212" t="b">
        <f>IF(BH106=6,11)</f>
        <v>0</v>
      </c>
      <c r="BN81" s="182"/>
      <c r="BO81" s="182"/>
      <c r="BP81" s="182"/>
      <c r="BQ81" s="182"/>
      <c r="BR81" s="182"/>
      <c r="BS81" s="182"/>
      <c r="BT81" s="182"/>
      <c r="BU81" s="182"/>
      <c r="BV81" s="182"/>
      <c r="BW81" s="182"/>
      <c r="BX81" s="182"/>
      <c r="BY81" s="182"/>
      <c r="BZ81" s="182"/>
      <c r="CA81" s="185"/>
      <c r="CB81" s="185"/>
      <c r="CC81" s="185"/>
      <c r="CD81" s="185"/>
      <c r="CE81" s="185"/>
      <c r="CF81" s="185"/>
      <c r="CG81" s="185"/>
      <c r="CH81" s="185"/>
    </row>
    <row r="82" spans="2:87" ht="21.6" hidden="1" thickBot="1" x14ac:dyDescent="0.45">
      <c r="T82" s="4"/>
      <c r="U82" s="4"/>
      <c r="V82" s="4"/>
      <c r="W82" s="4"/>
      <c r="X82" s="4"/>
      <c r="Y82" s="4"/>
      <c r="Z82" s="4"/>
      <c r="AA82" s="4"/>
      <c r="AB82" s="4"/>
      <c r="AC82" s="4"/>
      <c r="AD82" s="4"/>
      <c r="AE82" s="4"/>
      <c r="AF82" s="4"/>
      <c r="AG82" s="4"/>
      <c r="AH82" s="4"/>
      <c r="AI82" s="4"/>
      <c r="AJ82" s="4"/>
      <c r="AK82" s="4"/>
      <c r="AL82" s="4"/>
      <c r="AM82" s="4"/>
      <c r="AN82" s="4"/>
      <c r="AO82" s="4"/>
      <c r="AQ82" s="32"/>
      <c r="AR82" s="33"/>
      <c r="AS82" s="33"/>
      <c r="AT82" s="27"/>
      <c r="AU82" s="27"/>
      <c r="AV82" s="27"/>
      <c r="AW82" s="27"/>
      <c r="AX82" s="27"/>
      <c r="AY82" s="27"/>
      <c r="AZ82" s="27"/>
      <c r="BA82" s="27"/>
      <c r="BB82" s="148" t="s">
        <v>37</v>
      </c>
      <c r="BC82" s="208" t="b">
        <f>IF(BG106=5,1)</f>
        <v>0</v>
      </c>
      <c r="BD82" s="2"/>
      <c r="BE82" s="230"/>
      <c r="BF82" s="230"/>
      <c r="BG82" s="230"/>
      <c r="BH82" s="230"/>
      <c r="BI82" s="230"/>
      <c r="BJ82" s="2"/>
      <c r="BK82" s="209" t="b">
        <f>IF(BG106=5,9)</f>
        <v>0</v>
      </c>
      <c r="BL82" s="182"/>
      <c r="BM82" s="182"/>
      <c r="BN82" s="182"/>
      <c r="BO82" s="182"/>
      <c r="BP82" s="182"/>
      <c r="BQ82" s="182"/>
      <c r="BR82" s="182"/>
      <c r="BS82" s="182"/>
      <c r="BT82" s="182"/>
      <c r="BU82" s="182"/>
      <c r="BV82" s="182"/>
      <c r="BW82" s="182"/>
      <c r="BX82" s="182"/>
      <c r="BY82" s="182"/>
      <c r="BZ82" s="182"/>
      <c r="CA82" s="185"/>
      <c r="CB82" s="185"/>
      <c r="CC82" s="185"/>
      <c r="CD82" s="185"/>
      <c r="CE82" s="185"/>
      <c r="CF82" s="185"/>
      <c r="CG82" s="185"/>
      <c r="CH82" s="185"/>
    </row>
    <row r="83" spans="2:87" ht="21.6" hidden="1" thickBot="1" x14ac:dyDescent="0.45">
      <c r="T83" s="4"/>
      <c r="U83" s="4"/>
      <c r="V83" s="4"/>
      <c r="W83" s="4"/>
      <c r="X83" s="4"/>
      <c r="Y83" s="4"/>
      <c r="Z83" s="4"/>
      <c r="AA83" s="4"/>
      <c r="AB83" s="4"/>
      <c r="AC83" s="4"/>
      <c r="AD83" s="4"/>
      <c r="AE83" s="4"/>
      <c r="AF83" s="4"/>
      <c r="AG83" s="4"/>
      <c r="AH83" s="4"/>
      <c r="AI83" s="4"/>
      <c r="AJ83" s="4"/>
      <c r="AK83" s="4"/>
      <c r="AL83" s="4"/>
      <c r="AM83" s="4"/>
      <c r="AN83" s="4"/>
      <c r="AO83" s="4"/>
      <c r="AQ83" s="32"/>
      <c r="AR83" s="33"/>
      <c r="AS83" s="33"/>
      <c r="AU83" s="27"/>
      <c r="AV83" s="27"/>
      <c r="AW83" s="27"/>
      <c r="AX83" s="27"/>
      <c r="AY83" s="27"/>
      <c r="AZ83" s="27"/>
      <c r="BA83" s="27"/>
      <c r="BB83" s="148" t="s">
        <v>36</v>
      </c>
      <c r="BC83" s="208" t="b">
        <f>IF(BF106=4,1)</f>
        <v>0</v>
      </c>
      <c r="BD83" s="230"/>
      <c r="BE83" s="230"/>
      <c r="BF83" s="230"/>
      <c r="BG83" s="230"/>
      <c r="BH83" s="230"/>
      <c r="BI83" s="209" t="b">
        <f>IF(BF106=4,7)</f>
        <v>0</v>
      </c>
      <c r="BJ83" s="182"/>
      <c r="BK83" s="194"/>
      <c r="BL83" s="194"/>
      <c r="BM83" s="182"/>
      <c r="BN83" s="194"/>
      <c r="BO83" s="182"/>
      <c r="BP83" s="182"/>
      <c r="BQ83" s="182"/>
      <c r="BR83" s="182"/>
      <c r="BS83" s="182"/>
      <c r="BT83" s="182"/>
      <c r="BU83" s="182"/>
      <c r="BV83" s="182"/>
      <c r="BW83" s="182"/>
      <c r="BX83" s="182"/>
      <c r="BY83" s="182"/>
      <c r="BZ83" s="182"/>
      <c r="CA83" s="185"/>
      <c r="CB83" s="185"/>
      <c r="CC83" s="185"/>
      <c r="CD83" s="185"/>
      <c r="CE83" s="185"/>
      <c r="CF83" s="185"/>
      <c r="CG83" s="185"/>
      <c r="CH83" s="185"/>
    </row>
    <row r="84" spans="2:87" ht="21.6" hidden="1" thickBot="1" x14ac:dyDescent="0.45">
      <c r="T84" s="4"/>
      <c r="U84" s="4"/>
      <c r="V84" s="4"/>
      <c r="W84" s="4"/>
      <c r="X84" s="4"/>
      <c r="Y84" s="4"/>
      <c r="Z84" s="4"/>
      <c r="AA84" s="4"/>
      <c r="AB84" s="4"/>
      <c r="AC84" s="4"/>
      <c r="AD84" s="4"/>
      <c r="AE84" s="4"/>
      <c r="AF84" s="4"/>
      <c r="AG84" s="4"/>
      <c r="AH84" s="4"/>
      <c r="AI84" s="4"/>
      <c r="AJ84" s="4"/>
      <c r="AK84" s="4"/>
      <c r="AL84" s="4"/>
      <c r="AM84" s="4"/>
      <c r="AN84" s="4"/>
      <c r="AO84" s="4"/>
      <c r="AQ84" s="32"/>
      <c r="AR84" s="33"/>
      <c r="AS84" s="33"/>
      <c r="AT84" s="27"/>
      <c r="AU84" s="27"/>
      <c r="AV84" s="27"/>
      <c r="AW84" s="27"/>
      <c r="AX84" s="27"/>
      <c r="AY84" s="27"/>
      <c r="AZ84" s="27"/>
      <c r="BA84" s="27"/>
      <c r="BB84" s="148" t="s">
        <v>35</v>
      </c>
      <c r="BC84" s="208" t="b">
        <f>IF(BE106=3,1)</f>
        <v>0</v>
      </c>
      <c r="BD84" s="230"/>
      <c r="BE84" s="230"/>
      <c r="BF84" s="230"/>
      <c r="BG84" s="209" t="b">
        <f>IF(BE106=3,5)</f>
        <v>0</v>
      </c>
      <c r="BH84" s="182"/>
      <c r="BI84" s="182"/>
      <c r="BJ84" s="182"/>
      <c r="BK84" s="182"/>
      <c r="BL84" s="182"/>
      <c r="BM84" s="182"/>
      <c r="BN84" s="182"/>
      <c r="BO84" s="182"/>
      <c r="BP84" s="182"/>
      <c r="BQ84" s="182"/>
      <c r="BR84" s="182"/>
      <c r="BS84" s="182"/>
      <c r="BT84" s="182"/>
      <c r="BU84" s="182"/>
      <c r="BV84" s="182"/>
      <c r="BW84" s="182"/>
      <c r="BX84" s="182"/>
      <c r="BY84" s="182"/>
      <c r="BZ84" s="182"/>
      <c r="CA84" s="185"/>
      <c r="CB84" s="185"/>
      <c r="CC84" s="185"/>
      <c r="CD84" s="185"/>
      <c r="CE84" s="185"/>
      <c r="CF84" s="185"/>
      <c r="CG84" s="185"/>
      <c r="CH84" s="185"/>
    </row>
    <row r="85" spans="2:87" ht="21.6" hidden="1" thickBot="1" x14ac:dyDescent="0.45">
      <c r="T85" s="4"/>
      <c r="U85" s="4"/>
      <c r="V85" s="4"/>
      <c r="W85" s="4"/>
      <c r="X85" s="4"/>
      <c r="Y85" s="4"/>
      <c r="Z85" s="4"/>
      <c r="AA85" s="4"/>
      <c r="AB85" s="4"/>
      <c r="AC85" s="4"/>
      <c r="AD85" s="4"/>
      <c r="AE85" s="4"/>
      <c r="AF85" s="4"/>
      <c r="AG85" s="4"/>
      <c r="AH85" s="4"/>
      <c r="AI85" s="4"/>
      <c r="AJ85" s="4"/>
      <c r="AK85" s="4"/>
      <c r="AL85" s="4"/>
      <c r="AM85" s="4"/>
      <c r="AN85" s="4"/>
      <c r="AO85" s="4"/>
      <c r="AQ85" s="32"/>
      <c r="AR85" s="33"/>
      <c r="AS85" s="33"/>
      <c r="AT85" s="27"/>
      <c r="AU85" s="27"/>
      <c r="AV85" s="27"/>
      <c r="AW85" s="27"/>
      <c r="AX85" s="27"/>
      <c r="AY85" s="27"/>
      <c r="AZ85" s="27"/>
      <c r="BA85" s="27"/>
      <c r="BB85" s="148" t="s">
        <v>34</v>
      </c>
      <c r="BC85" s="208" t="b">
        <f>IF(BD106=2,1)</f>
        <v>0</v>
      </c>
      <c r="BD85" s="230"/>
      <c r="BE85" s="209" t="b">
        <f>IF(BD106=2,3)</f>
        <v>0</v>
      </c>
      <c r="BF85" s="182"/>
      <c r="BG85" s="182"/>
      <c r="BH85" s="182"/>
      <c r="BI85" s="182"/>
      <c r="BJ85" s="182"/>
      <c r="BK85" s="182"/>
      <c r="BL85" s="182"/>
      <c r="BM85" s="182"/>
      <c r="BN85" s="182"/>
      <c r="BO85" s="182"/>
      <c r="BP85" s="182"/>
      <c r="BQ85" s="182"/>
      <c r="BR85" s="182"/>
      <c r="BS85" s="182"/>
      <c r="BT85" s="182"/>
      <c r="BU85" s="182"/>
      <c r="BV85" s="182"/>
      <c r="BW85" s="182"/>
      <c r="BX85" s="182"/>
      <c r="BY85" s="182"/>
      <c r="BZ85" s="182"/>
      <c r="CA85" s="185"/>
      <c r="CB85" s="185"/>
      <c r="CC85" s="185"/>
      <c r="CD85" s="185"/>
      <c r="CE85" s="185"/>
      <c r="CF85" s="185"/>
      <c r="CG85" s="185"/>
      <c r="CH85" s="185"/>
    </row>
    <row r="86" spans="2:87" ht="42" hidden="1" thickBot="1" x14ac:dyDescent="0.45">
      <c r="T86" s="4"/>
      <c r="U86" s="4"/>
      <c r="V86" s="4"/>
      <c r="W86" s="4"/>
      <c r="X86" s="4"/>
      <c r="Y86" s="4"/>
      <c r="Z86" s="4"/>
      <c r="AA86" s="4"/>
      <c r="AB86" s="4"/>
      <c r="AC86" s="4"/>
      <c r="AD86" s="4"/>
      <c r="AE86" s="4"/>
      <c r="AF86" s="4"/>
      <c r="AG86" s="4"/>
      <c r="AH86" s="4"/>
      <c r="AI86" s="4"/>
      <c r="AJ86" s="4"/>
      <c r="AK86" s="4"/>
      <c r="AL86" s="4"/>
      <c r="AM86" s="4"/>
      <c r="AN86" s="4"/>
      <c r="AO86" s="4"/>
      <c r="AQ86" s="32"/>
      <c r="AR86" s="33"/>
      <c r="AS86" s="33"/>
      <c r="AT86" s="27"/>
      <c r="AU86" s="27"/>
      <c r="AV86" s="27"/>
      <c r="AW86" s="27"/>
      <c r="AX86" s="27"/>
      <c r="AY86" s="27"/>
      <c r="AZ86" s="27"/>
      <c r="BA86" s="27"/>
      <c r="BB86" s="195" t="s">
        <v>80</v>
      </c>
      <c r="BC86" s="196">
        <f>SUM(BC57:BC85)</f>
        <v>1</v>
      </c>
      <c r="BD86" s="196">
        <f t="shared" ref="BD86:CF86" si="0">SUM(BD57:BD85)</f>
        <v>0</v>
      </c>
      <c r="BE86" s="196">
        <f t="shared" si="0"/>
        <v>0</v>
      </c>
      <c r="BF86" s="196">
        <f t="shared" si="0"/>
        <v>0</v>
      </c>
      <c r="BG86" s="196">
        <f t="shared" si="0"/>
        <v>0</v>
      </c>
      <c r="BH86" s="196">
        <f t="shared" si="0"/>
        <v>0</v>
      </c>
      <c r="BI86" s="196">
        <f t="shared" si="0"/>
        <v>0</v>
      </c>
      <c r="BJ86" s="196">
        <f t="shared" si="0"/>
        <v>0</v>
      </c>
      <c r="BK86" s="196">
        <f t="shared" si="0"/>
        <v>0</v>
      </c>
      <c r="BL86" s="196">
        <f t="shared" si="0"/>
        <v>0</v>
      </c>
      <c r="BM86" s="196">
        <f t="shared" si="0"/>
        <v>0</v>
      </c>
      <c r="BN86" s="196">
        <f t="shared" si="0"/>
        <v>0</v>
      </c>
      <c r="BO86" s="196">
        <f t="shared" si="0"/>
        <v>0</v>
      </c>
      <c r="BP86" s="196">
        <f t="shared" si="0"/>
        <v>0</v>
      </c>
      <c r="BQ86" s="196">
        <f t="shared" si="0"/>
        <v>0</v>
      </c>
      <c r="BR86" s="196">
        <f t="shared" si="0"/>
        <v>0</v>
      </c>
      <c r="BS86" s="196">
        <f t="shared" si="0"/>
        <v>0</v>
      </c>
      <c r="BT86" s="196">
        <f t="shared" si="0"/>
        <v>0</v>
      </c>
      <c r="BU86" s="196">
        <f t="shared" si="0"/>
        <v>0</v>
      </c>
      <c r="BV86" s="196">
        <f t="shared" si="0"/>
        <v>0</v>
      </c>
      <c r="BW86" s="196">
        <f t="shared" si="0"/>
        <v>21</v>
      </c>
      <c r="BX86" s="196">
        <f t="shared" si="0"/>
        <v>0</v>
      </c>
      <c r="BY86" s="196">
        <f t="shared" si="0"/>
        <v>0</v>
      </c>
      <c r="BZ86" s="196">
        <f t="shared" si="0"/>
        <v>0</v>
      </c>
      <c r="CA86" s="196">
        <f t="shared" si="0"/>
        <v>0</v>
      </c>
      <c r="CB86" s="196">
        <f t="shared" si="0"/>
        <v>0</v>
      </c>
      <c r="CC86" s="196">
        <f t="shared" si="0"/>
        <v>0</v>
      </c>
      <c r="CD86" s="196">
        <f t="shared" si="0"/>
        <v>0</v>
      </c>
      <c r="CE86" s="196">
        <f t="shared" si="0"/>
        <v>0</v>
      </c>
      <c r="CF86" s="196">
        <f t="shared" si="0"/>
        <v>0</v>
      </c>
      <c r="CG86" s="185"/>
      <c r="CH86" s="185"/>
    </row>
    <row r="87" spans="2:87" ht="44.25" customHeight="1" thickBot="1" x14ac:dyDescent="0.45">
      <c r="T87" s="4"/>
      <c r="U87" s="4"/>
      <c r="V87" s="4"/>
      <c r="W87" s="4"/>
      <c r="X87" s="4"/>
      <c r="Y87" s="4"/>
      <c r="Z87" s="4"/>
      <c r="AA87" s="4"/>
      <c r="AB87" s="4"/>
      <c r="AC87" s="4"/>
      <c r="AD87" s="4"/>
      <c r="AE87" s="4"/>
      <c r="AF87" s="4"/>
      <c r="AG87" s="4"/>
      <c r="AH87" s="4"/>
      <c r="AI87" s="4"/>
      <c r="AJ87" s="4"/>
      <c r="AK87" s="4"/>
      <c r="AL87" s="4"/>
      <c r="AM87" s="4"/>
      <c r="AN87" s="4"/>
      <c r="AO87" s="4"/>
      <c r="AQ87" s="32"/>
      <c r="AR87" s="33"/>
      <c r="AS87" s="33"/>
      <c r="AT87" s="27"/>
      <c r="AU87" s="27"/>
      <c r="AV87" s="27"/>
      <c r="AW87" s="27"/>
      <c r="AX87" s="27"/>
      <c r="AY87" s="27"/>
      <c r="AZ87" s="27"/>
      <c r="BA87" s="27"/>
      <c r="BB87" s="197" t="s">
        <v>80</v>
      </c>
      <c r="BC87" s="765" t="str">
        <f>IF(BC86=1,"A ","")</f>
        <v xml:space="preserve">A </v>
      </c>
      <c r="BD87" s="766" t="str">
        <f>IF(BD86=2,"B ","")</f>
        <v/>
      </c>
      <c r="BE87" s="766" t="str">
        <f>IF(BE86=3,"C ","")</f>
        <v/>
      </c>
      <c r="BF87" s="766" t="str">
        <f>IF(BF86=4,"D ","")</f>
        <v/>
      </c>
      <c r="BG87" s="766" t="str">
        <f>IF(BG86=5,"E ","")</f>
        <v/>
      </c>
      <c r="BH87" s="766" t="str">
        <f>IF(BH86=6,"F ","")</f>
        <v/>
      </c>
      <c r="BI87" s="766" t="str">
        <f>IF(BI86=7,"G ","")</f>
        <v/>
      </c>
      <c r="BJ87" s="766" t="str">
        <f>IF(BJ86=8,"H ","")</f>
        <v/>
      </c>
      <c r="BK87" s="766" t="str">
        <f>IF(BK86=9,"1 ","")</f>
        <v/>
      </c>
      <c r="BL87" s="766" t="str">
        <f>IF(BL86=10,"2 ","")</f>
        <v/>
      </c>
      <c r="BM87" s="766" t="str">
        <f>IF(BM86=11,"3 ","")</f>
        <v/>
      </c>
      <c r="BN87" s="766" t="str">
        <f>IF(BN86=12,"4 ","")</f>
        <v/>
      </c>
      <c r="BO87" s="766" t="str">
        <f>IF(BO86=13,"5 ","")</f>
        <v/>
      </c>
      <c r="BP87" s="766" t="str">
        <f>IF(BP86=14,"i ","")</f>
        <v/>
      </c>
      <c r="BQ87" s="766" t="str">
        <f>IF(BQ86=15,"J ","")</f>
        <v/>
      </c>
      <c r="BR87" s="766" t="str">
        <f>IF(BR86=16,"6 ","")</f>
        <v/>
      </c>
      <c r="BS87" s="766" t="str">
        <f>IF(BS86=17,"7 ","")</f>
        <v/>
      </c>
      <c r="BT87" s="766" t="str">
        <f>IF(BT86=18,"8 ","")</f>
        <v/>
      </c>
      <c r="BU87" s="766" t="str">
        <f>IF(BU86=19,"9 ","")</f>
        <v/>
      </c>
      <c r="BV87" s="766" t="str">
        <f>IF(BV86=20,"10 ","")</f>
        <v/>
      </c>
      <c r="BW87" s="766" t="str">
        <f>IF(BW86=21,"11 ","")</f>
        <v xml:space="preserve">11 </v>
      </c>
      <c r="BX87" s="766" t="str">
        <f>IF(BX86=22,"12 ","")</f>
        <v/>
      </c>
      <c r="BY87" s="766" t="str">
        <f>IF(BY86=23,"K ","")</f>
        <v/>
      </c>
      <c r="BZ87" s="766" t="str">
        <f>IF(BZ86=24,"L ","")</f>
        <v/>
      </c>
      <c r="CA87" s="766" t="str">
        <f>IF(CA86=25,"M ","")</f>
        <v/>
      </c>
      <c r="CB87" s="766" t="str">
        <f>IF(CB86=26,"N ","")</f>
        <v/>
      </c>
      <c r="CC87" s="766" t="str">
        <f>IF(CC86=27,"O ","")</f>
        <v/>
      </c>
      <c r="CD87" s="766" t="str">
        <f>IF(CD86=28,"P ","")</f>
        <v/>
      </c>
      <c r="CE87" s="766" t="str">
        <f>IF(CE86=29,"Q ","")</f>
        <v/>
      </c>
      <c r="CF87" s="767" t="str">
        <f>IF(CF86=30,"R ","")</f>
        <v/>
      </c>
      <c r="CG87" s="185"/>
      <c r="CH87" s="185"/>
    </row>
    <row r="88" spans="2:87" ht="21.6" thickBot="1" x14ac:dyDescent="0.45">
      <c r="T88" s="4"/>
      <c r="U88" s="4"/>
      <c r="V88" s="4"/>
      <c r="W88" s="4"/>
      <c r="X88" s="4"/>
      <c r="Y88" s="4"/>
      <c r="Z88" s="4"/>
      <c r="AA88" s="4"/>
      <c r="AB88" s="4"/>
      <c r="AC88" s="4"/>
      <c r="AD88" s="4"/>
      <c r="AE88" s="4"/>
      <c r="AF88" s="4"/>
      <c r="AG88" s="4"/>
      <c r="AH88" s="4"/>
      <c r="AI88" s="4"/>
      <c r="AJ88" s="4"/>
      <c r="AK88" s="4"/>
      <c r="AL88" s="4"/>
      <c r="AM88" s="4"/>
      <c r="AN88" s="4"/>
      <c r="AO88" s="4"/>
      <c r="AQ88" s="32"/>
      <c r="AR88" s="33"/>
      <c r="AS88" s="33"/>
      <c r="AT88" s="27"/>
      <c r="AU88" s="27"/>
      <c r="AV88" s="27"/>
      <c r="AW88" s="27"/>
      <c r="AX88" s="27"/>
      <c r="AY88" s="27"/>
      <c r="AZ88" s="27"/>
      <c r="BA88" s="27"/>
      <c r="BB88" s="185"/>
      <c r="BC88" s="185"/>
      <c r="BD88" s="185"/>
      <c r="BE88" s="185"/>
      <c r="BF88" s="185"/>
      <c r="BG88" s="185"/>
      <c r="BH88" s="185"/>
      <c r="BI88" s="185"/>
      <c r="BJ88" s="185"/>
      <c r="BK88" s="185"/>
      <c r="BL88" s="185"/>
      <c r="BM88" s="185"/>
      <c r="BN88" s="185"/>
      <c r="BO88" s="185"/>
      <c r="BP88" s="185"/>
      <c r="BQ88" s="185"/>
      <c r="BR88" s="185"/>
      <c r="BS88" s="185"/>
      <c r="BT88" s="185"/>
      <c r="BU88" s="185"/>
      <c r="BV88" s="198"/>
      <c r="BW88" s="198"/>
      <c r="BX88" s="198"/>
      <c r="BY88" s="198"/>
      <c r="BZ88" s="199"/>
      <c r="CA88" s="185"/>
      <c r="CB88" s="185"/>
      <c r="CC88" s="185"/>
      <c r="CD88" s="185"/>
      <c r="CE88" s="185"/>
      <c r="CF88" s="185"/>
      <c r="CG88" s="185"/>
      <c r="CH88" s="185"/>
    </row>
    <row r="89" spans="2:87" ht="29.25" customHeight="1" x14ac:dyDescent="0.4">
      <c r="T89" s="4"/>
      <c r="U89" s="4"/>
      <c r="V89" s="4"/>
      <c r="W89" s="4"/>
      <c r="X89" s="4"/>
      <c r="Y89" s="4"/>
      <c r="Z89" s="4"/>
      <c r="AA89" s="4"/>
      <c r="AB89" s="4"/>
      <c r="AC89" s="4"/>
      <c r="AD89" s="4"/>
      <c r="AE89" s="4"/>
      <c r="AF89" s="4"/>
      <c r="AG89" s="4"/>
      <c r="AH89" s="4"/>
      <c r="AI89" s="4"/>
      <c r="AJ89" s="4"/>
      <c r="AK89" s="4"/>
      <c r="AL89" s="4"/>
      <c r="AM89" s="4"/>
      <c r="AN89" s="4"/>
      <c r="AO89" s="4"/>
      <c r="AQ89" s="32"/>
      <c r="AR89" s="33"/>
      <c r="AS89" s="33"/>
      <c r="AT89" s="27"/>
      <c r="AU89" s="27"/>
      <c r="AV89" s="27"/>
      <c r="AW89" s="27"/>
      <c r="AX89" s="27"/>
      <c r="AY89" s="27"/>
      <c r="AZ89" s="27"/>
      <c r="BA89" s="27"/>
      <c r="BB89" s="200" t="s">
        <v>30</v>
      </c>
      <c r="BC89" s="1978"/>
      <c r="BD89" s="1979"/>
      <c r="BE89" s="1979"/>
      <c r="BF89" s="1979"/>
      <c r="BG89" s="1979"/>
      <c r="BH89" s="1979"/>
      <c r="BI89" s="1979"/>
      <c r="BJ89" s="1980"/>
      <c r="BK89" s="202" t="s">
        <v>31</v>
      </c>
      <c r="BL89" s="201"/>
      <c r="BM89" s="201"/>
      <c r="BN89" s="201"/>
      <c r="BO89" s="201"/>
      <c r="BP89" s="201"/>
      <c r="BQ89" s="201"/>
      <c r="BR89" s="201"/>
      <c r="BS89" s="201"/>
      <c r="BT89" s="201"/>
      <c r="BU89" s="227"/>
      <c r="BV89" s="190"/>
      <c r="BW89" s="190"/>
      <c r="BX89" s="203" t="s">
        <v>32</v>
      </c>
      <c r="BY89" s="1978"/>
      <c r="BZ89" s="1979"/>
      <c r="CA89" s="1979"/>
      <c r="CB89" s="1979"/>
      <c r="CC89" s="1979"/>
      <c r="CD89" s="1979"/>
      <c r="CE89" s="1979"/>
      <c r="CF89" s="1980"/>
      <c r="CG89" s="185"/>
      <c r="CH89" s="185"/>
    </row>
    <row r="90" spans="2:87" ht="29.25" customHeight="1" thickBot="1" x14ac:dyDescent="0.45">
      <c r="T90" s="4"/>
      <c r="U90" s="4"/>
      <c r="V90" s="4"/>
      <c r="W90" s="4"/>
      <c r="X90" s="4"/>
      <c r="Y90" s="4"/>
      <c r="Z90" s="4"/>
      <c r="AA90" s="4"/>
      <c r="AB90" s="4"/>
      <c r="AC90" s="4"/>
      <c r="AD90" s="4"/>
      <c r="AE90" s="4"/>
      <c r="AF90" s="4"/>
      <c r="AG90" s="4"/>
      <c r="AH90" s="4"/>
      <c r="AI90" s="4"/>
      <c r="AJ90" s="4"/>
      <c r="AK90" s="4"/>
      <c r="AL90" s="4"/>
      <c r="AM90" s="4"/>
      <c r="AN90" s="4"/>
      <c r="AO90" s="4"/>
      <c r="AQ90" s="32"/>
      <c r="AR90" s="33"/>
      <c r="AS90" s="33"/>
      <c r="AT90" s="27"/>
      <c r="AU90" s="27"/>
      <c r="AV90" s="27"/>
      <c r="AW90" s="27"/>
      <c r="AX90" s="27"/>
      <c r="AY90" s="1348" t="s">
        <v>223</v>
      </c>
      <c r="AZ90" s="1348">
        <f>+MAX(BA51,BA54,BA90)</f>
        <v>81.418654570249203</v>
      </c>
      <c r="BA90" s="1347">
        <f>+IF(AND(BW90&gt;0,BK90&gt;0),BK90)</f>
        <v>76.260903536556413</v>
      </c>
      <c r="BB90" s="204" t="s">
        <v>81</v>
      </c>
      <c r="BC90" s="1981"/>
      <c r="BD90" s="1982"/>
      <c r="BE90" s="1982"/>
      <c r="BF90" s="1982"/>
      <c r="BG90" s="1982"/>
      <c r="BH90" s="1982"/>
      <c r="BI90" s="1982"/>
      <c r="BJ90" s="1983"/>
      <c r="BK90" s="2003">
        <f>+((D2-D3)/D2)*C12</f>
        <v>76.260903536556413</v>
      </c>
      <c r="BL90" s="2004"/>
      <c r="BM90" s="683"/>
      <c r="BN90" s="683"/>
      <c r="BO90" s="683"/>
      <c r="BP90" s="683"/>
      <c r="BQ90" s="683"/>
      <c r="BR90" s="683"/>
      <c r="BS90" s="683"/>
      <c r="BT90" s="683"/>
      <c r="BU90" s="679"/>
      <c r="BV90" s="681"/>
      <c r="BW90" s="1987">
        <f>+(D3/D2)*C12</f>
        <v>13.539096463443583</v>
      </c>
      <c r="BX90" s="1988"/>
      <c r="BY90" s="1981"/>
      <c r="BZ90" s="1982"/>
      <c r="CA90" s="1982"/>
      <c r="CB90" s="1982"/>
      <c r="CC90" s="1982"/>
      <c r="CD90" s="1982"/>
      <c r="CE90" s="1982"/>
      <c r="CF90" s="1983"/>
      <c r="CG90" s="1347">
        <f>+IF(AND(BK90&gt;0,BW90&gt;0),BW90)</f>
        <v>13.539096463443583</v>
      </c>
      <c r="CH90" s="1348">
        <f>+MAX(CG51,CG54,CG90)</f>
        <v>42.590869239274603</v>
      </c>
      <c r="CI90" s="1348" t="s">
        <v>224</v>
      </c>
    </row>
    <row r="91" spans="2:87" ht="21.6" hidden="1" thickBot="1" x14ac:dyDescent="0.45">
      <c r="D91" s="150"/>
      <c r="T91" s="4"/>
      <c r="U91" s="4"/>
      <c r="V91" s="4"/>
      <c r="W91" s="4"/>
      <c r="X91" s="4"/>
      <c r="Y91" s="4"/>
      <c r="Z91" s="4"/>
      <c r="AA91" s="4"/>
      <c r="AB91" s="4"/>
      <c r="AC91" s="4"/>
      <c r="AD91" s="4"/>
      <c r="AE91" s="4"/>
      <c r="AF91" s="4"/>
      <c r="AG91" s="4"/>
      <c r="AH91" s="4"/>
      <c r="AI91" s="4"/>
      <c r="AJ91" s="4"/>
      <c r="AK91" s="4"/>
      <c r="AL91" s="4"/>
      <c r="AM91" s="4"/>
      <c r="AN91" s="4"/>
      <c r="AO91" s="4"/>
      <c r="AQ91" s="32"/>
      <c r="AR91" s="33"/>
      <c r="AS91" s="33"/>
      <c r="AT91" s="27"/>
      <c r="AU91" s="27"/>
      <c r="AV91" s="27"/>
      <c r="AW91" s="27"/>
      <c r="AX91" s="27"/>
      <c r="AY91" s="27"/>
      <c r="AZ91" s="27"/>
      <c r="BA91" s="27"/>
      <c r="BB91" s="206"/>
      <c r="BC91" s="206"/>
      <c r="BD91" s="207"/>
      <c r="BE91" s="206"/>
      <c r="BF91" s="206"/>
      <c r="BG91" s="206"/>
      <c r="BJ91">
        <v>11</v>
      </c>
      <c r="BK91" s="207"/>
      <c r="BL91" s="206"/>
      <c r="BM91" s="206"/>
      <c r="BN91" s="206"/>
      <c r="BO91" s="206"/>
      <c r="BP91" s="206"/>
      <c r="BQ91" s="206"/>
      <c r="BR91" s="206"/>
      <c r="BS91" s="206"/>
      <c r="BT91" s="206"/>
      <c r="BU91" s="206"/>
      <c r="BV91" s="208" t="b">
        <f>IF(BW106=21,10)</f>
        <v>0</v>
      </c>
      <c r="BW91" s="205"/>
      <c r="BX91" s="209" t="b">
        <f>IF(BW106=21,12)</f>
        <v>0</v>
      </c>
      <c r="BY91" s="198"/>
      <c r="BZ91" s="184"/>
      <c r="CA91" s="185"/>
      <c r="CB91" s="185"/>
      <c r="CC91" s="185"/>
      <c r="CD91" s="185"/>
      <c r="CE91" s="185"/>
      <c r="CF91" s="185"/>
      <c r="CG91" s="185"/>
      <c r="CH91" s="185"/>
    </row>
    <row r="92" spans="2:87" ht="21.6" hidden="1" thickBot="1" x14ac:dyDescent="0.45">
      <c r="D92" s="150"/>
      <c r="T92" s="4"/>
      <c r="U92" s="4"/>
      <c r="V92" s="4"/>
      <c r="W92" s="4"/>
      <c r="X92" s="4"/>
      <c r="Y92" s="4"/>
      <c r="Z92" s="4"/>
      <c r="AA92" s="4"/>
      <c r="AB92" s="4"/>
      <c r="AC92" s="4"/>
      <c r="AD92" s="4"/>
      <c r="AE92" s="4"/>
      <c r="AF92" s="4"/>
      <c r="AG92" s="4"/>
      <c r="AH92" s="4"/>
      <c r="AI92" s="4"/>
      <c r="AJ92" s="4"/>
      <c r="AK92" s="4"/>
      <c r="AL92" s="4"/>
      <c r="AM92" s="4"/>
      <c r="AN92" s="4"/>
      <c r="AO92" s="4"/>
      <c r="AQ92" s="32"/>
      <c r="AR92" s="33"/>
      <c r="AS92" s="33"/>
      <c r="AT92" s="27"/>
      <c r="AU92" s="27"/>
      <c r="AV92" s="27"/>
      <c r="AW92" s="27"/>
      <c r="AX92" s="27"/>
      <c r="AY92" s="27"/>
      <c r="AZ92" s="27"/>
      <c r="BA92" s="27"/>
      <c r="BB92" s="206"/>
      <c r="BC92" s="206"/>
      <c r="BD92" s="207"/>
      <c r="BE92" s="206"/>
      <c r="BF92" s="206"/>
      <c r="BG92" s="206"/>
      <c r="BJ92">
        <v>10</v>
      </c>
      <c r="BK92" s="207"/>
      <c r="BL92" s="206"/>
      <c r="BM92" s="206"/>
      <c r="BN92" s="206"/>
      <c r="BO92" s="206"/>
      <c r="BP92" s="206"/>
      <c r="BQ92" s="206"/>
      <c r="BR92" s="206"/>
      <c r="BS92" s="206"/>
      <c r="BT92" s="222" t="b">
        <f>IF(BV106=20,8)</f>
        <v>0</v>
      </c>
      <c r="BU92" s="201"/>
      <c r="BV92" s="201"/>
      <c r="BW92" s="201"/>
      <c r="BX92" s="226" t="b">
        <f>IF(BV106=20,12)</f>
        <v>0</v>
      </c>
      <c r="BY92" s="198"/>
      <c r="BZ92" s="184"/>
      <c r="CA92" s="185"/>
      <c r="CB92" s="185"/>
      <c r="CC92" s="185"/>
      <c r="CD92" s="185"/>
      <c r="CE92" s="185"/>
      <c r="CF92" s="185"/>
      <c r="CG92" s="185"/>
      <c r="CH92" s="185"/>
    </row>
    <row r="93" spans="2:87" ht="21.6" hidden="1" thickBot="1" x14ac:dyDescent="0.45">
      <c r="D93" s="150"/>
      <c r="T93" s="4"/>
      <c r="U93" s="4"/>
      <c r="V93" s="4"/>
      <c r="W93" s="4"/>
      <c r="X93" s="4"/>
      <c r="Y93" s="4"/>
      <c r="Z93" s="4"/>
      <c r="AA93" s="4"/>
      <c r="AB93" s="4"/>
      <c r="AC93" s="4"/>
      <c r="AD93" s="4"/>
      <c r="AE93" s="4"/>
      <c r="AF93" s="4"/>
      <c r="AG93" s="4"/>
      <c r="AH93" s="4"/>
      <c r="AI93" s="4"/>
      <c r="AJ93" s="4"/>
      <c r="AK93" s="4"/>
      <c r="AL93" s="4"/>
      <c r="AM93" s="4"/>
      <c r="AN93" s="4"/>
      <c r="AO93" s="4"/>
      <c r="AQ93" s="32"/>
      <c r="AR93" s="33"/>
      <c r="AS93" s="33"/>
      <c r="AT93" s="27"/>
      <c r="AU93" s="27"/>
      <c r="AV93" s="27"/>
      <c r="AW93" s="27"/>
      <c r="AX93" s="27"/>
      <c r="AY93" s="27"/>
      <c r="AZ93" s="27"/>
      <c r="BA93" s="27"/>
      <c r="BB93" s="206"/>
      <c r="BC93" s="206"/>
      <c r="BD93" s="207"/>
      <c r="BE93" s="206"/>
      <c r="BF93" s="206"/>
      <c r="BG93" s="206"/>
      <c r="BJ93">
        <v>9</v>
      </c>
      <c r="BK93" s="207"/>
      <c r="BL93" s="206"/>
      <c r="BM93" s="206"/>
      <c r="BN93" s="206"/>
      <c r="BO93" s="206"/>
      <c r="BP93" s="206"/>
      <c r="BQ93" s="206"/>
      <c r="BR93" s="210" t="b">
        <f>IF(BU106=19,6)</f>
        <v>0</v>
      </c>
      <c r="BS93" s="211"/>
      <c r="BT93" s="224"/>
      <c r="BU93" s="211"/>
      <c r="BV93" s="224"/>
      <c r="BW93" s="211"/>
      <c r="BX93" s="212" t="b">
        <f>IF(BU106=19,12)</f>
        <v>0</v>
      </c>
      <c r="BY93" s="198"/>
      <c r="BZ93" s="184"/>
      <c r="CA93" s="185"/>
      <c r="CB93" s="185"/>
      <c r="CC93" s="185"/>
      <c r="CD93" s="185"/>
      <c r="CE93" s="185"/>
      <c r="CF93" s="185"/>
      <c r="CG93" s="185"/>
      <c r="CH93" s="185"/>
    </row>
    <row r="94" spans="2:87" ht="21.6" hidden="1" thickBot="1" x14ac:dyDescent="0.45">
      <c r="D94" s="150"/>
      <c r="T94" s="4"/>
      <c r="U94" s="4"/>
      <c r="V94" s="4"/>
      <c r="W94" s="4"/>
      <c r="X94" s="4"/>
      <c r="Y94" s="4"/>
      <c r="Z94" s="4"/>
      <c r="AA94" s="4"/>
      <c r="AB94" s="4"/>
      <c r="AC94" s="4"/>
      <c r="AD94" s="4"/>
      <c r="AE94" s="4"/>
      <c r="AF94" s="4"/>
      <c r="AG94" s="4"/>
      <c r="AH94" s="4"/>
      <c r="AI94" s="4"/>
      <c r="AJ94" s="4"/>
      <c r="AK94" s="4"/>
      <c r="AL94" s="4"/>
      <c r="AM94" s="4"/>
      <c r="AN94" s="4"/>
      <c r="AO94" s="4"/>
      <c r="AQ94" s="32"/>
      <c r="AR94" s="33"/>
      <c r="AS94" s="33"/>
      <c r="AT94" s="27"/>
      <c r="AU94" s="27"/>
      <c r="AV94" s="27"/>
      <c r="AW94" s="27"/>
      <c r="AX94" s="27"/>
      <c r="AY94" s="27"/>
      <c r="AZ94" s="27"/>
      <c r="BA94" s="27"/>
      <c r="BB94" s="206"/>
      <c r="BC94" s="206"/>
      <c r="BD94" s="207"/>
      <c r="BE94" s="206"/>
      <c r="BF94" s="206"/>
      <c r="BG94" s="206"/>
      <c r="BJ94">
        <v>8</v>
      </c>
      <c r="BK94" s="207"/>
      <c r="BL94" s="206"/>
      <c r="BM94" s="206"/>
      <c r="BN94" s="206"/>
      <c r="BO94" s="206"/>
      <c r="BR94" s="208" t="b">
        <f>IF(BT106=18,6)</f>
        <v>0</v>
      </c>
      <c r="BS94" s="205"/>
      <c r="BT94" s="205"/>
      <c r="BU94" s="205"/>
      <c r="BV94" s="209" t="b">
        <f>IF(BT106=18,10)</f>
        <v>0</v>
      </c>
      <c r="BW94" s="206"/>
      <c r="BY94" s="198"/>
      <c r="BZ94" s="184"/>
      <c r="CA94" s="185"/>
      <c r="CB94" s="185"/>
      <c r="CC94" s="185"/>
      <c r="CD94" s="185"/>
      <c r="CE94" s="185"/>
      <c r="CF94" s="185"/>
      <c r="CG94" s="185"/>
      <c r="CH94" s="185"/>
    </row>
    <row r="95" spans="2:87" ht="21.6" hidden="1" thickBot="1" x14ac:dyDescent="0.45">
      <c r="B95" s="147"/>
      <c r="C95" s="147"/>
      <c r="D95" s="150"/>
      <c r="T95" s="4"/>
      <c r="U95" s="4"/>
      <c r="V95" s="4"/>
      <c r="W95" s="4"/>
      <c r="X95" s="4"/>
      <c r="Y95" s="4"/>
      <c r="Z95" s="4"/>
      <c r="AA95" s="4"/>
      <c r="AB95" s="4"/>
      <c r="AC95" s="4"/>
      <c r="AD95" s="4"/>
      <c r="AE95" s="4"/>
      <c r="AF95" s="4"/>
      <c r="AG95" s="4"/>
      <c r="AH95" s="4"/>
      <c r="AI95" s="4"/>
      <c r="AJ95" s="4"/>
      <c r="AK95" s="4"/>
      <c r="AL95" s="4"/>
      <c r="AM95" s="4"/>
      <c r="AN95" s="4"/>
      <c r="AO95" s="4"/>
      <c r="AQ95" s="32"/>
      <c r="AR95" s="33"/>
      <c r="AS95" s="33"/>
      <c r="AT95" s="27"/>
      <c r="AU95" s="27"/>
      <c r="AV95" s="27"/>
      <c r="AW95" s="27"/>
      <c r="AX95" s="27"/>
      <c r="AY95" s="27"/>
      <c r="AZ95" s="27"/>
      <c r="BA95" s="27"/>
      <c r="BB95" s="206"/>
      <c r="BC95" s="206"/>
      <c r="BD95" s="207"/>
      <c r="BE95" s="206"/>
      <c r="BF95" s="206"/>
      <c r="BG95" s="206"/>
      <c r="BJ95">
        <v>7</v>
      </c>
      <c r="BK95" s="207"/>
      <c r="BL95" s="206"/>
      <c r="BM95" s="206"/>
      <c r="BN95" s="210" t="b">
        <f>IF(BS106=17,4)</f>
        <v>0</v>
      </c>
      <c r="BO95" s="211"/>
      <c r="BP95" s="211"/>
      <c r="BQ95" s="211"/>
      <c r="BR95" s="211"/>
      <c r="BS95" s="211"/>
      <c r="BT95" s="211"/>
      <c r="BU95" s="211"/>
      <c r="BV95" s="211"/>
      <c r="BW95" s="205"/>
      <c r="BX95" s="212" t="b">
        <f>IF(BS106=17,12)</f>
        <v>0</v>
      </c>
      <c r="BY95" s="198"/>
      <c r="BZ95" s="184"/>
      <c r="CA95" s="185"/>
      <c r="CB95" s="185"/>
      <c r="CC95" s="185"/>
      <c r="CD95" s="185"/>
      <c r="CE95" s="185"/>
      <c r="CF95" s="185"/>
      <c r="CG95" s="185"/>
      <c r="CH95" s="185"/>
    </row>
    <row r="96" spans="2:87" ht="21.6" hidden="1" thickBot="1" x14ac:dyDescent="0.45">
      <c r="B96" s="147"/>
      <c r="C96" s="147"/>
      <c r="D96" s="150"/>
      <c r="T96" s="4"/>
      <c r="U96" s="4"/>
      <c r="V96" s="4"/>
      <c r="W96" s="4"/>
      <c r="X96" s="4"/>
      <c r="Y96" s="4"/>
      <c r="Z96" s="4"/>
      <c r="AA96" s="4"/>
      <c r="AB96" s="4"/>
      <c r="AC96" s="4"/>
      <c r="AD96" s="4"/>
      <c r="AE96" s="4"/>
      <c r="AF96" s="4"/>
      <c r="AG96" s="4"/>
      <c r="AH96" s="4"/>
      <c r="AI96" s="4"/>
      <c r="AJ96" s="4"/>
      <c r="AK96" s="4"/>
      <c r="AL96" s="4"/>
      <c r="AM96" s="4"/>
      <c r="AN96" s="4"/>
      <c r="AO96" s="4"/>
      <c r="AQ96" s="32"/>
      <c r="AR96" s="33"/>
      <c r="AS96" s="33"/>
      <c r="AT96" s="27"/>
      <c r="AU96" s="27"/>
      <c r="AV96" s="27"/>
      <c r="AW96" s="27"/>
      <c r="AX96" s="27"/>
      <c r="AY96" s="27"/>
      <c r="AZ96" s="27"/>
      <c r="BA96" s="27"/>
      <c r="BB96" s="206"/>
      <c r="BC96" s="206"/>
      <c r="BD96" s="207"/>
      <c r="BE96" s="206"/>
      <c r="BF96" s="206"/>
      <c r="BG96" s="206"/>
      <c r="BJ96">
        <v>6</v>
      </c>
      <c r="BK96" s="207"/>
      <c r="BL96" s="210" t="b">
        <f>IF(BR106=16,2)</f>
        <v>0</v>
      </c>
      <c r="BM96" s="211"/>
      <c r="BN96" s="211"/>
      <c r="BO96" s="211"/>
      <c r="BP96" s="211"/>
      <c r="BQ96" s="211"/>
      <c r="BR96" s="211"/>
      <c r="BS96" s="211"/>
      <c r="BT96" s="211"/>
      <c r="BU96" s="211"/>
      <c r="BV96" s="211"/>
      <c r="BW96" s="211"/>
      <c r="BX96" s="212" t="b">
        <f>IF(BR106=16,12)</f>
        <v>0</v>
      </c>
      <c r="BY96" s="198"/>
      <c r="BZ96" s="184"/>
      <c r="CA96" s="185"/>
      <c r="CB96" s="185"/>
      <c r="CC96" s="185"/>
      <c r="CD96" s="185"/>
      <c r="CE96" s="185"/>
      <c r="CF96" s="185"/>
      <c r="CG96" s="185"/>
      <c r="CH96" s="185"/>
    </row>
    <row r="97" spans="2:86" ht="21.6" hidden="1" thickBot="1" x14ac:dyDescent="0.45">
      <c r="T97" s="4"/>
      <c r="U97" s="4"/>
      <c r="V97" s="4"/>
      <c r="W97" s="4"/>
      <c r="X97" s="4"/>
      <c r="Y97" s="4"/>
      <c r="Z97" s="4"/>
      <c r="AA97" s="4"/>
      <c r="AB97" s="4"/>
      <c r="AC97" s="4"/>
      <c r="AD97" s="4"/>
      <c r="AE97" s="4"/>
      <c r="AF97" s="4"/>
      <c r="AG97" s="4"/>
      <c r="AH97" s="4"/>
      <c r="AI97" s="4"/>
      <c r="AJ97" s="4"/>
      <c r="AK97" s="4"/>
      <c r="AL97" s="4"/>
      <c r="AM97" s="4"/>
      <c r="AN97" s="4"/>
      <c r="AO97" s="4"/>
      <c r="AQ97" s="32"/>
      <c r="AR97" s="33"/>
      <c r="AS97" s="33"/>
      <c r="AT97" s="27"/>
      <c r="AU97" s="27"/>
      <c r="AV97" s="27"/>
      <c r="AW97" s="27"/>
      <c r="AX97" s="27"/>
      <c r="AY97" s="27"/>
      <c r="AZ97" s="27"/>
      <c r="BA97" s="27"/>
      <c r="BB97" s="206"/>
      <c r="BC97" s="206"/>
      <c r="BD97" s="207"/>
      <c r="BE97" s="206"/>
      <c r="BF97" s="206"/>
      <c r="BG97" s="206"/>
      <c r="BJ97" s="17" t="s">
        <v>86</v>
      </c>
      <c r="BK97" s="210" t="b">
        <f>IF(BQ106=15,1)</f>
        <v>0</v>
      </c>
      <c r="BL97" s="211"/>
      <c r="BM97" s="211"/>
      <c r="BN97" s="211"/>
      <c r="BO97" s="211"/>
      <c r="BP97" s="211"/>
      <c r="BQ97" s="211"/>
      <c r="BR97" s="211"/>
      <c r="BS97" s="211"/>
      <c r="BT97" s="211"/>
      <c r="BU97" s="211"/>
      <c r="BV97" s="211"/>
      <c r="BW97" s="212" t="b">
        <f>IF(BQ106=15,11)</f>
        <v>0</v>
      </c>
      <c r="BX97" s="207"/>
      <c r="BY97" s="198"/>
      <c r="BZ97" s="184"/>
      <c r="CA97" s="185"/>
      <c r="CB97" s="185"/>
      <c r="CC97" s="185"/>
      <c r="CD97" s="185"/>
      <c r="CE97" s="185"/>
      <c r="CF97" s="185"/>
      <c r="CG97" s="185"/>
      <c r="CH97" s="185"/>
    </row>
    <row r="98" spans="2:86" ht="21.6" hidden="1" thickBot="1" x14ac:dyDescent="0.45">
      <c r="T98" s="4"/>
      <c r="U98" s="4"/>
      <c r="V98" s="4"/>
      <c r="W98" s="4"/>
      <c r="X98" s="4"/>
      <c r="Y98" s="4"/>
      <c r="Z98" s="4"/>
      <c r="AA98" s="4"/>
      <c r="AB98" s="4"/>
      <c r="AC98" s="4"/>
      <c r="AD98" s="4"/>
      <c r="AE98" s="4"/>
      <c r="AF98" s="4"/>
      <c r="AG98" s="4"/>
      <c r="AH98" s="4"/>
      <c r="AI98" s="4"/>
      <c r="AJ98" s="4"/>
      <c r="AK98" s="4"/>
      <c r="AL98" s="4"/>
      <c r="AM98" s="4"/>
      <c r="AN98" s="4"/>
      <c r="AO98" s="4"/>
      <c r="AQ98" s="32"/>
      <c r="AR98" s="33"/>
      <c r="AS98" s="33"/>
      <c r="AT98" s="27"/>
      <c r="AU98" s="27"/>
      <c r="AV98" s="27"/>
      <c r="AW98" s="27"/>
      <c r="AX98" s="27"/>
      <c r="AY98" s="27"/>
      <c r="AZ98" s="27"/>
      <c r="BA98" s="27"/>
      <c r="BB98" s="206"/>
      <c r="BC98" s="206"/>
      <c r="BD98" s="207"/>
      <c r="BE98" s="206"/>
      <c r="BF98" s="206"/>
      <c r="BG98" s="206"/>
      <c r="BJ98" s="17" t="s">
        <v>85</v>
      </c>
      <c r="BK98" s="208" t="b">
        <f>IF(BP106=14,1)</f>
        <v>0</v>
      </c>
      <c r="BL98" s="205"/>
      <c r="BM98" s="205"/>
      <c r="BN98" s="205"/>
      <c r="BO98" s="205"/>
      <c r="BP98" s="205"/>
      <c r="BQ98" s="205"/>
      <c r="BR98" s="205"/>
      <c r="BS98" s="205"/>
      <c r="BT98" s="205"/>
      <c r="BU98" s="209" t="b">
        <f>IF(BP106=14,9)</f>
        <v>0</v>
      </c>
      <c r="BV98" s="206"/>
      <c r="BW98" s="206"/>
      <c r="BX98" s="207"/>
      <c r="BY98" s="198"/>
      <c r="BZ98" s="184"/>
      <c r="CA98" s="185"/>
      <c r="CB98" s="185"/>
      <c r="CC98" s="185"/>
      <c r="CD98" s="185"/>
      <c r="CE98" s="185"/>
      <c r="CF98" s="185"/>
      <c r="CG98" s="185"/>
      <c r="CH98" s="185"/>
    </row>
    <row r="99" spans="2:86" ht="21.6" hidden="1" thickBot="1" x14ac:dyDescent="0.45">
      <c r="T99" s="4"/>
      <c r="U99" s="4"/>
      <c r="V99" s="4"/>
      <c r="W99" s="4"/>
      <c r="X99" s="4"/>
      <c r="Y99" s="4"/>
      <c r="Z99" s="4"/>
      <c r="AA99" s="4"/>
      <c r="AB99" s="4"/>
      <c r="AC99" s="4"/>
      <c r="AD99" s="4"/>
      <c r="AE99" s="4"/>
      <c r="AF99" s="4"/>
      <c r="AG99" s="4"/>
      <c r="AH99" s="4"/>
      <c r="AI99" s="4"/>
      <c r="AJ99" s="4"/>
      <c r="AK99" s="4"/>
      <c r="AL99" s="4"/>
      <c r="AM99" s="4"/>
      <c r="AN99" s="4"/>
      <c r="AO99" s="4"/>
      <c r="AQ99" s="32"/>
      <c r="AR99" s="33"/>
      <c r="AS99" s="33"/>
      <c r="AT99" s="27"/>
      <c r="AU99" s="27"/>
      <c r="AV99" s="27"/>
      <c r="AW99" s="27"/>
      <c r="AX99" s="27"/>
      <c r="AY99" s="27"/>
      <c r="AZ99" s="27"/>
      <c r="BA99" s="27"/>
      <c r="BB99" s="206"/>
      <c r="BC99" s="206"/>
      <c r="BD99" s="207"/>
      <c r="BE99" s="206"/>
      <c r="BF99" s="206"/>
      <c r="BG99" s="206"/>
      <c r="BJ99">
        <v>5</v>
      </c>
      <c r="BK99" s="210" t="b">
        <f>IF(BO106=13,1)</f>
        <v>0</v>
      </c>
      <c r="BL99" s="211"/>
      <c r="BM99" s="211"/>
      <c r="BN99" s="224"/>
      <c r="BO99" s="211"/>
      <c r="BP99" s="224"/>
      <c r="BQ99" s="211"/>
      <c r="BR99" s="211"/>
      <c r="BS99" s="212" t="b">
        <f>IF(BO106=13,7)</f>
        <v>0</v>
      </c>
      <c r="BT99" s="206"/>
      <c r="BU99" s="206"/>
      <c r="BV99" s="206"/>
      <c r="BW99" s="206"/>
      <c r="BX99" s="207"/>
      <c r="BY99" s="198"/>
      <c r="BZ99" s="184"/>
      <c r="CA99" s="185"/>
      <c r="CB99" s="185"/>
      <c r="CC99" s="185"/>
      <c r="CD99" s="185"/>
      <c r="CE99" s="185"/>
      <c r="CF99" s="185"/>
      <c r="CG99" s="185"/>
      <c r="CH99" s="185"/>
    </row>
    <row r="100" spans="2:86" ht="21.6" hidden="1" thickBot="1" x14ac:dyDescent="0.45">
      <c r="B100" s="147"/>
      <c r="C100" s="147"/>
      <c r="D100" s="150"/>
      <c r="T100" s="4"/>
      <c r="U100" s="4"/>
      <c r="V100" s="4"/>
      <c r="W100" s="4"/>
      <c r="X100" s="4"/>
      <c r="Y100" s="4"/>
      <c r="Z100" s="4"/>
      <c r="AA100" s="4"/>
      <c r="AB100" s="4"/>
      <c r="AC100" s="4"/>
      <c r="AD100" s="4"/>
      <c r="AE100" s="4"/>
      <c r="AF100" s="4"/>
      <c r="AG100" s="4"/>
      <c r="AH100" s="4"/>
      <c r="AI100" s="4"/>
      <c r="AJ100" s="4"/>
      <c r="AK100" s="4"/>
      <c r="AL100" s="4"/>
      <c r="AM100" s="4"/>
      <c r="AN100" s="4"/>
      <c r="AO100" s="4"/>
      <c r="AQ100" s="32"/>
      <c r="AR100" s="33"/>
      <c r="AS100" s="33"/>
      <c r="AT100" s="27"/>
      <c r="AU100" s="27"/>
      <c r="AV100" s="27"/>
      <c r="AW100" s="27"/>
      <c r="AX100" s="27"/>
      <c r="AY100" s="27"/>
      <c r="AZ100" s="27"/>
      <c r="BA100" s="27"/>
      <c r="BB100" s="206"/>
      <c r="BC100" s="206"/>
      <c r="BD100" s="207"/>
      <c r="BE100" s="206"/>
      <c r="BF100" s="206"/>
      <c r="BG100" s="206"/>
      <c r="BJ100">
        <v>4</v>
      </c>
      <c r="BK100" s="207"/>
      <c r="BM100" s="208" t="b">
        <f>IF(BN106=12,3)</f>
        <v>0</v>
      </c>
      <c r="BN100" s="205"/>
      <c r="BO100" s="209" t="b">
        <f>IF(BN106=12,5)</f>
        <v>0</v>
      </c>
      <c r="BQ100" s="206"/>
      <c r="BR100" s="206"/>
      <c r="BS100" s="206"/>
      <c r="BT100" s="206"/>
      <c r="BU100" s="206"/>
      <c r="BV100" s="206"/>
      <c r="BW100" s="206"/>
      <c r="BX100" s="207"/>
      <c r="BY100" s="198"/>
      <c r="BZ100" s="184"/>
      <c r="CA100" s="185"/>
      <c r="CB100" s="185"/>
      <c r="CC100" s="185"/>
      <c r="CD100" s="185"/>
      <c r="CE100" s="185"/>
      <c r="CF100" s="185"/>
      <c r="CG100" s="185"/>
      <c r="CH100" s="185"/>
    </row>
    <row r="101" spans="2:86" ht="21.6" hidden="1" thickBot="1" x14ac:dyDescent="0.45">
      <c r="B101" s="147"/>
      <c r="T101" s="4"/>
      <c r="U101" s="4"/>
      <c r="V101" s="4"/>
      <c r="W101" s="4"/>
      <c r="X101" s="4"/>
      <c r="Y101" s="4"/>
      <c r="Z101" s="4"/>
      <c r="AA101" s="4"/>
      <c r="AB101" s="4"/>
      <c r="AC101" s="4"/>
      <c r="AD101" s="4"/>
      <c r="AE101" s="4"/>
      <c r="AF101" s="4"/>
      <c r="AG101" s="4"/>
      <c r="AH101" s="4"/>
      <c r="AI101" s="4"/>
      <c r="AJ101" s="4"/>
      <c r="AK101" s="4"/>
      <c r="AL101" s="4"/>
      <c r="AM101" s="4"/>
      <c r="AN101" s="4"/>
      <c r="AO101" s="4"/>
      <c r="AQ101" s="32"/>
      <c r="AR101" s="33"/>
      <c r="AS101" s="33"/>
      <c r="AT101" s="27"/>
      <c r="AU101" s="27"/>
      <c r="AV101" s="27"/>
      <c r="AW101" s="27"/>
      <c r="AX101" s="27"/>
      <c r="AY101" s="27"/>
      <c r="AZ101" s="27"/>
      <c r="BA101" s="27"/>
      <c r="BB101" s="206"/>
      <c r="BC101" s="206"/>
      <c r="BD101" s="207"/>
      <c r="BE101" s="206"/>
      <c r="BF101" s="206"/>
      <c r="BG101" s="206"/>
      <c r="BJ101">
        <v>3</v>
      </c>
      <c r="BK101" s="210">
        <f>IF(BM106=11,1)</f>
        <v>1</v>
      </c>
      <c r="BL101" s="211"/>
      <c r="BM101" s="211"/>
      <c r="BN101" s="211"/>
      <c r="BO101" s="212">
        <f>IF(BM106=11,5)</f>
        <v>5</v>
      </c>
      <c r="BP101" s="206"/>
      <c r="BQ101" s="206"/>
      <c r="BR101" s="206"/>
      <c r="BS101" s="206"/>
      <c r="BT101" s="206"/>
      <c r="BU101" s="206"/>
      <c r="BV101" s="206"/>
      <c r="BW101" s="206"/>
      <c r="BX101" s="207"/>
      <c r="BY101" s="198"/>
      <c r="BZ101" s="184"/>
      <c r="CA101" s="185"/>
      <c r="CB101" s="185"/>
      <c r="CC101" s="185"/>
      <c r="CD101" s="185"/>
      <c r="CE101" s="185"/>
      <c r="CF101" s="185"/>
      <c r="CG101" s="185"/>
      <c r="CH101" s="185"/>
    </row>
    <row r="102" spans="2:86" ht="21.6" hidden="1" thickBot="1" x14ac:dyDescent="0.45">
      <c r="B102" s="166"/>
      <c r="D102" s="305" t="b">
        <f>AND(B110&gt;=10,D110&gt;=10,AN121&gt;=10,AO121&gt;=10)</f>
        <v>1</v>
      </c>
      <c r="F102" s="305" t="b">
        <f>AND(B110&gt;=10,D110&gt;=10,E110&gt;=10,AN121&gt;=10,AO121&gt;=10)</f>
        <v>1</v>
      </c>
      <c r="T102" s="4"/>
      <c r="U102" s="4"/>
      <c r="V102" s="4"/>
      <c r="W102" s="4"/>
      <c r="X102" s="4"/>
      <c r="Y102" s="4"/>
      <c r="Z102" s="4"/>
      <c r="AA102" s="4"/>
      <c r="AB102" s="4"/>
      <c r="AC102" s="4"/>
      <c r="AD102" s="4"/>
      <c r="AE102" s="4"/>
      <c r="AF102" s="4"/>
      <c r="AG102" s="4"/>
      <c r="AH102" s="4"/>
      <c r="AI102" s="4"/>
      <c r="AJ102" s="4"/>
      <c r="AK102" s="4"/>
      <c r="AL102" s="4"/>
      <c r="AM102" s="4"/>
      <c r="AN102" s="4"/>
      <c r="AO102" s="4"/>
      <c r="AQ102" s="32"/>
      <c r="AR102" s="33"/>
      <c r="AS102" s="33"/>
      <c r="AT102" s="27"/>
      <c r="AU102" s="27"/>
      <c r="AV102" s="27"/>
      <c r="AW102" s="27"/>
      <c r="AX102" s="27"/>
      <c r="AY102" s="27"/>
      <c r="AZ102" s="27"/>
      <c r="BA102" s="27"/>
      <c r="BB102" s="206"/>
      <c r="BC102" s="206"/>
      <c r="BD102" s="207"/>
      <c r="BE102" s="206"/>
      <c r="BF102" s="206"/>
      <c r="BG102" s="206"/>
      <c r="BJ102">
        <v>2</v>
      </c>
      <c r="BK102" s="208" t="b">
        <f>IF(BL106=10,1)</f>
        <v>0</v>
      </c>
      <c r="BL102" s="205"/>
      <c r="BM102" s="209" t="b">
        <f>IF(BL106=10,3)</f>
        <v>0</v>
      </c>
      <c r="BN102" s="206"/>
      <c r="BO102" s="206"/>
      <c r="BP102" s="206"/>
      <c r="BQ102" s="206"/>
      <c r="BR102" s="206"/>
      <c r="BS102" s="206"/>
      <c r="BT102" s="206"/>
      <c r="BU102" s="206"/>
      <c r="BV102" s="206"/>
      <c r="BW102" s="206"/>
      <c r="BX102" s="207"/>
      <c r="BY102" s="198"/>
      <c r="BZ102" s="184"/>
      <c r="CA102" s="185"/>
      <c r="CB102" s="185"/>
      <c r="CC102" s="185"/>
      <c r="CD102" s="185"/>
      <c r="CE102" s="185"/>
      <c r="CF102" s="185"/>
      <c r="CG102" s="185"/>
      <c r="CH102" s="185"/>
    </row>
    <row r="103" spans="2:86" ht="24" customHeight="1" thickTop="1" thickBot="1" x14ac:dyDescent="0.45">
      <c r="B103" s="1356" t="s">
        <v>190</v>
      </c>
      <c r="C103" s="1357"/>
      <c r="D103" s="1368"/>
      <c r="E103" s="1356" t="s">
        <v>191</v>
      </c>
      <c r="T103" s="4"/>
      <c r="U103" s="4"/>
      <c r="V103" s="4"/>
      <c r="W103" s="4"/>
      <c r="X103" s="4"/>
      <c r="Y103" s="4"/>
      <c r="Z103" s="4"/>
      <c r="AA103" s="4"/>
      <c r="AB103" s="4"/>
      <c r="AC103" s="4"/>
      <c r="AD103" s="4"/>
      <c r="AE103" s="4"/>
      <c r="AF103" s="4"/>
      <c r="AG103" s="4"/>
      <c r="AH103" s="4"/>
      <c r="AI103" s="4"/>
      <c r="AJ103" s="4"/>
      <c r="AK103" s="4"/>
      <c r="AL103" s="4"/>
      <c r="AM103" s="4"/>
      <c r="AN103" s="4"/>
      <c r="AO103" s="4"/>
      <c r="AQ103" s="32"/>
      <c r="AR103" s="33"/>
      <c r="AS103" s="33"/>
      <c r="AT103" s="27"/>
      <c r="AU103" s="27"/>
      <c r="AV103" s="27"/>
      <c r="AW103" s="27"/>
      <c r="AX103" s="27"/>
      <c r="AY103" s="27"/>
      <c r="AZ103" s="27"/>
      <c r="BA103" s="27"/>
      <c r="BB103" s="206"/>
      <c r="BC103" s="206"/>
      <c r="BD103" s="207"/>
      <c r="BE103" s="206"/>
      <c r="BF103" s="206"/>
      <c r="BG103" s="206"/>
      <c r="BH103" s="182"/>
      <c r="BI103" s="206"/>
      <c r="BJ103" s="206"/>
      <c r="BK103" s="206"/>
      <c r="BL103" s="206"/>
      <c r="BM103" s="206"/>
      <c r="BN103" s="206"/>
      <c r="BO103" s="206"/>
      <c r="BP103" s="206"/>
      <c r="BQ103" s="206"/>
      <c r="BR103" s="206"/>
      <c r="BS103" s="206"/>
      <c r="BT103" s="206"/>
      <c r="BU103" s="207"/>
      <c r="BV103" s="198"/>
      <c r="BW103" s="198"/>
      <c r="BX103" s="198"/>
      <c r="BY103" s="198"/>
      <c r="BZ103" s="184"/>
      <c r="CA103" s="185"/>
      <c r="CB103" s="185"/>
      <c r="CC103" s="185"/>
      <c r="CD103" s="185"/>
      <c r="CE103" s="185"/>
      <c r="CF103" s="185"/>
      <c r="CG103" s="185"/>
      <c r="CH103" s="185"/>
    </row>
    <row r="104" spans="2:86" ht="47.25" customHeight="1" thickTop="1" thickBot="1" x14ac:dyDescent="0.55000000000000004">
      <c r="B104" s="1358" t="str">
        <f>IF(D102=TRUE,"O K","OVERLOAD")</f>
        <v>O K</v>
      </c>
      <c r="C104" s="1359"/>
      <c r="D104" s="1369"/>
      <c r="E104" s="1361" t="str">
        <f>IF(F102=TRUE,"O K ","OVERLOAD")</f>
        <v xml:space="preserve">O K </v>
      </c>
      <c r="G104" s="13"/>
      <c r="T104" s="4"/>
      <c r="U104" s="4"/>
      <c r="V104" s="4"/>
      <c r="W104" s="4"/>
      <c r="X104" s="4"/>
      <c r="Y104" s="4"/>
      <c r="Z104" s="4"/>
      <c r="AA104" s="4"/>
      <c r="AB104" s="4"/>
      <c r="AC104" s="4"/>
      <c r="AD104" s="4"/>
      <c r="AE104" s="4"/>
      <c r="AF104" s="4"/>
      <c r="AG104" s="4"/>
      <c r="AH104" s="4"/>
      <c r="AI104" s="4"/>
      <c r="AJ104" s="4"/>
      <c r="AK104" s="4"/>
      <c r="AL104" s="4"/>
      <c r="AM104" s="4"/>
      <c r="AN104" s="4"/>
      <c r="AO104" s="4"/>
      <c r="AQ104" s="32"/>
      <c r="AS104" s="33"/>
      <c r="AT104" s="27"/>
      <c r="AU104" s="27"/>
      <c r="AV104" s="27"/>
      <c r="AW104" s="27"/>
      <c r="AX104" s="27"/>
      <c r="AY104" s="27"/>
      <c r="AZ104" s="27"/>
      <c r="BA104" s="27"/>
      <c r="BB104" s="213" t="s">
        <v>82</v>
      </c>
      <c r="BC104" s="1984"/>
      <c r="BD104" s="1985"/>
      <c r="BE104" s="1985"/>
      <c r="BF104" s="1985"/>
      <c r="BG104" s="1985"/>
      <c r="BH104" s="1985"/>
      <c r="BI104" s="1985"/>
      <c r="BJ104" s="1986"/>
      <c r="BK104" s="765">
        <f t="shared" ref="BK104:BU104" si="1">SUM(BK91:BK103)</f>
        <v>1</v>
      </c>
      <c r="BL104" s="766">
        <f t="shared" si="1"/>
        <v>0</v>
      </c>
      <c r="BM104" s="766">
        <f t="shared" si="1"/>
        <v>0</v>
      </c>
      <c r="BN104" s="766">
        <f t="shared" si="1"/>
        <v>0</v>
      </c>
      <c r="BO104" s="766">
        <f t="shared" si="1"/>
        <v>5</v>
      </c>
      <c r="BP104" s="766">
        <f t="shared" si="1"/>
        <v>0</v>
      </c>
      <c r="BQ104" s="766">
        <f t="shared" si="1"/>
        <v>0</v>
      </c>
      <c r="BR104" s="766">
        <f t="shared" si="1"/>
        <v>0</v>
      </c>
      <c r="BS104" s="766">
        <f t="shared" si="1"/>
        <v>0</v>
      </c>
      <c r="BT104" s="766">
        <f t="shared" si="1"/>
        <v>0</v>
      </c>
      <c r="BU104" s="766">
        <f t="shared" si="1"/>
        <v>0</v>
      </c>
      <c r="BV104" s="766">
        <f>SUM(BV91:BV103)</f>
        <v>0</v>
      </c>
      <c r="BW104" s="766">
        <f>SUM(BW91:BW103)</f>
        <v>0</v>
      </c>
      <c r="BX104" s="767">
        <f>SUM(BX91:BX103)</f>
        <v>0</v>
      </c>
      <c r="BY104" s="1984"/>
      <c r="BZ104" s="1985"/>
      <c r="CA104" s="1985"/>
      <c r="CB104" s="1985"/>
      <c r="CC104" s="1985"/>
      <c r="CD104" s="1985"/>
      <c r="CE104" s="1985"/>
      <c r="CF104" s="1986"/>
      <c r="CG104" s="185"/>
      <c r="CH104" s="185"/>
    </row>
    <row r="105" spans="2:86" ht="22.2" thickTop="1" thickBot="1" x14ac:dyDescent="0.45">
      <c r="B105" s="2002" t="s">
        <v>77</v>
      </c>
      <c r="C105" s="2002"/>
      <c r="D105" s="2002"/>
      <c r="E105" s="2002"/>
      <c r="T105" s="4"/>
      <c r="U105" s="4"/>
      <c r="V105" s="4"/>
      <c r="W105" s="4"/>
      <c r="X105" s="4"/>
      <c r="Y105" s="4"/>
      <c r="Z105" s="4"/>
      <c r="AA105" s="4"/>
      <c r="AB105" s="4"/>
      <c r="AC105" s="4"/>
      <c r="AD105" s="4"/>
      <c r="AE105" s="4"/>
      <c r="AF105" s="4"/>
      <c r="AG105" s="4"/>
      <c r="AH105" s="4"/>
      <c r="AI105" s="4"/>
      <c r="AJ105" s="4"/>
      <c r="AK105" s="4"/>
      <c r="AL105" s="4"/>
      <c r="AM105" s="4"/>
      <c r="AN105" s="4"/>
      <c r="AO105" s="4"/>
      <c r="AQ105" s="32"/>
      <c r="AR105" s="73"/>
      <c r="AS105" s="33"/>
      <c r="AT105" s="27"/>
      <c r="AU105" s="27"/>
      <c r="AV105" s="27"/>
      <c r="AW105" s="27"/>
      <c r="AX105" s="27"/>
      <c r="AY105" s="27"/>
      <c r="AZ105" s="27"/>
      <c r="BA105" s="27"/>
      <c r="BB105" s="214"/>
      <c r="BC105" s="198"/>
      <c r="BD105" s="199"/>
      <c r="BE105" s="198"/>
      <c r="BF105" s="198"/>
      <c r="BG105" s="198"/>
      <c r="BH105" s="199"/>
      <c r="BI105" s="198"/>
      <c r="BJ105" s="198"/>
      <c r="BK105" s="198"/>
      <c r="BL105" s="198"/>
      <c r="BM105" s="198"/>
      <c r="BN105" s="198"/>
      <c r="BO105" s="198"/>
      <c r="BP105" s="198"/>
      <c r="BQ105" s="198"/>
      <c r="BR105" s="198"/>
      <c r="BS105" s="198"/>
      <c r="BT105" s="198"/>
      <c r="BU105" s="198"/>
      <c r="BV105" s="198"/>
      <c r="BW105" s="198"/>
      <c r="BX105" s="198"/>
      <c r="BY105" s="198"/>
      <c r="BZ105" s="184"/>
      <c r="CA105" s="185"/>
      <c r="CB105" s="185"/>
      <c r="CC105" s="185"/>
      <c r="CD105" s="185"/>
      <c r="CE105" s="185"/>
      <c r="CF105" s="185"/>
      <c r="CG105" s="185"/>
      <c r="CH105" s="185"/>
    </row>
    <row r="106" spans="2:86" ht="22.2" hidden="1" thickTop="1" thickBot="1" x14ac:dyDescent="0.45">
      <c r="B106" s="1359"/>
      <c r="C106" s="1359"/>
      <c r="D106" s="1359"/>
      <c r="E106" s="1359"/>
      <c r="T106" s="4"/>
      <c r="U106" s="4"/>
      <c r="V106" s="4"/>
      <c r="W106" s="4"/>
      <c r="X106" s="4"/>
      <c r="Y106" s="4"/>
      <c r="Z106" s="4"/>
      <c r="AA106" s="4"/>
      <c r="AB106" s="4"/>
      <c r="AC106" s="4"/>
      <c r="AD106" s="4"/>
      <c r="AE106" s="4"/>
      <c r="AF106" s="4"/>
      <c r="AG106" s="4"/>
      <c r="AH106" s="4"/>
      <c r="AI106" s="4"/>
      <c r="AJ106" s="4"/>
      <c r="AK106" s="4"/>
      <c r="AL106" s="4"/>
      <c r="AM106" s="4"/>
      <c r="AN106" s="4"/>
      <c r="AO106" s="4"/>
      <c r="AQ106" s="32"/>
      <c r="AR106" s="73"/>
      <c r="AS106" s="33"/>
      <c r="AT106" s="27"/>
      <c r="AU106" s="27"/>
      <c r="AV106" s="27"/>
      <c r="AW106" s="27"/>
      <c r="AX106" s="27"/>
      <c r="AY106" s="27"/>
      <c r="AZ106" s="27"/>
      <c r="BA106" s="27"/>
      <c r="BB106" s="182"/>
      <c r="BC106" s="225" t="b">
        <f>+AZ116</f>
        <v>0</v>
      </c>
      <c r="BD106" s="225" t="b">
        <f>+AZ117</f>
        <v>0</v>
      </c>
      <c r="BE106" s="225" t="b">
        <f>+AZ118</f>
        <v>0</v>
      </c>
      <c r="BF106" s="225" t="b">
        <f>+AZ119</f>
        <v>0</v>
      </c>
      <c r="BG106" s="225" t="b">
        <f>+AZ120</f>
        <v>0</v>
      </c>
      <c r="BH106" s="225" t="b">
        <f>+AZ121</f>
        <v>0</v>
      </c>
      <c r="BI106" s="225" t="b">
        <f>+AZ122</f>
        <v>0</v>
      </c>
      <c r="BJ106" s="225" t="b">
        <f>+AZ123</f>
        <v>0</v>
      </c>
      <c r="BK106" s="225" t="b">
        <f>+AZ124</f>
        <v>0</v>
      </c>
      <c r="BL106" s="225" t="b">
        <f>+AZ125</f>
        <v>0</v>
      </c>
      <c r="BM106" s="225">
        <f>+AZ126</f>
        <v>11</v>
      </c>
      <c r="BN106" s="225" t="b">
        <f>+AZ127</f>
        <v>0</v>
      </c>
      <c r="BO106" s="225" t="b">
        <f>+AZ128</f>
        <v>0</v>
      </c>
      <c r="BP106" s="225" t="b">
        <f>+AZ129</f>
        <v>0</v>
      </c>
      <c r="BQ106" s="225" t="b">
        <f>+AZ130</f>
        <v>0</v>
      </c>
      <c r="BR106" s="225" t="b">
        <f>+AZ131</f>
        <v>0</v>
      </c>
      <c r="BS106" s="225" t="b">
        <f>+AZ132</f>
        <v>0</v>
      </c>
      <c r="BT106" s="225" t="b">
        <f>+AZ133</f>
        <v>0</v>
      </c>
      <c r="BU106" s="225" t="b">
        <f>+AZ134</f>
        <v>0</v>
      </c>
      <c r="BV106" s="225" t="b">
        <f>+AZ135</f>
        <v>0</v>
      </c>
      <c r="BW106" s="225" t="b">
        <f>+AZ136</f>
        <v>0</v>
      </c>
      <c r="BX106" s="225" t="b">
        <f>+AZ137</f>
        <v>0</v>
      </c>
      <c r="BY106" s="225" t="b">
        <f>+AZ138</f>
        <v>0</v>
      </c>
      <c r="BZ106" s="225" t="b">
        <f>+AZ139</f>
        <v>0</v>
      </c>
      <c r="CA106" s="225" t="b">
        <f>+AZ140</f>
        <v>0</v>
      </c>
      <c r="CB106" s="225" t="b">
        <f>+AZ141</f>
        <v>0</v>
      </c>
      <c r="CC106" s="225" t="b">
        <f>+AZ142</f>
        <v>0</v>
      </c>
      <c r="CD106" s="225" t="b">
        <f>+AZ143</f>
        <v>0</v>
      </c>
      <c r="CE106" s="225" t="b">
        <f>+AZ144</f>
        <v>0</v>
      </c>
      <c r="CF106" s="225" t="b">
        <f>+AZ145</f>
        <v>0</v>
      </c>
      <c r="CG106" s="185"/>
      <c r="CH106" s="185"/>
    </row>
    <row r="107" spans="2:86" ht="22.2" hidden="1" thickTop="1" thickBot="1" x14ac:dyDescent="0.45">
      <c r="B107" s="1359"/>
      <c r="C107" s="1359"/>
      <c r="D107" s="1359"/>
      <c r="E107" s="1359"/>
      <c r="T107" s="4"/>
      <c r="U107" s="4"/>
      <c r="V107" s="4"/>
      <c r="W107" s="4"/>
      <c r="X107" s="4"/>
      <c r="Y107" s="4"/>
      <c r="Z107" s="4"/>
      <c r="AA107" s="4"/>
      <c r="AB107" s="4"/>
      <c r="AC107" s="4"/>
      <c r="AD107" s="4"/>
      <c r="AE107" s="4"/>
      <c r="AF107" s="4"/>
      <c r="AG107" s="4"/>
      <c r="AH107" s="4"/>
      <c r="AI107" s="4"/>
      <c r="AJ107" s="4"/>
      <c r="AK107" s="4"/>
      <c r="AL107" s="4"/>
      <c r="AM107" s="4"/>
      <c r="AN107" s="4"/>
      <c r="AO107" s="4"/>
      <c r="AQ107" s="32"/>
      <c r="AR107" s="73"/>
      <c r="AS107" s="33"/>
      <c r="AT107" s="27"/>
      <c r="AU107" s="27"/>
      <c r="AV107" s="27"/>
      <c r="AW107" s="27"/>
      <c r="AX107" s="27"/>
      <c r="AY107" s="27"/>
      <c r="AZ107" s="27"/>
      <c r="BA107" s="27"/>
      <c r="BB107" s="184" t="s">
        <v>27</v>
      </c>
      <c r="BC107" s="225" t="b">
        <f>+BC106</f>
        <v>0</v>
      </c>
      <c r="BD107" s="225" t="b">
        <f t="shared" ref="BD107:BU107" si="2">+BD106</f>
        <v>0</v>
      </c>
      <c r="BE107" s="225" t="b">
        <f t="shared" si="2"/>
        <v>0</v>
      </c>
      <c r="BF107" s="225" t="b">
        <f t="shared" si="2"/>
        <v>0</v>
      </c>
      <c r="BG107" s="225" t="b">
        <f t="shared" si="2"/>
        <v>0</v>
      </c>
      <c r="BH107" s="225" t="b">
        <f t="shared" si="2"/>
        <v>0</v>
      </c>
      <c r="BI107" s="225" t="b">
        <f>+BI106</f>
        <v>0</v>
      </c>
      <c r="BJ107" s="225" t="b">
        <f t="shared" si="2"/>
        <v>0</v>
      </c>
      <c r="BK107" s="225" t="b">
        <f t="shared" si="2"/>
        <v>0</v>
      </c>
      <c r="BL107" s="225" t="b">
        <f t="shared" si="2"/>
        <v>0</v>
      </c>
      <c r="BM107" s="225">
        <f t="shared" si="2"/>
        <v>11</v>
      </c>
      <c r="BN107" s="225" t="b">
        <f>+BN106</f>
        <v>0</v>
      </c>
      <c r="BO107" s="225" t="b">
        <f>+BO106</f>
        <v>0</v>
      </c>
      <c r="BP107" s="225" t="b">
        <f>+BP106</f>
        <v>0</v>
      </c>
      <c r="BQ107" s="225" t="b">
        <f>+BQ106</f>
        <v>0</v>
      </c>
      <c r="BR107" s="225" t="b">
        <f>+BR106</f>
        <v>0</v>
      </c>
      <c r="BS107" s="225" t="b">
        <f t="shared" si="2"/>
        <v>0</v>
      </c>
      <c r="BT107" s="225" t="b">
        <f t="shared" si="2"/>
        <v>0</v>
      </c>
      <c r="BU107" s="225" t="b">
        <f t="shared" si="2"/>
        <v>0</v>
      </c>
      <c r="BV107" s="225" t="b">
        <f>+BV106</f>
        <v>0</v>
      </c>
      <c r="BW107" s="225" t="b">
        <f>+BW106</f>
        <v>0</v>
      </c>
      <c r="BX107" s="225" t="b">
        <f>+BX106</f>
        <v>0</v>
      </c>
      <c r="BY107" s="225" t="b">
        <f>+BY106</f>
        <v>0</v>
      </c>
      <c r="BZ107" s="225" t="b">
        <f>+BZ106</f>
        <v>0</v>
      </c>
      <c r="CA107" s="225" t="b">
        <f t="shared" ref="CA107:CF107" si="3">+CA106</f>
        <v>0</v>
      </c>
      <c r="CB107" s="225" t="b">
        <f t="shared" si="3"/>
        <v>0</v>
      </c>
      <c r="CC107" s="225" t="b">
        <f t="shared" si="3"/>
        <v>0</v>
      </c>
      <c r="CD107" s="225" t="b">
        <f t="shared" si="3"/>
        <v>0</v>
      </c>
      <c r="CE107" s="225" t="b">
        <f t="shared" si="3"/>
        <v>0</v>
      </c>
      <c r="CF107" s="225" t="b">
        <f t="shared" si="3"/>
        <v>0</v>
      </c>
      <c r="CG107" s="185"/>
      <c r="CH107" s="185"/>
    </row>
    <row r="108" spans="2:86" ht="44.25" customHeight="1" thickTop="1" thickBot="1" x14ac:dyDescent="0.45">
      <c r="B108" s="1362" t="s">
        <v>170</v>
      </c>
      <c r="C108" s="1375"/>
      <c r="D108" s="1362" t="s">
        <v>193</v>
      </c>
      <c r="E108" s="1362" t="s">
        <v>168</v>
      </c>
      <c r="T108" s="4"/>
      <c r="U108" s="4"/>
      <c r="V108" s="4"/>
      <c r="W108" s="4"/>
      <c r="X108" s="4"/>
      <c r="Y108" s="4"/>
      <c r="Z108" s="4"/>
      <c r="AA108" s="4"/>
      <c r="AB108" s="4"/>
      <c r="AC108" s="4"/>
      <c r="AD108" s="4"/>
      <c r="AE108" s="4"/>
      <c r="AF108" s="4"/>
      <c r="AG108" s="4"/>
      <c r="AH108" s="4"/>
      <c r="AI108" s="4"/>
      <c r="AJ108" s="4"/>
      <c r="AK108" s="4"/>
      <c r="AL108" s="4"/>
      <c r="AM108" s="4"/>
      <c r="AN108" s="4"/>
      <c r="AO108" s="4"/>
      <c r="AQ108" s="32"/>
      <c r="AS108" s="33"/>
      <c r="AT108" s="27"/>
      <c r="AU108" s="27"/>
      <c r="AV108" s="27"/>
      <c r="AW108" s="27"/>
      <c r="AX108" s="27"/>
      <c r="AY108" s="27"/>
      <c r="AZ108" s="27"/>
      <c r="BA108" s="27"/>
      <c r="BB108" s="684" t="s">
        <v>27</v>
      </c>
      <c r="BC108" s="768" t="str">
        <f>IF(BC107=1,"A ","")</f>
        <v/>
      </c>
      <c r="BD108" s="769" t="str">
        <f>IF(BD107=2,"B ","")</f>
        <v/>
      </c>
      <c r="BE108" s="769" t="str">
        <f>IF(BE107=3,"C ","")</f>
        <v/>
      </c>
      <c r="BF108" s="769" t="str">
        <f>IF(BF107=4,"D ","")</f>
        <v/>
      </c>
      <c r="BG108" s="769" t="str">
        <f>IF(BG107=5,"E ","")</f>
        <v/>
      </c>
      <c r="BH108" s="769" t="str">
        <f>IF(BH107=6,"F ","")</f>
        <v/>
      </c>
      <c r="BI108" s="769" t="str">
        <f>IF(BI107=7,"G ","")</f>
        <v/>
      </c>
      <c r="BJ108" s="769" t="str">
        <f>IF(BJ107=8,"H ","")</f>
        <v/>
      </c>
      <c r="BK108" s="769" t="str">
        <f>IF(BK107=9,"1 ","")</f>
        <v/>
      </c>
      <c r="BL108" s="769" t="str">
        <f>IF(BL107=10,"2 ","")</f>
        <v/>
      </c>
      <c r="BM108" s="769" t="str">
        <f>IF(BM107=11,"3 ","")</f>
        <v xml:space="preserve">3 </v>
      </c>
      <c r="BN108" s="769" t="str">
        <f>IF(BN107=12,"4 ","")</f>
        <v/>
      </c>
      <c r="BO108" s="769" t="str">
        <f>IF(BO107=13,"5 ","")</f>
        <v/>
      </c>
      <c r="BP108" s="769" t="str">
        <f>IF(BP107=14,"i ","")</f>
        <v/>
      </c>
      <c r="BQ108" s="769" t="str">
        <f>IF(BQ107=15,"J ","")</f>
        <v/>
      </c>
      <c r="BR108" s="769" t="str">
        <f>IF(BR107=16,"6 ","")</f>
        <v/>
      </c>
      <c r="BS108" s="769" t="str">
        <f>IF(BS107=17,"7 ","")</f>
        <v/>
      </c>
      <c r="BT108" s="769" t="str">
        <f>IF(BT107=18,"8 ","")</f>
        <v/>
      </c>
      <c r="BU108" s="769" t="str">
        <f>IF(BU107=19,"9 ","")</f>
        <v/>
      </c>
      <c r="BV108" s="769" t="str">
        <f>IF(BV107=20,"10 ","")</f>
        <v/>
      </c>
      <c r="BW108" s="769" t="str">
        <f>IF(BW107=21,"11 ","")</f>
        <v/>
      </c>
      <c r="BX108" s="769" t="str">
        <f>IF(BX107=22,"12 ","")</f>
        <v/>
      </c>
      <c r="BY108" s="769" t="str">
        <f>IF(BY107=23,"K ","")</f>
        <v/>
      </c>
      <c r="BZ108" s="769" t="str">
        <f>IF(BZ107=24,"L ","")</f>
        <v/>
      </c>
      <c r="CA108" s="769" t="str">
        <f>IF(CA107=25,"M ","")</f>
        <v/>
      </c>
      <c r="CB108" s="769" t="str">
        <f>IF(CB107=26,"N ","")</f>
        <v/>
      </c>
      <c r="CC108" s="769" t="str">
        <f>IF(CC107=27,"O ","")</f>
        <v/>
      </c>
      <c r="CD108" s="769" t="str">
        <f>IF(CD107=28,"P ","")</f>
        <v/>
      </c>
      <c r="CE108" s="769" t="str">
        <f>IF(CE107=29,"Q ","")</f>
        <v/>
      </c>
      <c r="CF108" s="770" t="str">
        <f>IF(CF107=30,"R ","")</f>
        <v/>
      </c>
      <c r="CG108" s="185"/>
      <c r="CH108" s="185"/>
    </row>
    <row r="109" spans="2:86" ht="22.2" hidden="1" thickTop="1" thickBot="1" x14ac:dyDescent="0.45">
      <c r="B109" s="1363">
        <f>+C8/AZ90</f>
        <v>98.257580430753535</v>
      </c>
      <c r="C109" s="1375"/>
      <c r="D109" s="1363">
        <f>+E8/D10</f>
        <v>198.60592746870179</v>
      </c>
      <c r="E109" s="1364">
        <f>+E8/BC49</f>
        <v>89.086859688196</v>
      </c>
      <c r="T109" s="4"/>
      <c r="U109" s="4"/>
      <c r="V109" s="4"/>
      <c r="W109" s="4"/>
      <c r="X109" s="4"/>
      <c r="Y109" s="4"/>
      <c r="Z109" s="4"/>
      <c r="AA109" s="4"/>
      <c r="AB109" s="4"/>
      <c r="AC109" s="4"/>
      <c r="AD109" s="4"/>
      <c r="AE109" s="4"/>
      <c r="AF109" s="4"/>
      <c r="AG109" s="4"/>
      <c r="AH109" s="4"/>
      <c r="AI109" s="4"/>
      <c r="AJ109" s="4"/>
      <c r="AK109" s="4"/>
      <c r="AL109" s="4"/>
      <c r="AM109" s="4"/>
      <c r="AN109" s="4"/>
      <c r="AO109" s="4"/>
      <c r="AQ109" s="32"/>
      <c r="AR109" s="33"/>
      <c r="AS109" s="33"/>
      <c r="AT109" s="27"/>
      <c r="AU109" s="27"/>
      <c r="AV109" s="27"/>
      <c r="AW109" s="27"/>
      <c r="AX109" s="27"/>
      <c r="AY109" s="27"/>
      <c r="AZ109" s="27"/>
      <c r="BA109" s="27"/>
      <c r="BB109" s="185"/>
      <c r="BC109" s="216">
        <v>1</v>
      </c>
      <c r="BD109" s="216">
        <v>2</v>
      </c>
      <c r="BE109" s="216">
        <v>3</v>
      </c>
      <c r="BF109" s="216">
        <v>4</v>
      </c>
      <c r="BG109" s="216">
        <v>5</v>
      </c>
      <c r="BH109" s="216">
        <v>6</v>
      </c>
      <c r="BI109" s="216">
        <v>7</v>
      </c>
      <c r="BJ109" s="216">
        <v>8</v>
      </c>
      <c r="BK109" s="216">
        <v>9</v>
      </c>
      <c r="BL109" s="216">
        <v>10</v>
      </c>
      <c r="BM109" s="216">
        <v>11</v>
      </c>
      <c r="BN109" s="216">
        <v>12</v>
      </c>
      <c r="BO109" s="216">
        <v>13</v>
      </c>
      <c r="BP109" s="216">
        <v>14</v>
      </c>
      <c r="BQ109" s="216">
        <v>15</v>
      </c>
      <c r="BR109" s="216">
        <v>16</v>
      </c>
      <c r="BS109" s="216">
        <v>17</v>
      </c>
      <c r="BT109" s="216">
        <v>18</v>
      </c>
      <c r="BU109" s="216">
        <v>19</v>
      </c>
      <c r="BV109" s="216">
        <v>20</v>
      </c>
      <c r="BW109" s="216">
        <v>21</v>
      </c>
      <c r="BX109" s="216">
        <v>22</v>
      </c>
      <c r="BY109" s="216">
        <v>23</v>
      </c>
      <c r="BZ109" s="216">
        <v>24</v>
      </c>
      <c r="CA109" s="216">
        <v>25</v>
      </c>
      <c r="CB109" s="216">
        <v>26</v>
      </c>
      <c r="CC109" s="216">
        <v>27</v>
      </c>
      <c r="CD109" s="216">
        <v>28</v>
      </c>
      <c r="CE109" s="216">
        <v>29</v>
      </c>
      <c r="CF109" s="216">
        <v>30</v>
      </c>
      <c r="CG109" s="185"/>
      <c r="CH109" s="185"/>
    </row>
    <row r="110" spans="2:86" ht="26.4" thickTop="1" thickBot="1" x14ac:dyDescent="0.5">
      <c r="B110" s="1365">
        <f>ABS(B109)</f>
        <v>98.257580430753535</v>
      </c>
      <c r="C110" s="1366"/>
      <c r="D110" s="1365">
        <f>+IF(B109&lt;&gt;TRUE,ABS(D109))</f>
        <v>198.60592746870179</v>
      </c>
      <c r="E110" s="1367">
        <f>+IF(AND(D109&lt;&gt;TRUE,B109&lt;&gt;TRUE),E109)</f>
        <v>89.086859688196</v>
      </c>
      <c r="G110" s="116"/>
      <c r="H110" s="116"/>
      <c r="I110" s="116"/>
      <c r="J110" s="116"/>
      <c r="K110" s="116"/>
      <c r="L110" s="116"/>
      <c r="M110" s="116"/>
      <c r="N110" s="116"/>
      <c r="O110" s="116"/>
      <c r="P110" s="116"/>
      <c r="Q110" s="116"/>
      <c r="R110" s="116"/>
      <c r="S110" s="116"/>
      <c r="T110" s="116"/>
      <c r="U110" s="116"/>
      <c r="V110" s="116"/>
      <c r="W110" s="116"/>
      <c r="X110" s="116"/>
      <c r="Y110" s="116"/>
      <c r="Z110" s="116"/>
      <c r="AA110" s="116"/>
      <c r="AB110" s="116"/>
      <c r="AC110" s="116"/>
      <c r="AD110" s="116"/>
      <c r="AE110" s="116"/>
      <c r="AF110" s="116"/>
      <c r="AG110" s="116"/>
      <c r="AH110" s="116"/>
      <c r="AI110" s="116"/>
      <c r="AJ110" s="116"/>
      <c r="AK110" s="116"/>
      <c r="AL110" s="116"/>
      <c r="AM110" s="116"/>
      <c r="AN110" s="116"/>
      <c r="AO110" s="116"/>
      <c r="AP110" s="116"/>
      <c r="AQ110" s="116"/>
      <c r="AR110" s="116"/>
      <c r="AS110" s="72"/>
      <c r="AT110" s="27"/>
      <c r="AU110" s="27"/>
      <c r="AV110" s="27"/>
      <c r="AW110" s="27"/>
      <c r="AX110" s="27"/>
      <c r="AY110" s="27"/>
      <c r="AZ110" s="27"/>
      <c r="BA110" s="27"/>
      <c r="BB110" s="185"/>
      <c r="BC110" s="216" t="s">
        <v>33</v>
      </c>
      <c r="BD110" s="216" t="s">
        <v>34</v>
      </c>
      <c r="BE110" s="216" t="s">
        <v>35</v>
      </c>
      <c r="BF110" s="216" t="s">
        <v>36</v>
      </c>
      <c r="BG110" s="216" t="s">
        <v>37</v>
      </c>
      <c r="BH110" s="216" t="s">
        <v>83</v>
      </c>
      <c r="BI110" s="216" t="s">
        <v>16</v>
      </c>
      <c r="BJ110" s="216" t="s">
        <v>84</v>
      </c>
      <c r="BK110" s="216">
        <v>1</v>
      </c>
      <c r="BL110" s="216">
        <v>2</v>
      </c>
      <c r="BM110" s="216">
        <v>3</v>
      </c>
      <c r="BN110" s="223">
        <v>4</v>
      </c>
      <c r="BO110" s="216">
        <v>5</v>
      </c>
      <c r="BP110" s="216" t="s">
        <v>85</v>
      </c>
      <c r="BQ110" s="216" t="s">
        <v>86</v>
      </c>
      <c r="BR110" s="216">
        <v>6</v>
      </c>
      <c r="BS110" s="216">
        <v>7</v>
      </c>
      <c r="BT110" s="216">
        <v>8</v>
      </c>
      <c r="BU110" s="216">
        <v>9</v>
      </c>
      <c r="BV110" s="216">
        <v>10</v>
      </c>
      <c r="BW110" s="216">
        <v>11</v>
      </c>
      <c r="BX110" s="216">
        <v>12</v>
      </c>
      <c r="BY110" s="216" t="s">
        <v>87</v>
      </c>
      <c r="BZ110" s="216" t="s">
        <v>15</v>
      </c>
      <c r="CA110" s="216" t="s">
        <v>88</v>
      </c>
      <c r="CB110" s="216" t="s">
        <v>89</v>
      </c>
      <c r="CC110" s="216" t="s">
        <v>90</v>
      </c>
      <c r="CD110" s="216" t="s">
        <v>91</v>
      </c>
      <c r="CE110" s="216" t="s">
        <v>92</v>
      </c>
      <c r="CF110" s="216" t="s">
        <v>93</v>
      </c>
    </row>
    <row r="111" spans="2:86" ht="31.2" thickTop="1" thickBot="1" x14ac:dyDescent="0.45">
      <c r="D111" s="74"/>
      <c r="E111" s="74"/>
      <c r="F111" s="74"/>
      <c r="G111" s="74"/>
      <c r="H111" s="78"/>
      <c r="I111" s="78"/>
      <c r="J111" s="78"/>
      <c r="K111" s="78"/>
      <c r="L111" s="78"/>
      <c r="M111" s="78"/>
      <c r="N111" s="78"/>
      <c r="O111" s="78"/>
      <c r="P111" s="78"/>
      <c r="Q111" s="78"/>
      <c r="R111" s="78"/>
      <c r="S111" s="78"/>
      <c r="T111" s="78"/>
      <c r="U111" s="78"/>
      <c r="V111" s="78"/>
      <c r="W111" s="78"/>
      <c r="X111" s="78"/>
      <c r="Y111" s="78"/>
      <c r="Z111" s="78"/>
      <c r="AA111" s="78"/>
      <c r="AB111" s="78"/>
      <c r="AC111" s="78"/>
      <c r="AD111" s="78"/>
      <c r="AE111" s="78"/>
      <c r="AF111" s="78"/>
      <c r="AG111" s="78"/>
      <c r="AH111" s="78"/>
      <c r="AI111" s="78"/>
      <c r="AJ111" s="78"/>
      <c r="AK111" s="78"/>
      <c r="AL111" s="78"/>
      <c r="AM111" s="78"/>
      <c r="AN111" s="78"/>
      <c r="AO111" s="78"/>
      <c r="AP111" s="78"/>
      <c r="AQ111" s="78"/>
      <c r="AR111" s="78"/>
      <c r="AT111" s="27"/>
      <c r="AU111" s="27"/>
      <c r="AV111" s="27"/>
      <c r="AW111" s="27"/>
      <c r="AX111" s="27"/>
      <c r="AY111" s="27"/>
      <c r="AZ111" s="27"/>
      <c r="BA111" s="27"/>
      <c r="BB111" s="182"/>
      <c r="BC111" s="182"/>
      <c r="BD111" s="182"/>
      <c r="BE111" s="182"/>
      <c r="BF111" s="182"/>
      <c r="BG111" s="182"/>
      <c r="BH111" s="215"/>
      <c r="BI111" s="215"/>
      <c r="BJ111" s="215"/>
      <c r="BK111" s="215"/>
      <c r="BL111" s="215"/>
      <c r="BM111" s="215"/>
      <c r="BN111" s="215"/>
      <c r="BO111" s="215"/>
      <c r="BP111" s="215"/>
      <c r="BQ111" s="215"/>
      <c r="BR111" s="215"/>
      <c r="BS111" s="215"/>
      <c r="BT111" s="215"/>
      <c r="BU111" s="215"/>
      <c r="BV111" s="184"/>
      <c r="BW111" s="185"/>
      <c r="BX111" s="185"/>
      <c r="BY111" s="185"/>
      <c r="BZ111" s="185"/>
      <c r="CA111" s="185"/>
      <c r="CB111" s="185"/>
      <c r="CC111" s="185"/>
      <c r="CD111" s="185"/>
      <c r="CE111" s="185"/>
      <c r="CF111" s="185"/>
      <c r="CG111" s="185"/>
      <c r="CH111" s="185"/>
    </row>
    <row r="112" spans="2:86" ht="26.25" hidden="1" customHeight="1" thickBot="1" x14ac:dyDescent="0.35">
      <c r="D112" s="74"/>
      <c r="E112" s="74"/>
      <c r="F112" s="74"/>
      <c r="G112" s="74"/>
      <c r="H112" s="7"/>
      <c r="I112" s="7"/>
      <c r="J112" s="7"/>
      <c r="K112" s="7"/>
      <c r="L112" s="7"/>
      <c r="M112" s="7"/>
      <c r="N112" s="7"/>
      <c r="O112" s="7"/>
      <c r="P112" s="7"/>
      <c r="Q112" s="7"/>
      <c r="R112" s="7"/>
      <c r="S112" s="7"/>
      <c r="T112" s="10"/>
      <c r="U112" s="10"/>
      <c r="V112" s="10"/>
      <c r="W112" s="10"/>
      <c r="X112" s="10"/>
      <c r="Y112" s="10"/>
      <c r="Z112" s="10"/>
      <c r="AA112" s="10"/>
      <c r="AB112" s="10"/>
      <c r="AC112" s="10"/>
      <c r="AD112" s="10"/>
      <c r="AE112" s="10"/>
      <c r="AF112" s="10"/>
      <c r="AG112" s="10"/>
      <c r="AH112" s="10"/>
      <c r="AI112" s="10"/>
      <c r="AJ112" s="10"/>
      <c r="AK112" s="10"/>
      <c r="AL112" s="10"/>
      <c r="AM112" s="10"/>
      <c r="AN112" s="10"/>
      <c r="AO112" s="10"/>
      <c r="AP112" s="7"/>
      <c r="AQ112" s="32"/>
      <c r="AR112" s="33"/>
      <c r="AT112" s="27"/>
      <c r="AU112" s="27"/>
      <c r="AV112" s="27"/>
      <c r="AW112" s="27"/>
      <c r="AX112" s="27"/>
      <c r="AY112" s="27"/>
      <c r="AZ112" s="27"/>
      <c r="BA112" s="27"/>
      <c r="BB112" s="10"/>
      <c r="BC112" s="10"/>
      <c r="BD112" s="10"/>
      <c r="BE112" s="10"/>
      <c r="BF112" s="10"/>
      <c r="BG112" s="10"/>
      <c r="BH112" s="49"/>
      <c r="BI112" s="49"/>
      <c r="BJ112" s="49"/>
      <c r="BK112" s="49"/>
      <c r="BL112" s="49"/>
      <c r="BM112" s="49"/>
      <c r="BN112" s="49"/>
      <c r="BO112" s="49"/>
      <c r="BP112" s="49"/>
      <c r="BQ112" s="49"/>
      <c r="BR112" s="49"/>
      <c r="BS112" s="49"/>
      <c r="BT112" s="49"/>
      <c r="BU112" s="49"/>
      <c r="BV112" s="7"/>
    </row>
    <row r="113" spans="2:86" ht="32.25" hidden="1" customHeight="1" thickBot="1" x14ac:dyDescent="0.35">
      <c r="D113" s="74"/>
      <c r="E113" s="74"/>
      <c r="F113" s="74"/>
      <c r="G113" s="74"/>
      <c r="H113" s="7"/>
      <c r="I113" s="7"/>
      <c r="J113" s="7"/>
      <c r="K113" s="7"/>
      <c r="L113" s="7"/>
      <c r="M113" s="7"/>
      <c r="N113" s="7"/>
      <c r="O113" s="7"/>
      <c r="P113" s="7"/>
      <c r="Q113" s="7"/>
      <c r="R113" s="7"/>
      <c r="S113" s="7"/>
      <c r="T113" s="10"/>
      <c r="U113" s="10"/>
      <c r="V113" s="10"/>
      <c r="W113" s="10"/>
      <c r="X113" s="10"/>
      <c r="Y113" s="10"/>
      <c r="Z113" s="10"/>
      <c r="AA113" s="10"/>
      <c r="AB113" s="10"/>
      <c r="AC113" s="10"/>
      <c r="AD113" s="10"/>
      <c r="AE113" s="10"/>
      <c r="AF113" s="10"/>
      <c r="AG113" s="10"/>
      <c r="AH113" s="10"/>
      <c r="AI113" s="10"/>
      <c r="AJ113" s="10"/>
      <c r="AK113" s="10"/>
      <c r="AL113" s="10"/>
      <c r="AM113" s="10"/>
      <c r="AN113" s="10"/>
      <c r="AO113" s="10"/>
      <c r="AP113" s="7"/>
      <c r="AQ113" s="32"/>
      <c r="AR113" s="33"/>
      <c r="AS113" s="33"/>
      <c r="AT113" s="27"/>
      <c r="AU113" s="27"/>
      <c r="AV113" s="27"/>
      <c r="AW113" s="27"/>
      <c r="AX113" s="27"/>
      <c r="AY113" s="27"/>
      <c r="BA113" s="218" t="s">
        <v>95</v>
      </c>
      <c r="BB113" s="62"/>
      <c r="BE113" s="10"/>
      <c r="BF113" s="10"/>
      <c r="BG113" s="10"/>
      <c r="BH113" s="49"/>
      <c r="BI113" s="49"/>
      <c r="BJ113" s="49"/>
      <c r="BK113" s="49"/>
      <c r="BL113" s="49"/>
      <c r="BM113" s="49"/>
      <c r="BN113" s="49"/>
      <c r="BO113" s="49"/>
      <c r="BP113" s="49"/>
      <c r="BQ113" s="49"/>
      <c r="BR113" s="49"/>
      <c r="BS113" s="49"/>
      <c r="BT113" s="49"/>
      <c r="BU113" s="49"/>
      <c r="BV113" s="7"/>
      <c r="CD113" s="62"/>
      <c r="CH113" s="217" t="s">
        <v>94</v>
      </c>
    </row>
    <row r="114" spans="2:86" ht="52.5" customHeight="1" thickBot="1" x14ac:dyDescent="0.45">
      <c r="B114" s="1882" t="s">
        <v>70</v>
      </c>
      <c r="C114" s="105"/>
      <c r="D114" s="416" t="str">
        <f>IF(BA114&gt;0," ","change the angle of frame or of cabinets")</f>
        <v xml:space="preserve"> </v>
      </c>
      <c r="E114" s="114"/>
      <c r="F114" s="114"/>
      <c r="G114" s="114"/>
      <c r="H114" s="112"/>
      <c r="I114" s="112"/>
      <c r="J114" s="112"/>
      <c r="K114" s="112"/>
      <c r="L114" s="112"/>
      <c r="M114" s="112"/>
      <c r="N114" s="112"/>
      <c r="O114" s="112"/>
      <c r="P114" s="112"/>
      <c r="Q114" s="112"/>
      <c r="R114" s="112"/>
      <c r="S114" s="112"/>
      <c r="T114" s="112"/>
      <c r="U114" s="112"/>
      <c r="V114" s="79"/>
      <c r="W114" s="79"/>
      <c r="X114" s="79"/>
      <c r="Y114" s="79"/>
      <c r="Z114" s="79"/>
      <c r="AA114" s="79"/>
      <c r="AB114" s="79"/>
      <c r="AC114" s="79"/>
      <c r="AD114" s="79"/>
      <c r="AE114" s="79"/>
      <c r="AF114" s="79"/>
      <c r="AG114" s="79"/>
      <c r="AH114" s="79"/>
      <c r="AI114" s="79"/>
      <c r="AJ114" s="79"/>
      <c r="AK114" s="79"/>
      <c r="AL114" s="79"/>
      <c r="AM114" s="79"/>
      <c r="AN114" s="79"/>
      <c r="AO114" s="79"/>
      <c r="AP114" s="111"/>
      <c r="AQ114" s="79"/>
      <c r="AR114" s="79"/>
      <c r="AS114" s="77"/>
      <c r="AT114" s="27"/>
      <c r="AU114" s="27"/>
      <c r="AV114" s="27"/>
      <c r="AW114" s="27"/>
      <c r="AX114" s="27"/>
      <c r="AY114" s="27"/>
      <c r="AZ114" s="63"/>
      <c r="BA114" s="218">
        <f>-+AW116</f>
        <v>498.00014143917963</v>
      </c>
      <c r="BB114" s="62"/>
      <c r="BE114" s="10"/>
      <c r="BF114" s="10"/>
      <c r="BG114" s="10"/>
      <c r="BH114" s="49"/>
      <c r="BI114" s="49"/>
      <c r="BJ114" s="49"/>
      <c r="BK114" s="49"/>
      <c r="BL114" s="49"/>
      <c r="BM114" s="49"/>
      <c r="BN114" s="49"/>
      <c r="BO114" s="49"/>
      <c r="BP114" s="49"/>
      <c r="BQ114" s="49"/>
      <c r="BR114" s="49"/>
      <c r="BS114" s="49"/>
      <c r="BT114" s="49"/>
      <c r="BU114" s="49"/>
      <c r="BV114" s="7"/>
      <c r="CB114" s="63"/>
      <c r="CD114" s="62"/>
      <c r="CH114" s="217">
        <f>+-AW145</f>
        <v>-951.99985856082037</v>
      </c>
    </row>
    <row r="115" spans="2:86" ht="52.5" customHeight="1" thickBot="1" x14ac:dyDescent="0.45">
      <c r="B115" s="736">
        <v>0</v>
      </c>
      <c r="D115" s="416" t="str">
        <f>IF(CH114&lt;0," ","change the angle of frame or of cabinets")</f>
        <v xml:space="preserve"> </v>
      </c>
      <c r="E115" s="114"/>
      <c r="F115" s="114"/>
      <c r="G115" s="114"/>
      <c r="H115" s="112"/>
      <c r="I115" s="112"/>
      <c r="J115" s="112"/>
      <c r="K115" s="112"/>
      <c r="L115" s="112"/>
      <c r="M115" s="112"/>
      <c r="N115" s="112"/>
      <c r="O115" s="112"/>
      <c r="P115" s="112"/>
      <c r="Q115" s="112"/>
      <c r="R115" s="112"/>
      <c r="S115" s="112"/>
      <c r="T115" s="112"/>
      <c r="U115" s="112"/>
      <c r="V115" s="79"/>
      <c r="W115" s="79"/>
      <c r="X115" s="79"/>
      <c r="Y115" s="79"/>
      <c r="Z115" s="79"/>
      <c r="AA115" s="79"/>
      <c r="AB115" s="79"/>
      <c r="AC115" s="79"/>
      <c r="AD115" s="79"/>
      <c r="AE115" s="79"/>
      <c r="AF115" s="79"/>
      <c r="AG115" s="79"/>
      <c r="AH115" s="79"/>
      <c r="AI115" s="79"/>
      <c r="AJ115" s="79"/>
      <c r="AK115" s="79"/>
      <c r="AL115" s="79"/>
      <c r="AM115" s="79"/>
      <c r="AN115" s="79"/>
      <c r="AO115" s="79"/>
      <c r="AP115" s="111"/>
      <c r="AQ115" s="79"/>
      <c r="AR115" s="79"/>
      <c r="AS115" s="77"/>
      <c r="AT115" s="27"/>
      <c r="AU115" s="27"/>
      <c r="AV115" s="747" t="s">
        <v>205</v>
      </c>
      <c r="AW115" s="27"/>
      <c r="AX115" s="27"/>
      <c r="AY115" s="27"/>
      <c r="AZ115" s="27"/>
      <c r="BA115" s="27"/>
      <c r="BB115" s="10"/>
      <c r="BC115" s="10"/>
      <c r="BD115" s="10"/>
      <c r="BE115" s="10"/>
      <c r="BF115" s="10"/>
      <c r="BG115" s="10"/>
      <c r="BH115" s="49"/>
      <c r="BI115" s="49"/>
      <c r="BJ115" s="49"/>
      <c r="BK115" s="49"/>
      <c r="BL115" s="49"/>
      <c r="BM115" s="49"/>
      <c r="BN115" s="49"/>
      <c r="BO115" s="49"/>
      <c r="BP115" s="49"/>
      <c r="BQ115" s="49"/>
      <c r="BR115" s="49"/>
      <c r="BS115" s="49"/>
      <c r="BT115" s="49"/>
      <c r="BU115" s="49"/>
      <c r="BV115" s="7"/>
    </row>
    <row r="116" spans="2:86" ht="52.5" customHeight="1" thickTop="1" thickBot="1" x14ac:dyDescent="0.5">
      <c r="B116" s="1996" t="s">
        <v>42</v>
      </c>
      <c r="C116" s="749"/>
      <c r="D116" s="416" t="str">
        <f>IF(BA114&gt;(+COS(($B$115*-1)*3.14159265358979/180)*375)," ","USE EXBAR VR AT THE FRONT")</f>
        <v xml:space="preserve"> </v>
      </c>
      <c r="E116" s="114"/>
      <c r="F116" s="114"/>
      <c r="G116" s="114"/>
      <c r="H116" s="112"/>
      <c r="I116" s="112"/>
      <c r="J116" s="112"/>
      <c r="K116" s="112"/>
      <c r="L116" s="112"/>
      <c r="M116" s="112"/>
      <c r="N116" s="112"/>
      <c r="O116" s="112"/>
      <c r="P116" s="112"/>
      <c r="Q116" s="112"/>
      <c r="R116" s="112"/>
      <c r="S116" s="112"/>
      <c r="T116" s="112"/>
      <c r="U116" s="112"/>
      <c r="V116" s="79"/>
      <c r="W116" s="79"/>
      <c r="X116" s="79"/>
      <c r="Y116" s="79"/>
      <c r="Z116" s="79"/>
      <c r="AA116" s="79"/>
      <c r="AB116" s="79"/>
      <c r="AC116" s="79"/>
      <c r="AD116" s="79"/>
      <c r="AE116" s="79"/>
      <c r="AF116" s="79"/>
      <c r="AG116" s="79"/>
      <c r="AH116" s="79"/>
      <c r="AI116" s="79"/>
      <c r="AJ116" s="79"/>
      <c r="AK116" s="79"/>
      <c r="AL116" s="79"/>
      <c r="AM116" s="79"/>
      <c r="AN116" s="79"/>
      <c r="AO116" s="79"/>
      <c r="AP116" s="111"/>
      <c r="AQ116" s="220"/>
      <c r="AR116" s="221"/>
      <c r="AT116" s="219">
        <v>1</v>
      </c>
      <c r="AU116" s="748">
        <v>-400</v>
      </c>
      <c r="AV116" s="746">
        <f>+COS(($B$115*-1)*3.14159265358979/180)*AU116</f>
        <v>-400</v>
      </c>
      <c r="AW116" s="752">
        <f t="shared" ref="AW116:AW145" si="4">+AV116-D$3</f>
        <v>-498.00014143917963</v>
      </c>
      <c r="AX116" s="180">
        <f t="shared" ref="AX116:AX145" si="5">ABS(AW116)</f>
        <v>498.00014143917963</v>
      </c>
      <c r="AY116" s="180">
        <f>MIN(AX116:AX145)</f>
        <v>1.9998585608203854</v>
      </c>
      <c r="AZ116" s="180" t="b">
        <f>IF(AY116=AX116,AT116)</f>
        <v>0</v>
      </c>
      <c r="BA116" s="35"/>
      <c r="BB116" s="10"/>
      <c r="BC116" s="10"/>
      <c r="BD116" s="10"/>
      <c r="BE116" s="10"/>
      <c r="BF116" s="10"/>
      <c r="BG116" s="10"/>
      <c r="BH116" s="49"/>
      <c r="BI116" s="49"/>
      <c r="BJ116" s="49"/>
      <c r="BK116" s="49"/>
      <c r="BL116" s="49"/>
      <c r="BM116" s="49"/>
      <c r="BN116" s="49"/>
      <c r="BO116" s="49"/>
      <c r="BP116" s="49"/>
      <c r="BQ116" s="49"/>
      <c r="BR116" s="49"/>
      <c r="BS116" s="49"/>
      <c r="BT116" s="49"/>
      <c r="BU116" s="49"/>
      <c r="BV116" s="7"/>
    </row>
    <row r="117" spans="2:86" ht="52.5" customHeight="1" thickBot="1" x14ac:dyDescent="0.5">
      <c r="B117" s="1997"/>
      <c r="C117" s="749"/>
      <c r="D117" s="685" t="str">
        <f>IF(CH114&lt;-(+COS(($B$115*-1)*3.14159265358979/180)*375)," ","USE EXBAR VR AT THE BACK")</f>
        <v xml:space="preserve"> </v>
      </c>
      <c r="E117" s="114"/>
      <c r="F117" s="114"/>
      <c r="G117" s="114"/>
      <c r="H117" s="112"/>
      <c r="I117" s="112"/>
      <c r="J117" s="112"/>
      <c r="K117" s="112"/>
      <c r="L117" s="112"/>
      <c r="M117" s="112"/>
      <c r="N117" s="112"/>
      <c r="O117" s="112"/>
      <c r="P117" s="112"/>
      <c r="Q117" s="112"/>
      <c r="R117" s="112"/>
      <c r="S117" s="112"/>
      <c r="T117" s="112"/>
      <c r="U117" s="112"/>
      <c r="V117" s="79"/>
      <c r="W117" s="79"/>
      <c r="X117" s="79"/>
      <c r="Y117" s="79"/>
      <c r="Z117" s="79"/>
      <c r="AA117" s="79"/>
      <c r="AB117" s="79"/>
      <c r="AC117" s="79"/>
      <c r="AD117" s="79"/>
      <c r="AE117" s="79"/>
      <c r="AF117" s="79"/>
      <c r="AG117" s="79"/>
      <c r="AH117" s="79"/>
      <c r="AI117" s="79"/>
      <c r="AJ117" s="79"/>
      <c r="AK117" s="79"/>
      <c r="AL117" s="79"/>
      <c r="AM117" s="79"/>
      <c r="AN117" s="79"/>
      <c r="AO117" s="79"/>
      <c r="AP117" s="113"/>
      <c r="AQ117" s="80"/>
      <c r="AR117" s="79"/>
      <c r="AT117" s="219">
        <v>2</v>
      </c>
      <c r="AU117" s="748">
        <f>+AU116+50</f>
        <v>-350</v>
      </c>
      <c r="AV117" s="746">
        <f>+AV116+$E$2</f>
        <v>-350</v>
      </c>
      <c r="AW117" s="752">
        <f t="shared" si="4"/>
        <v>-448.00014143917963</v>
      </c>
      <c r="AX117" s="180">
        <f t="shared" si="5"/>
        <v>448.00014143917963</v>
      </c>
      <c r="AY117" s="180">
        <f>+AY116</f>
        <v>1.9998585608203854</v>
      </c>
      <c r="AZ117" s="180" t="b">
        <f t="shared" ref="AZ117:AZ145" si="6">IF(AY117=AX117,AT117)</f>
        <v>0</v>
      </c>
      <c r="BA117" s="33"/>
      <c r="BB117" s="10"/>
      <c r="BC117" s="10"/>
      <c r="BD117" s="10"/>
      <c r="BE117" s="10"/>
      <c r="BF117" s="10"/>
      <c r="BG117" s="10"/>
      <c r="BH117" s="49"/>
      <c r="BI117" s="49"/>
      <c r="BJ117" s="49"/>
      <c r="BK117" s="49"/>
      <c r="BL117" s="49"/>
      <c r="BM117" s="49"/>
      <c r="BN117" s="49"/>
      <c r="BO117" s="49"/>
      <c r="BP117" s="49"/>
      <c r="BQ117" s="49"/>
      <c r="BR117" s="49"/>
      <c r="BS117" s="49"/>
      <c r="BT117" s="49"/>
      <c r="BU117" s="49"/>
      <c r="BV117" s="7"/>
    </row>
    <row r="118" spans="2:86" ht="26.4" thickTop="1" thickBot="1" x14ac:dyDescent="0.5">
      <c r="B118" s="737">
        <v>1</v>
      </c>
      <c r="C118" s="671"/>
      <c r="D118" s="687" t="s">
        <v>71</v>
      </c>
      <c r="E118" s="5"/>
      <c r="F118" s="127"/>
      <c r="G118" s="127"/>
      <c r="H118" s="138"/>
      <c r="I118" s="138"/>
      <c r="J118" s="138"/>
      <c r="K118" s="138"/>
      <c r="L118" s="138"/>
      <c r="M118" s="138"/>
      <c r="N118" s="138"/>
      <c r="O118" s="138"/>
      <c r="P118" s="138"/>
      <c r="Q118" s="138"/>
      <c r="R118" s="138"/>
      <c r="S118" s="138"/>
      <c r="T118" s="138"/>
      <c r="U118" s="38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2000" t="s">
        <v>68</v>
      </c>
      <c r="AO118" s="2001"/>
      <c r="AP118" s="115"/>
      <c r="AQ118" s="37"/>
      <c r="AT118" s="219">
        <v>3</v>
      </c>
      <c r="AU118" s="748">
        <f t="shared" ref="AU118:AU145" si="7">+AU117+50</f>
        <v>-300</v>
      </c>
      <c r="AV118" s="746">
        <f t="shared" ref="AV118:AV145" si="8">+AV117+$E$2</f>
        <v>-300</v>
      </c>
      <c r="AW118" s="752">
        <f t="shared" si="4"/>
        <v>-398.00014143917963</v>
      </c>
      <c r="AX118" s="180">
        <f t="shared" si="5"/>
        <v>398.00014143917963</v>
      </c>
      <c r="AY118" s="180">
        <f t="shared" ref="AY118:AY145" si="9">+AY117</f>
        <v>1.9998585608203854</v>
      </c>
      <c r="AZ118" s="180" t="b">
        <f t="shared" si="6"/>
        <v>0</v>
      </c>
      <c r="BA118" s="33"/>
      <c r="BB118" s="10"/>
      <c r="BC118" s="10"/>
      <c r="BD118" s="10"/>
      <c r="BE118" s="10"/>
      <c r="BF118" s="10"/>
      <c r="BG118" s="10"/>
      <c r="BH118" s="49"/>
      <c r="BI118" s="49"/>
      <c r="BJ118" s="49"/>
      <c r="BK118" s="49"/>
      <c r="BL118" s="49"/>
      <c r="BM118" s="49"/>
      <c r="BN118" s="49"/>
      <c r="BO118" s="49"/>
      <c r="BP118" s="49"/>
      <c r="BQ118" s="49"/>
      <c r="BR118" s="49"/>
      <c r="BS118" s="49"/>
      <c r="BT118" s="49"/>
      <c r="BU118" s="49"/>
      <c r="BV118" s="7"/>
    </row>
    <row r="119" spans="2:86" ht="20.399999999999999" hidden="1" thickTop="1" thickBot="1" x14ac:dyDescent="0.5">
      <c r="B119" s="672"/>
      <c r="C119" s="71"/>
      <c r="D119" s="688"/>
      <c r="F119" s="107"/>
      <c r="H119" s="178" t="s">
        <v>4</v>
      </c>
      <c r="I119" s="178" t="s">
        <v>1</v>
      </c>
      <c r="J119" s="155" t="s">
        <v>0</v>
      </c>
      <c r="K119" s="155" t="s">
        <v>2</v>
      </c>
      <c r="L119" s="155" t="s">
        <v>3</v>
      </c>
      <c r="M119" s="155" t="s">
        <v>8</v>
      </c>
      <c r="N119" s="155" t="s">
        <v>5</v>
      </c>
      <c r="O119" s="155" t="s">
        <v>6</v>
      </c>
      <c r="P119" s="155" t="s">
        <v>7</v>
      </c>
      <c r="Q119" s="155" t="s">
        <v>9</v>
      </c>
      <c r="R119" s="176" t="s">
        <v>10</v>
      </c>
      <c r="S119" s="155" t="s">
        <v>11</v>
      </c>
      <c r="T119" s="156" t="s">
        <v>12</v>
      </c>
      <c r="U119" s="6"/>
      <c r="V119" s="6"/>
      <c r="W119" s="106"/>
      <c r="X119" s="6"/>
      <c r="Y119" s="6"/>
      <c r="Z119" s="6"/>
      <c r="AA119" s="6"/>
      <c r="AB119" s="6"/>
      <c r="AC119" s="6"/>
      <c r="AD119" s="6"/>
      <c r="AE119" s="6"/>
      <c r="AF119" s="6"/>
      <c r="AG119" s="6"/>
      <c r="AH119" s="6"/>
      <c r="AI119" s="6"/>
      <c r="AJ119" s="6"/>
      <c r="AK119" s="6"/>
      <c r="AL119" s="106" t="s">
        <v>57</v>
      </c>
      <c r="AM119" s="106" t="s">
        <v>57</v>
      </c>
      <c r="AP119" s="7"/>
      <c r="AQ119" s="17"/>
      <c r="AT119" s="219">
        <v>4</v>
      </c>
      <c r="AU119" s="748">
        <f t="shared" si="7"/>
        <v>-250</v>
      </c>
      <c r="AV119" s="746">
        <f t="shared" si="8"/>
        <v>-250</v>
      </c>
      <c r="AW119" s="752">
        <f t="shared" si="4"/>
        <v>-348.00014143917963</v>
      </c>
      <c r="AX119" s="180">
        <f t="shared" si="5"/>
        <v>348.00014143917963</v>
      </c>
      <c r="AY119" s="180">
        <f t="shared" si="9"/>
        <v>1.9998585608203854</v>
      </c>
      <c r="AZ119" s="180" t="b">
        <f t="shared" si="6"/>
        <v>0</v>
      </c>
      <c r="BU119" s="60"/>
      <c r="BV119" s="60"/>
      <c r="BW119" s="60"/>
      <c r="BX119" s="60"/>
      <c r="BY119" s="60"/>
      <c r="BZ119" s="60"/>
    </row>
    <row r="120" spans="2:86" ht="41.25" customHeight="1" thickTop="1" thickBot="1" x14ac:dyDescent="0.5">
      <c r="B120" s="29"/>
      <c r="C120" s="667"/>
      <c r="D120" s="689" t="s">
        <v>24</v>
      </c>
      <c r="E120" s="5"/>
      <c r="F120" s="382" t="s">
        <v>58</v>
      </c>
      <c r="H120" s="160"/>
      <c r="I120" s="161"/>
      <c r="J120" s="7"/>
      <c r="K120" s="7"/>
      <c r="L120" s="7"/>
      <c r="M120" s="7"/>
      <c r="N120" s="7"/>
      <c r="O120" s="7"/>
      <c r="P120" s="7"/>
      <c r="Q120" s="7"/>
      <c r="R120" s="177"/>
      <c r="S120" s="7"/>
      <c r="T120" s="34"/>
      <c r="U120" s="6"/>
      <c r="V120" s="6"/>
      <c r="W120" s="6"/>
      <c r="X120" s="6" t="s">
        <v>51</v>
      </c>
      <c r="Y120" s="95" t="s">
        <v>44</v>
      </c>
      <c r="Z120" s="175" t="s">
        <v>96</v>
      </c>
      <c r="AA120" s="96" t="s">
        <v>45</v>
      </c>
      <c r="AB120" s="172" t="s">
        <v>46</v>
      </c>
      <c r="AC120" s="175" t="s">
        <v>97</v>
      </c>
      <c r="AD120" s="93" t="s">
        <v>47</v>
      </c>
      <c r="AE120" s="172" t="s">
        <v>48</v>
      </c>
      <c r="AF120" s="179" t="s">
        <v>49</v>
      </c>
      <c r="AG120" s="91" t="s">
        <v>50</v>
      </c>
      <c r="AH120" s="91" t="s">
        <v>52</v>
      </c>
      <c r="AI120" s="91" t="s">
        <v>53</v>
      </c>
      <c r="AJ120" s="99" t="s">
        <v>54</v>
      </c>
      <c r="AK120" s="99" t="s">
        <v>55</v>
      </c>
      <c r="AL120" s="101" t="s">
        <v>25</v>
      </c>
      <c r="AM120" s="101" t="s">
        <v>26</v>
      </c>
      <c r="AN120" s="373" t="s">
        <v>25</v>
      </c>
      <c r="AO120" s="373" t="s">
        <v>26</v>
      </c>
      <c r="AP120" s="7"/>
      <c r="AR120" s="28"/>
      <c r="AT120" s="219">
        <v>5</v>
      </c>
      <c r="AU120" s="748">
        <f t="shared" si="7"/>
        <v>-200</v>
      </c>
      <c r="AV120" s="746">
        <f t="shared" si="8"/>
        <v>-200</v>
      </c>
      <c r="AW120" s="752">
        <f t="shared" si="4"/>
        <v>-298.00014143917963</v>
      </c>
      <c r="AX120" s="180">
        <f t="shared" si="5"/>
        <v>298.00014143917963</v>
      </c>
      <c r="AY120" s="180">
        <f t="shared" si="9"/>
        <v>1.9998585608203854</v>
      </c>
      <c r="AZ120" s="180" t="b">
        <f t="shared" si="6"/>
        <v>0</v>
      </c>
    </row>
    <row r="121" spans="2:86" ht="21" customHeight="1" thickBot="1" x14ac:dyDescent="0.5">
      <c r="B121" s="87">
        <v>1</v>
      </c>
      <c r="C121" s="668">
        <f>+($B$115*-1)+D121</f>
        <v>0</v>
      </c>
      <c r="D121" s="738">
        <v>0</v>
      </c>
      <c r="E121" s="333" t="s">
        <v>73</v>
      </c>
      <c r="F121" s="104">
        <f>+G121</f>
        <v>0</v>
      </c>
      <c r="G121" s="81">
        <f>+D121</f>
        <v>0</v>
      </c>
      <c r="H121" s="158">
        <v>190.76</v>
      </c>
      <c r="I121" s="159">
        <v>79.651040199999997</v>
      </c>
      <c r="J121" s="2">
        <f>+I121-C121</f>
        <v>79.651040199999997</v>
      </c>
      <c r="K121" s="2">
        <f t="shared" ref="K121:K144" si="10">+J121/2</f>
        <v>39.825520099999999</v>
      </c>
      <c r="L121" s="2">
        <f t="shared" ref="L121:L144" si="11">SIN(K121*3.14159265358979/180)</f>
        <v>0.64045183696587837</v>
      </c>
      <c r="M121" s="2">
        <f t="shared" ref="M121:M144" si="12">+L121*H121</f>
        <v>122.17259241961095</v>
      </c>
      <c r="N121" s="2">
        <f t="shared" ref="N121:N144" si="13">+M121*2</f>
        <v>244.3451848392219</v>
      </c>
      <c r="O121" s="2">
        <f>+C121/2</f>
        <v>0</v>
      </c>
      <c r="P121" s="2">
        <f t="shared" ref="P121:P144" si="14">SIN(O121*3.14159265358979/180)</f>
        <v>0</v>
      </c>
      <c r="Q121" s="2">
        <f t="shared" ref="Q121:Q144" si="15">+P121*N121</f>
        <v>0</v>
      </c>
      <c r="R121" s="157">
        <v>146.5</v>
      </c>
      <c r="S121" s="2">
        <f>+R121+Q121</f>
        <v>146.5</v>
      </c>
      <c r="T121" s="3">
        <f t="shared" ref="T121:T144" si="16">+S121</f>
        <v>146.5</v>
      </c>
      <c r="V121" s="23">
        <f t="shared" ref="V121:V144" si="17">IF(B121&lt;($B$118+1),T121,0)</f>
        <v>146.5</v>
      </c>
      <c r="W121" s="81" t="str">
        <f>IF(AM121&lt;0,"pin in groundstacking hole"," ")</f>
        <v xml:space="preserve"> </v>
      </c>
      <c r="X121" s="23">
        <f>SUM(V121:V144)/($B$118)</f>
        <v>146.5</v>
      </c>
      <c r="Y121" s="97">
        <f>+C121</f>
        <v>0</v>
      </c>
      <c r="Z121" s="173">
        <f>69.3447148-Y121</f>
        <v>69.344714800000006</v>
      </c>
      <c r="AA121" s="98">
        <f t="shared" ref="AA121:AA144" si="18">SIN(Z121*3.14159265358979/180)</f>
        <v>0.93571960494171247</v>
      </c>
      <c r="AB121" s="174">
        <f>+AA121*192.42</f>
        <v>180.0511663828843</v>
      </c>
      <c r="AC121" s="173">
        <f>50.1744799+Y121</f>
        <v>50.174479900000001</v>
      </c>
      <c r="AD121" s="94">
        <f>SIN(AC121*3.14159265358979/180)</f>
        <v>0.76799833627881664</v>
      </c>
      <c r="AE121" s="174">
        <f>+AD121*190.76</f>
        <v>146.50336262854705</v>
      </c>
      <c r="AF121" s="174">
        <f>25.5*B118</f>
        <v>25.5</v>
      </c>
      <c r="AG121" s="92">
        <f>+AE121+AB121</f>
        <v>326.55452901143133</v>
      </c>
      <c r="AH121" s="92">
        <f>+V121-AE121</f>
        <v>-3.3626285470518269E-3</v>
      </c>
      <c r="AI121" s="92">
        <f>+X121-AH121</f>
        <v>146.50336262854705</v>
      </c>
      <c r="AJ121" s="100">
        <f>+((AG121-AI121)/AG121)*AF121</f>
        <v>14.059840960291279</v>
      </c>
      <c r="AK121" s="100">
        <f>+(AI121/AG121)*AF121</f>
        <v>11.440159039708721</v>
      </c>
      <c r="AL121" s="109">
        <f t="shared" ref="AL121:AL144" si="19">2*$C$7/AJ121</f>
        <v>825.04489437408847</v>
      </c>
      <c r="AM121" s="110">
        <f t="shared" ref="AM121:AM144" si="20">$D$7/AK121</f>
        <v>874.11372213358766</v>
      </c>
      <c r="AN121" s="134">
        <f>ABS(AL121)</f>
        <v>825.04489437408847</v>
      </c>
      <c r="AO121" s="134">
        <f>ABS(AM121)</f>
        <v>874.11372213358766</v>
      </c>
      <c r="AP121" s="2" t="s">
        <v>56</v>
      </c>
      <c r="AR121" s="12"/>
      <c r="AT121" s="219">
        <v>6</v>
      </c>
      <c r="AU121" s="748">
        <f t="shared" si="7"/>
        <v>-150</v>
      </c>
      <c r="AV121" s="746">
        <f t="shared" si="8"/>
        <v>-150</v>
      </c>
      <c r="AW121" s="752">
        <f t="shared" si="4"/>
        <v>-248.00014143917963</v>
      </c>
      <c r="AX121" s="180">
        <f t="shared" si="5"/>
        <v>248.00014143917963</v>
      </c>
      <c r="AY121" s="180">
        <f t="shared" si="9"/>
        <v>1.9998585608203854</v>
      </c>
      <c r="AZ121" s="180" t="b">
        <f t="shared" si="6"/>
        <v>0</v>
      </c>
      <c r="BA121" s="42"/>
    </row>
    <row r="122" spans="2:86" ht="21" customHeight="1" thickBot="1" x14ac:dyDescent="0.5">
      <c r="B122" s="88">
        <v>2</v>
      </c>
      <c r="C122" s="20"/>
      <c r="D122" s="738">
        <v>0</v>
      </c>
      <c r="E122" s="333" t="s">
        <v>72</v>
      </c>
      <c r="F122" s="117" t="e">
        <f t="shared" ref="F122:F144" si="21">+G122</f>
        <v>#DIV/0!</v>
      </c>
      <c r="G122" s="118" t="e">
        <f t="shared" ref="G122:G144" si="22">+D122+AP122</f>
        <v>#DIV/0!</v>
      </c>
      <c r="H122" s="158">
        <v>190.76</v>
      </c>
      <c r="I122" s="159">
        <v>79.651040199999997</v>
      </c>
      <c r="J122" s="2">
        <f t="shared" ref="J122:J144" si="23">+I122-D122</f>
        <v>79.651040199999997</v>
      </c>
      <c r="K122" s="2">
        <f t="shared" si="10"/>
        <v>39.825520099999999</v>
      </c>
      <c r="L122" s="2">
        <f>SIN(K122*3.14159265358979/180)</f>
        <v>0.64045183696587837</v>
      </c>
      <c r="M122" s="2">
        <f t="shared" si="12"/>
        <v>122.17259241961095</v>
      </c>
      <c r="N122" s="2">
        <f t="shared" si="13"/>
        <v>244.3451848392219</v>
      </c>
      <c r="O122" s="2">
        <f>+C121+(D122/2)</f>
        <v>0</v>
      </c>
      <c r="P122" s="2">
        <f t="shared" si="14"/>
        <v>0</v>
      </c>
      <c r="Q122" s="2">
        <f t="shared" si="15"/>
        <v>0</v>
      </c>
      <c r="R122" s="2">
        <f t="shared" ref="R122:R144" si="24">+T121</f>
        <v>146.5</v>
      </c>
      <c r="S122" s="2">
        <f>+R122+Q122</f>
        <v>146.5</v>
      </c>
      <c r="T122" s="3">
        <f t="shared" si="16"/>
        <v>146.5</v>
      </c>
      <c r="V122" s="23">
        <f t="shared" si="17"/>
        <v>0</v>
      </c>
      <c r="W122" s="81" t="e">
        <f t="shared" ref="W122:W144" si="25">IF(AM122&lt;0,"pin in groundstacking hole"," ")</f>
        <v>#DIV/0!</v>
      </c>
      <c r="X122" s="23" t="e">
        <f t="shared" ref="X122:X144" si="26">SUM(V122:V145)/($B$118-B121)</f>
        <v>#DIV/0!</v>
      </c>
      <c r="Y122" s="97">
        <f>SUM(D122)+$C$121</f>
        <v>0</v>
      </c>
      <c r="Z122" s="173">
        <f t="shared" ref="Z122:Z144" si="27">69.3447148-Y122</f>
        <v>69.344714800000006</v>
      </c>
      <c r="AA122" s="98">
        <f t="shared" si="18"/>
        <v>0.93571960494171247</v>
      </c>
      <c r="AB122" s="174">
        <f t="shared" ref="AB122:AB144" si="28">+AA122*192.42</f>
        <v>180.0511663828843</v>
      </c>
      <c r="AC122" s="173">
        <f t="shared" ref="AC122:AC144" si="29">50.1744799+Y122</f>
        <v>50.174479900000001</v>
      </c>
      <c r="AD122" s="94">
        <f t="shared" ref="AD122:AD144" si="30">SIN(AC122*3.14159265358979/180)</f>
        <v>0.76799833627881664</v>
      </c>
      <c r="AE122" s="174">
        <f t="shared" ref="AE122:AE144" si="31">+AD122*190.76</f>
        <v>146.50336262854705</v>
      </c>
      <c r="AF122" s="174">
        <f t="shared" ref="AF122:AF144" si="32">25.5*($B$118-B121)</f>
        <v>0</v>
      </c>
      <c r="AG122" s="92">
        <f t="shared" ref="AG122:AG144" si="33">+AE122+AB122</f>
        <v>326.55452901143133</v>
      </c>
      <c r="AH122" s="92">
        <f>+V122-AE122</f>
        <v>-146.50336262854705</v>
      </c>
      <c r="AI122" s="92" t="e">
        <f>+X122-AH122</f>
        <v>#DIV/0!</v>
      </c>
      <c r="AJ122" s="100" t="e">
        <f t="shared" ref="AJ122:AJ144" si="34">+((AG122-AI122)/AG122)*AF122</f>
        <v>#DIV/0!</v>
      </c>
      <c r="AK122" s="100" t="e">
        <f t="shared" ref="AK122:AK144" si="35">+(AI122/AG122)*AF122</f>
        <v>#DIV/0!</v>
      </c>
      <c r="AL122" s="109" t="e">
        <f t="shared" si="19"/>
        <v>#DIV/0!</v>
      </c>
      <c r="AM122" s="110" t="e">
        <f t="shared" si="20"/>
        <v>#DIV/0!</v>
      </c>
      <c r="AN122" s="137" t="e">
        <f t="shared" ref="AN122:AN144" si="36">ABS(AL122)</f>
        <v>#DIV/0!</v>
      </c>
      <c r="AO122" s="137" t="e">
        <f t="shared" ref="AO122:AO144" si="37">ABS(AM122)</f>
        <v>#DIV/0!</v>
      </c>
      <c r="AP122" t="e">
        <f t="shared" ref="AP122:AP144" si="38">IF(AM122&lt;0,0.3,0)</f>
        <v>#DIV/0!</v>
      </c>
      <c r="AR122" s="7"/>
      <c r="AT122" s="219">
        <v>7</v>
      </c>
      <c r="AU122" s="748">
        <f t="shared" si="7"/>
        <v>-100</v>
      </c>
      <c r="AV122" s="746">
        <f t="shared" si="8"/>
        <v>-100</v>
      </c>
      <c r="AW122" s="752">
        <f t="shared" si="4"/>
        <v>-198.00014143917963</v>
      </c>
      <c r="AX122" s="180">
        <f t="shared" si="5"/>
        <v>198.00014143917963</v>
      </c>
      <c r="AY122" s="180">
        <f t="shared" si="9"/>
        <v>1.9998585608203854</v>
      </c>
      <c r="AZ122" s="180" t="b">
        <f t="shared" si="6"/>
        <v>0</v>
      </c>
      <c r="BA122" s="42"/>
    </row>
    <row r="123" spans="2:86" ht="21" customHeight="1" thickBot="1" x14ac:dyDescent="0.5">
      <c r="B123" s="88">
        <v>3</v>
      </c>
      <c r="C123" s="20"/>
      <c r="D123" s="738">
        <v>0</v>
      </c>
      <c r="E123" s="333" t="s">
        <v>72</v>
      </c>
      <c r="F123" s="104">
        <f t="shared" si="21"/>
        <v>0.3</v>
      </c>
      <c r="G123" s="118">
        <f t="shared" si="22"/>
        <v>0.3</v>
      </c>
      <c r="H123" s="158">
        <v>190.76</v>
      </c>
      <c r="I123" s="159">
        <v>79.651040199999997</v>
      </c>
      <c r="J123" s="2">
        <f t="shared" si="23"/>
        <v>79.651040199999997</v>
      </c>
      <c r="K123" s="2">
        <f t="shared" si="10"/>
        <v>39.825520099999999</v>
      </c>
      <c r="L123" s="2">
        <f t="shared" si="11"/>
        <v>0.64045183696587837</v>
      </c>
      <c r="M123" s="2">
        <f t="shared" si="12"/>
        <v>122.17259241961095</v>
      </c>
      <c r="N123" s="2">
        <f t="shared" si="13"/>
        <v>244.3451848392219</v>
      </c>
      <c r="O123" s="2">
        <f>+C121+D122+(D123/2)</f>
        <v>0</v>
      </c>
      <c r="P123" s="2">
        <f t="shared" si="14"/>
        <v>0</v>
      </c>
      <c r="Q123" s="2">
        <f t="shared" si="15"/>
        <v>0</v>
      </c>
      <c r="R123" s="2">
        <f t="shared" si="24"/>
        <v>146.5</v>
      </c>
      <c r="S123" s="2">
        <f t="shared" ref="S123:S144" si="39">+S122+Q123</f>
        <v>146.5</v>
      </c>
      <c r="T123" s="3">
        <f t="shared" si="16"/>
        <v>146.5</v>
      </c>
      <c r="V123" s="23">
        <f t="shared" si="17"/>
        <v>0</v>
      </c>
      <c r="W123" s="81" t="str">
        <f t="shared" si="25"/>
        <v>pin in groundstacking hole</v>
      </c>
      <c r="X123" s="23">
        <f t="shared" si="26"/>
        <v>0</v>
      </c>
      <c r="Y123" s="97">
        <f>SUM(D122:D123)+$C$121</f>
        <v>0</v>
      </c>
      <c r="Z123" s="173">
        <f t="shared" si="27"/>
        <v>69.344714800000006</v>
      </c>
      <c r="AA123" s="98">
        <f t="shared" si="18"/>
        <v>0.93571960494171247</v>
      </c>
      <c r="AB123" s="174">
        <f t="shared" si="28"/>
        <v>180.0511663828843</v>
      </c>
      <c r="AC123" s="173">
        <f t="shared" si="29"/>
        <v>50.174479900000001</v>
      </c>
      <c r="AD123" s="94">
        <f t="shared" si="30"/>
        <v>0.76799833627881664</v>
      </c>
      <c r="AE123" s="174">
        <f t="shared" si="31"/>
        <v>146.50336262854705</v>
      </c>
      <c r="AF123" s="174">
        <f t="shared" si="32"/>
        <v>-25.5</v>
      </c>
      <c r="AG123" s="92">
        <f t="shared" si="33"/>
        <v>326.55452901143133</v>
      </c>
      <c r="AH123" s="92">
        <f>+V123-AE123</f>
        <v>-146.50336262854705</v>
      </c>
      <c r="AI123" s="92">
        <f>+X123-AH123</f>
        <v>146.50336262854705</v>
      </c>
      <c r="AJ123" s="100">
        <f t="shared" si="34"/>
        <v>-14.059840960291279</v>
      </c>
      <c r="AK123" s="100">
        <f t="shared" si="35"/>
        <v>-11.440159039708721</v>
      </c>
      <c r="AL123" s="109">
        <f t="shared" si="19"/>
        <v>-825.04489437408847</v>
      </c>
      <c r="AM123" s="110">
        <f t="shared" si="20"/>
        <v>-874.11372213358766</v>
      </c>
      <c r="AN123" s="137">
        <f t="shared" si="36"/>
        <v>825.04489437408847</v>
      </c>
      <c r="AO123" s="137">
        <f t="shared" si="37"/>
        <v>874.11372213358766</v>
      </c>
      <c r="AP123">
        <f t="shared" si="38"/>
        <v>0.3</v>
      </c>
      <c r="AT123" s="219">
        <v>8</v>
      </c>
      <c r="AU123" s="748">
        <f t="shared" si="7"/>
        <v>-50</v>
      </c>
      <c r="AV123" s="746">
        <f t="shared" si="8"/>
        <v>-50</v>
      </c>
      <c r="AW123" s="752">
        <f t="shared" si="4"/>
        <v>-148.00014143917963</v>
      </c>
      <c r="AX123" s="180">
        <f t="shared" si="5"/>
        <v>148.00014143917963</v>
      </c>
      <c r="AY123" s="180">
        <f t="shared" si="9"/>
        <v>1.9998585608203854</v>
      </c>
      <c r="AZ123" s="180" t="b">
        <f t="shared" si="6"/>
        <v>0</v>
      </c>
      <c r="BA123" s="42"/>
      <c r="BB123" s="14"/>
    </row>
    <row r="124" spans="2:86" ht="21" customHeight="1" thickBot="1" x14ac:dyDescent="0.5">
      <c r="B124" s="88">
        <v>4</v>
      </c>
      <c r="C124" s="20"/>
      <c r="D124" s="738">
        <v>0</v>
      </c>
      <c r="E124" s="333" t="s">
        <v>72</v>
      </c>
      <c r="F124" s="104">
        <f t="shared" si="21"/>
        <v>0.3</v>
      </c>
      <c r="G124" s="118">
        <f t="shared" si="22"/>
        <v>0.3</v>
      </c>
      <c r="H124" s="158">
        <v>190.76</v>
      </c>
      <c r="I124" s="159">
        <v>79.651040199999997</v>
      </c>
      <c r="J124" s="2">
        <f t="shared" si="23"/>
        <v>79.651040199999997</v>
      </c>
      <c r="K124" s="2">
        <f t="shared" si="10"/>
        <v>39.825520099999999</v>
      </c>
      <c r="L124" s="2">
        <f t="shared" si="11"/>
        <v>0.64045183696587837</v>
      </c>
      <c r="M124" s="2">
        <f t="shared" si="12"/>
        <v>122.17259241961095</v>
      </c>
      <c r="N124" s="2">
        <f t="shared" si="13"/>
        <v>244.3451848392219</v>
      </c>
      <c r="O124" s="2">
        <f>+C121+D122+D123+(D124/2)</f>
        <v>0</v>
      </c>
      <c r="P124" s="2">
        <f t="shared" si="14"/>
        <v>0</v>
      </c>
      <c r="Q124" s="2">
        <f t="shared" si="15"/>
        <v>0</v>
      </c>
      <c r="R124" s="2">
        <f t="shared" si="24"/>
        <v>146.5</v>
      </c>
      <c r="S124" s="2">
        <f t="shared" si="39"/>
        <v>146.5</v>
      </c>
      <c r="T124" s="3">
        <f t="shared" si="16"/>
        <v>146.5</v>
      </c>
      <c r="V124" s="23">
        <f t="shared" si="17"/>
        <v>0</v>
      </c>
      <c r="W124" s="81" t="str">
        <f t="shared" si="25"/>
        <v>pin in groundstacking hole</v>
      </c>
      <c r="X124" s="23">
        <f t="shared" si="26"/>
        <v>0</v>
      </c>
      <c r="Y124" s="97">
        <f>SUM(D122:D124)+$C$121</f>
        <v>0</v>
      </c>
      <c r="Z124" s="173">
        <f t="shared" si="27"/>
        <v>69.344714800000006</v>
      </c>
      <c r="AA124" s="98">
        <f t="shared" si="18"/>
        <v>0.93571960494171247</v>
      </c>
      <c r="AB124" s="174">
        <f t="shared" si="28"/>
        <v>180.0511663828843</v>
      </c>
      <c r="AC124" s="173">
        <f t="shared" si="29"/>
        <v>50.174479900000001</v>
      </c>
      <c r="AD124" s="94">
        <f t="shared" si="30"/>
        <v>0.76799833627881664</v>
      </c>
      <c r="AE124" s="174">
        <f t="shared" si="31"/>
        <v>146.50336262854705</v>
      </c>
      <c r="AF124" s="174">
        <f t="shared" si="32"/>
        <v>-51</v>
      </c>
      <c r="AG124" s="92">
        <f t="shared" si="33"/>
        <v>326.55452901143133</v>
      </c>
      <c r="AH124" s="92">
        <f>+V124-AE124</f>
        <v>-146.50336262854705</v>
      </c>
      <c r="AI124" s="92">
        <f t="shared" ref="AI124:AI144" si="40">+X124-AH124</f>
        <v>146.50336262854705</v>
      </c>
      <c r="AJ124" s="100">
        <f t="shared" si="34"/>
        <v>-28.119681920582558</v>
      </c>
      <c r="AK124" s="100">
        <f t="shared" si="35"/>
        <v>-22.880318079417442</v>
      </c>
      <c r="AL124" s="109">
        <f t="shared" si="19"/>
        <v>-412.52244718704424</v>
      </c>
      <c r="AM124" s="110">
        <f t="shared" si="20"/>
        <v>-437.05686106679383</v>
      </c>
      <c r="AN124" s="137">
        <f t="shared" si="36"/>
        <v>412.52244718704424</v>
      </c>
      <c r="AO124" s="137">
        <f t="shared" si="37"/>
        <v>437.05686106679383</v>
      </c>
      <c r="AP124">
        <f t="shared" si="38"/>
        <v>0.3</v>
      </c>
      <c r="AT124" s="219">
        <v>9</v>
      </c>
      <c r="AU124" s="748">
        <f t="shared" si="7"/>
        <v>0</v>
      </c>
      <c r="AV124" s="746">
        <f t="shared" si="8"/>
        <v>0</v>
      </c>
      <c r="AW124" s="752">
        <f t="shared" si="4"/>
        <v>-98.000141439179615</v>
      </c>
      <c r="AX124" s="180">
        <f t="shared" si="5"/>
        <v>98.000141439179615</v>
      </c>
      <c r="AY124" s="180">
        <f t="shared" si="9"/>
        <v>1.9998585608203854</v>
      </c>
      <c r="AZ124" s="180" t="b">
        <f t="shared" si="6"/>
        <v>0</v>
      </c>
      <c r="BA124" s="42"/>
      <c r="BB124" s="14"/>
    </row>
    <row r="125" spans="2:86" ht="21" customHeight="1" thickBot="1" x14ac:dyDescent="0.5">
      <c r="B125" s="88">
        <v>5</v>
      </c>
      <c r="C125" s="20"/>
      <c r="D125" s="738">
        <v>0</v>
      </c>
      <c r="E125" s="333" t="s">
        <v>72</v>
      </c>
      <c r="F125" s="104">
        <f t="shared" si="21"/>
        <v>0.3</v>
      </c>
      <c r="G125" s="118">
        <f t="shared" si="22"/>
        <v>0.3</v>
      </c>
      <c r="H125" s="158">
        <v>190.76</v>
      </c>
      <c r="I125" s="159">
        <v>79.651040199999997</v>
      </c>
      <c r="J125" s="2">
        <f t="shared" si="23"/>
        <v>79.651040199999997</v>
      </c>
      <c r="K125" s="2">
        <f t="shared" si="10"/>
        <v>39.825520099999999</v>
      </c>
      <c r="L125" s="2">
        <f t="shared" si="11"/>
        <v>0.64045183696587837</v>
      </c>
      <c r="M125" s="2">
        <f t="shared" si="12"/>
        <v>122.17259241961095</v>
      </c>
      <c r="N125" s="2">
        <f t="shared" si="13"/>
        <v>244.3451848392219</v>
      </c>
      <c r="O125" s="2">
        <f>+C121+D122+D123+D124+(D125/2)</f>
        <v>0</v>
      </c>
      <c r="P125" s="2">
        <f t="shared" si="14"/>
        <v>0</v>
      </c>
      <c r="Q125" s="2">
        <f t="shared" si="15"/>
        <v>0</v>
      </c>
      <c r="R125" s="2">
        <f t="shared" si="24"/>
        <v>146.5</v>
      </c>
      <c r="S125" s="2">
        <f t="shared" si="39"/>
        <v>146.5</v>
      </c>
      <c r="T125" s="3">
        <f t="shared" si="16"/>
        <v>146.5</v>
      </c>
      <c r="V125" s="23">
        <f t="shared" si="17"/>
        <v>0</v>
      </c>
      <c r="W125" s="81" t="str">
        <f t="shared" si="25"/>
        <v>pin in groundstacking hole</v>
      </c>
      <c r="X125" s="23">
        <f t="shared" si="26"/>
        <v>0</v>
      </c>
      <c r="Y125" s="97">
        <f>SUM(D122:D125)+$C$121</f>
        <v>0</v>
      </c>
      <c r="Z125" s="173">
        <f t="shared" si="27"/>
        <v>69.344714800000006</v>
      </c>
      <c r="AA125" s="98">
        <f t="shared" si="18"/>
        <v>0.93571960494171247</v>
      </c>
      <c r="AB125" s="174">
        <f t="shared" si="28"/>
        <v>180.0511663828843</v>
      </c>
      <c r="AC125" s="173">
        <f t="shared" si="29"/>
        <v>50.174479900000001</v>
      </c>
      <c r="AD125" s="94">
        <f t="shared" si="30"/>
        <v>0.76799833627881664</v>
      </c>
      <c r="AE125" s="174">
        <f t="shared" si="31"/>
        <v>146.50336262854705</v>
      </c>
      <c r="AF125" s="174">
        <f t="shared" si="32"/>
        <v>-76.5</v>
      </c>
      <c r="AG125" s="92">
        <f t="shared" si="33"/>
        <v>326.55452901143133</v>
      </c>
      <c r="AH125" s="92">
        <f t="shared" ref="AH125:AH144" si="41">+V125-AE125</f>
        <v>-146.50336262854705</v>
      </c>
      <c r="AI125" s="92">
        <f t="shared" si="40"/>
        <v>146.50336262854705</v>
      </c>
      <c r="AJ125" s="100">
        <f t="shared" si="34"/>
        <v>-42.17952288087384</v>
      </c>
      <c r="AK125" s="100">
        <f t="shared" si="35"/>
        <v>-34.32047711912616</v>
      </c>
      <c r="AL125" s="109">
        <f t="shared" si="19"/>
        <v>-275.01496479136279</v>
      </c>
      <c r="AM125" s="110">
        <f t="shared" si="20"/>
        <v>-291.37124071119592</v>
      </c>
      <c r="AN125" s="137">
        <f t="shared" si="36"/>
        <v>275.01496479136279</v>
      </c>
      <c r="AO125" s="137">
        <f t="shared" si="37"/>
        <v>291.37124071119592</v>
      </c>
      <c r="AP125">
        <f t="shared" si="38"/>
        <v>0.3</v>
      </c>
      <c r="AR125" s="8"/>
      <c r="AT125" s="219">
        <v>10</v>
      </c>
      <c r="AU125" s="748">
        <f t="shared" si="7"/>
        <v>50</v>
      </c>
      <c r="AV125" s="746">
        <f t="shared" si="8"/>
        <v>50</v>
      </c>
      <c r="AW125" s="752">
        <f t="shared" si="4"/>
        <v>-48.000141439179615</v>
      </c>
      <c r="AX125" s="180">
        <f t="shared" si="5"/>
        <v>48.000141439179615</v>
      </c>
      <c r="AY125" s="180">
        <f t="shared" si="9"/>
        <v>1.9998585608203854</v>
      </c>
      <c r="AZ125" s="180" t="b">
        <f t="shared" si="6"/>
        <v>0</v>
      </c>
      <c r="BA125" s="42"/>
      <c r="BB125" s="14"/>
    </row>
    <row r="126" spans="2:86" ht="21" customHeight="1" thickBot="1" x14ac:dyDescent="0.5">
      <c r="B126" s="88">
        <v>6</v>
      </c>
      <c r="C126" s="20"/>
      <c r="D126" s="738">
        <v>0</v>
      </c>
      <c r="E126" s="333" t="s">
        <v>72</v>
      </c>
      <c r="F126" s="104">
        <f t="shared" si="21"/>
        <v>0.3</v>
      </c>
      <c r="G126" s="118">
        <f t="shared" si="22"/>
        <v>0.3</v>
      </c>
      <c r="H126" s="158">
        <v>190.76</v>
      </c>
      <c r="I126" s="159">
        <v>79.651040199999997</v>
      </c>
      <c r="J126" s="2">
        <f t="shared" si="23"/>
        <v>79.651040199999997</v>
      </c>
      <c r="K126" s="2">
        <f t="shared" si="10"/>
        <v>39.825520099999999</v>
      </c>
      <c r="L126" s="2">
        <f t="shared" si="11"/>
        <v>0.64045183696587837</v>
      </c>
      <c r="M126" s="2">
        <f t="shared" si="12"/>
        <v>122.17259241961095</v>
      </c>
      <c r="N126" s="2">
        <f t="shared" si="13"/>
        <v>244.3451848392219</v>
      </c>
      <c r="O126" s="2">
        <f>+C121+D122+D123+D124+D125+(D126/2)</f>
        <v>0</v>
      </c>
      <c r="P126" s="2">
        <f t="shared" si="14"/>
        <v>0</v>
      </c>
      <c r="Q126" s="2">
        <f t="shared" si="15"/>
        <v>0</v>
      </c>
      <c r="R126" s="2">
        <f t="shared" si="24"/>
        <v>146.5</v>
      </c>
      <c r="S126" s="2">
        <f t="shared" si="39"/>
        <v>146.5</v>
      </c>
      <c r="T126" s="3">
        <f t="shared" si="16"/>
        <v>146.5</v>
      </c>
      <c r="V126" s="23">
        <f t="shared" si="17"/>
        <v>0</v>
      </c>
      <c r="W126" s="81" t="str">
        <f t="shared" si="25"/>
        <v>pin in groundstacking hole</v>
      </c>
      <c r="X126" s="23">
        <f t="shared" si="26"/>
        <v>0</v>
      </c>
      <c r="Y126" s="97">
        <f>SUM(D122:D126)+$C$121</f>
        <v>0</v>
      </c>
      <c r="Z126" s="173">
        <f t="shared" si="27"/>
        <v>69.344714800000006</v>
      </c>
      <c r="AA126" s="98">
        <f t="shared" si="18"/>
        <v>0.93571960494171247</v>
      </c>
      <c r="AB126" s="174">
        <f t="shared" si="28"/>
        <v>180.0511663828843</v>
      </c>
      <c r="AC126" s="173">
        <f t="shared" si="29"/>
        <v>50.174479900000001</v>
      </c>
      <c r="AD126" s="94">
        <f t="shared" si="30"/>
        <v>0.76799833627881664</v>
      </c>
      <c r="AE126" s="174">
        <f t="shared" si="31"/>
        <v>146.50336262854705</v>
      </c>
      <c r="AF126" s="174">
        <f t="shared" si="32"/>
        <v>-102</v>
      </c>
      <c r="AG126" s="92">
        <f t="shared" si="33"/>
        <v>326.55452901143133</v>
      </c>
      <c r="AH126" s="92">
        <f t="shared" si="41"/>
        <v>-146.50336262854705</v>
      </c>
      <c r="AI126" s="92">
        <f t="shared" si="40"/>
        <v>146.50336262854705</v>
      </c>
      <c r="AJ126" s="100">
        <f t="shared" si="34"/>
        <v>-56.239363841165115</v>
      </c>
      <c r="AK126" s="100">
        <f t="shared" si="35"/>
        <v>-45.760636158834885</v>
      </c>
      <c r="AL126" s="109">
        <f t="shared" si="19"/>
        <v>-206.26122359352212</v>
      </c>
      <c r="AM126" s="110">
        <f t="shared" si="20"/>
        <v>-218.52843053339691</v>
      </c>
      <c r="AN126" s="137">
        <f t="shared" si="36"/>
        <v>206.26122359352212</v>
      </c>
      <c r="AO126" s="137">
        <f t="shared" si="37"/>
        <v>218.52843053339691</v>
      </c>
      <c r="AP126">
        <f t="shared" si="38"/>
        <v>0.3</v>
      </c>
      <c r="AT126" s="219">
        <v>11</v>
      </c>
      <c r="AU126" s="748">
        <f t="shared" si="7"/>
        <v>100</v>
      </c>
      <c r="AV126" s="746">
        <f t="shared" si="8"/>
        <v>100</v>
      </c>
      <c r="AW126" s="752">
        <f t="shared" si="4"/>
        <v>1.9998585608203854</v>
      </c>
      <c r="AX126" s="180">
        <f t="shared" si="5"/>
        <v>1.9998585608203854</v>
      </c>
      <c r="AY126" s="180">
        <f t="shared" si="9"/>
        <v>1.9998585608203854</v>
      </c>
      <c r="AZ126" s="180">
        <f t="shared" si="6"/>
        <v>11</v>
      </c>
      <c r="BA126" s="42"/>
      <c r="BB126" s="14"/>
    </row>
    <row r="127" spans="2:86" ht="21" customHeight="1" thickBot="1" x14ac:dyDescent="0.5">
      <c r="B127" s="88">
        <v>7</v>
      </c>
      <c r="C127" s="20"/>
      <c r="D127" s="738">
        <v>0</v>
      </c>
      <c r="E127" s="333" t="s">
        <v>72</v>
      </c>
      <c r="F127" s="104">
        <f t="shared" si="21"/>
        <v>0.3</v>
      </c>
      <c r="G127" s="118">
        <f t="shared" si="22"/>
        <v>0.3</v>
      </c>
      <c r="H127" s="158">
        <v>190.76</v>
      </c>
      <c r="I127" s="159">
        <v>79.651040199999997</v>
      </c>
      <c r="J127" s="2">
        <f t="shared" si="23"/>
        <v>79.651040199999997</v>
      </c>
      <c r="K127" s="2">
        <f t="shared" si="10"/>
        <v>39.825520099999999</v>
      </c>
      <c r="L127" s="2">
        <f t="shared" si="11"/>
        <v>0.64045183696587837</v>
      </c>
      <c r="M127" s="2">
        <f t="shared" si="12"/>
        <v>122.17259241961095</v>
      </c>
      <c r="N127" s="2">
        <f t="shared" si="13"/>
        <v>244.3451848392219</v>
      </c>
      <c r="O127" s="2">
        <f>+C121+D122+D123+D124+D125+D126+(D127/2)</f>
        <v>0</v>
      </c>
      <c r="P127" s="2">
        <f t="shared" si="14"/>
        <v>0</v>
      </c>
      <c r="Q127" s="2">
        <f t="shared" si="15"/>
        <v>0</v>
      </c>
      <c r="R127" s="2">
        <f t="shared" si="24"/>
        <v>146.5</v>
      </c>
      <c r="S127" s="2">
        <f t="shared" si="39"/>
        <v>146.5</v>
      </c>
      <c r="T127" s="3">
        <f t="shared" si="16"/>
        <v>146.5</v>
      </c>
      <c r="V127" s="23">
        <f t="shared" si="17"/>
        <v>0</v>
      </c>
      <c r="W127" s="81" t="str">
        <f t="shared" si="25"/>
        <v>pin in groundstacking hole</v>
      </c>
      <c r="X127" s="23">
        <f t="shared" si="26"/>
        <v>0</v>
      </c>
      <c r="Y127" s="97">
        <f>SUM(D122:D127)+$C$121</f>
        <v>0</v>
      </c>
      <c r="Z127" s="173">
        <f t="shared" si="27"/>
        <v>69.344714800000006</v>
      </c>
      <c r="AA127" s="98">
        <f t="shared" si="18"/>
        <v>0.93571960494171247</v>
      </c>
      <c r="AB127" s="174">
        <f t="shared" si="28"/>
        <v>180.0511663828843</v>
      </c>
      <c r="AC127" s="173">
        <f t="shared" si="29"/>
        <v>50.174479900000001</v>
      </c>
      <c r="AD127" s="94">
        <f t="shared" si="30"/>
        <v>0.76799833627881664</v>
      </c>
      <c r="AE127" s="174">
        <f t="shared" si="31"/>
        <v>146.50336262854705</v>
      </c>
      <c r="AF127" s="174">
        <f t="shared" si="32"/>
        <v>-127.5</v>
      </c>
      <c r="AG127" s="92">
        <f t="shared" si="33"/>
        <v>326.55452901143133</v>
      </c>
      <c r="AH127" s="92">
        <f t="shared" si="41"/>
        <v>-146.50336262854705</v>
      </c>
      <c r="AI127" s="92">
        <f t="shared" si="40"/>
        <v>146.50336262854705</v>
      </c>
      <c r="AJ127" s="100">
        <f t="shared" si="34"/>
        <v>-70.299204801456398</v>
      </c>
      <c r="AK127" s="100">
        <f t="shared" si="35"/>
        <v>-57.200795198543602</v>
      </c>
      <c r="AL127" s="109">
        <f t="shared" si="19"/>
        <v>-165.00897887481767</v>
      </c>
      <c r="AM127" s="110">
        <f t="shared" si="20"/>
        <v>-174.82274442671755</v>
      </c>
      <c r="AN127" s="137">
        <f t="shared" si="36"/>
        <v>165.00897887481767</v>
      </c>
      <c r="AO127" s="137">
        <f t="shared" si="37"/>
        <v>174.82274442671755</v>
      </c>
      <c r="AP127">
        <f t="shared" si="38"/>
        <v>0.3</v>
      </c>
      <c r="AT127" s="219">
        <v>12</v>
      </c>
      <c r="AU127" s="748">
        <f t="shared" si="7"/>
        <v>150</v>
      </c>
      <c r="AV127" s="746">
        <f t="shared" si="8"/>
        <v>150</v>
      </c>
      <c r="AW127" s="752">
        <f t="shared" si="4"/>
        <v>51.999858560820385</v>
      </c>
      <c r="AX127" s="180">
        <f t="shared" si="5"/>
        <v>51.999858560820385</v>
      </c>
      <c r="AY127" s="180">
        <f t="shared" si="9"/>
        <v>1.9998585608203854</v>
      </c>
      <c r="AZ127" s="180" t="b">
        <f t="shared" si="6"/>
        <v>0</v>
      </c>
      <c r="BA127" s="42"/>
      <c r="BB127" s="14"/>
    </row>
    <row r="128" spans="2:86" ht="21" customHeight="1" thickBot="1" x14ac:dyDescent="0.5">
      <c r="B128" s="88">
        <v>8</v>
      </c>
      <c r="C128" s="20"/>
      <c r="D128" s="738">
        <v>0</v>
      </c>
      <c r="E128" s="333" t="s">
        <v>72</v>
      </c>
      <c r="F128" s="104">
        <f t="shared" si="21"/>
        <v>0.3</v>
      </c>
      <c r="G128" s="118">
        <f t="shared" si="22"/>
        <v>0.3</v>
      </c>
      <c r="H128" s="158">
        <v>190.76</v>
      </c>
      <c r="I128" s="159">
        <v>79.651040199999997</v>
      </c>
      <c r="J128" s="2">
        <f t="shared" si="23"/>
        <v>79.651040199999997</v>
      </c>
      <c r="K128" s="2">
        <f t="shared" si="10"/>
        <v>39.825520099999999</v>
      </c>
      <c r="L128" s="2">
        <f t="shared" si="11"/>
        <v>0.64045183696587837</v>
      </c>
      <c r="M128" s="2">
        <f t="shared" si="12"/>
        <v>122.17259241961095</v>
      </c>
      <c r="N128" s="2">
        <f t="shared" si="13"/>
        <v>244.3451848392219</v>
      </c>
      <c r="O128" s="2">
        <f>+C121+D122+D123+D124+D125+D126+D127+(D128/2)</f>
        <v>0</v>
      </c>
      <c r="P128" s="2">
        <f t="shared" si="14"/>
        <v>0</v>
      </c>
      <c r="Q128" s="2">
        <f t="shared" si="15"/>
        <v>0</v>
      </c>
      <c r="R128" s="2">
        <f t="shared" si="24"/>
        <v>146.5</v>
      </c>
      <c r="S128" s="2">
        <f t="shared" si="39"/>
        <v>146.5</v>
      </c>
      <c r="T128" s="3">
        <f t="shared" si="16"/>
        <v>146.5</v>
      </c>
      <c r="V128" s="23">
        <f t="shared" si="17"/>
        <v>0</v>
      </c>
      <c r="W128" s="81" t="str">
        <f t="shared" si="25"/>
        <v>pin in groundstacking hole</v>
      </c>
      <c r="X128" s="23">
        <f t="shared" si="26"/>
        <v>0</v>
      </c>
      <c r="Y128" s="97">
        <f>SUM(D122:D128)+$C$121</f>
        <v>0</v>
      </c>
      <c r="Z128" s="173">
        <f t="shared" si="27"/>
        <v>69.344714800000006</v>
      </c>
      <c r="AA128" s="98">
        <f t="shared" si="18"/>
        <v>0.93571960494171247</v>
      </c>
      <c r="AB128" s="174">
        <f t="shared" si="28"/>
        <v>180.0511663828843</v>
      </c>
      <c r="AC128" s="173">
        <f t="shared" si="29"/>
        <v>50.174479900000001</v>
      </c>
      <c r="AD128" s="94">
        <f t="shared" si="30"/>
        <v>0.76799833627881664</v>
      </c>
      <c r="AE128" s="174">
        <f t="shared" si="31"/>
        <v>146.50336262854705</v>
      </c>
      <c r="AF128" s="174">
        <f t="shared" si="32"/>
        <v>-153</v>
      </c>
      <c r="AG128" s="92">
        <f t="shared" si="33"/>
        <v>326.55452901143133</v>
      </c>
      <c r="AH128" s="92">
        <f t="shared" si="41"/>
        <v>-146.50336262854705</v>
      </c>
      <c r="AI128" s="92">
        <f t="shared" si="40"/>
        <v>146.50336262854705</v>
      </c>
      <c r="AJ128" s="100">
        <f t="shared" si="34"/>
        <v>-84.35904576174768</v>
      </c>
      <c r="AK128" s="100">
        <f t="shared" si="35"/>
        <v>-68.64095423825232</v>
      </c>
      <c r="AL128" s="109">
        <f t="shared" si="19"/>
        <v>-137.50748239568139</v>
      </c>
      <c r="AM128" s="110">
        <f t="shared" si="20"/>
        <v>-145.68562035559796</v>
      </c>
      <c r="AN128" s="137">
        <f t="shared" si="36"/>
        <v>137.50748239568139</v>
      </c>
      <c r="AO128" s="137">
        <f t="shared" si="37"/>
        <v>145.68562035559796</v>
      </c>
      <c r="AP128">
        <f t="shared" si="38"/>
        <v>0.3</v>
      </c>
      <c r="AT128" s="219">
        <v>13</v>
      </c>
      <c r="AU128" s="748">
        <f t="shared" si="7"/>
        <v>200</v>
      </c>
      <c r="AV128" s="746">
        <f t="shared" si="8"/>
        <v>200</v>
      </c>
      <c r="AW128" s="752">
        <f t="shared" si="4"/>
        <v>101.99985856082039</v>
      </c>
      <c r="AX128" s="180">
        <f t="shared" si="5"/>
        <v>101.99985856082039</v>
      </c>
      <c r="AY128" s="180">
        <f t="shared" si="9"/>
        <v>1.9998585608203854</v>
      </c>
      <c r="AZ128" s="180" t="b">
        <f t="shared" si="6"/>
        <v>0</v>
      </c>
      <c r="BA128" s="42"/>
      <c r="BB128" s="14"/>
    </row>
    <row r="129" spans="1:54" ht="21" customHeight="1" thickBot="1" x14ac:dyDescent="0.5">
      <c r="B129" s="88">
        <v>9</v>
      </c>
      <c r="C129" s="20"/>
      <c r="D129" s="738">
        <v>0</v>
      </c>
      <c r="E129" s="333" t="s">
        <v>72</v>
      </c>
      <c r="F129" s="104">
        <f t="shared" si="21"/>
        <v>0.3</v>
      </c>
      <c r="G129" s="118">
        <f t="shared" si="22"/>
        <v>0.3</v>
      </c>
      <c r="H129" s="158">
        <v>190.76</v>
      </c>
      <c r="I129" s="159">
        <v>79.651040199999997</v>
      </c>
      <c r="J129" s="2">
        <f t="shared" si="23"/>
        <v>79.651040199999997</v>
      </c>
      <c r="K129" s="2">
        <f t="shared" si="10"/>
        <v>39.825520099999999</v>
      </c>
      <c r="L129" s="2">
        <f t="shared" si="11"/>
        <v>0.64045183696587837</v>
      </c>
      <c r="M129" s="2">
        <f t="shared" si="12"/>
        <v>122.17259241961095</v>
      </c>
      <c r="N129" s="2">
        <f t="shared" si="13"/>
        <v>244.3451848392219</v>
      </c>
      <c r="O129" s="2">
        <f>+C121+D122+D123+D124+D125+D126+D127+D128+(D129/2)</f>
        <v>0</v>
      </c>
      <c r="P129" s="2">
        <f t="shared" si="14"/>
        <v>0</v>
      </c>
      <c r="Q129" s="2">
        <f t="shared" si="15"/>
        <v>0</v>
      </c>
      <c r="R129" s="2">
        <f t="shared" si="24"/>
        <v>146.5</v>
      </c>
      <c r="S129" s="2">
        <f t="shared" si="39"/>
        <v>146.5</v>
      </c>
      <c r="T129" s="3">
        <f t="shared" si="16"/>
        <v>146.5</v>
      </c>
      <c r="V129" s="23">
        <f t="shared" si="17"/>
        <v>0</v>
      </c>
      <c r="W129" s="81" t="str">
        <f t="shared" si="25"/>
        <v>pin in groundstacking hole</v>
      </c>
      <c r="X129" s="23">
        <f t="shared" si="26"/>
        <v>0</v>
      </c>
      <c r="Y129" s="97">
        <f>SUM(D122:D129)+$C$121</f>
        <v>0</v>
      </c>
      <c r="Z129" s="173">
        <f t="shared" si="27"/>
        <v>69.344714800000006</v>
      </c>
      <c r="AA129" s="98">
        <f t="shared" si="18"/>
        <v>0.93571960494171247</v>
      </c>
      <c r="AB129" s="174">
        <f t="shared" si="28"/>
        <v>180.0511663828843</v>
      </c>
      <c r="AC129" s="173">
        <f t="shared" si="29"/>
        <v>50.174479900000001</v>
      </c>
      <c r="AD129" s="94">
        <f t="shared" si="30"/>
        <v>0.76799833627881664</v>
      </c>
      <c r="AE129" s="174">
        <f t="shared" si="31"/>
        <v>146.50336262854705</v>
      </c>
      <c r="AF129" s="174">
        <f t="shared" si="32"/>
        <v>-178.5</v>
      </c>
      <c r="AG129" s="92">
        <f t="shared" si="33"/>
        <v>326.55452901143133</v>
      </c>
      <c r="AH129" s="92">
        <f t="shared" si="41"/>
        <v>-146.50336262854705</v>
      </c>
      <c r="AI129" s="92">
        <f t="shared" si="40"/>
        <v>146.50336262854705</v>
      </c>
      <c r="AJ129" s="100">
        <f t="shared" si="34"/>
        <v>-98.418886722038962</v>
      </c>
      <c r="AK129" s="100">
        <f t="shared" si="35"/>
        <v>-80.081113277961038</v>
      </c>
      <c r="AL129" s="109">
        <f t="shared" si="19"/>
        <v>-117.86355633915548</v>
      </c>
      <c r="AM129" s="110">
        <f t="shared" si="20"/>
        <v>-124.87338887622683</v>
      </c>
      <c r="AN129" s="137">
        <f t="shared" si="36"/>
        <v>117.86355633915548</v>
      </c>
      <c r="AO129" s="137">
        <f t="shared" si="37"/>
        <v>124.87338887622683</v>
      </c>
      <c r="AP129">
        <f t="shared" si="38"/>
        <v>0.3</v>
      </c>
      <c r="AT129" s="219">
        <v>14</v>
      </c>
      <c r="AU129" s="748">
        <f t="shared" si="7"/>
        <v>250</v>
      </c>
      <c r="AV129" s="746">
        <f t="shared" si="8"/>
        <v>250</v>
      </c>
      <c r="AW129" s="752">
        <f t="shared" si="4"/>
        <v>151.99985856082037</v>
      </c>
      <c r="AX129" s="180">
        <f t="shared" si="5"/>
        <v>151.99985856082037</v>
      </c>
      <c r="AY129" s="180">
        <f t="shared" si="9"/>
        <v>1.9998585608203854</v>
      </c>
      <c r="AZ129" s="180" t="b">
        <f t="shared" si="6"/>
        <v>0</v>
      </c>
      <c r="BA129" s="42"/>
      <c r="BB129" s="14"/>
    </row>
    <row r="130" spans="1:54" ht="21" customHeight="1" thickBot="1" x14ac:dyDescent="0.5">
      <c r="B130" s="88">
        <v>10</v>
      </c>
      <c r="C130" s="20"/>
      <c r="D130" s="738">
        <v>0</v>
      </c>
      <c r="E130" s="333" t="s">
        <v>72</v>
      </c>
      <c r="F130" s="104">
        <f t="shared" si="21"/>
        <v>0.3</v>
      </c>
      <c r="G130" s="118">
        <f t="shared" si="22"/>
        <v>0.3</v>
      </c>
      <c r="H130" s="158">
        <v>190.76</v>
      </c>
      <c r="I130" s="159">
        <v>79.651040199999997</v>
      </c>
      <c r="J130" s="2">
        <f t="shared" si="23"/>
        <v>79.651040199999997</v>
      </c>
      <c r="K130" s="2">
        <f t="shared" si="10"/>
        <v>39.825520099999999</v>
      </c>
      <c r="L130" s="2">
        <f t="shared" si="11"/>
        <v>0.64045183696587837</v>
      </c>
      <c r="M130" s="2">
        <f t="shared" si="12"/>
        <v>122.17259241961095</v>
      </c>
      <c r="N130" s="2">
        <f t="shared" si="13"/>
        <v>244.3451848392219</v>
      </c>
      <c r="O130" s="2">
        <f>+C121+D122+D123+D124+D125+D126+D127+D128+D129+(D130/2)</f>
        <v>0</v>
      </c>
      <c r="P130" s="2">
        <f t="shared" si="14"/>
        <v>0</v>
      </c>
      <c r="Q130" s="2">
        <f t="shared" si="15"/>
        <v>0</v>
      </c>
      <c r="R130" s="2">
        <f t="shared" si="24"/>
        <v>146.5</v>
      </c>
      <c r="S130" s="2">
        <f t="shared" si="39"/>
        <v>146.5</v>
      </c>
      <c r="T130" s="3">
        <f t="shared" si="16"/>
        <v>146.5</v>
      </c>
      <c r="V130" s="23">
        <f t="shared" si="17"/>
        <v>0</v>
      </c>
      <c r="W130" s="81" t="str">
        <f t="shared" si="25"/>
        <v>pin in groundstacking hole</v>
      </c>
      <c r="X130" s="23">
        <f t="shared" si="26"/>
        <v>0</v>
      </c>
      <c r="Y130" s="97">
        <f>SUM(D122:D130)+$C$121</f>
        <v>0</v>
      </c>
      <c r="Z130" s="173">
        <f t="shared" si="27"/>
        <v>69.344714800000006</v>
      </c>
      <c r="AA130" s="98">
        <f t="shared" si="18"/>
        <v>0.93571960494171247</v>
      </c>
      <c r="AB130" s="174">
        <f t="shared" si="28"/>
        <v>180.0511663828843</v>
      </c>
      <c r="AC130" s="173">
        <f t="shared" si="29"/>
        <v>50.174479900000001</v>
      </c>
      <c r="AD130" s="94">
        <f t="shared" si="30"/>
        <v>0.76799833627881664</v>
      </c>
      <c r="AE130" s="174">
        <f t="shared" si="31"/>
        <v>146.50336262854705</v>
      </c>
      <c r="AF130" s="174">
        <f t="shared" si="32"/>
        <v>-204</v>
      </c>
      <c r="AG130" s="92">
        <f t="shared" si="33"/>
        <v>326.55452901143133</v>
      </c>
      <c r="AH130" s="92">
        <f t="shared" si="41"/>
        <v>-146.50336262854705</v>
      </c>
      <c r="AI130" s="92">
        <f t="shared" si="40"/>
        <v>146.50336262854705</v>
      </c>
      <c r="AJ130" s="100">
        <f t="shared" si="34"/>
        <v>-112.47872768233023</v>
      </c>
      <c r="AK130" s="100">
        <f t="shared" si="35"/>
        <v>-91.521272317669769</v>
      </c>
      <c r="AL130" s="109">
        <f t="shared" si="19"/>
        <v>-103.13061179676106</v>
      </c>
      <c r="AM130" s="110">
        <f t="shared" si="20"/>
        <v>-109.26421526669846</v>
      </c>
      <c r="AN130" s="137">
        <f t="shared" si="36"/>
        <v>103.13061179676106</v>
      </c>
      <c r="AO130" s="137">
        <f t="shared" si="37"/>
        <v>109.26421526669846</v>
      </c>
      <c r="AP130">
        <f t="shared" si="38"/>
        <v>0.3</v>
      </c>
      <c r="AT130" s="219">
        <v>15</v>
      </c>
      <c r="AU130" s="748">
        <f t="shared" si="7"/>
        <v>300</v>
      </c>
      <c r="AV130" s="746">
        <f t="shared" si="8"/>
        <v>300</v>
      </c>
      <c r="AW130" s="752">
        <f t="shared" si="4"/>
        <v>201.99985856082037</v>
      </c>
      <c r="AX130" s="180">
        <f t="shared" si="5"/>
        <v>201.99985856082037</v>
      </c>
      <c r="AY130" s="180">
        <f t="shared" si="9"/>
        <v>1.9998585608203854</v>
      </c>
      <c r="AZ130" s="180" t="b">
        <f t="shared" si="6"/>
        <v>0</v>
      </c>
      <c r="BA130" s="42"/>
    </row>
    <row r="131" spans="1:54" ht="21" customHeight="1" thickBot="1" x14ac:dyDescent="0.5">
      <c r="A131" s="9"/>
      <c r="B131" s="88">
        <v>11</v>
      </c>
      <c r="C131" s="20"/>
      <c r="D131" s="738">
        <v>0</v>
      </c>
      <c r="E131" s="333" t="s">
        <v>72</v>
      </c>
      <c r="F131" s="104">
        <f t="shared" si="21"/>
        <v>0.3</v>
      </c>
      <c r="G131" s="118">
        <f t="shared" si="22"/>
        <v>0.3</v>
      </c>
      <c r="H131" s="158">
        <v>190.76</v>
      </c>
      <c r="I131" s="159">
        <v>79.651040199999997</v>
      </c>
      <c r="J131" s="2">
        <f t="shared" si="23"/>
        <v>79.651040199999997</v>
      </c>
      <c r="K131" s="2">
        <f t="shared" si="10"/>
        <v>39.825520099999999</v>
      </c>
      <c r="L131" s="2">
        <f t="shared" si="11"/>
        <v>0.64045183696587837</v>
      </c>
      <c r="M131" s="2">
        <f t="shared" si="12"/>
        <v>122.17259241961095</v>
      </c>
      <c r="N131" s="2">
        <f t="shared" si="13"/>
        <v>244.3451848392219</v>
      </c>
      <c r="O131" s="2">
        <f>+C121+D122+D123+D124+D125+D126+D127+D128+D129+D130+(D131/2)</f>
        <v>0</v>
      </c>
      <c r="P131" s="2">
        <f t="shared" si="14"/>
        <v>0</v>
      </c>
      <c r="Q131" s="2">
        <f t="shared" si="15"/>
        <v>0</v>
      </c>
      <c r="R131" s="2">
        <f t="shared" si="24"/>
        <v>146.5</v>
      </c>
      <c r="S131" s="2">
        <f t="shared" si="39"/>
        <v>146.5</v>
      </c>
      <c r="T131" s="3">
        <f t="shared" si="16"/>
        <v>146.5</v>
      </c>
      <c r="V131" s="23">
        <f t="shared" si="17"/>
        <v>0</v>
      </c>
      <c r="W131" s="81" t="str">
        <f t="shared" si="25"/>
        <v>pin in groundstacking hole</v>
      </c>
      <c r="X131" s="23">
        <f t="shared" si="26"/>
        <v>0</v>
      </c>
      <c r="Y131" s="97">
        <f>SUM(D122:D131)+$C$121</f>
        <v>0</v>
      </c>
      <c r="Z131" s="173">
        <f t="shared" si="27"/>
        <v>69.344714800000006</v>
      </c>
      <c r="AA131" s="98">
        <f t="shared" si="18"/>
        <v>0.93571960494171247</v>
      </c>
      <c r="AB131" s="174">
        <f t="shared" si="28"/>
        <v>180.0511663828843</v>
      </c>
      <c r="AC131" s="173">
        <f t="shared" si="29"/>
        <v>50.174479900000001</v>
      </c>
      <c r="AD131" s="94">
        <f t="shared" si="30"/>
        <v>0.76799833627881664</v>
      </c>
      <c r="AE131" s="174">
        <f t="shared" si="31"/>
        <v>146.50336262854705</v>
      </c>
      <c r="AF131" s="174">
        <f t="shared" si="32"/>
        <v>-229.5</v>
      </c>
      <c r="AG131" s="92">
        <f t="shared" si="33"/>
        <v>326.55452901143133</v>
      </c>
      <c r="AH131" s="92">
        <f t="shared" si="41"/>
        <v>-146.50336262854705</v>
      </c>
      <c r="AI131" s="92">
        <f t="shared" si="40"/>
        <v>146.50336262854705</v>
      </c>
      <c r="AJ131" s="100">
        <f t="shared" si="34"/>
        <v>-126.53856864262151</v>
      </c>
      <c r="AK131" s="100">
        <f t="shared" si="35"/>
        <v>-102.96143135737849</v>
      </c>
      <c r="AL131" s="109">
        <f t="shared" si="19"/>
        <v>-91.671654930454267</v>
      </c>
      <c r="AM131" s="110">
        <f t="shared" si="20"/>
        <v>-97.12374690373197</v>
      </c>
      <c r="AN131" s="137">
        <f t="shared" si="36"/>
        <v>91.671654930454267</v>
      </c>
      <c r="AO131" s="137">
        <f t="shared" si="37"/>
        <v>97.12374690373197</v>
      </c>
      <c r="AP131">
        <f t="shared" si="38"/>
        <v>0.3</v>
      </c>
      <c r="AT131" s="219">
        <v>16</v>
      </c>
      <c r="AU131" s="748">
        <f t="shared" si="7"/>
        <v>350</v>
      </c>
      <c r="AV131" s="746">
        <f t="shared" si="8"/>
        <v>350</v>
      </c>
      <c r="AW131" s="752">
        <f t="shared" si="4"/>
        <v>251.99985856082037</v>
      </c>
      <c r="AX131" s="180">
        <f t="shared" si="5"/>
        <v>251.99985856082037</v>
      </c>
      <c r="AY131" s="180">
        <f t="shared" si="9"/>
        <v>1.9998585608203854</v>
      </c>
      <c r="AZ131" s="180" t="b">
        <f t="shared" si="6"/>
        <v>0</v>
      </c>
      <c r="BA131" s="42"/>
    </row>
    <row r="132" spans="1:54" ht="21" customHeight="1" thickBot="1" x14ac:dyDescent="0.5">
      <c r="A132" s="9"/>
      <c r="B132" s="88">
        <v>12</v>
      </c>
      <c r="C132" s="20"/>
      <c r="D132" s="738">
        <v>0</v>
      </c>
      <c r="E132" s="333" t="s">
        <v>72</v>
      </c>
      <c r="F132" s="104">
        <f t="shared" si="21"/>
        <v>0.3</v>
      </c>
      <c r="G132" s="118">
        <f t="shared" si="22"/>
        <v>0.3</v>
      </c>
      <c r="H132" s="158">
        <v>190.76</v>
      </c>
      <c r="I132" s="159">
        <v>79.651040199999997</v>
      </c>
      <c r="J132" s="2">
        <f t="shared" si="23"/>
        <v>79.651040199999997</v>
      </c>
      <c r="K132" s="2">
        <f t="shared" si="10"/>
        <v>39.825520099999999</v>
      </c>
      <c r="L132" s="2">
        <f t="shared" si="11"/>
        <v>0.64045183696587837</v>
      </c>
      <c r="M132" s="2">
        <f t="shared" si="12"/>
        <v>122.17259241961095</v>
      </c>
      <c r="N132" s="2">
        <f t="shared" si="13"/>
        <v>244.3451848392219</v>
      </c>
      <c r="O132" s="2">
        <f>+C121+D122+D123+D124+D125+D126+D127+D128+D129+D130+D131+(D132/2)</f>
        <v>0</v>
      </c>
      <c r="P132" s="2">
        <f t="shared" si="14"/>
        <v>0</v>
      </c>
      <c r="Q132" s="2">
        <f t="shared" si="15"/>
        <v>0</v>
      </c>
      <c r="R132" s="2">
        <f t="shared" si="24"/>
        <v>146.5</v>
      </c>
      <c r="S132" s="2">
        <f t="shared" si="39"/>
        <v>146.5</v>
      </c>
      <c r="T132" s="3">
        <f t="shared" si="16"/>
        <v>146.5</v>
      </c>
      <c r="V132" s="23">
        <f t="shared" si="17"/>
        <v>0</v>
      </c>
      <c r="W132" s="81" t="str">
        <f t="shared" si="25"/>
        <v>pin in groundstacking hole</v>
      </c>
      <c r="X132" s="23">
        <f t="shared" si="26"/>
        <v>0</v>
      </c>
      <c r="Y132" s="97">
        <f>SUM(D122:D132)+$C$121</f>
        <v>0</v>
      </c>
      <c r="Z132" s="173">
        <f t="shared" si="27"/>
        <v>69.344714800000006</v>
      </c>
      <c r="AA132" s="98">
        <f t="shared" si="18"/>
        <v>0.93571960494171247</v>
      </c>
      <c r="AB132" s="174">
        <f t="shared" si="28"/>
        <v>180.0511663828843</v>
      </c>
      <c r="AC132" s="173">
        <f t="shared" si="29"/>
        <v>50.174479900000001</v>
      </c>
      <c r="AD132" s="94">
        <f t="shared" si="30"/>
        <v>0.76799833627881664</v>
      </c>
      <c r="AE132" s="174">
        <f t="shared" si="31"/>
        <v>146.50336262854705</v>
      </c>
      <c r="AF132" s="174">
        <f t="shared" si="32"/>
        <v>-255</v>
      </c>
      <c r="AG132" s="92">
        <f t="shared" si="33"/>
        <v>326.55452901143133</v>
      </c>
      <c r="AH132" s="92">
        <f t="shared" si="41"/>
        <v>-146.50336262854705</v>
      </c>
      <c r="AI132" s="92">
        <f t="shared" si="40"/>
        <v>146.50336262854705</v>
      </c>
      <c r="AJ132" s="100">
        <f t="shared" si="34"/>
        <v>-140.5984096029128</v>
      </c>
      <c r="AK132" s="100">
        <f t="shared" si="35"/>
        <v>-114.4015903970872</v>
      </c>
      <c r="AL132" s="109">
        <f t="shared" si="19"/>
        <v>-82.504489437408836</v>
      </c>
      <c r="AM132" s="110">
        <f t="shared" si="20"/>
        <v>-87.411372213358774</v>
      </c>
      <c r="AN132" s="137">
        <f t="shared" si="36"/>
        <v>82.504489437408836</v>
      </c>
      <c r="AO132" s="137">
        <f t="shared" si="37"/>
        <v>87.411372213358774</v>
      </c>
      <c r="AP132">
        <f t="shared" si="38"/>
        <v>0.3</v>
      </c>
      <c r="AT132" s="219">
        <v>17</v>
      </c>
      <c r="AU132" s="748">
        <f t="shared" si="7"/>
        <v>400</v>
      </c>
      <c r="AV132" s="746">
        <f t="shared" si="8"/>
        <v>400</v>
      </c>
      <c r="AW132" s="752">
        <f t="shared" si="4"/>
        <v>301.99985856082037</v>
      </c>
      <c r="AX132" s="180">
        <f t="shared" si="5"/>
        <v>301.99985856082037</v>
      </c>
      <c r="AY132" s="180">
        <f t="shared" si="9"/>
        <v>1.9998585608203854</v>
      </c>
      <c r="AZ132" s="180" t="b">
        <f t="shared" si="6"/>
        <v>0</v>
      </c>
    </row>
    <row r="133" spans="1:54" ht="21" customHeight="1" thickBot="1" x14ac:dyDescent="0.5">
      <c r="B133" s="88">
        <v>13</v>
      </c>
      <c r="C133" s="20"/>
      <c r="D133" s="738">
        <v>0</v>
      </c>
      <c r="E133" s="333" t="s">
        <v>72</v>
      </c>
      <c r="F133" s="104">
        <f t="shared" si="21"/>
        <v>0.3</v>
      </c>
      <c r="G133" s="118">
        <f t="shared" si="22"/>
        <v>0.3</v>
      </c>
      <c r="H133" s="158">
        <v>190.76</v>
      </c>
      <c r="I133" s="159">
        <v>79.651040199999997</v>
      </c>
      <c r="J133" s="2">
        <f t="shared" si="23"/>
        <v>79.651040199999997</v>
      </c>
      <c r="K133" s="2">
        <f t="shared" si="10"/>
        <v>39.825520099999999</v>
      </c>
      <c r="L133" s="2">
        <f t="shared" si="11"/>
        <v>0.64045183696587837</v>
      </c>
      <c r="M133" s="2">
        <f t="shared" si="12"/>
        <v>122.17259241961095</v>
      </c>
      <c r="N133" s="2">
        <f t="shared" si="13"/>
        <v>244.3451848392219</v>
      </c>
      <c r="O133" s="2">
        <f>+C121+D122+D123+D124+D125+D126+D127+D128+D129+D130+D131+D132+(D133/2)</f>
        <v>0</v>
      </c>
      <c r="P133" s="2">
        <f t="shared" si="14"/>
        <v>0</v>
      </c>
      <c r="Q133" s="2">
        <f t="shared" si="15"/>
        <v>0</v>
      </c>
      <c r="R133" s="2">
        <f t="shared" si="24"/>
        <v>146.5</v>
      </c>
      <c r="S133" s="2">
        <f t="shared" si="39"/>
        <v>146.5</v>
      </c>
      <c r="T133" s="3">
        <f t="shared" si="16"/>
        <v>146.5</v>
      </c>
      <c r="V133" s="23">
        <f t="shared" si="17"/>
        <v>0</v>
      </c>
      <c r="W133" s="81" t="str">
        <f t="shared" si="25"/>
        <v>pin in groundstacking hole</v>
      </c>
      <c r="X133" s="23">
        <f t="shared" si="26"/>
        <v>0</v>
      </c>
      <c r="Y133" s="97">
        <f>SUM(D122:D133)+$C$121</f>
        <v>0</v>
      </c>
      <c r="Z133" s="173">
        <f t="shared" si="27"/>
        <v>69.344714800000006</v>
      </c>
      <c r="AA133" s="98">
        <f t="shared" si="18"/>
        <v>0.93571960494171247</v>
      </c>
      <c r="AB133" s="174">
        <f t="shared" si="28"/>
        <v>180.0511663828843</v>
      </c>
      <c r="AC133" s="173">
        <f t="shared" si="29"/>
        <v>50.174479900000001</v>
      </c>
      <c r="AD133" s="94">
        <f t="shared" si="30"/>
        <v>0.76799833627881664</v>
      </c>
      <c r="AE133" s="174">
        <f t="shared" si="31"/>
        <v>146.50336262854705</v>
      </c>
      <c r="AF133" s="174">
        <f t="shared" si="32"/>
        <v>-280.5</v>
      </c>
      <c r="AG133" s="92">
        <f t="shared" si="33"/>
        <v>326.55452901143133</v>
      </c>
      <c r="AH133" s="92">
        <f t="shared" si="41"/>
        <v>-146.50336262854705</v>
      </c>
      <c r="AI133" s="92">
        <f t="shared" si="40"/>
        <v>146.50336262854705</v>
      </c>
      <c r="AJ133" s="100">
        <f t="shared" si="34"/>
        <v>-154.65825056320406</v>
      </c>
      <c r="AK133" s="100">
        <f t="shared" si="35"/>
        <v>-125.84174943679592</v>
      </c>
      <c r="AL133" s="109">
        <f t="shared" si="19"/>
        <v>-75.004081306735316</v>
      </c>
      <c r="AM133" s="110">
        <f t="shared" si="20"/>
        <v>-79.464883830326158</v>
      </c>
      <c r="AN133" s="137">
        <f t="shared" si="36"/>
        <v>75.004081306735316</v>
      </c>
      <c r="AO133" s="137">
        <f t="shared" si="37"/>
        <v>79.464883830326158</v>
      </c>
      <c r="AP133">
        <f t="shared" si="38"/>
        <v>0.3</v>
      </c>
      <c r="AT133" s="219">
        <v>18</v>
      </c>
      <c r="AU133" s="748">
        <f t="shared" si="7"/>
        <v>450</v>
      </c>
      <c r="AV133" s="746">
        <f t="shared" si="8"/>
        <v>450</v>
      </c>
      <c r="AW133" s="752">
        <f t="shared" si="4"/>
        <v>351.99985856082037</v>
      </c>
      <c r="AX133" s="180">
        <f t="shared" si="5"/>
        <v>351.99985856082037</v>
      </c>
      <c r="AY133" s="180">
        <f t="shared" si="9"/>
        <v>1.9998585608203854</v>
      </c>
      <c r="AZ133" s="180" t="b">
        <f t="shared" si="6"/>
        <v>0</v>
      </c>
    </row>
    <row r="134" spans="1:54" ht="21" customHeight="1" thickBot="1" x14ac:dyDescent="0.5">
      <c r="B134" s="88">
        <v>14</v>
      </c>
      <c r="C134" s="20"/>
      <c r="D134" s="738">
        <v>0</v>
      </c>
      <c r="E134" s="333" t="s">
        <v>72</v>
      </c>
      <c r="F134" s="104">
        <f t="shared" si="21"/>
        <v>0.3</v>
      </c>
      <c r="G134" s="118">
        <f t="shared" si="22"/>
        <v>0.3</v>
      </c>
      <c r="H134" s="158">
        <v>190.76</v>
      </c>
      <c r="I134" s="159">
        <v>79.651040199999997</v>
      </c>
      <c r="J134" s="2">
        <f t="shared" si="23"/>
        <v>79.651040199999997</v>
      </c>
      <c r="K134" s="2">
        <f t="shared" si="10"/>
        <v>39.825520099999999</v>
      </c>
      <c r="L134" s="2">
        <f t="shared" si="11"/>
        <v>0.64045183696587837</v>
      </c>
      <c r="M134" s="2">
        <f t="shared" si="12"/>
        <v>122.17259241961095</v>
      </c>
      <c r="N134" s="2">
        <f t="shared" si="13"/>
        <v>244.3451848392219</v>
      </c>
      <c r="O134" s="2">
        <f>+C121+D122+D123+D124+D125+D126+D127+D128+D129+D130+D131+D132+D133+(D134/2)</f>
        <v>0</v>
      </c>
      <c r="P134" s="2">
        <f t="shared" si="14"/>
        <v>0</v>
      </c>
      <c r="Q134" s="2">
        <f t="shared" si="15"/>
        <v>0</v>
      </c>
      <c r="R134" s="2">
        <f t="shared" si="24"/>
        <v>146.5</v>
      </c>
      <c r="S134" s="2">
        <f t="shared" si="39"/>
        <v>146.5</v>
      </c>
      <c r="T134" s="3">
        <f t="shared" si="16"/>
        <v>146.5</v>
      </c>
      <c r="V134" s="23">
        <f t="shared" si="17"/>
        <v>0</v>
      </c>
      <c r="W134" s="81" t="str">
        <f t="shared" si="25"/>
        <v>pin in groundstacking hole</v>
      </c>
      <c r="X134" s="23">
        <f t="shared" si="26"/>
        <v>0</v>
      </c>
      <c r="Y134" s="97">
        <f>SUM(D122:D134)+$C$121</f>
        <v>0</v>
      </c>
      <c r="Z134" s="173">
        <f t="shared" si="27"/>
        <v>69.344714800000006</v>
      </c>
      <c r="AA134" s="98">
        <f t="shared" si="18"/>
        <v>0.93571960494171247</v>
      </c>
      <c r="AB134" s="174">
        <f t="shared" si="28"/>
        <v>180.0511663828843</v>
      </c>
      <c r="AC134" s="173">
        <f t="shared" si="29"/>
        <v>50.174479900000001</v>
      </c>
      <c r="AD134" s="94">
        <f t="shared" si="30"/>
        <v>0.76799833627881664</v>
      </c>
      <c r="AE134" s="174">
        <f t="shared" si="31"/>
        <v>146.50336262854705</v>
      </c>
      <c r="AF134" s="174">
        <f t="shared" si="32"/>
        <v>-306</v>
      </c>
      <c r="AG134" s="92">
        <f t="shared" si="33"/>
        <v>326.55452901143133</v>
      </c>
      <c r="AH134" s="92">
        <f t="shared" si="41"/>
        <v>-146.50336262854705</v>
      </c>
      <c r="AI134" s="92">
        <f t="shared" si="40"/>
        <v>146.50336262854705</v>
      </c>
      <c r="AJ134" s="100">
        <f t="shared" si="34"/>
        <v>-168.71809152349536</v>
      </c>
      <c r="AK134" s="100">
        <f t="shared" si="35"/>
        <v>-137.28190847650464</v>
      </c>
      <c r="AL134" s="109">
        <f t="shared" si="19"/>
        <v>-68.753741197840696</v>
      </c>
      <c r="AM134" s="110">
        <f t="shared" si="20"/>
        <v>-72.842810177798981</v>
      </c>
      <c r="AN134" s="137">
        <f t="shared" si="36"/>
        <v>68.753741197840696</v>
      </c>
      <c r="AO134" s="137">
        <f t="shared" si="37"/>
        <v>72.842810177798981</v>
      </c>
      <c r="AP134">
        <f t="shared" si="38"/>
        <v>0.3</v>
      </c>
      <c r="AT134" s="219">
        <v>19</v>
      </c>
      <c r="AU134" s="748">
        <f t="shared" si="7"/>
        <v>500</v>
      </c>
      <c r="AV134" s="746">
        <f t="shared" si="8"/>
        <v>500</v>
      </c>
      <c r="AW134" s="752">
        <f t="shared" si="4"/>
        <v>401.99985856082037</v>
      </c>
      <c r="AX134" s="180">
        <f t="shared" si="5"/>
        <v>401.99985856082037</v>
      </c>
      <c r="AY134" s="180">
        <f t="shared" si="9"/>
        <v>1.9998585608203854</v>
      </c>
      <c r="AZ134" s="180" t="b">
        <f t="shared" si="6"/>
        <v>0</v>
      </c>
    </row>
    <row r="135" spans="1:54" ht="21" customHeight="1" thickBot="1" x14ac:dyDescent="0.5">
      <c r="B135" s="88">
        <v>15</v>
      </c>
      <c r="C135" s="20"/>
      <c r="D135" s="738">
        <v>0</v>
      </c>
      <c r="E135" s="333" t="s">
        <v>72</v>
      </c>
      <c r="F135" s="104">
        <f t="shared" si="21"/>
        <v>0.3</v>
      </c>
      <c r="G135" s="118">
        <f t="shared" si="22"/>
        <v>0.3</v>
      </c>
      <c r="H135" s="158">
        <v>190.76</v>
      </c>
      <c r="I135" s="159">
        <v>79.651040199999997</v>
      </c>
      <c r="J135" s="2">
        <f t="shared" si="23"/>
        <v>79.651040199999997</v>
      </c>
      <c r="K135" s="2">
        <f t="shared" si="10"/>
        <v>39.825520099999999</v>
      </c>
      <c r="L135" s="2">
        <f t="shared" si="11"/>
        <v>0.64045183696587837</v>
      </c>
      <c r="M135" s="2">
        <f t="shared" si="12"/>
        <v>122.17259241961095</v>
      </c>
      <c r="N135" s="2">
        <f t="shared" si="13"/>
        <v>244.3451848392219</v>
      </c>
      <c r="O135" s="2">
        <f>+C121+D122+D123+D124+D125+D126+D127+D128+D129+D130+D131+D132+D133+D134+(D135/2)</f>
        <v>0</v>
      </c>
      <c r="P135" s="2">
        <f t="shared" si="14"/>
        <v>0</v>
      </c>
      <c r="Q135" s="2">
        <f t="shared" si="15"/>
        <v>0</v>
      </c>
      <c r="R135" s="2">
        <f t="shared" si="24"/>
        <v>146.5</v>
      </c>
      <c r="S135" s="2">
        <f t="shared" si="39"/>
        <v>146.5</v>
      </c>
      <c r="T135" s="3">
        <f t="shared" si="16"/>
        <v>146.5</v>
      </c>
      <c r="V135" s="23">
        <f t="shared" si="17"/>
        <v>0</v>
      </c>
      <c r="W135" s="81" t="str">
        <f t="shared" si="25"/>
        <v>pin in groundstacking hole</v>
      </c>
      <c r="X135" s="23">
        <f t="shared" si="26"/>
        <v>0</v>
      </c>
      <c r="Y135" s="97">
        <f>SUM(D122:D135)+$C$121</f>
        <v>0</v>
      </c>
      <c r="Z135" s="173">
        <f t="shared" si="27"/>
        <v>69.344714800000006</v>
      </c>
      <c r="AA135" s="98">
        <f t="shared" si="18"/>
        <v>0.93571960494171247</v>
      </c>
      <c r="AB135" s="174">
        <f t="shared" si="28"/>
        <v>180.0511663828843</v>
      </c>
      <c r="AC135" s="173">
        <f t="shared" si="29"/>
        <v>50.174479900000001</v>
      </c>
      <c r="AD135" s="94">
        <f t="shared" si="30"/>
        <v>0.76799833627881664</v>
      </c>
      <c r="AE135" s="174">
        <f t="shared" si="31"/>
        <v>146.50336262854705</v>
      </c>
      <c r="AF135" s="174">
        <f t="shared" si="32"/>
        <v>-331.5</v>
      </c>
      <c r="AG135" s="92">
        <f t="shared" si="33"/>
        <v>326.55452901143133</v>
      </c>
      <c r="AH135" s="92">
        <f t="shared" si="41"/>
        <v>-146.50336262854705</v>
      </c>
      <c r="AI135" s="92">
        <f t="shared" si="40"/>
        <v>146.50336262854705</v>
      </c>
      <c r="AJ135" s="100">
        <f t="shared" si="34"/>
        <v>-182.77793248378663</v>
      </c>
      <c r="AK135" s="100">
        <f t="shared" si="35"/>
        <v>-148.72206751621337</v>
      </c>
      <c r="AL135" s="109">
        <f t="shared" si="19"/>
        <v>-63.464991874929879</v>
      </c>
      <c r="AM135" s="110">
        <f t="shared" si="20"/>
        <v>-67.239517087199047</v>
      </c>
      <c r="AN135" s="137">
        <f t="shared" si="36"/>
        <v>63.464991874929879</v>
      </c>
      <c r="AO135" s="137">
        <f t="shared" si="37"/>
        <v>67.239517087199047</v>
      </c>
      <c r="AP135">
        <f t="shared" si="38"/>
        <v>0.3</v>
      </c>
      <c r="AT135" s="219">
        <v>20</v>
      </c>
      <c r="AU135" s="748">
        <f t="shared" si="7"/>
        <v>550</v>
      </c>
      <c r="AV135" s="746">
        <f t="shared" si="8"/>
        <v>550</v>
      </c>
      <c r="AW135" s="752">
        <f t="shared" si="4"/>
        <v>451.99985856082037</v>
      </c>
      <c r="AX135" s="180">
        <f t="shared" si="5"/>
        <v>451.99985856082037</v>
      </c>
      <c r="AY135" s="180">
        <f t="shared" si="9"/>
        <v>1.9998585608203854</v>
      </c>
      <c r="AZ135" s="180" t="b">
        <f t="shared" si="6"/>
        <v>0</v>
      </c>
    </row>
    <row r="136" spans="1:54" ht="21" customHeight="1" thickBot="1" x14ac:dyDescent="0.5">
      <c r="B136" s="88">
        <v>16</v>
      </c>
      <c r="C136" s="20"/>
      <c r="D136" s="738">
        <v>0</v>
      </c>
      <c r="E136" s="333" t="s">
        <v>72</v>
      </c>
      <c r="F136" s="104">
        <f t="shared" si="21"/>
        <v>0.3</v>
      </c>
      <c r="G136" s="118">
        <f t="shared" si="22"/>
        <v>0.3</v>
      </c>
      <c r="H136" s="158">
        <v>190.76</v>
      </c>
      <c r="I136" s="159">
        <v>79.651040199999997</v>
      </c>
      <c r="J136" s="2">
        <f t="shared" si="23"/>
        <v>79.651040199999997</v>
      </c>
      <c r="K136" s="2">
        <f t="shared" si="10"/>
        <v>39.825520099999999</v>
      </c>
      <c r="L136" s="2">
        <f t="shared" si="11"/>
        <v>0.64045183696587837</v>
      </c>
      <c r="M136" s="2">
        <f t="shared" si="12"/>
        <v>122.17259241961095</v>
      </c>
      <c r="N136" s="2">
        <f t="shared" si="13"/>
        <v>244.3451848392219</v>
      </c>
      <c r="O136" s="2">
        <f>+C121+D122+D123+D124+D125+D126+D127+D128+D129+D130+D131+D132+D133+D134+D135+(D136/2)</f>
        <v>0</v>
      </c>
      <c r="P136" s="2">
        <f t="shared" si="14"/>
        <v>0</v>
      </c>
      <c r="Q136" s="2">
        <f t="shared" si="15"/>
        <v>0</v>
      </c>
      <c r="R136" s="2">
        <f t="shared" si="24"/>
        <v>146.5</v>
      </c>
      <c r="S136" s="2">
        <f t="shared" si="39"/>
        <v>146.5</v>
      </c>
      <c r="T136" s="3">
        <f t="shared" si="16"/>
        <v>146.5</v>
      </c>
      <c r="V136" s="23">
        <f t="shared" si="17"/>
        <v>0</v>
      </c>
      <c r="W136" s="81" t="str">
        <f t="shared" si="25"/>
        <v>pin in groundstacking hole</v>
      </c>
      <c r="X136" s="23">
        <f t="shared" si="26"/>
        <v>0</v>
      </c>
      <c r="Y136" s="97">
        <f>SUM(D122:D136)+$C$121</f>
        <v>0</v>
      </c>
      <c r="Z136" s="173">
        <f t="shared" si="27"/>
        <v>69.344714800000006</v>
      </c>
      <c r="AA136" s="98">
        <f t="shared" si="18"/>
        <v>0.93571960494171247</v>
      </c>
      <c r="AB136" s="174">
        <f t="shared" si="28"/>
        <v>180.0511663828843</v>
      </c>
      <c r="AC136" s="173">
        <f t="shared" si="29"/>
        <v>50.174479900000001</v>
      </c>
      <c r="AD136" s="94">
        <f t="shared" si="30"/>
        <v>0.76799833627881664</v>
      </c>
      <c r="AE136" s="174">
        <f t="shared" si="31"/>
        <v>146.50336262854705</v>
      </c>
      <c r="AF136" s="174">
        <f t="shared" si="32"/>
        <v>-357</v>
      </c>
      <c r="AG136" s="92">
        <f t="shared" si="33"/>
        <v>326.55452901143133</v>
      </c>
      <c r="AH136" s="92">
        <f t="shared" si="41"/>
        <v>-146.50336262854705</v>
      </c>
      <c r="AI136" s="92">
        <f t="shared" si="40"/>
        <v>146.50336262854705</v>
      </c>
      <c r="AJ136" s="100">
        <f t="shared" si="34"/>
        <v>-196.83777344407792</v>
      </c>
      <c r="AK136" s="100">
        <f t="shared" si="35"/>
        <v>-160.16222655592208</v>
      </c>
      <c r="AL136" s="109">
        <f t="shared" si="19"/>
        <v>-58.93177816957774</v>
      </c>
      <c r="AM136" s="110">
        <f t="shared" si="20"/>
        <v>-62.436694438113413</v>
      </c>
      <c r="AN136" s="137">
        <f t="shared" si="36"/>
        <v>58.93177816957774</v>
      </c>
      <c r="AO136" s="137">
        <f t="shared" si="37"/>
        <v>62.436694438113413</v>
      </c>
      <c r="AP136">
        <f t="shared" si="38"/>
        <v>0.3</v>
      </c>
      <c r="AT136" s="219">
        <v>21</v>
      </c>
      <c r="AU136" s="748">
        <f t="shared" si="7"/>
        <v>600</v>
      </c>
      <c r="AV136" s="746">
        <f t="shared" si="8"/>
        <v>600</v>
      </c>
      <c r="AW136" s="752">
        <f t="shared" si="4"/>
        <v>501.99985856082037</v>
      </c>
      <c r="AX136" s="180">
        <f t="shared" si="5"/>
        <v>501.99985856082037</v>
      </c>
      <c r="AY136" s="180">
        <f t="shared" si="9"/>
        <v>1.9998585608203854</v>
      </c>
      <c r="AZ136" s="180" t="b">
        <f t="shared" si="6"/>
        <v>0</v>
      </c>
    </row>
    <row r="137" spans="1:54" ht="21" customHeight="1" thickBot="1" x14ac:dyDescent="0.5">
      <c r="B137" s="88">
        <v>17</v>
      </c>
      <c r="C137" s="20"/>
      <c r="D137" s="738">
        <v>0</v>
      </c>
      <c r="E137" s="333" t="s">
        <v>72</v>
      </c>
      <c r="F137" s="104">
        <f t="shared" si="21"/>
        <v>0.3</v>
      </c>
      <c r="G137" s="118">
        <f t="shared" si="22"/>
        <v>0.3</v>
      </c>
      <c r="H137" s="158">
        <v>190.76</v>
      </c>
      <c r="I137" s="159">
        <v>79.651040199999997</v>
      </c>
      <c r="J137" s="2">
        <f t="shared" si="23"/>
        <v>79.651040199999997</v>
      </c>
      <c r="K137" s="2">
        <f t="shared" si="10"/>
        <v>39.825520099999999</v>
      </c>
      <c r="L137" s="2">
        <f t="shared" si="11"/>
        <v>0.64045183696587837</v>
      </c>
      <c r="M137" s="2">
        <f t="shared" si="12"/>
        <v>122.17259241961095</v>
      </c>
      <c r="N137" s="2">
        <f t="shared" si="13"/>
        <v>244.3451848392219</v>
      </c>
      <c r="O137" s="2">
        <f>+C121+D122+D123+D124+D125+D126+D127+D128+D129+D130+D131+D132+D133+D134+D135+D136+(D137/2)</f>
        <v>0</v>
      </c>
      <c r="P137" s="2">
        <f t="shared" si="14"/>
        <v>0</v>
      </c>
      <c r="Q137" s="2">
        <f t="shared" si="15"/>
        <v>0</v>
      </c>
      <c r="R137" s="2">
        <f t="shared" si="24"/>
        <v>146.5</v>
      </c>
      <c r="S137" s="2">
        <f t="shared" si="39"/>
        <v>146.5</v>
      </c>
      <c r="T137" s="3">
        <f t="shared" si="16"/>
        <v>146.5</v>
      </c>
      <c r="V137" s="23">
        <f t="shared" si="17"/>
        <v>0</v>
      </c>
      <c r="W137" s="81" t="str">
        <f t="shared" si="25"/>
        <v>pin in groundstacking hole</v>
      </c>
      <c r="X137" s="23">
        <f t="shared" si="26"/>
        <v>0</v>
      </c>
      <c r="Y137" s="97">
        <f>SUM(D122:D137)+$C$121</f>
        <v>0</v>
      </c>
      <c r="Z137" s="173">
        <f t="shared" si="27"/>
        <v>69.344714800000006</v>
      </c>
      <c r="AA137" s="98">
        <f t="shared" si="18"/>
        <v>0.93571960494171247</v>
      </c>
      <c r="AB137" s="174">
        <f t="shared" si="28"/>
        <v>180.0511663828843</v>
      </c>
      <c r="AC137" s="173">
        <f t="shared" si="29"/>
        <v>50.174479900000001</v>
      </c>
      <c r="AD137" s="94">
        <f t="shared" si="30"/>
        <v>0.76799833627881664</v>
      </c>
      <c r="AE137" s="174">
        <f t="shared" si="31"/>
        <v>146.50336262854705</v>
      </c>
      <c r="AF137" s="174">
        <f t="shared" si="32"/>
        <v>-382.5</v>
      </c>
      <c r="AG137" s="92">
        <f t="shared" si="33"/>
        <v>326.55452901143133</v>
      </c>
      <c r="AH137" s="92">
        <f t="shared" si="41"/>
        <v>-146.50336262854705</v>
      </c>
      <c r="AI137" s="92">
        <f t="shared" si="40"/>
        <v>146.50336262854705</v>
      </c>
      <c r="AJ137" s="100">
        <f t="shared" si="34"/>
        <v>-210.89761440436919</v>
      </c>
      <c r="AK137" s="100">
        <f t="shared" si="35"/>
        <v>-171.60238559563081</v>
      </c>
      <c r="AL137" s="109">
        <f t="shared" si="19"/>
        <v>-55.002992958272557</v>
      </c>
      <c r="AM137" s="110">
        <f t="shared" si="20"/>
        <v>-58.27424814223918</v>
      </c>
      <c r="AN137" s="137">
        <f t="shared" si="36"/>
        <v>55.002992958272557</v>
      </c>
      <c r="AO137" s="137">
        <f t="shared" si="37"/>
        <v>58.27424814223918</v>
      </c>
      <c r="AP137">
        <f t="shared" si="38"/>
        <v>0.3</v>
      </c>
      <c r="AT137" s="219">
        <v>22</v>
      </c>
      <c r="AU137" s="748">
        <f t="shared" si="7"/>
        <v>650</v>
      </c>
      <c r="AV137" s="746">
        <f t="shared" si="8"/>
        <v>650</v>
      </c>
      <c r="AW137" s="752">
        <f t="shared" si="4"/>
        <v>551.99985856082037</v>
      </c>
      <c r="AX137" s="180">
        <f t="shared" si="5"/>
        <v>551.99985856082037</v>
      </c>
      <c r="AY137" s="180">
        <f t="shared" si="9"/>
        <v>1.9998585608203854</v>
      </c>
      <c r="AZ137" s="180" t="b">
        <f t="shared" si="6"/>
        <v>0</v>
      </c>
    </row>
    <row r="138" spans="1:54" ht="21" customHeight="1" thickBot="1" x14ac:dyDescent="0.5">
      <c r="B138" s="88">
        <v>18</v>
      </c>
      <c r="C138" s="20"/>
      <c r="D138" s="738">
        <v>0</v>
      </c>
      <c r="E138" s="333" t="s">
        <v>72</v>
      </c>
      <c r="F138" s="104">
        <f t="shared" si="21"/>
        <v>0.3</v>
      </c>
      <c r="G138" s="118">
        <f t="shared" si="22"/>
        <v>0.3</v>
      </c>
      <c r="H138" s="158">
        <v>190.76</v>
      </c>
      <c r="I138" s="159">
        <v>79.651040199999997</v>
      </c>
      <c r="J138" s="2">
        <f t="shared" si="23"/>
        <v>79.651040199999997</v>
      </c>
      <c r="K138" s="2">
        <f t="shared" si="10"/>
        <v>39.825520099999999</v>
      </c>
      <c r="L138" s="2">
        <f t="shared" si="11"/>
        <v>0.64045183696587837</v>
      </c>
      <c r="M138" s="2">
        <f t="shared" si="12"/>
        <v>122.17259241961095</v>
      </c>
      <c r="N138" s="2">
        <f t="shared" si="13"/>
        <v>244.3451848392219</v>
      </c>
      <c r="O138" s="2">
        <f>+C121+D122+D123+D124+D125+D126+D127+D128+D129+D130+D131+D132+D133+D134+D135+D136+D137+(D138/2)</f>
        <v>0</v>
      </c>
      <c r="P138" s="2">
        <f t="shared" si="14"/>
        <v>0</v>
      </c>
      <c r="Q138" s="2">
        <f t="shared" si="15"/>
        <v>0</v>
      </c>
      <c r="R138" s="2">
        <f t="shared" si="24"/>
        <v>146.5</v>
      </c>
      <c r="S138" s="2">
        <f t="shared" si="39"/>
        <v>146.5</v>
      </c>
      <c r="T138" s="3">
        <f t="shared" si="16"/>
        <v>146.5</v>
      </c>
      <c r="V138" s="23">
        <f t="shared" si="17"/>
        <v>0</v>
      </c>
      <c r="W138" s="81" t="str">
        <f t="shared" si="25"/>
        <v>pin in groundstacking hole</v>
      </c>
      <c r="X138" s="23">
        <f t="shared" si="26"/>
        <v>0</v>
      </c>
      <c r="Y138" s="97">
        <f>SUM(D122:D138)+$C$121</f>
        <v>0</v>
      </c>
      <c r="Z138" s="173">
        <f t="shared" si="27"/>
        <v>69.344714800000006</v>
      </c>
      <c r="AA138" s="98">
        <f t="shared" si="18"/>
        <v>0.93571960494171247</v>
      </c>
      <c r="AB138" s="174">
        <f t="shared" si="28"/>
        <v>180.0511663828843</v>
      </c>
      <c r="AC138" s="173">
        <f t="shared" si="29"/>
        <v>50.174479900000001</v>
      </c>
      <c r="AD138" s="94">
        <f t="shared" si="30"/>
        <v>0.76799833627881664</v>
      </c>
      <c r="AE138" s="174">
        <f t="shared" si="31"/>
        <v>146.50336262854705</v>
      </c>
      <c r="AF138" s="174">
        <f t="shared" si="32"/>
        <v>-408</v>
      </c>
      <c r="AG138" s="92">
        <f t="shared" si="33"/>
        <v>326.55452901143133</v>
      </c>
      <c r="AH138" s="92">
        <f t="shared" si="41"/>
        <v>-146.50336262854705</v>
      </c>
      <c r="AI138" s="92">
        <f t="shared" si="40"/>
        <v>146.50336262854705</v>
      </c>
      <c r="AJ138" s="100">
        <f t="shared" si="34"/>
        <v>-224.95745536466046</v>
      </c>
      <c r="AK138" s="100">
        <f t="shared" si="35"/>
        <v>-183.04254463533954</v>
      </c>
      <c r="AL138" s="109">
        <f t="shared" si="19"/>
        <v>-51.565305898380529</v>
      </c>
      <c r="AM138" s="110">
        <f t="shared" si="20"/>
        <v>-54.632107633349229</v>
      </c>
      <c r="AN138" s="137">
        <f t="shared" si="36"/>
        <v>51.565305898380529</v>
      </c>
      <c r="AO138" s="137">
        <f t="shared" si="37"/>
        <v>54.632107633349229</v>
      </c>
      <c r="AP138">
        <f t="shared" si="38"/>
        <v>0.3</v>
      </c>
      <c r="AT138" s="219">
        <v>23</v>
      </c>
      <c r="AU138" s="748">
        <f t="shared" si="7"/>
        <v>700</v>
      </c>
      <c r="AV138" s="746">
        <f t="shared" si="8"/>
        <v>700</v>
      </c>
      <c r="AW138" s="752">
        <f t="shared" si="4"/>
        <v>601.99985856082037</v>
      </c>
      <c r="AX138" s="180">
        <f t="shared" si="5"/>
        <v>601.99985856082037</v>
      </c>
      <c r="AY138" s="180">
        <f t="shared" si="9"/>
        <v>1.9998585608203854</v>
      </c>
      <c r="AZ138" s="180" t="b">
        <f t="shared" si="6"/>
        <v>0</v>
      </c>
    </row>
    <row r="139" spans="1:54" ht="21" customHeight="1" thickBot="1" x14ac:dyDescent="0.5">
      <c r="B139" s="88">
        <v>19</v>
      </c>
      <c r="C139" s="20"/>
      <c r="D139" s="738">
        <v>0</v>
      </c>
      <c r="E139" s="333" t="s">
        <v>72</v>
      </c>
      <c r="F139" s="104">
        <f t="shared" si="21"/>
        <v>0.3</v>
      </c>
      <c r="G139" s="118">
        <f t="shared" si="22"/>
        <v>0.3</v>
      </c>
      <c r="H139" s="158">
        <v>190.76</v>
      </c>
      <c r="I139" s="159">
        <v>79.651040199999997</v>
      </c>
      <c r="J139" s="2">
        <f t="shared" si="23"/>
        <v>79.651040199999997</v>
      </c>
      <c r="K139" s="2">
        <f t="shared" si="10"/>
        <v>39.825520099999999</v>
      </c>
      <c r="L139" s="2">
        <f t="shared" si="11"/>
        <v>0.64045183696587837</v>
      </c>
      <c r="M139" s="2">
        <f t="shared" si="12"/>
        <v>122.17259241961095</v>
      </c>
      <c r="N139" s="2">
        <f t="shared" si="13"/>
        <v>244.3451848392219</v>
      </c>
      <c r="O139" s="2">
        <f>+C121+D122+D123+D124+D125+D126+D127+D128+D129+D130+D131+D132+D133+D134+D135+D136+D137+D138+(D139/2)</f>
        <v>0</v>
      </c>
      <c r="P139" s="2">
        <f t="shared" si="14"/>
        <v>0</v>
      </c>
      <c r="Q139" s="2">
        <f t="shared" si="15"/>
        <v>0</v>
      </c>
      <c r="R139" s="2">
        <f t="shared" si="24"/>
        <v>146.5</v>
      </c>
      <c r="S139" s="2">
        <f t="shared" si="39"/>
        <v>146.5</v>
      </c>
      <c r="T139" s="3">
        <f t="shared" si="16"/>
        <v>146.5</v>
      </c>
      <c r="V139" s="23">
        <f t="shared" si="17"/>
        <v>0</v>
      </c>
      <c r="W139" s="81" t="str">
        <f t="shared" si="25"/>
        <v>pin in groundstacking hole</v>
      </c>
      <c r="X139" s="23">
        <f t="shared" si="26"/>
        <v>0</v>
      </c>
      <c r="Y139" s="97">
        <f>SUM(D122:D139)+$C$121</f>
        <v>0</v>
      </c>
      <c r="Z139" s="173">
        <f t="shared" si="27"/>
        <v>69.344714800000006</v>
      </c>
      <c r="AA139" s="98">
        <f t="shared" si="18"/>
        <v>0.93571960494171247</v>
      </c>
      <c r="AB139" s="174">
        <f t="shared" si="28"/>
        <v>180.0511663828843</v>
      </c>
      <c r="AC139" s="173">
        <f t="shared" si="29"/>
        <v>50.174479900000001</v>
      </c>
      <c r="AD139" s="94">
        <f t="shared" si="30"/>
        <v>0.76799833627881664</v>
      </c>
      <c r="AE139" s="174">
        <f t="shared" si="31"/>
        <v>146.50336262854705</v>
      </c>
      <c r="AF139" s="174">
        <f t="shared" si="32"/>
        <v>-433.5</v>
      </c>
      <c r="AG139" s="92">
        <f t="shared" si="33"/>
        <v>326.55452901143133</v>
      </c>
      <c r="AH139" s="92">
        <f t="shared" si="41"/>
        <v>-146.50336262854705</v>
      </c>
      <c r="AI139" s="92">
        <f t="shared" si="40"/>
        <v>146.50336262854705</v>
      </c>
      <c r="AJ139" s="100">
        <f t="shared" si="34"/>
        <v>-239.01729632495176</v>
      </c>
      <c r="AK139" s="100">
        <f t="shared" si="35"/>
        <v>-194.48270367504824</v>
      </c>
      <c r="AL139" s="109">
        <f t="shared" si="19"/>
        <v>-48.532052610240491</v>
      </c>
      <c r="AM139" s="110">
        <f t="shared" si="20"/>
        <v>-51.418454243152219</v>
      </c>
      <c r="AN139" s="137">
        <f t="shared" si="36"/>
        <v>48.532052610240491</v>
      </c>
      <c r="AO139" s="137">
        <f t="shared" si="37"/>
        <v>51.418454243152219</v>
      </c>
      <c r="AP139">
        <f t="shared" si="38"/>
        <v>0.3</v>
      </c>
      <c r="AT139" s="219">
        <v>24</v>
      </c>
      <c r="AU139" s="748">
        <f t="shared" si="7"/>
        <v>750</v>
      </c>
      <c r="AV139" s="746">
        <f t="shared" si="8"/>
        <v>750</v>
      </c>
      <c r="AW139" s="752">
        <f t="shared" si="4"/>
        <v>651.99985856082037</v>
      </c>
      <c r="AX139" s="180">
        <f t="shared" si="5"/>
        <v>651.99985856082037</v>
      </c>
      <c r="AY139" s="180">
        <f t="shared" si="9"/>
        <v>1.9998585608203854</v>
      </c>
      <c r="AZ139" s="180" t="b">
        <f t="shared" si="6"/>
        <v>0</v>
      </c>
    </row>
    <row r="140" spans="1:54" ht="21" customHeight="1" thickBot="1" x14ac:dyDescent="0.5">
      <c r="B140" s="88">
        <v>20</v>
      </c>
      <c r="C140" s="20"/>
      <c r="D140" s="738">
        <v>0</v>
      </c>
      <c r="E140" s="333" t="s">
        <v>72</v>
      </c>
      <c r="F140" s="104">
        <f t="shared" si="21"/>
        <v>0.3</v>
      </c>
      <c r="G140" s="118">
        <f t="shared" si="22"/>
        <v>0.3</v>
      </c>
      <c r="H140" s="158">
        <v>190.76</v>
      </c>
      <c r="I140" s="159">
        <v>79.651040199999997</v>
      </c>
      <c r="J140" s="2">
        <f t="shared" si="23"/>
        <v>79.651040199999997</v>
      </c>
      <c r="K140" s="2">
        <f t="shared" si="10"/>
        <v>39.825520099999999</v>
      </c>
      <c r="L140" s="2">
        <f t="shared" si="11"/>
        <v>0.64045183696587837</v>
      </c>
      <c r="M140" s="2">
        <f t="shared" si="12"/>
        <v>122.17259241961095</v>
      </c>
      <c r="N140" s="2">
        <f t="shared" si="13"/>
        <v>244.3451848392219</v>
      </c>
      <c r="O140" s="2">
        <f>+C121+D122+D123+D124+D125+D126+D127+D128+D129+D130+D131+D132+D133+D134+D135+D136+D137+D138+D139+(D140/2)</f>
        <v>0</v>
      </c>
      <c r="P140" s="2">
        <f t="shared" si="14"/>
        <v>0</v>
      </c>
      <c r="Q140" s="2">
        <f t="shared" si="15"/>
        <v>0</v>
      </c>
      <c r="R140" s="2">
        <f t="shared" si="24"/>
        <v>146.5</v>
      </c>
      <c r="S140" s="2">
        <f t="shared" si="39"/>
        <v>146.5</v>
      </c>
      <c r="T140" s="3">
        <f t="shared" si="16"/>
        <v>146.5</v>
      </c>
      <c r="V140" s="23">
        <f t="shared" si="17"/>
        <v>0</v>
      </c>
      <c r="W140" s="81" t="str">
        <f t="shared" si="25"/>
        <v>pin in groundstacking hole</v>
      </c>
      <c r="X140" s="23">
        <f t="shared" si="26"/>
        <v>0</v>
      </c>
      <c r="Y140" s="97">
        <f>SUM(D122:D140)+$C$121</f>
        <v>0</v>
      </c>
      <c r="Z140" s="173">
        <f t="shared" si="27"/>
        <v>69.344714800000006</v>
      </c>
      <c r="AA140" s="98">
        <f t="shared" si="18"/>
        <v>0.93571960494171247</v>
      </c>
      <c r="AB140" s="174">
        <f t="shared" si="28"/>
        <v>180.0511663828843</v>
      </c>
      <c r="AC140" s="173">
        <f t="shared" si="29"/>
        <v>50.174479900000001</v>
      </c>
      <c r="AD140" s="94">
        <f t="shared" si="30"/>
        <v>0.76799833627881664</v>
      </c>
      <c r="AE140" s="174">
        <f t="shared" si="31"/>
        <v>146.50336262854705</v>
      </c>
      <c r="AF140" s="174">
        <f t="shared" si="32"/>
        <v>-459</v>
      </c>
      <c r="AG140" s="92">
        <f t="shared" si="33"/>
        <v>326.55452901143133</v>
      </c>
      <c r="AH140" s="92">
        <f t="shared" si="41"/>
        <v>-146.50336262854705</v>
      </c>
      <c r="AI140" s="92">
        <f t="shared" si="40"/>
        <v>146.50336262854705</v>
      </c>
      <c r="AJ140" s="100">
        <f t="shared" si="34"/>
        <v>-253.07713728524303</v>
      </c>
      <c r="AK140" s="100">
        <f t="shared" si="35"/>
        <v>-205.92286271475697</v>
      </c>
      <c r="AL140" s="109">
        <f t="shared" si="19"/>
        <v>-45.835827465227133</v>
      </c>
      <c r="AM140" s="110">
        <f t="shared" si="20"/>
        <v>-48.561873451865985</v>
      </c>
      <c r="AN140" s="137">
        <f t="shared" si="36"/>
        <v>45.835827465227133</v>
      </c>
      <c r="AO140" s="137">
        <f t="shared" si="37"/>
        <v>48.561873451865985</v>
      </c>
      <c r="AP140">
        <f t="shared" si="38"/>
        <v>0.3</v>
      </c>
      <c r="AT140" s="219">
        <v>25</v>
      </c>
      <c r="AU140" s="748">
        <f t="shared" si="7"/>
        <v>800</v>
      </c>
      <c r="AV140" s="746">
        <f t="shared" si="8"/>
        <v>800</v>
      </c>
      <c r="AW140" s="752">
        <f t="shared" si="4"/>
        <v>701.99985856082037</v>
      </c>
      <c r="AX140" s="180">
        <f t="shared" si="5"/>
        <v>701.99985856082037</v>
      </c>
      <c r="AY140" s="180">
        <f t="shared" si="9"/>
        <v>1.9998585608203854</v>
      </c>
      <c r="AZ140" s="180" t="b">
        <f t="shared" si="6"/>
        <v>0</v>
      </c>
    </row>
    <row r="141" spans="1:54" ht="21" customHeight="1" thickBot="1" x14ac:dyDescent="0.5">
      <c r="B141" s="88">
        <v>21</v>
      </c>
      <c r="C141" s="20"/>
      <c r="D141" s="738">
        <v>0</v>
      </c>
      <c r="E141" s="333" t="s">
        <v>72</v>
      </c>
      <c r="F141" s="104">
        <f t="shared" si="21"/>
        <v>0.3</v>
      </c>
      <c r="G141" s="118">
        <f t="shared" si="22"/>
        <v>0.3</v>
      </c>
      <c r="H141" s="158">
        <v>190.76</v>
      </c>
      <c r="I141" s="159">
        <v>79.651040199999997</v>
      </c>
      <c r="J141" s="2">
        <f t="shared" si="23"/>
        <v>79.651040199999997</v>
      </c>
      <c r="K141" s="2">
        <f t="shared" si="10"/>
        <v>39.825520099999999</v>
      </c>
      <c r="L141" s="2">
        <f t="shared" si="11"/>
        <v>0.64045183696587837</v>
      </c>
      <c r="M141" s="2">
        <f t="shared" si="12"/>
        <v>122.17259241961095</v>
      </c>
      <c r="N141" s="2">
        <f t="shared" si="13"/>
        <v>244.3451848392219</v>
      </c>
      <c r="O141" s="2">
        <f>+C121+D122+D123+D124+D125+D126+D127+D128+D129+D130+D131+D132+D133+D134+D135+D136+D137+D138+D139+D140+(D141/2)</f>
        <v>0</v>
      </c>
      <c r="P141" s="2">
        <f t="shared" si="14"/>
        <v>0</v>
      </c>
      <c r="Q141" s="2">
        <f t="shared" si="15"/>
        <v>0</v>
      </c>
      <c r="R141" s="2">
        <f t="shared" si="24"/>
        <v>146.5</v>
      </c>
      <c r="S141" s="2">
        <f t="shared" si="39"/>
        <v>146.5</v>
      </c>
      <c r="T141" s="3">
        <f t="shared" si="16"/>
        <v>146.5</v>
      </c>
      <c r="V141" s="23">
        <f t="shared" si="17"/>
        <v>0</v>
      </c>
      <c r="W141" s="81" t="str">
        <f t="shared" si="25"/>
        <v>pin in groundstacking hole</v>
      </c>
      <c r="X141" s="23">
        <f t="shared" si="26"/>
        <v>0</v>
      </c>
      <c r="Y141" s="97">
        <f>SUM(D122:D141)+$C$121</f>
        <v>0</v>
      </c>
      <c r="Z141" s="173">
        <f t="shared" si="27"/>
        <v>69.344714800000006</v>
      </c>
      <c r="AA141" s="98">
        <f t="shared" si="18"/>
        <v>0.93571960494171247</v>
      </c>
      <c r="AB141" s="174">
        <f t="shared" si="28"/>
        <v>180.0511663828843</v>
      </c>
      <c r="AC141" s="173">
        <f t="shared" si="29"/>
        <v>50.174479900000001</v>
      </c>
      <c r="AD141" s="94">
        <f t="shared" si="30"/>
        <v>0.76799833627881664</v>
      </c>
      <c r="AE141" s="174">
        <f t="shared" si="31"/>
        <v>146.50336262854705</v>
      </c>
      <c r="AF141" s="174">
        <f t="shared" si="32"/>
        <v>-484.5</v>
      </c>
      <c r="AG141" s="92">
        <f t="shared" si="33"/>
        <v>326.55452901143133</v>
      </c>
      <c r="AH141" s="92">
        <f t="shared" si="41"/>
        <v>-146.50336262854705</v>
      </c>
      <c r="AI141" s="92">
        <f t="shared" si="40"/>
        <v>146.50336262854705</v>
      </c>
      <c r="AJ141" s="100">
        <f t="shared" si="34"/>
        <v>-267.13697824553429</v>
      </c>
      <c r="AK141" s="100">
        <f t="shared" si="35"/>
        <v>-217.36302175446571</v>
      </c>
      <c r="AL141" s="109">
        <f t="shared" si="19"/>
        <v>-43.423415493373078</v>
      </c>
      <c r="AM141" s="110">
        <f t="shared" si="20"/>
        <v>-46.005985375451978</v>
      </c>
      <c r="AN141" s="137">
        <f t="shared" si="36"/>
        <v>43.423415493373078</v>
      </c>
      <c r="AO141" s="137">
        <f t="shared" si="37"/>
        <v>46.005985375451978</v>
      </c>
      <c r="AP141">
        <f t="shared" si="38"/>
        <v>0.3</v>
      </c>
      <c r="AT141" s="219">
        <v>26</v>
      </c>
      <c r="AU141" s="748">
        <f t="shared" si="7"/>
        <v>850</v>
      </c>
      <c r="AV141" s="746">
        <f t="shared" si="8"/>
        <v>850</v>
      </c>
      <c r="AW141" s="752">
        <f t="shared" si="4"/>
        <v>751.99985856082037</v>
      </c>
      <c r="AX141" s="180">
        <f t="shared" si="5"/>
        <v>751.99985856082037</v>
      </c>
      <c r="AY141" s="180">
        <f t="shared" si="9"/>
        <v>1.9998585608203854</v>
      </c>
      <c r="AZ141" s="180" t="b">
        <f t="shared" si="6"/>
        <v>0</v>
      </c>
    </row>
    <row r="142" spans="1:54" ht="21" customHeight="1" thickBot="1" x14ac:dyDescent="0.5">
      <c r="B142" s="88">
        <v>22</v>
      </c>
      <c r="C142" s="20"/>
      <c r="D142" s="738">
        <v>0</v>
      </c>
      <c r="E142" s="333" t="s">
        <v>72</v>
      </c>
      <c r="F142" s="104">
        <f t="shared" si="21"/>
        <v>0.3</v>
      </c>
      <c r="G142" s="118">
        <f t="shared" si="22"/>
        <v>0.3</v>
      </c>
      <c r="H142" s="158">
        <v>190.76</v>
      </c>
      <c r="I142" s="159">
        <v>79.651040199999997</v>
      </c>
      <c r="J142" s="2">
        <f t="shared" si="23"/>
        <v>79.651040199999997</v>
      </c>
      <c r="K142" s="2">
        <f t="shared" si="10"/>
        <v>39.825520099999999</v>
      </c>
      <c r="L142" s="2">
        <f t="shared" si="11"/>
        <v>0.64045183696587837</v>
      </c>
      <c r="M142" s="2">
        <f t="shared" si="12"/>
        <v>122.17259241961095</v>
      </c>
      <c r="N142" s="2">
        <f t="shared" si="13"/>
        <v>244.3451848392219</v>
      </c>
      <c r="O142" s="2">
        <f>+C121+D122+D123+D124+D125+D126+D127+D128+D129+D130+D131+D132+D133+D134+D135+D136+D137+D138+D139+D140+D141+(D142/2)</f>
        <v>0</v>
      </c>
      <c r="P142" s="2">
        <f t="shared" si="14"/>
        <v>0</v>
      </c>
      <c r="Q142" s="2">
        <f t="shared" si="15"/>
        <v>0</v>
      </c>
      <c r="R142" s="2">
        <f t="shared" si="24"/>
        <v>146.5</v>
      </c>
      <c r="S142" s="2">
        <f t="shared" si="39"/>
        <v>146.5</v>
      </c>
      <c r="T142" s="3">
        <f t="shared" si="16"/>
        <v>146.5</v>
      </c>
      <c r="V142" s="23">
        <f t="shared" si="17"/>
        <v>0</v>
      </c>
      <c r="W142" s="81" t="str">
        <f t="shared" si="25"/>
        <v>pin in groundstacking hole</v>
      </c>
      <c r="X142" s="23">
        <f t="shared" si="26"/>
        <v>0</v>
      </c>
      <c r="Y142" s="97">
        <f>SUM(D122:D142)+$C$121</f>
        <v>0</v>
      </c>
      <c r="Z142" s="173">
        <f t="shared" si="27"/>
        <v>69.344714800000006</v>
      </c>
      <c r="AA142" s="98">
        <f t="shared" si="18"/>
        <v>0.93571960494171247</v>
      </c>
      <c r="AB142" s="174">
        <f t="shared" si="28"/>
        <v>180.0511663828843</v>
      </c>
      <c r="AC142" s="173">
        <f t="shared" si="29"/>
        <v>50.174479900000001</v>
      </c>
      <c r="AD142" s="94">
        <f t="shared" si="30"/>
        <v>0.76799833627881664</v>
      </c>
      <c r="AE142" s="174">
        <f t="shared" si="31"/>
        <v>146.50336262854705</v>
      </c>
      <c r="AF142" s="174">
        <f t="shared" si="32"/>
        <v>-510</v>
      </c>
      <c r="AG142" s="92">
        <f t="shared" si="33"/>
        <v>326.55452901143133</v>
      </c>
      <c r="AH142" s="92">
        <f t="shared" si="41"/>
        <v>-146.50336262854705</v>
      </c>
      <c r="AI142" s="92">
        <f t="shared" si="40"/>
        <v>146.50336262854705</v>
      </c>
      <c r="AJ142" s="100">
        <f t="shared" si="34"/>
        <v>-281.19681920582559</v>
      </c>
      <c r="AK142" s="100">
        <f t="shared" si="35"/>
        <v>-228.80318079417441</v>
      </c>
      <c r="AL142" s="109">
        <f t="shared" si="19"/>
        <v>-41.252244718704418</v>
      </c>
      <c r="AM142" s="110">
        <f t="shared" si="20"/>
        <v>-43.705686106679387</v>
      </c>
      <c r="AN142" s="137">
        <f t="shared" si="36"/>
        <v>41.252244718704418</v>
      </c>
      <c r="AO142" s="137">
        <f t="shared" si="37"/>
        <v>43.705686106679387</v>
      </c>
      <c r="AP142">
        <f t="shared" si="38"/>
        <v>0.3</v>
      </c>
      <c r="AT142" s="219">
        <v>27</v>
      </c>
      <c r="AU142" s="748">
        <f t="shared" si="7"/>
        <v>900</v>
      </c>
      <c r="AV142" s="746">
        <f t="shared" si="8"/>
        <v>900</v>
      </c>
      <c r="AW142" s="752">
        <f t="shared" si="4"/>
        <v>801.99985856082037</v>
      </c>
      <c r="AX142" s="180">
        <f t="shared" si="5"/>
        <v>801.99985856082037</v>
      </c>
      <c r="AY142" s="180">
        <f t="shared" si="9"/>
        <v>1.9998585608203854</v>
      </c>
      <c r="AZ142" s="180" t="b">
        <f t="shared" si="6"/>
        <v>0</v>
      </c>
    </row>
    <row r="143" spans="1:54" ht="21" customHeight="1" thickBot="1" x14ac:dyDescent="0.5">
      <c r="B143" s="88">
        <v>23</v>
      </c>
      <c r="C143" s="20"/>
      <c r="D143" s="738">
        <v>0</v>
      </c>
      <c r="E143" s="333" t="s">
        <v>72</v>
      </c>
      <c r="F143" s="104">
        <f t="shared" si="21"/>
        <v>0.3</v>
      </c>
      <c r="G143" s="118">
        <f t="shared" si="22"/>
        <v>0.3</v>
      </c>
      <c r="H143" s="158">
        <v>190.76</v>
      </c>
      <c r="I143" s="159">
        <v>79.651040199999997</v>
      </c>
      <c r="J143" s="2">
        <f t="shared" si="23"/>
        <v>79.651040199999997</v>
      </c>
      <c r="K143" s="2">
        <f t="shared" si="10"/>
        <v>39.825520099999999</v>
      </c>
      <c r="L143" s="2">
        <f t="shared" si="11"/>
        <v>0.64045183696587837</v>
      </c>
      <c r="M143" s="2">
        <f t="shared" si="12"/>
        <v>122.17259241961095</v>
      </c>
      <c r="N143" s="2">
        <f t="shared" si="13"/>
        <v>244.3451848392219</v>
      </c>
      <c r="O143" s="2">
        <f>+C121+D122+D123+D124+D125+D126+D127+D128+D129+D130+D131+D132+D133+D134+D135+D136+D137+D138+D139+D140+D141+D142+(D143/2)</f>
        <v>0</v>
      </c>
      <c r="P143" s="2">
        <f t="shared" si="14"/>
        <v>0</v>
      </c>
      <c r="Q143" s="2">
        <f t="shared" si="15"/>
        <v>0</v>
      </c>
      <c r="R143" s="2">
        <f t="shared" si="24"/>
        <v>146.5</v>
      </c>
      <c r="S143" s="2">
        <f t="shared" si="39"/>
        <v>146.5</v>
      </c>
      <c r="T143" s="3">
        <f t="shared" si="16"/>
        <v>146.5</v>
      </c>
      <c r="V143" s="23">
        <f t="shared" si="17"/>
        <v>0</v>
      </c>
      <c r="W143" s="81" t="str">
        <f t="shared" si="25"/>
        <v>pin in groundstacking hole</v>
      </c>
      <c r="X143" s="23">
        <f t="shared" si="26"/>
        <v>0</v>
      </c>
      <c r="Y143" s="97">
        <f>SUM(D122:D143)+$C$121</f>
        <v>0</v>
      </c>
      <c r="Z143" s="173">
        <f t="shared" si="27"/>
        <v>69.344714800000006</v>
      </c>
      <c r="AA143" s="98">
        <f t="shared" si="18"/>
        <v>0.93571960494171247</v>
      </c>
      <c r="AB143" s="174">
        <f t="shared" si="28"/>
        <v>180.0511663828843</v>
      </c>
      <c r="AC143" s="173">
        <f t="shared" si="29"/>
        <v>50.174479900000001</v>
      </c>
      <c r="AD143" s="94">
        <f t="shared" si="30"/>
        <v>0.76799833627881664</v>
      </c>
      <c r="AE143" s="174">
        <f t="shared" si="31"/>
        <v>146.50336262854705</v>
      </c>
      <c r="AF143" s="174">
        <f t="shared" si="32"/>
        <v>-535.5</v>
      </c>
      <c r="AG143" s="92">
        <f t="shared" si="33"/>
        <v>326.55452901143133</v>
      </c>
      <c r="AH143" s="92">
        <f t="shared" si="41"/>
        <v>-146.50336262854705</v>
      </c>
      <c r="AI143" s="92">
        <f t="shared" si="40"/>
        <v>146.50336262854705</v>
      </c>
      <c r="AJ143" s="100">
        <f t="shared" si="34"/>
        <v>-295.25666016611689</v>
      </c>
      <c r="AK143" s="100">
        <f t="shared" si="35"/>
        <v>-240.24333983388314</v>
      </c>
      <c r="AL143" s="109">
        <f t="shared" si="19"/>
        <v>-39.287852113051827</v>
      </c>
      <c r="AM143" s="110">
        <f t="shared" si="20"/>
        <v>-41.624462958742271</v>
      </c>
      <c r="AN143" s="137">
        <f t="shared" si="36"/>
        <v>39.287852113051827</v>
      </c>
      <c r="AO143" s="137">
        <f t="shared" si="37"/>
        <v>41.624462958742271</v>
      </c>
      <c r="AP143">
        <f t="shared" si="38"/>
        <v>0.3</v>
      </c>
      <c r="AT143" s="219">
        <v>28</v>
      </c>
      <c r="AU143" s="748">
        <f t="shared" si="7"/>
        <v>950</v>
      </c>
      <c r="AV143" s="746">
        <f t="shared" si="8"/>
        <v>950</v>
      </c>
      <c r="AW143" s="752">
        <f t="shared" si="4"/>
        <v>851.99985856082037</v>
      </c>
      <c r="AX143" s="180">
        <f t="shared" si="5"/>
        <v>851.99985856082037</v>
      </c>
      <c r="AY143" s="180">
        <f t="shared" si="9"/>
        <v>1.9998585608203854</v>
      </c>
      <c r="AZ143" s="180" t="b">
        <f t="shared" si="6"/>
        <v>0</v>
      </c>
    </row>
    <row r="144" spans="1:54" ht="21" customHeight="1" thickBot="1" x14ac:dyDescent="0.5">
      <c r="B144" s="88">
        <v>24</v>
      </c>
      <c r="C144" s="20"/>
      <c r="D144" s="738">
        <v>0</v>
      </c>
      <c r="E144" s="333" t="s">
        <v>72</v>
      </c>
      <c r="F144" s="104">
        <f t="shared" si="21"/>
        <v>0.3</v>
      </c>
      <c r="G144" s="118">
        <f t="shared" si="22"/>
        <v>0.3</v>
      </c>
      <c r="H144" s="158">
        <v>190.76</v>
      </c>
      <c r="I144" s="159">
        <v>79.651040199999997</v>
      </c>
      <c r="J144" s="2">
        <f t="shared" si="23"/>
        <v>79.651040199999997</v>
      </c>
      <c r="K144" s="2">
        <f t="shared" si="10"/>
        <v>39.825520099999999</v>
      </c>
      <c r="L144" s="2">
        <f t="shared" si="11"/>
        <v>0.64045183696587837</v>
      </c>
      <c r="M144" s="2">
        <f t="shared" si="12"/>
        <v>122.17259241961095</v>
      </c>
      <c r="N144" s="2">
        <f t="shared" si="13"/>
        <v>244.3451848392219</v>
      </c>
      <c r="O144" s="2">
        <f>+SUM(D122:D143)+(D144/2)+C121</f>
        <v>0</v>
      </c>
      <c r="P144" s="2">
        <f t="shared" si="14"/>
        <v>0</v>
      </c>
      <c r="Q144" s="2">
        <f t="shared" si="15"/>
        <v>0</v>
      </c>
      <c r="R144" s="2">
        <f t="shared" si="24"/>
        <v>146.5</v>
      </c>
      <c r="S144" s="2">
        <f t="shared" si="39"/>
        <v>146.5</v>
      </c>
      <c r="T144" s="3">
        <f t="shared" si="16"/>
        <v>146.5</v>
      </c>
      <c r="V144" s="23">
        <f t="shared" si="17"/>
        <v>0</v>
      </c>
      <c r="W144" s="81" t="str">
        <f t="shared" si="25"/>
        <v>pin in groundstacking hole</v>
      </c>
      <c r="X144" s="23">
        <f t="shared" si="26"/>
        <v>0</v>
      </c>
      <c r="Y144" s="97">
        <f>SUM(D122:D144)+$C$121</f>
        <v>0</v>
      </c>
      <c r="Z144" s="173">
        <f t="shared" si="27"/>
        <v>69.344714800000006</v>
      </c>
      <c r="AA144" s="98">
        <f t="shared" si="18"/>
        <v>0.93571960494171247</v>
      </c>
      <c r="AB144" s="174">
        <f t="shared" si="28"/>
        <v>180.0511663828843</v>
      </c>
      <c r="AC144" s="173">
        <f t="shared" si="29"/>
        <v>50.174479900000001</v>
      </c>
      <c r="AD144" s="94">
        <f t="shared" si="30"/>
        <v>0.76799833627881664</v>
      </c>
      <c r="AE144" s="174">
        <f t="shared" si="31"/>
        <v>146.50336262854705</v>
      </c>
      <c r="AF144" s="174">
        <f t="shared" si="32"/>
        <v>-561</v>
      </c>
      <c r="AG144" s="92">
        <f t="shared" si="33"/>
        <v>326.55452901143133</v>
      </c>
      <c r="AH144" s="92">
        <f t="shared" si="41"/>
        <v>-146.50336262854705</v>
      </c>
      <c r="AI144" s="92">
        <f t="shared" si="40"/>
        <v>146.50336262854705</v>
      </c>
      <c r="AJ144" s="100">
        <f t="shared" si="34"/>
        <v>-309.31650112640813</v>
      </c>
      <c r="AK144" s="100">
        <f t="shared" si="35"/>
        <v>-251.68349887359184</v>
      </c>
      <c r="AL144" s="109">
        <f t="shared" si="19"/>
        <v>-37.502040653367658</v>
      </c>
      <c r="AM144" s="110">
        <f t="shared" si="20"/>
        <v>-39.732441915163079</v>
      </c>
      <c r="AN144" s="137">
        <f t="shared" si="36"/>
        <v>37.502040653367658</v>
      </c>
      <c r="AO144" s="137">
        <f t="shared" si="37"/>
        <v>39.732441915163079</v>
      </c>
      <c r="AP144">
        <f t="shared" si="38"/>
        <v>0.3</v>
      </c>
      <c r="AT144" s="219">
        <v>29</v>
      </c>
      <c r="AU144" s="748">
        <f t="shared" si="7"/>
        <v>1000</v>
      </c>
      <c r="AV144" s="746">
        <f t="shared" si="8"/>
        <v>1000</v>
      </c>
      <c r="AW144" s="752">
        <f t="shared" si="4"/>
        <v>901.99985856082037</v>
      </c>
      <c r="AX144" s="180">
        <f t="shared" si="5"/>
        <v>901.99985856082037</v>
      </c>
      <c r="AY144" s="180">
        <f t="shared" si="9"/>
        <v>1.9998585608203854</v>
      </c>
      <c r="AZ144" s="180" t="b">
        <f t="shared" si="6"/>
        <v>0</v>
      </c>
    </row>
    <row r="145" spans="46:52" ht="19.2" x14ac:dyDescent="0.45">
      <c r="AT145" s="219">
        <v>30</v>
      </c>
      <c r="AU145" s="748">
        <f t="shared" si="7"/>
        <v>1050</v>
      </c>
      <c r="AV145" s="746">
        <f t="shared" si="8"/>
        <v>1050</v>
      </c>
      <c r="AW145" s="752">
        <f t="shared" si="4"/>
        <v>951.99985856082037</v>
      </c>
      <c r="AX145" s="180">
        <f t="shared" si="5"/>
        <v>951.99985856082037</v>
      </c>
      <c r="AY145" s="180">
        <f t="shared" si="9"/>
        <v>1.9998585608203854</v>
      </c>
      <c r="AZ145" s="180" t="b">
        <f t="shared" si="6"/>
        <v>0</v>
      </c>
    </row>
    <row r="165" spans="54:79" x14ac:dyDescent="0.3">
      <c r="BB165" s="64"/>
      <c r="BC165" s="64"/>
      <c r="BD165" s="64"/>
      <c r="BE165" s="64"/>
      <c r="BF165" s="64"/>
      <c r="BG165" s="64"/>
      <c r="BH165" s="1998"/>
      <c r="BI165" s="1998"/>
      <c r="BJ165" s="1998"/>
      <c r="BK165" s="10"/>
      <c r="BL165" s="7"/>
      <c r="BM165" s="7"/>
      <c r="BN165" s="7"/>
      <c r="BO165" s="7"/>
      <c r="BP165" s="7"/>
      <c r="BQ165" s="7"/>
      <c r="BR165" s="7"/>
      <c r="BS165" s="7"/>
      <c r="BT165" s="7"/>
      <c r="BU165" s="7"/>
      <c r="BV165" s="7"/>
      <c r="BW165" s="7"/>
      <c r="BX165" s="7"/>
      <c r="BY165" s="7"/>
      <c r="BZ165" s="7"/>
      <c r="CA165" s="7"/>
    </row>
    <row r="166" spans="54:79" x14ac:dyDescent="0.3">
      <c r="BB166" s="7"/>
      <c r="BC166" s="7"/>
      <c r="BD166" s="7"/>
      <c r="BE166" s="7"/>
      <c r="BF166" s="7"/>
      <c r="BG166" s="7"/>
      <c r="BH166" s="57"/>
      <c r="BI166" s="7"/>
      <c r="BJ166" s="7"/>
      <c r="BK166" s="7"/>
      <c r="BL166" s="7"/>
      <c r="BM166" s="7"/>
      <c r="BN166" s="7"/>
      <c r="BO166" s="7"/>
      <c r="BP166" s="7"/>
      <c r="BQ166" s="7"/>
      <c r="BR166" s="7"/>
      <c r="BS166" s="7"/>
      <c r="BT166" s="7"/>
      <c r="BU166" s="57"/>
      <c r="BV166" s="7"/>
      <c r="BW166" s="7"/>
      <c r="BX166" s="7"/>
      <c r="BY166" s="7"/>
      <c r="BZ166" s="7"/>
      <c r="CA166" s="7"/>
    </row>
    <row r="167" spans="54:79" x14ac:dyDescent="0.3">
      <c r="BB167" s="65"/>
      <c r="BC167" s="65"/>
      <c r="BD167" s="65"/>
      <c r="BE167" s="65"/>
      <c r="BF167" s="65"/>
      <c r="BG167" s="65"/>
      <c r="BH167" s="1999"/>
      <c r="BI167" s="1999"/>
      <c r="BJ167" s="7"/>
      <c r="BK167" s="7"/>
      <c r="BL167" s="7"/>
      <c r="BM167" s="7"/>
      <c r="BN167" s="7"/>
      <c r="BO167" s="7"/>
      <c r="BP167" s="7"/>
      <c r="BQ167" s="7"/>
      <c r="BR167" s="7"/>
      <c r="BS167" s="7"/>
      <c r="BT167" s="1993"/>
      <c r="BU167" s="1993"/>
      <c r="BV167" s="7"/>
      <c r="BW167" s="7"/>
      <c r="BX167" s="7"/>
      <c r="BY167" s="7"/>
      <c r="BZ167" s="7"/>
      <c r="CA167" s="7"/>
    </row>
    <row r="168" spans="54:79" x14ac:dyDescent="0.3">
      <c r="BB168" s="7"/>
      <c r="BC168" s="7"/>
      <c r="BD168" s="7"/>
      <c r="BE168" s="7"/>
      <c r="BF168" s="7"/>
      <c r="BG168" s="7"/>
      <c r="BH168" s="7"/>
      <c r="BI168" s="7"/>
      <c r="BJ168" s="7"/>
      <c r="BK168" s="7"/>
      <c r="BL168" s="7"/>
      <c r="BM168" s="7"/>
      <c r="BN168" s="7"/>
      <c r="BO168" s="7"/>
      <c r="BP168" s="7"/>
      <c r="BQ168" s="7"/>
      <c r="BR168" s="7"/>
      <c r="BS168" s="7"/>
      <c r="BT168" s="7"/>
      <c r="BU168" s="7"/>
      <c r="BV168" s="7"/>
      <c r="BW168" s="7"/>
      <c r="BX168" s="7"/>
      <c r="BY168" s="7"/>
      <c r="BZ168" s="7"/>
      <c r="CA168" s="7"/>
    </row>
    <row r="169" spans="54:79" x14ac:dyDescent="0.3">
      <c r="BB169" s="7"/>
      <c r="BC169" s="7"/>
      <c r="BD169" s="7"/>
      <c r="BE169" s="7"/>
      <c r="BF169" s="7"/>
      <c r="BG169" s="7"/>
      <c r="BH169" s="7"/>
      <c r="BI169" s="7"/>
      <c r="BJ169" s="7"/>
      <c r="BK169" s="7"/>
      <c r="BL169" s="7"/>
      <c r="BM169" s="7"/>
      <c r="BN169" s="7"/>
      <c r="BO169" s="7"/>
      <c r="BP169" s="7"/>
      <c r="BQ169" s="7"/>
      <c r="BR169" s="7"/>
      <c r="BS169" s="7"/>
      <c r="BT169" s="7"/>
      <c r="BU169" s="7"/>
      <c r="BV169" s="7"/>
      <c r="BW169" s="7"/>
      <c r="BX169" s="7"/>
      <c r="BY169" s="7"/>
      <c r="BZ169" s="7"/>
      <c r="CA169" s="7"/>
    </row>
    <row r="170" spans="54:79" x14ac:dyDescent="0.3">
      <c r="BB170" s="7"/>
      <c r="BC170" s="7"/>
      <c r="BD170" s="7"/>
      <c r="BE170" s="7"/>
      <c r="BF170" s="7"/>
      <c r="BG170" s="7"/>
      <c r="BH170" s="7"/>
      <c r="BI170" s="7"/>
      <c r="BJ170" s="7"/>
      <c r="BK170" s="7"/>
      <c r="BL170" s="7"/>
      <c r="BM170" s="7"/>
      <c r="BN170" s="7"/>
      <c r="BO170" s="7"/>
      <c r="BP170" s="7"/>
      <c r="BQ170" s="7"/>
      <c r="BR170" s="7"/>
      <c r="BS170" s="7"/>
      <c r="BT170" s="7"/>
      <c r="BU170" s="7"/>
      <c r="BV170" s="7"/>
      <c r="BW170" s="7"/>
      <c r="BX170" s="7"/>
      <c r="BY170" s="7"/>
      <c r="BZ170" s="7"/>
      <c r="CA170" s="7"/>
    </row>
    <row r="171" spans="54:79" x14ac:dyDescent="0.3">
      <c r="BB171" s="7"/>
      <c r="BC171" s="7"/>
      <c r="BD171" s="7"/>
      <c r="BE171" s="7"/>
      <c r="BF171" s="7"/>
      <c r="BG171" s="7"/>
      <c r="BH171" s="7"/>
      <c r="BI171" s="7"/>
      <c r="BJ171" s="7"/>
      <c r="BK171" s="7"/>
      <c r="BL171" s="7"/>
      <c r="BM171" s="7"/>
      <c r="BN171" s="7"/>
      <c r="BO171" s="7"/>
      <c r="BP171" s="7"/>
      <c r="BQ171" s="7"/>
      <c r="BR171" s="7"/>
      <c r="BS171" s="7"/>
      <c r="BT171" s="7"/>
      <c r="BU171" s="7"/>
      <c r="BV171" s="7"/>
      <c r="BW171" s="7"/>
      <c r="BX171" s="7"/>
      <c r="BY171" s="7"/>
      <c r="BZ171" s="7"/>
      <c r="CA171" s="7"/>
    </row>
    <row r="172" spans="54:79" x14ac:dyDescent="0.3">
      <c r="BB172" s="7"/>
      <c r="BC172" s="7"/>
      <c r="BD172" s="7"/>
      <c r="BE172" s="7"/>
      <c r="BF172" s="7"/>
      <c r="BG172" s="7"/>
      <c r="BH172" s="7"/>
      <c r="BI172" s="7"/>
      <c r="BJ172" s="7"/>
      <c r="BK172" s="7"/>
      <c r="BL172" s="7"/>
      <c r="BM172" s="7"/>
      <c r="BN172" s="7"/>
      <c r="BO172" s="7"/>
      <c r="BP172" s="7"/>
      <c r="BQ172" s="7"/>
      <c r="BR172" s="7"/>
      <c r="BS172" s="7"/>
      <c r="BT172" s="7"/>
      <c r="BU172" s="7"/>
      <c r="BV172" s="7"/>
      <c r="BW172" s="7"/>
      <c r="BX172" s="7"/>
      <c r="BY172" s="7"/>
      <c r="BZ172" s="7"/>
      <c r="CA172" s="7"/>
    </row>
    <row r="173" spans="54:79" x14ac:dyDescent="0.3">
      <c r="BB173" s="7"/>
      <c r="BC173" s="7"/>
      <c r="BD173" s="7"/>
      <c r="BE173" s="7"/>
      <c r="BF173" s="7"/>
      <c r="BG173" s="7"/>
      <c r="BH173" s="7"/>
      <c r="BI173" s="7"/>
      <c r="BJ173" s="7"/>
      <c r="BK173" s="7"/>
      <c r="BL173" s="7"/>
      <c r="BM173" s="7"/>
      <c r="BN173" s="7"/>
      <c r="BO173" s="7"/>
      <c r="BP173" s="7"/>
      <c r="BQ173" s="7"/>
      <c r="BR173" s="7"/>
      <c r="BS173" s="7"/>
      <c r="BT173" s="7"/>
      <c r="BU173" s="7"/>
      <c r="BV173" s="7"/>
      <c r="BW173" s="7"/>
      <c r="BX173" s="7"/>
      <c r="BY173" s="7"/>
      <c r="BZ173" s="7"/>
      <c r="CA173" s="7"/>
    </row>
    <row r="174" spans="54:79" x14ac:dyDescent="0.3">
      <c r="BB174" s="7"/>
      <c r="BC174" s="7"/>
      <c r="BD174" s="7"/>
      <c r="BE174" s="7"/>
      <c r="BF174" s="7"/>
      <c r="BG174" s="7"/>
      <c r="BH174" s="7"/>
      <c r="BI174" s="7"/>
      <c r="BJ174" s="7"/>
      <c r="BK174" s="7"/>
      <c r="BL174" s="7"/>
      <c r="BM174" s="7"/>
      <c r="BN174" s="7"/>
      <c r="BO174" s="7"/>
      <c r="BP174" s="7"/>
      <c r="BQ174" s="7"/>
      <c r="BR174" s="7"/>
      <c r="BS174" s="7"/>
      <c r="BT174" s="7"/>
      <c r="BU174" s="7"/>
      <c r="BV174" s="7"/>
      <c r="BW174" s="7"/>
      <c r="BX174" s="7"/>
      <c r="BY174" s="7"/>
      <c r="BZ174" s="7"/>
      <c r="CA174" s="7"/>
    </row>
    <row r="175" spans="54:79" x14ac:dyDescent="0.3">
      <c r="BB175" s="7"/>
      <c r="BC175" s="7"/>
      <c r="BD175" s="7"/>
      <c r="BE175" s="7"/>
      <c r="BF175" s="7"/>
      <c r="BG175" s="7"/>
      <c r="BH175" s="7"/>
      <c r="BI175" s="7"/>
      <c r="BJ175" s="7"/>
      <c r="BK175" s="7"/>
      <c r="BL175" s="7"/>
      <c r="BM175" s="7"/>
      <c r="BN175" s="7"/>
      <c r="BO175" s="7"/>
      <c r="BP175" s="7"/>
      <c r="BQ175" s="7"/>
      <c r="BR175" s="7"/>
      <c r="BS175" s="7"/>
      <c r="BT175" s="7"/>
      <c r="BU175" s="7"/>
      <c r="BV175" s="7"/>
      <c r="BW175" s="7"/>
      <c r="BX175" s="7"/>
      <c r="BY175" s="7"/>
      <c r="BZ175" s="7"/>
      <c r="CA175" s="7"/>
    </row>
    <row r="176" spans="54:79" x14ac:dyDescent="0.3">
      <c r="BB176" s="7"/>
      <c r="BC176" s="7"/>
      <c r="BD176" s="7"/>
      <c r="BE176" s="7"/>
      <c r="BF176" s="7"/>
      <c r="BG176" s="7"/>
      <c r="BH176" s="7"/>
      <c r="BI176" s="7"/>
      <c r="BJ176" s="7"/>
      <c r="BK176" s="7"/>
      <c r="BL176" s="7"/>
      <c r="BM176" s="7"/>
      <c r="BN176" s="7"/>
      <c r="BO176" s="7"/>
      <c r="BP176" s="7"/>
      <c r="BQ176" s="7"/>
      <c r="BR176" s="7"/>
      <c r="BS176" s="7"/>
      <c r="BT176" s="7"/>
      <c r="BU176" s="7"/>
      <c r="BV176" s="7"/>
      <c r="BW176" s="7"/>
      <c r="BX176" s="7"/>
      <c r="BY176" s="7"/>
      <c r="BZ176" s="7"/>
      <c r="CA176" s="7"/>
    </row>
    <row r="177" spans="54:79" x14ac:dyDescent="0.3">
      <c r="BB177" s="7"/>
      <c r="BC177" s="7"/>
      <c r="BD177" s="7"/>
      <c r="BE177" s="7"/>
      <c r="BF177" s="7"/>
      <c r="BG177" s="7"/>
      <c r="BH177" s="7"/>
      <c r="BI177" s="7"/>
      <c r="BJ177" s="7"/>
      <c r="BK177" s="7"/>
      <c r="BL177" s="7"/>
      <c r="BM177" s="7"/>
      <c r="BN177" s="7"/>
      <c r="BO177" s="7"/>
      <c r="BP177" s="7"/>
      <c r="BQ177" s="7"/>
      <c r="BR177" s="7"/>
      <c r="BS177" s="7"/>
      <c r="BT177" s="7"/>
      <c r="BU177" s="7"/>
      <c r="BV177" s="7"/>
      <c r="BW177" s="7"/>
      <c r="BX177" s="7"/>
      <c r="BY177" s="7"/>
      <c r="BZ177" s="7"/>
      <c r="CA177" s="7"/>
    </row>
    <row r="178" spans="54:79" x14ac:dyDescent="0.3">
      <c r="BB178" s="7"/>
      <c r="BC178" s="7"/>
      <c r="BD178" s="7"/>
      <c r="BE178" s="7"/>
      <c r="BF178" s="7"/>
      <c r="BG178" s="7"/>
      <c r="BH178" s="7"/>
      <c r="BI178" s="7"/>
      <c r="BJ178" s="7"/>
      <c r="BK178" s="7"/>
      <c r="BL178" s="7"/>
      <c r="BM178" s="7"/>
      <c r="BN178" s="7"/>
      <c r="BO178" s="7"/>
      <c r="BP178" s="7"/>
      <c r="BQ178" s="7"/>
      <c r="BR178" s="7"/>
      <c r="BS178" s="7"/>
      <c r="BT178" s="7"/>
      <c r="BU178" s="7"/>
      <c r="BV178" s="7"/>
      <c r="BW178" s="7"/>
      <c r="BX178" s="7"/>
      <c r="BY178" s="7"/>
      <c r="BZ178" s="7"/>
      <c r="CA178" s="7"/>
    </row>
    <row r="179" spans="54:79" x14ac:dyDescent="0.3">
      <c r="BB179" s="7"/>
      <c r="BC179" s="7"/>
      <c r="BD179" s="7"/>
      <c r="BE179" s="7"/>
      <c r="BF179" s="7"/>
      <c r="BG179" s="7"/>
      <c r="BH179" s="7"/>
      <c r="BI179" s="7"/>
      <c r="BJ179" s="7"/>
      <c r="BK179" s="7"/>
      <c r="BL179" s="7"/>
      <c r="BM179" s="7"/>
      <c r="BN179" s="7"/>
      <c r="BO179" s="7"/>
      <c r="BP179" s="7"/>
      <c r="BQ179" s="7"/>
      <c r="BR179" s="7"/>
      <c r="BS179" s="7"/>
      <c r="BT179" s="7"/>
      <c r="BU179" s="7"/>
      <c r="BV179" s="7"/>
      <c r="BW179" s="7"/>
      <c r="BX179" s="7"/>
      <c r="BY179" s="7"/>
      <c r="BZ179" s="7"/>
      <c r="CA179" s="7"/>
    </row>
    <row r="180" spans="54:79" x14ac:dyDescent="0.3">
      <c r="BB180" s="7"/>
      <c r="BC180" s="7"/>
      <c r="BD180" s="7"/>
      <c r="BE180" s="7"/>
      <c r="BF180" s="7"/>
      <c r="BG180" s="15"/>
      <c r="BH180" s="15"/>
      <c r="BI180" s="15"/>
      <c r="BJ180" s="15"/>
      <c r="BK180" s="15"/>
      <c r="BL180" s="15"/>
      <c r="BM180" s="15"/>
      <c r="BN180" s="15"/>
      <c r="BO180" s="15"/>
      <c r="BP180" s="15"/>
      <c r="BQ180" s="7"/>
      <c r="BR180" s="7"/>
      <c r="BS180" s="7"/>
      <c r="BT180" s="7"/>
      <c r="BU180" s="7"/>
      <c r="BV180" s="7"/>
      <c r="BW180" s="7"/>
      <c r="BX180" s="7"/>
      <c r="BY180" s="7"/>
      <c r="BZ180" s="7"/>
      <c r="CA180" s="7"/>
    </row>
    <row r="181" spans="54:79" x14ac:dyDescent="0.3">
      <c r="BB181" s="7"/>
      <c r="BC181" s="7"/>
      <c r="BD181" s="7"/>
      <c r="BE181" s="7"/>
      <c r="BF181" s="7"/>
      <c r="BG181" s="15"/>
      <c r="BH181" s="15"/>
      <c r="BI181" s="15"/>
      <c r="BJ181" s="15"/>
      <c r="BK181" s="15"/>
      <c r="BL181" s="15"/>
      <c r="BM181" s="15"/>
      <c r="BN181" s="15"/>
      <c r="BO181" s="15"/>
      <c r="BP181" s="15"/>
      <c r="BQ181" s="7"/>
      <c r="BR181" s="7"/>
      <c r="BS181" s="7"/>
      <c r="BT181" s="7"/>
      <c r="BU181" s="7"/>
      <c r="BV181" s="7"/>
      <c r="BW181" s="7"/>
      <c r="BX181" s="7"/>
      <c r="BY181" s="7"/>
      <c r="BZ181" s="7"/>
      <c r="CA181" s="7"/>
    </row>
    <row r="182" spans="54:79" x14ac:dyDescent="0.3">
      <c r="BB182" s="7"/>
      <c r="BC182" s="7"/>
      <c r="BD182" s="7"/>
      <c r="BE182" s="7"/>
      <c r="BF182" s="7"/>
      <c r="BG182" s="15"/>
      <c r="BH182" s="15"/>
      <c r="BI182" s="15"/>
      <c r="BJ182" s="15"/>
      <c r="BK182" s="15"/>
      <c r="BL182" s="15"/>
      <c r="BM182" s="15"/>
      <c r="BN182" s="15"/>
      <c r="BO182" s="15"/>
      <c r="BP182" s="15"/>
      <c r="BQ182" s="7"/>
      <c r="BR182" s="7"/>
      <c r="BS182" s="7"/>
      <c r="BT182" s="7"/>
      <c r="BU182" s="7"/>
      <c r="BV182" s="7"/>
      <c r="BW182" s="7"/>
      <c r="BX182" s="7"/>
      <c r="BY182" s="7"/>
      <c r="BZ182" s="7"/>
      <c r="CA182" s="7"/>
    </row>
    <row r="183" spans="54:79" x14ac:dyDescent="0.3">
      <c r="BB183" s="7"/>
      <c r="BC183" s="7"/>
      <c r="BD183" s="7"/>
      <c r="BE183" s="7"/>
      <c r="BF183" s="7"/>
      <c r="BG183" s="15"/>
      <c r="BH183" s="15"/>
      <c r="BI183" s="15"/>
      <c r="BJ183" s="15"/>
      <c r="BK183" s="15"/>
      <c r="BL183" s="15"/>
      <c r="BM183" s="15"/>
      <c r="BN183" s="15"/>
      <c r="BO183" s="15"/>
      <c r="BP183" s="15"/>
      <c r="BQ183" s="7"/>
      <c r="BR183" s="7"/>
      <c r="BS183" s="7"/>
      <c r="BT183" s="7"/>
      <c r="BU183" s="7"/>
      <c r="BV183" s="7"/>
      <c r="BW183" s="7"/>
      <c r="BX183" s="7"/>
      <c r="BY183" s="7"/>
      <c r="BZ183" s="7"/>
      <c r="CA183" s="7"/>
    </row>
    <row r="184" spans="54:79" x14ac:dyDescent="0.3">
      <c r="BB184" s="10"/>
      <c r="BC184" s="7"/>
      <c r="BD184" s="10"/>
      <c r="BE184" s="7"/>
      <c r="BF184" s="10"/>
      <c r="BG184" s="15"/>
      <c r="BH184" s="15"/>
      <c r="BI184" s="15"/>
      <c r="BJ184" s="15"/>
      <c r="BK184" s="15"/>
      <c r="BL184" s="15"/>
      <c r="BM184" s="15"/>
      <c r="BN184" s="15"/>
      <c r="BO184" s="15"/>
      <c r="BP184" s="15"/>
      <c r="BQ184" s="7"/>
      <c r="BR184" s="7"/>
      <c r="BS184" s="7"/>
      <c r="BT184" s="7"/>
      <c r="BU184" s="7"/>
      <c r="BV184" s="7"/>
      <c r="BW184" s="7"/>
      <c r="BX184" s="7"/>
      <c r="BY184" s="7"/>
      <c r="BZ184" s="7"/>
      <c r="CA184" s="7"/>
    </row>
    <row r="185" spans="54:79" x14ac:dyDescent="0.3">
      <c r="BB185" s="10"/>
      <c r="BC185" s="7"/>
      <c r="BD185" s="7"/>
      <c r="BE185" s="7"/>
      <c r="BF185" s="10"/>
      <c r="BG185" s="15"/>
      <c r="BH185" s="15"/>
      <c r="BI185" s="15"/>
      <c r="BJ185" s="15"/>
      <c r="BK185" s="15"/>
      <c r="BL185" s="15"/>
      <c r="BM185" s="15"/>
      <c r="BN185" s="15"/>
      <c r="BO185" s="15"/>
      <c r="BP185" s="15"/>
      <c r="BQ185" s="7"/>
      <c r="BR185" s="7"/>
      <c r="BS185" s="7"/>
      <c r="BT185" s="7"/>
      <c r="BU185" s="7"/>
      <c r="BV185" s="7"/>
      <c r="BW185" s="7"/>
      <c r="BX185" s="7"/>
      <c r="BY185" s="7"/>
      <c r="BZ185" s="7"/>
      <c r="CA185" s="7"/>
    </row>
    <row r="186" spans="54:79" x14ac:dyDescent="0.3">
      <c r="BB186" s="10"/>
      <c r="BC186" s="66"/>
      <c r="BD186" s="66"/>
      <c r="BE186" s="66"/>
      <c r="BF186" s="66"/>
      <c r="BG186" s="66"/>
      <c r="BH186" s="66"/>
      <c r="BI186" s="66"/>
      <c r="BJ186" s="66"/>
      <c r="BK186" s="66"/>
      <c r="BL186" s="66"/>
      <c r="BM186" s="66"/>
      <c r="BN186" s="66"/>
      <c r="BO186" s="66"/>
      <c r="BP186" s="66"/>
      <c r="BQ186" s="66"/>
      <c r="BR186" s="66"/>
      <c r="BS186" s="66"/>
      <c r="BT186" s="66"/>
      <c r="BU186" s="66"/>
      <c r="BV186" s="66"/>
      <c r="BW186" s="66"/>
      <c r="BX186" s="66"/>
      <c r="BY186" s="66"/>
      <c r="BZ186" s="66"/>
      <c r="CA186" s="7"/>
    </row>
    <row r="187" spans="54:79" x14ac:dyDescent="0.3">
      <c r="BB187" s="10"/>
      <c r="BC187" s="7"/>
      <c r="BD187" s="7"/>
      <c r="BE187" s="7"/>
      <c r="BF187" s="7"/>
      <c r="BG187" s="7"/>
      <c r="BH187" s="7"/>
      <c r="BI187" s="7"/>
      <c r="BJ187" s="7"/>
      <c r="BK187" s="7"/>
      <c r="BL187" s="7"/>
      <c r="BM187" s="7"/>
      <c r="BN187" s="7"/>
      <c r="BO187" s="7"/>
      <c r="BP187" s="7"/>
      <c r="BQ187" s="7"/>
      <c r="BR187" s="7"/>
      <c r="BS187" s="7"/>
      <c r="BT187" s="7"/>
      <c r="BU187" s="7"/>
      <c r="BV187" s="7"/>
      <c r="BW187" s="7"/>
      <c r="BX187" s="7"/>
      <c r="BY187" s="7"/>
      <c r="BZ187" s="7"/>
      <c r="CA187" s="7"/>
    </row>
    <row r="188" spans="54:79" x14ac:dyDescent="0.3">
      <c r="BB188" s="18"/>
      <c r="BC188" s="61"/>
      <c r="BD188" s="61"/>
      <c r="BE188" s="61"/>
      <c r="BF188" s="61"/>
      <c r="BG188" s="61"/>
      <c r="BH188" s="61"/>
      <c r="BI188" s="61"/>
      <c r="BJ188" s="61"/>
      <c r="BK188" s="61"/>
      <c r="BL188" s="61"/>
      <c r="BM188" s="61"/>
      <c r="BN188" s="61"/>
      <c r="BO188" s="61"/>
      <c r="BP188" s="61"/>
      <c r="BQ188" s="61"/>
      <c r="BR188" s="61"/>
      <c r="BS188" s="61"/>
      <c r="BT188" s="61"/>
      <c r="BU188" s="61"/>
      <c r="BV188" s="61"/>
      <c r="BW188" s="61"/>
      <c r="BX188" s="61"/>
      <c r="BY188" s="61"/>
      <c r="BZ188" s="61"/>
      <c r="CA188" s="7"/>
    </row>
    <row r="189" spans="54:79" x14ac:dyDescent="0.3">
      <c r="BB189" s="10"/>
      <c r="BC189" s="49"/>
      <c r="BD189" s="49"/>
      <c r="BE189" s="49"/>
      <c r="BF189" s="49"/>
      <c r="BG189" s="49"/>
      <c r="BH189" s="49"/>
      <c r="BI189" s="49"/>
      <c r="BJ189" s="49"/>
      <c r="BK189" s="49"/>
      <c r="BL189" s="49"/>
      <c r="BM189" s="49"/>
      <c r="BN189" s="49"/>
      <c r="BO189" s="49"/>
      <c r="BP189" s="49"/>
      <c r="BQ189" s="49"/>
      <c r="BR189" s="49"/>
      <c r="BS189" s="49"/>
      <c r="BT189" s="49"/>
      <c r="BU189" s="49"/>
      <c r="BV189" s="49"/>
      <c r="BW189" s="49"/>
      <c r="BX189" s="49"/>
      <c r="BY189" s="49"/>
      <c r="BZ189" s="49"/>
      <c r="CA189" s="7"/>
    </row>
    <row r="190" spans="54:79" x14ac:dyDescent="0.3">
      <c r="BB190" s="7"/>
      <c r="BC190" s="7"/>
      <c r="BD190" s="7"/>
      <c r="BE190" s="7"/>
      <c r="BF190" s="7"/>
      <c r="BG190" s="7"/>
      <c r="BH190" s="7"/>
      <c r="BI190" s="7"/>
      <c r="BJ190" s="7"/>
      <c r="BK190" s="7"/>
      <c r="BL190" s="7"/>
      <c r="BM190" s="7"/>
      <c r="BN190" s="7"/>
      <c r="BO190" s="7"/>
      <c r="BP190" s="7"/>
      <c r="BQ190" s="7"/>
      <c r="BR190" s="7"/>
      <c r="BS190" s="7"/>
      <c r="BT190" s="7"/>
      <c r="BU190" s="7"/>
      <c r="BV190" s="7"/>
      <c r="BW190" s="7"/>
      <c r="BX190" s="7"/>
      <c r="BY190" s="7"/>
      <c r="BZ190" s="7"/>
      <c r="CA190" s="7"/>
    </row>
    <row r="191" spans="54:79" x14ac:dyDescent="0.3">
      <c r="BB191" s="7"/>
      <c r="BC191" s="67"/>
      <c r="BD191" s="67"/>
      <c r="BE191" s="67"/>
      <c r="BF191" s="67"/>
      <c r="BG191" s="67"/>
      <c r="BH191" s="67"/>
      <c r="BI191" s="10"/>
      <c r="BJ191" s="10"/>
      <c r="BK191" s="10"/>
      <c r="BL191" s="10"/>
      <c r="BM191" s="10"/>
      <c r="BN191" s="67"/>
      <c r="BO191" s="67"/>
      <c r="BP191" s="67"/>
      <c r="BQ191" s="10"/>
      <c r="BR191" s="10"/>
      <c r="BS191" s="10"/>
      <c r="BT191" s="10"/>
      <c r="BU191" s="10"/>
      <c r="BV191" s="10"/>
      <c r="BW191" s="10"/>
      <c r="BX191" s="10"/>
      <c r="BY191" s="10"/>
      <c r="BZ191" s="10"/>
      <c r="CA191" s="7"/>
    </row>
    <row r="192" spans="54:79" x14ac:dyDescent="0.3">
      <c r="BB192" s="7"/>
      <c r="BC192" s="67"/>
      <c r="BD192" s="67"/>
      <c r="BE192" s="67"/>
      <c r="BF192" s="67"/>
      <c r="BG192" s="67"/>
      <c r="BH192" s="67"/>
      <c r="BI192" s="7"/>
      <c r="BJ192" s="7"/>
      <c r="BK192" s="7"/>
      <c r="BL192" s="7"/>
      <c r="BM192" s="67"/>
      <c r="BN192" s="67"/>
      <c r="BO192" s="67"/>
      <c r="BP192" s="67"/>
      <c r="BQ192" s="7"/>
      <c r="BR192" s="7"/>
      <c r="BS192" s="7"/>
      <c r="BT192" s="7"/>
      <c r="BU192" s="67"/>
      <c r="BV192" s="67"/>
      <c r="BW192" s="67"/>
      <c r="BX192" s="67"/>
      <c r="BY192" s="67"/>
      <c r="BZ192" s="67"/>
      <c r="CA192" s="7"/>
    </row>
    <row r="193" spans="54:79" x14ac:dyDescent="0.3">
      <c r="BB193" s="7"/>
      <c r="BC193" s="7"/>
      <c r="BD193" s="7"/>
      <c r="BE193" s="7"/>
      <c r="BF193" s="7"/>
      <c r="BG193" s="7"/>
      <c r="BH193" s="7"/>
      <c r="BI193" s="7"/>
      <c r="BJ193" s="7"/>
      <c r="BK193" s="7"/>
      <c r="BL193" s="7"/>
      <c r="BM193" s="7"/>
      <c r="BN193" s="7"/>
      <c r="BO193" s="7"/>
      <c r="BP193" s="7"/>
      <c r="BQ193" s="7"/>
      <c r="BR193" s="7"/>
      <c r="BS193" s="7"/>
      <c r="BT193" s="7"/>
      <c r="BU193" s="7"/>
      <c r="BV193" s="7"/>
      <c r="BW193" s="7"/>
      <c r="BX193" s="7"/>
      <c r="BY193" s="7"/>
      <c r="BZ193" s="7"/>
      <c r="CA193" s="7"/>
    </row>
    <row r="194" spans="54:79" x14ac:dyDescent="0.3">
      <c r="BB194" s="7"/>
      <c r="BC194" s="7"/>
      <c r="BD194" s="7"/>
      <c r="BE194" s="7"/>
      <c r="BF194" s="7"/>
      <c r="BG194" s="7"/>
      <c r="BH194" s="7"/>
      <c r="BI194" s="7"/>
      <c r="BJ194" s="7"/>
      <c r="BK194" s="7"/>
      <c r="BL194" s="7"/>
      <c r="BM194" s="7"/>
      <c r="BN194" s="7"/>
      <c r="BO194" s="7"/>
      <c r="BP194" s="7"/>
      <c r="BQ194" s="7"/>
      <c r="BR194" s="7"/>
      <c r="BS194" s="7"/>
      <c r="BT194" s="7"/>
      <c r="BU194" s="7"/>
      <c r="BV194" s="7"/>
      <c r="BW194" s="7"/>
      <c r="BX194" s="7"/>
      <c r="BY194" s="7"/>
      <c r="BZ194" s="7"/>
      <c r="CA194" s="7"/>
    </row>
  </sheetData>
  <sheetProtection algorithmName="SHA-512" hashValue="941U+qWoVDCaay9L7335G0LqCCiWgAqygWfgzC+hYSbdyMYImdnEck4YXEiqD3do6mONVG6k9fu+wfM03v5H9g==" saltValue="jFzck7tsdapwFzLVwQWwsw==" spinCount="100000" sheet="1" objects="1" scenarios="1"/>
  <protectedRanges>
    <protectedRange sqref="B115 B118 D121:D144" name="Range1"/>
  </protectedRanges>
  <mergeCells count="20">
    <mergeCell ref="BT167:BU167"/>
    <mergeCell ref="BC49:BD49"/>
    <mergeCell ref="AR51:AS51"/>
    <mergeCell ref="B116:B117"/>
    <mergeCell ref="BH165:BJ165"/>
    <mergeCell ref="BH167:BI167"/>
    <mergeCell ref="AN118:AO118"/>
    <mergeCell ref="B105:E105"/>
    <mergeCell ref="BK90:BL90"/>
    <mergeCell ref="BK54:BL54"/>
    <mergeCell ref="BC51:BD51"/>
    <mergeCell ref="BY50:CF51"/>
    <mergeCell ref="BC89:BJ90"/>
    <mergeCell ref="BC53:BJ54"/>
    <mergeCell ref="BY104:CF104"/>
    <mergeCell ref="BC104:BJ104"/>
    <mergeCell ref="BY89:CF90"/>
    <mergeCell ref="BW90:BX90"/>
    <mergeCell ref="CE54:CF54"/>
    <mergeCell ref="BW51:BX51"/>
  </mergeCells>
  <phoneticPr fontId="2" type="noConversion"/>
  <conditionalFormatting sqref="AR117 D117:G117">
    <cfRule type="cellIs" dxfId="1297" priority="132" stopIfTrue="1" operator="equal">
      <formula>"USE EXBAR VR AT THE BACK"</formula>
    </cfRule>
  </conditionalFormatting>
  <conditionalFormatting sqref="AR116 D116:G116 E116:E117">
    <cfRule type="cellIs" dxfId="1296" priority="133" stopIfTrue="1" operator="equal">
      <formula>"USE EXBAR VR AT THE FRONT"</formula>
    </cfRule>
  </conditionalFormatting>
  <conditionalFormatting sqref="BH111:BU118 BC188:BZ189 BC106:CF107">
    <cfRule type="cellIs" dxfId="1295" priority="135" stopIfTrue="1" operator="equal">
      <formula>FALSE</formula>
    </cfRule>
  </conditionalFormatting>
  <conditionalFormatting sqref="BK104:BX104 BC186:BZ186 BC86:CF86">
    <cfRule type="cellIs" dxfId="1294" priority="4" stopIfTrue="1" operator="equal">
      <formula>0</formula>
    </cfRule>
  </conditionalFormatting>
  <conditionalFormatting sqref="BA121:BA131 AZ116:AZ145">
    <cfRule type="cellIs" dxfId="1293" priority="137" stopIfTrue="1" operator="equal">
      <formula>FALSE</formula>
    </cfRule>
  </conditionalFormatting>
  <conditionalFormatting sqref="W121 AL121:AO121 F122 D121:G121">
    <cfRule type="expression" dxfId="1292" priority="124" stopIfTrue="1">
      <formula>$B$118&lt;1</formula>
    </cfRule>
  </conditionalFormatting>
  <conditionalFormatting sqref="W122 AL122:AO122 D122:G122 E123:E144">
    <cfRule type="expression" dxfId="1291" priority="123" stopIfTrue="1">
      <formula>$B$118&lt;2</formula>
    </cfRule>
  </conditionalFormatting>
  <conditionalFormatting sqref="W123 AL123:AO123 D123:G123">
    <cfRule type="expression" dxfId="1290" priority="122" stopIfTrue="1">
      <formula>$B$118&lt;3</formula>
    </cfRule>
  </conditionalFormatting>
  <conditionalFormatting sqref="W124 AL124:AO124 D124:G124">
    <cfRule type="expression" dxfId="1289" priority="121" stopIfTrue="1">
      <formula>$B$118&lt;4</formula>
    </cfRule>
  </conditionalFormatting>
  <conditionalFormatting sqref="W125 AL125:AO125 D125:G125">
    <cfRule type="expression" dxfId="1288" priority="120" stopIfTrue="1">
      <formula>$B$118&lt;5</formula>
    </cfRule>
  </conditionalFormatting>
  <conditionalFormatting sqref="W126 AL126:AO126 D126:G126">
    <cfRule type="expression" dxfId="1287" priority="119">
      <formula>$B$118&lt;6</formula>
    </cfRule>
  </conditionalFormatting>
  <conditionalFormatting sqref="W127 AL127:AO127 D127:G127">
    <cfRule type="expression" dxfId="1286" priority="118">
      <formula>$B$118&lt;7</formula>
    </cfRule>
  </conditionalFormatting>
  <conditionalFormatting sqref="W128 AL128:AO128 D128:G128">
    <cfRule type="expression" dxfId="1285" priority="117">
      <formula>$B$118&lt;8</formula>
    </cfRule>
  </conditionalFormatting>
  <conditionalFormatting sqref="W129 AL129:AO129 D129:G129">
    <cfRule type="expression" dxfId="1284" priority="116">
      <formula>$B$118&lt;9</formula>
    </cfRule>
  </conditionalFormatting>
  <conditionalFormatting sqref="W130 AL130:AO130 D130:G130">
    <cfRule type="expression" dxfId="1283" priority="115">
      <formula>$B$118&lt;10</formula>
    </cfRule>
  </conditionalFormatting>
  <conditionalFormatting sqref="W131 AL131:AO131 D131:G131">
    <cfRule type="expression" dxfId="1282" priority="114">
      <formula>$B$118&lt;11</formula>
    </cfRule>
  </conditionalFormatting>
  <conditionalFormatting sqref="W132 AL132:AO132 D132:G132">
    <cfRule type="expression" dxfId="1281" priority="113">
      <formula>$B$118&lt;12</formula>
    </cfRule>
  </conditionalFormatting>
  <conditionalFormatting sqref="W133 AL133:AO133 D133:G133">
    <cfRule type="expression" dxfId="1280" priority="112">
      <formula>$B$118&lt;13</formula>
    </cfRule>
  </conditionalFormatting>
  <conditionalFormatting sqref="W134 AL134:AO134 D134:G134">
    <cfRule type="expression" dxfId="1279" priority="111">
      <formula>$B$118&lt;14</formula>
    </cfRule>
  </conditionalFormatting>
  <conditionalFormatting sqref="W135 AL135:AO135 D135:G135">
    <cfRule type="expression" dxfId="1278" priority="110">
      <formula>$B$118&lt;15</formula>
    </cfRule>
  </conditionalFormatting>
  <conditionalFormatting sqref="W136 AL136:AO136 D136:G136">
    <cfRule type="expression" dxfId="1277" priority="109">
      <formula>$B$118&lt;16</formula>
    </cfRule>
  </conditionalFormatting>
  <conditionalFormatting sqref="W137 AL137:AO137 D137:G137">
    <cfRule type="expression" dxfId="1276" priority="108">
      <formula>$B$118&lt;17</formula>
    </cfRule>
  </conditionalFormatting>
  <conditionalFormatting sqref="W138 AL138:AO138 D138:G138">
    <cfRule type="expression" dxfId="1275" priority="107">
      <formula>$B$118&lt;18</formula>
    </cfRule>
  </conditionalFormatting>
  <conditionalFormatting sqref="W139 AL139:AO139 D139:G139">
    <cfRule type="expression" dxfId="1274" priority="10">
      <formula>$B$118&lt;19</formula>
    </cfRule>
  </conditionalFormatting>
  <conditionalFormatting sqref="W140 AL140:AO140 D140:G140">
    <cfRule type="expression" dxfId="1273" priority="106">
      <formula>$B$118&lt;20</formula>
    </cfRule>
  </conditionalFormatting>
  <conditionalFormatting sqref="W141 AL141:AO141 D141:G141">
    <cfRule type="expression" dxfId="1272" priority="78">
      <formula>$B$118&lt;21</formula>
    </cfRule>
  </conditionalFormatting>
  <conditionalFormatting sqref="W142 AL142:AO142 D142:G142">
    <cfRule type="expression" dxfId="1271" priority="21">
      <formula>$B$118&lt;22</formula>
    </cfRule>
  </conditionalFormatting>
  <conditionalFormatting sqref="W143 AL143:AO143 D143:G143">
    <cfRule type="expression" dxfId="1270" priority="13">
      <formula>$B$118&lt;23</formula>
    </cfRule>
  </conditionalFormatting>
  <conditionalFormatting sqref="W144 AL144:AO144 D144:G144">
    <cfRule type="expression" dxfId="1269" priority="12">
      <formula>$B$118&lt;24</formula>
    </cfRule>
  </conditionalFormatting>
  <conditionalFormatting sqref="D114:G115">
    <cfRule type="cellIs" dxfId="1268" priority="140" stopIfTrue="1" operator="equal">
      <formula>"change the angle of frame or of cabinets"</formula>
    </cfRule>
  </conditionalFormatting>
  <conditionalFormatting sqref="B121:B144">
    <cfRule type="cellIs" dxfId="1267" priority="130" stopIfTrue="1" operator="greaterThan">
      <formula>$B$118</formula>
    </cfRule>
  </conditionalFormatting>
  <conditionalFormatting sqref="W121:W144">
    <cfRule type="cellIs" dxfId="1266" priority="127" stopIfTrue="1" operator="equal">
      <formula>"pin in groundstacking hole"</formula>
    </cfRule>
  </conditionalFormatting>
  <conditionalFormatting sqref="AN121:AO144 D110 B110">
    <cfRule type="cellIs" dxfId="1265" priority="126" stopIfTrue="1" operator="lessThan">
      <formula>10</formula>
    </cfRule>
  </conditionalFormatting>
  <conditionalFormatting sqref="D121:D144">
    <cfRule type="cellIs" dxfId="1264" priority="125" stopIfTrue="1" operator="notEqual">
      <formula>0</formula>
    </cfRule>
  </conditionalFormatting>
  <conditionalFormatting sqref="B104">
    <cfRule type="cellIs" dxfId="1263" priority="7" stopIfTrue="1" operator="equal">
      <formula>"overload"</formula>
    </cfRule>
  </conditionalFormatting>
  <conditionalFormatting sqref="E104">
    <cfRule type="cellIs" dxfId="1262" priority="6" stopIfTrue="1" operator="between">
      <formula>"OVERLOAD"</formula>
      <formula>"OVERLOAD"</formula>
    </cfRule>
  </conditionalFormatting>
  <conditionalFormatting sqref="BC87:CF87 BK104:BX104">
    <cfRule type="expression" dxfId="1261" priority="3">
      <formula>$B$115=0</formula>
    </cfRule>
    <cfRule type="expression" dxfId="1260" priority="136">
      <formula>$B$115=0</formula>
    </cfRule>
  </conditionalFormatting>
  <conditionalFormatting sqref="E110">
    <cfRule type="cellIs" dxfId="1259" priority="2" stopIfTrue="1" operator="lessThan">
      <formula>10</formula>
    </cfRule>
  </conditionalFormatting>
  <conditionalFormatting sqref="E104 B104 B110 D110:E110">
    <cfRule type="expression" dxfId="1258" priority="1">
      <formula>$AZ$90=0</formula>
    </cfRule>
  </conditionalFormatting>
  <dataValidations count="6">
    <dataValidation type="whole" allowBlank="1" showInputMessage="1" showErrorMessage="1" errorTitle="Coda Audio" error="YOU HAVE ENTERED A WRONG NUMBER OF CABINETS" promptTitle="Coda Audio" prompt="ENTER THE NUMBER OF CABINETS FROM 1 UP TO 24" sqref="B118" xr:uid="{00000000-0002-0000-0000-000000000000}">
      <formula1>1</formula1>
      <formula2>24</formula2>
    </dataValidation>
    <dataValidation type="decimal" allowBlank="1" showInputMessage="1" showErrorMessage="1" sqref="F121:G121" xr:uid="{00000000-0002-0000-0000-000001000000}">
      <formula1>0</formula1>
      <formula2>4</formula2>
    </dataValidation>
    <dataValidation type="decimal" allowBlank="1" showInputMessage="1" showErrorMessage="1" sqref="G122:G144 F123:F144" xr:uid="{00000000-0002-0000-0000-000002000000}">
      <formula1>0</formula1>
      <formula2>8</formula2>
    </dataValidation>
    <dataValidation type="decimal" allowBlank="1" showInputMessage="1" showErrorMessage="1" sqref="D121" xr:uid="{00000000-0002-0000-0000-000003000000}">
      <formula1>0</formula1>
      <formula2>5</formula2>
    </dataValidation>
    <dataValidation type="decimal" allowBlank="1" showInputMessage="1" showErrorMessage="1" sqref="D122:D144" xr:uid="{00000000-0002-0000-0000-000004000000}">
      <formula1>0</formula1>
      <formula2>10</formula2>
    </dataValidation>
    <dataValidation type="decimal" allowBlank="1" showInputMessage="1" showErrorMessage="1" sqref="B115" xr:uid="{00000000-0002-0000-0000-000005000000}">
      <formula1>-89.9</formula1>
      <formula2>89.9</formula2>
    </dataValidation>
  </dataValidations>
  <pageMargins left="0.75" right="0.75" top="1" bottom="1" header="0.5" footer="0.5"/>
  <pageSetup paperSize="9" orientation="portrait" horizontalDpi="4294967293" verticalDpi="200" r:id="rId1"/>
  <headerFooter alignWithMargins="0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CJ188"/>
  <sheetViews>
    <sheetView topLeftCell="A49" zoomScale="50" zoomScaleNormal="50" workbookViewId="0">
      <selection activeCell="B116" sqref="B116:B117"/>
    </sheetView>
  </sheetViews>
  <sheetFormatPr baseColWidth="10" defaultColWidth="8.88671875" defaultRowHeight="15.6" x14ac:dyDescent="0.3"/>
  <cols>
    <col min="1" max="1" width="3" customWidth="1"/>
    <col min="2" max="2" width="38.109375" style="13" customWidth="1"/>
    <col min="3" max="3" width="19.5546875" style="13" hidden="1" customWidth="1"/>
    <col min="4" max="4" width="32.88671875" style="19" bestFit="1" customWidth="1"/>
    <col min="5" max="5" width="26" style="19" bestFit="1" customWidth="1"/>
    <col min="6" max="6" width="47.6640625" style="19" hidden="1" customWidth="1"/>
    <col min="7" max="7" width="8.88671875" style="19" hidden="1" customWidth="1"/>
    <col min="8" max="8" width="7.44140625" hidden="1" customWidth="1"/>
    <col min="9" max="11" width="11.5546875" hidden="1" customWidth="1"/>
    <col min="12" max="12" width="12.5546875" hidden="1" customWidth="1"/>
    <col min="13" max="13" width="13.44140625" hidden="1" customWidth="1"/>
    <col min="14" max="14" width="12.5546875" hidden="1" customWidth="1"/>
    <col min="15" max="15" width="7" hidden="1" customWidth="1"/>
    <col min="16" max="17" width="12.5546875" hidden="1" customWidth="1"/>
    <col min="18" max="18" width="24.44140625" hidden="1" customWidth="1"/>
    <col min="19" max="19" width="12.5546875" hidden="1" customWidth="1"/>
    <col min="20" max="20" width="18.6640625" hidden="1" customWidth="1"/>
    <col min="21" max="21" width="18.109375" hidden="1" customWidth="1"/>
    <col min="22" max="22" width="15.5546875" hidden="1" customWidth="1"/>
    <col min="23" max="23" width="37.5546875" customWidth="1"/>
    <col min="24" max="24" width="21.109375" hidden="1" customWidth="1"/>
    <col min="25" max="25" width="11.88671875" hidden="1" customWidth="1"/>
    <col min="26" max="26" width="15" hidden="1" customWidth="1"/>
    <col min="27" max="27" width="16.33203125" hidden="1" customWidth="1"/>
    <col min="28" max="28" width="21.6640625" hidden="1" customWidth="1"/>
    <col min="29" max="29" width="15" hidden="1" customWidth="1"/>
    <col min="30" max="31" width="16.33203125" hidden="1" customWidth="1"/>
    <col min="32" max="32" width="14.109375" hidden="1" customWidth="1"/>
    <col min="33" max="33" width="15" hidden="1" customWidth="1"/>
    <col min="34" max="34" width="17" hidden="1" customWidth="1"/>
    <col min="35" max="35" width="16.33203125" hidden="1" customWidth="1"/>
    <col min="36" max="37" width="17" hidden="1" customWidth="1"/>
    <col min="38" max="39" width="10" hidden="1" customWidth="1"/>
    <col min="40" max="41" width="10" bestFit="1" customWidth="1"/>
    <col min="42" max="42" width="91" hidden="1" customWidth="1"/>
    <col min="43" max="43" width="17.44140625" hidden="1" customWidth="1"/>
    <col min="44" max="44" width="11.88671875" hidden="1" customWidth="1"/>
    <col min="45" max="45" width="23" hidden="1" customWidth="1"/>
    <col min="46" max="46" width="4.88671875" hidden="1" customWidth="1"/>
    <col min="47" max="47" width="6.44140625" hidden="1" customWidth="1"/>
    <col min="48" max="48" width="134.6640625" hidden="1" customWidth="1"/>
    <col min="49" max="49" width="17" hidden="1" customWidth="1"/>
    <col min="50" max="50" width="16.33203125" hidden="1" customWidth="1"/>
    <col min="51" max="51" width="20.44140625" hidden="1" customWidth="1"/>
    <col min="52" max="52" width="11.88671875" hidden="1" customWidth="1"/>
    <col min="53" max="53" width="38.88671875" hidden="1" customWidth="1"/>
    <col min="54" max="54" width="42.6640625" bestFit="1" customWidth="1"/>
    <col min="55" max="82" width="7.88671875" customWidth="1"/>
    <col min="83" max="83" width="12.5546875" hidden="1" customWidth="1"/>
    <col min="84" max="84" width="11.6640625" hidden="1" customWidth="1"/>
    <col min="85" max="85" width="0" hidden="1" customWidth="1"/>
    <col min="86" max="86" width="41" hidden="1" customWidth="1"/>
    <col min="87" max="87" width="9.109375" hidden="1" customWidth="1"/>
    <col min="88" max="88" width="11.44140625" hidden="1" customWidth="1"/>
    <col min="89" max="110" width="0" hidden="1" customWidth="1"/>
  </cols>
  <sheetData>
    <row r="1" spans="2:7" ht="17.399999999999999" hidden="1" x14ac:dyDescent="0.3">
      <c r="D1" s="745" t="s">
        <v>202</v>
      </c>
      <c r="E1" s="745" t="s">
        <v>203</v>
      </c>
      <c r="F1" s="745" t="s">
        <v>204</v>
      </c>
    </row>
    <row r="2" spans="2:7" ht="21" hidden="1" x14ac:dyDescent="0.4">
      <c r="B2" s="153" t="s">
        <v>29</v>
      </c>
      <c r="C2" s="154">
        <v>550</v>
      </c>
      <c r="D2" s="750">
        <f>+COS(($B$115*-1)*3.14159265358979/180)*C2</f>
        <v>550</v>
      </c>
      <c r="E2" s="746">
        <f>+COS(($B$115*-1)*3.14159265358979/180)*50</f>
        <v>50</v>
      </c>
      <c r="F2" s="746">
        <f>+COS((($B$115*-1)+58.1516306)*3.14159265358979/180)*91.9127</f>
        <v>48.499858560820385</v>
      </c>
    </row>
    <row r="3" spans="2:7" ht="21" hidden="1" x14ac:dyDescent="0.4">
      <c r="B3" s="153" t="s">
        <v>69</v>
      </c>
      <c r="C3" s="154">
        <f>+C15-48.5</f>
        <v>98</v>
      </c>
      <c r="D3" s="750">
        <f>+C15-F2</f>
        <v>98.000141439179615</v>
      </c>
    </row>
    <row r="4" spans="2:7" ht="53.4" hidden="1" x14ac:dyDescent="0.4">
      <c r="B4" s="151" t="s">
        <v>40</v>
      </c>
      <c r="C4" s="152">
        <v>950</v>
      </c>
      <c r="D4" s="750">
        <f>+COS(($B$115*-1)*3.14159265358979/180)*C4</f>
        <v>950</v>
      </c>
    </row>
    <row r="5" spans="2:7" ht="36" hidden="1" x14ac:dyDescent="0.4">
      <c r="B5" s="151" t="s">
        <v>206</v>
      </c>
      <c r="C5" s="152">
        <f>+C15+401.5</f>
        <v>548</v>
      </c>
      <c r="D5" s="750">
        <f>+(COS(($B$115*-1)*3.14159265358979/180)*400)+$D$3</f>
        <v>498.00014143917963</v>
      </c>
    </row>
    <row r="6" spans="2:7" s="14" customFormat="1" ht="17.399999999999999" hidden="1" x14ac:dyDescent="0.3">
      <c r="B6" s="241"/>
      <c r="C6" s="242"/>
      <c r="D6" s="19"/>
      <c r="E6" s="19"/>
      <c r="F6" s="19"/>
      <c r="G6" s="19"/>
    </row>
    <row r="7" spans="2:7" ht="17.399999999999999" hidden="1" x14ac:dyDescent="0.3">
      <c r="B7" s="162" t="s">
        <v>21</v>
      </c>
      <c r="C7" s="163">
        <v>5800</v>
      </c>
      <c r="D7" s="163">
        <v>10000</v>
      </c>
    </row>
    <row r="8" spans="2:7" ht="17.399999999999999" hidden="1" x14ac:dyDescent="0.3">
      <c r="B8" s="162" t="s">
        <v>167</v>
      </c>
      <c r="C8" s="163">
        <v>5000</v>
      </c>
      <c r="D8" s="163">
        <v>8000</v>
      </c>
    </row>
    <row r="9" spans="2:7" ht="17.399999999999999" hidden="1" x14ac:dyDescent="0.3">
      <c r="B9" s="163"/>
      <c r="C9" s="417" t="s">
        <v>22</v>
      </c>
      <c r="D9" s="417" t="s">
        <v>23</v>
      </c>
    </row>
    <row r="10" spans="2:7" ht="17.399999999999999" hidden="1" x14ac:dyDescent="0.3">
      <c r="B10" s="163" t="s">
        <v>17</v>
      </c>
      <c r="C10" s="165">
        <f>+((C13-C15)/C13)*C12</f>
        <v>42.350520514390695</v>
      </c>
      <c r="D10" s="165">
        <f>+(C15/C13)*C12</f>
        <v>34.449479485609302</v>
      </c>
    </row>
    <row r="11" spans="2:7" s="14" customFormat="1" ht="17.399999999999999" hidden="1" x14ac:dyDescent="0.3">
      <c r="B11" s="241"/>
      <c r="C11" s="242"/>
      <c r="D11" s="19"/>
      <c r="E11" s="19"/>
      <c r="F11" s="19"/>
      <c r="G11" s="19"/>
    </row>
    <row r="12" spans="2:7" ht="17.399999999999999" hidden="1" x14ac:dyDescent="0.3">
      <c r="B12" s="418" t="s">
        <v>74</v>
      </c>
      <c r="C12" s="168">
        <f>+(B118*25.5)+10+7+4.3+30</f>
        <v>76.8</v>
      </c>
    </row>
    <row r="13" spans="2:7" ht="17.399999999999999" hidden="1" x14ac:dyDescent="0.3">
      <c r="B13" s="169" t="s">
        <v>75</v>
      </c>
      <c r="C13" s="168">
        <v>326.60000000000002</v>
      </c>
    </row>
    <row r="14" spans="2:7" ht="17.399999999999999" hidden="1" x14ac:dyDescent="0.3">
      <c r="B14" s="170">
        <f>+B118</f>
        <v>1</v>
      </c>
      <c r="C14" s="419">
        <f>IF(B14&lt;=24,B14)</f>
        <v>1</v>
      </c>
    </row>
    <row r="15" spans="2:7" ht="17.399999999999999" hidden="1" x14ac:dyDescent="0.3">
      <c r="B15" s="169" t="s">
        <v>76</v>
      </c>
      <c r="C15" s="418">
        <f>SUM(V121:V144)/C14</f>
        <v>146.5</v>
      </c>
    </row>
    <row r="16" spans="2:7" ht="17.399999999999999" hidden="1" x14ac:dyDescent="0.3">
      <c r="B16" s="241"/>
      <c r="C16" s="242"/>
    </row>
    <row r="17" spans="2:3" ht="17.399999999999999" hidden="1" x14ac:dyDescent="0.3">
      <c r="B17" s="241"/>
      <c r="C17" s="242"/>
    </row>
    <row r="18" spans="2:3" ht="17.399999999999999" hidden="1" x14ac:dyDescent="0.3">
      <c r="B18" s="241"/>
      <c r="C18" s="242"/>
    </row>
    <row r="19" spans="2:3" ht="17.399999999999999" hidden="1" x14ac:dyDescent="0.3">
      <c r="B19" s="241"/>
      <c r="C19" s="242"/>
    </row>
    <row r="20" spans="2:3" ht="17.399999999999999" hidden="1" x14ac:dyDescent="0.3">
      <c r="B20" s="241"/>
      <c r="C20" s="242"/>
    </row>
    <row r="21" spans="2:3" ht="17.399999999999999" hidden="1" x14ac:dyDescent="0.3">
      <c r="B21" s="241"/>
      <c r="C21" s="242"/>
    </row>
    <row r="22" spans="2:3" ht="17.399999999999999" hidden="1" x14ac:dyDescent="0.3">
      <c r="B22" s="241"/>
      <c r="C22" s="242"/>
    </row>
    <row r="23" spans="2:3" ht="17.399999999999999" hidden="1" x14ac:dyDescent="0.3">
      <c r="B23" s="241"/>
      <c r="C23" s="242"/>
    </row>
    <row r="24" spans="2:3" ht="17.399999999999999" hidden="1" x14ac:dyDescent="0.3">
      <c r="B24" s="241"/>
      <c r="C24" s="242"/>
    </row>
    <row r="25" spans="2:3" ht="17.399999999999999" hidden="1" x14ac:dyDescent="0.3">
      <c r="B25" s="241"/>
      <c r="C25" s="242"/>
    </row>
    <row r="26" spans="2:3" ht="17.399999999999999" hidden="1" x14ac:dyDescent="0.3">
      <c r="B26" s="241"/>
      <c r="C26" s="242"/>
    </row>
    <row r="27" spans="2:3" ht="17.399999999999999" hidden="1" x14ac:dyDescent="0.3">
      <c r="B27" s="241"/>
      <c r="C27" s="242"/>
    </row>
    <row r="28" spans="2:3" ht="17.399999999999999" hidden="1" x14ac:dyDescent="0.3">
      <c r="B28" s="241"/>
      <c r="C28" s="242"/>
    </row>
    <row r="29" spans="2:3" ht="17.399999999999999" hidden="1" x14ac:dyDescent="0.3">
      <c r="B29" s="241"/>
      <c r="C29" s="242"/>
    </row>
    <row r="30" spans="2:3" ht="17.399999999999999" hidden="1" x14ac:dyDescent="0.3">
      <c r="B30" s="241"/>
      <c r="C30" s="242"/>
    </row>
    <row r="31" spans="2:3" ht="17.399999999999999" hidden="1" x14ac:dyDescent="0.3">
      <c r="B31" s="241"/>
      <c r="C31" s="242"/>
    </row>
    <row r="32" spans="2:3" ht="17.399999999999999" hidden="1" x14ac:dyDescent="0.3">
      <c r="B32" s="241"/>
      <c r="C32" s="242"/>
    </row>
    <row r="33" spans="2:3" ht="17.399999999999999" hidden="1" x14ac:dyDescent="0.3">
      <c r="B33" s="241"/>
      <c r="C33" s="242"/>
    </row>
    <row r="34" spans="2:3" ht="17.399999999999999" hidden="1" x14ac:dyDescent="0.3">
      <c r="B34" s="241"/>
      <c r="C34" s="242"/>
    </row>
    <row r="35" spans="2:3" ht="17.399999999999999" hidden="1" x14ac:dyDescent="0.3">
      <c r="B35" s="241"/>
      <c r="C35" s="242"/>
    </row>
    <row r="36" spans="2:3" ht="17.399999999999999" hidden="1" x14ac:dyDescent="0.3">
      <c r="B36" s="241"/>
      <c r="C36" s="242"/>
    </row>
    <row r="37" spans="2:3" ht="17.399999999999999" hidden="1" x14ac:dyDescent="0.3">
      <c r="B37" s="241"/>
      <c r="C37" s="242"/>
    </row>
    <row r="38" spans="2:3" ht="17.399999999999999" hidden="1" x14ac:dyDescent="0.3">
      <c r="B38" s="241"/>
      <c r="C38" s="242"/>
    </row>
    <row r="39" spans="2:3" ht="17.399999999999999" hidden="1" x14ac:dyDescent="0.3">
      <c r="B39" s="241"/>
      <c r="C39" s="242"/>
    </row>
    <row r="40" spans="2:3" ht="17.399999999999999" hidden="1" x14ac:dyDescent="0.3">
      <c r="B40" s="241"/>
      <c r="C40" s="242"/>
    </row>
    <row r="41" spans="2:3" ht="17.399999999999999" hidden="1" x14ac:dyDescent="0.3">
      <c r="B41" s="241"/>
      <c r="C41" s="242"/>
    </row>
    <row r="42" spans="2:3" ht="17.399999999999999" hidden="1" x14ac:dyDescent="0.3">
      <c r="B42" s="241"/>
      <c r="C42" s="242"/>
    </row>
    <row r="43" spans="2:3" ht="17.399999999999999" hidden="1" x14ac:dyDescent="0.3">
      <c r="B43" s="241"/>
      <c r="C43" s="242"/>
    </row>
    <row r="44" spans="2:3" ht="17.399999999999999" hidden="1" x14ac:dyDescent="0.3">
      <c r="B44" s="241"/>
      <c r="C44" s="242"/>
    </row>
    <row r="45" spans="2:3" ht="17.399999999999999" hidden="1" x14ac:dyDescent="0.3">
      <c r="B45" s="241"/>
      <c r="C45" s="242"/>
    </row>
    <row r="46" spans="2:3" ht="17.399999999999999" hidden="1" x14ac:dyDescent="0.3">
      <c r="B46" s="241"/>
      <c r="C46" s="242"/>
    </row>
    <row r="47" spans="2:3" hidden="1" x14ac:dyDescent="0.3"/>
    <row r="48" spans="2:3" hidden="1" x14ac:dyDescent="0.3"/>
    <row r="49" spans="2:86" s="62" customFormat="1" ht="33" customHeight="1" thickBot="1" x14ac:dyDescent="0.45">
      <c r="B49" s="141"/>
      <c r="C49" s="141"/>
      <c r="D49" s="150"/>
      <c r="E49" s="150"/>
      <c r="F49" s="150"/>
      <c r="G49" s="150"/>
      <c r="AR49" s="243"/>
      <c r="AS49" s="243"/>
      <c r="BB49" s="181" t="s">
        <v>28</v>
      </c>
      <c r="BC49" s="1994">
        <f>+C12</f>
        <v>76.8</v>
      </c>
      <c r="BD49" s="1994"/>
      <c r="BE49" s="182" t="s">
        <v>17</v>
      </c>
      <c r="BF49" s="182"/>
      <c r="BG49" s="183" t="s">
        <v>166</v>
      </c>
      <c r="BH49" s="184"/>
      <c r="BI49" s="184"/>
      <c r="BJ49" s="184"/>
      <c r="BK49" s="184"/>
      <c r="BL49" s="184"/>
      <c r="BM49" s="184"/>
      <c r="BN49" s="184"/>
      <c r="BO49" s="184"/>
      <c r="BP49" s="184"/>
      <c r="BQ49" s="184"/>
      <c r="BR49" s="184"/>
      <c r="BS49" s="184"/>
      <c r="BT49" s="184"/>
      <c r="BU49" s="184"/>
      <c r="BV49" s="184"/>
      <c r="BW49" s="184"/>
      <c r="BX49" s="184"/>
      <c r="BY49" s="184"/>
      <c r="BZ49" s="184"/>
      <c r="CA49" s="185"/>
      <c r="CB49" s="185"/>
      <c r="CC49" s="185"/>
      <c r="CD49" s="185"/>
      <c r="CE49" s="185"/>
      <c r="CF49" s="185"/>
      <c r="CG49" s="185"/>
      <c r="CH49" s="185"/>
    </row>
    <row r="50" spans="2:86" ht="25.5" customHeight="1" x14ac:dyDescent="0.45">
      <c r="AR50" s="14"/>
      <c r="AS50" s="89"/>
      <c r="AT50" s="43"/>
      <c r="AU50" s="43"/>
      <c r="AV50" s="43"/>
      <c r="AW50" s="43"/>
      <c r="AX50" s="43"/>
      <c r="AY50" s="43"/>
      <c r="AZ50" s="43"/>
      <c r="BA50" s="760"/>
      <c r="BB50" s="186" t="s">
        <v>30</v>
      </c>
      <c r="BC50" s="238" t="s">
        <v>31</v>
      </c>
      <c r="BD50" s="187"/>
      <c r="BE50" s="187"/>
      <c r="BF50" s="187"/>
      <c r="BG50" s="187"/>
      <c r="BH50" s="187"/>
      <c r="BI50" s="187"/>
      <c r="BJ50" s="187"/>
      <c r="BK50" s="187"/>
      <c r="BL50" s="187"/>
      <c r="BM50" s="187"/>
      <c r="BN50" s="187"/>
      <c r="BO50" s="187"/>
      <c r="BP50" s="187"/>
      <c r="BQ50" s="187"/>
      <c r="BR50" s="187"/>
      <c r="BS50" s="187"/>
      <c r="BT50" s="187"/>
      <c r="BU50" s="239"/>
      <c r="BV50" s="239" t="s">
        <v>32</v>
      </c>
      <c r="BW50" s="1978"/>
      <c r="BX50" s="1979"/>
      <c r="BY50" s="1979"/>
      <c r="BZ50" s="1979"/>
      <c r="CA50" s="1979"/>
      <c r="CB50" s="1979"/>
      <c r="CC50" s="1979"/>
      <c r="CD50" s="1980"/>
      <c r="CE50" s="420"/>
      <c r="CF50" s="420"/>
      <c r="CG50" s="185"/>
      <c r="CH50" s="185"/>
    </row>
    <row r="51" spans="2:86" ht="36" customHeight="1" thickBot="1" x14ac:dyDescent="0.5">
      <c r="AR51" s="1995"/>
      <c r="AS51" s="1995"/>
      <c r="AT51" s="43"/>
      <c r="AU51" s="43"/>
      <c r="AV51" s="43"/>
      <c r="AW51" s="43"/>
      <c r="AX51" s="43"/>
      <c r="AY51" s="43"/>
      <c r="AZ51" s="43"/>
      <c r="BA51" s="1347">
        <f>+IF(AND(BU51&gt;0,BC51&gt;0),BC51)</f>
        <v>36.540620144706317</v>
      </c>
      <c r="BB51" s="758" t="s">
        <v>78</v>
      </c>
      <c r="BC51" s="2007">
        <f>+((D4-D5)/D4)*C12</f>
        <v>36.540620144706317</v>
      </c>
      <c r="BD51" s="2008"/>
      <c r="BE51" s="678"/>
      <c r="BF51" s="678"/>
      <c r="BG51" s="678"/>
      <c r="BH51" s="678"/>
      <c r="BI51" s="678"/>
      <c r="BJ51" s="678"/>
      <c r="BK51" s="678"/>
      <c r="BL51" s="678"/>
      <c r="BM51" s="678"/>
      <c r="BN51" s="678"/>
      <c r="BO51" s="678"/>
      <c r="BP51" s="678"/>
      <c r="BQ51" s="678"/>
      <c r="BR51" s="678"/>
      <c r="BS51" s="678"/>
      <c r="BT51" s="678"/>
      <c r="BU51" s="1991">
        <f>+(D5/D4)*C12</f>
        <v>40.25937985529368</v>
      </c>
      <c r="BV51" s="1992"/>
      <c r="BW51" s="1981"/>
      <c r="BX51" s="1982"/>
      <c r="BY51" s="1982"/>
      <c r="BZ51" s="1982"/>
      <c r="CA51" s="1982"/>
      <c r="CB51" s="1982"/>
      <c r="CC51" s="1982"/>
      <c r="CD51" s="1983"/>
      <c r="CE51" s="1347">
        <f>+IF(AND(BC51&gt;0,BU51&gt;0),BU51)</f>
        <v>40.25937985529368</v>
      </c>
      <c r="CF51" s="420"/>
      <c r="CG51" s="185"/>
      <c r="CH51" s="185"/>
    </row>
    <row r="52" spans="2:86" ht="24.75" customHeight="1" thickBot="1" x14ac:dyDescent="0.5">
      <c r="AR52" s="760"/>
      <c r="AS52" s="760"/>
      <c r="AT52" s="43"/>
      <c r="AU52" s="43"/>
      <c r="AV52" s="43"/>
      <c r="AW52" s="43"/>
      <c r="AX52" s="43"/>
      <c r="AY52" s="43"/>
      <c r="AZ52" s="43"/>
      <c r="BA52" s="760"/>
      <c r="BB52" s="674"/>
      <c r="BC52" s="673"/>
      <c r="BD52" s="673"/>
      <c r="BE52" s="674"/>
      <c r="BF52" s="674"/>
      <c r="BG52" s="674"/>
      <c r="BH52" s="674"/>
      <c r="BI52" s="674"/>
      <c r="BJ52" s="674"/>
      <c r="BK52" s="674"/>
      <c r="BL52" s="674"/>
      <c r="BM52" s="674"/>
      <c r="BN52" s="674"/>
      <c r="BO52" s="674"/>
      <c r="BP52" s="674"/>
      <c r="BQ52" s="674"/>
      <c r="BR52" s="674"/>
      <c r="BS52" s="674"/>
      <c r="BT52" s="674"/>
      <c r="BU52" s="15"/>
      <c r="BV52" s="673"/>
      <c r="BW52" s="676"/>
      <c r="BX52" s="676"/>
      <c r="BY52" s="676"/>
      <c r="BZ52" s="676"/>
      <c r="CA52" s="676"/>
      <c r="CB52" s="676"/>
      <c r="CC52" s="676"/>
      <c r="CD52" s="676"/>
      <c r="CE52" s="420"/>
      <c r="CF52" s="420"/>
      <c r="CG52" s="185"/>
      <c r="CH52" s="185"/>
    </row>
    <row r="53" spans="2:86" ht="25.2" x14ac:dyDescent="0.45">
      <c r="AT53" s="43"/>
      <c r="AU53" s="43"/>
      <c r="AV53" s="43"/>
      <c r="AW53" s="43"/>
      <c r="AX53" s="43"/>
      <c r="AY53" s="43"/>
      <c r="AZ53" s="43"/>
      <c r="BA53" s="760"/>
      <c r="BB53" s="189" t="s">
        <v>30</v>
      </c>
      <c r="BC53" s="1978"/>
      <c r="BD53" s="1979"/>
      <c r="BE53" s="1979"/>
      <c r="BF53" s="1979"/>
      <c r="BG53" s="1979"/>
      <c r="BH53" s="1979"/>
      <c r="BI53" s="1979"/>
      <c r="BJ53" s="1979"/>
      <c r="BK53" s="421" t="s">
        <v>31</v>
      </c>
      <c r="BL53" s="190"/>
      <c r="BM53" s="190"/>
      <c r="BN53" s="190"/>
      <c r="BO53" s="190"/>
      <c r="BP53" s="190"/>
      <c r="BQ53" s="190"/>
      <c r="BR53" s="190"/>
      <c r="BS53" s="190"/>
      <c r="BT53" s="190"/>
      <c r="BU53" s="190"/>
      <c r="BV53" s="190"/>
      <c r="BW53" s="190"/>
      <c r="BX53" s="190"/>
      <c r="BY53" s="190"/>
      <c r="BZ53" s="236"/>
      <c r="CA53" s="237"/>
      <c r="CB53" s="237"/>
      <c r="CC53" s="237"/>
      <c r="CD53" s="191" t="s">
        <v>32</v>
      </c>
      <c r="CE53" s="184"/>
      <c r="CG53" s="185"/>
      <c r="CH53" s="185"/>
    </row>
    <row r="54" spans="2:86" ht="36" customHeight="1" thickBot="1" x14ac:dyDescent="0.45">
      <c r="BA54" s="1347">
        <f>+IF(AND(CC54&gt;0,BK54&gt;0),BK54)</f>
        <v>68.877462249969469</v>
      </c>
      <c r="BB54" s="759" t="s">
        <v>79</v>
      </c>
      <c r="BC54" s="1981"/>
      <c r="BD54" s="1982"/>
      <c r="BE54" s="1982"/>
      <c r="BF54" s="1982"/>
      <c r="BG54" s="1982"/>
      <c r="BH54" s="1982"/>
      <c r="BI54" s="1982"/>
      <c r="BJ54" s="1982"/>
      <c r="BK54" s="2005">
        <f>+((D4-D3)/D4)*C12</f>
        <v>68.877462249969469</v>
      </c>
      <c r="BL54" s="2006"/>
      <c r="BM54" s="681"/>
      <c r="BN54" s="681"/>
      <c r="BO54" s="681"/>
      <c r="BP54" s="681"/>
      <c r="BQ54" s="681"/>
      <c r="BR54" s="681"/>
      <c r="BS54" s="681"/>
      <c r="BT54" s="681"/>
      <c r="BU54" s="681"/>
      <c r="BV54" s="681"/>
      <c r="BW54" s="681"/>
      <c r="BX54" s="681"/>
      <c r="BY54" s="681"/>
      <c r="BZ54" s="679"/>
      <c r="CA54" s="682"/>
      <c r="CB54" s="682"/>
      <c r="CC54" s="1989">
        <f>+(D3/D4)*C12</f>
        <v>7.9225377500305205</v>
      </c>
      <c r="CD54" s="1990"/>
      <c r="CE54" s="1347">
        <f>+IF(AND(BK54&gt;0,CC54&gt;0),CC54)</f>
        <v>7.9225377500305205</v>
      </c>
      <c r="CG54" s="185"/>
      <c r="CH54" s="185"/>
    </row>
    <row r="55" spans="2:86" ht="24.75" customHeight="1" thickBot="1" x14ac:dyDescent="0.45">
      <c r="AR55" s="53"/>
      <c r="AS55" s="53"/>
      <c r="BB55" s="198"/>
      <c r="BC55" s="198"/>
      <c r="BD55" s="198"/>
      <c r="BE55" s="198"/>
      <c r="BF55" s="198"/>
      <c r="BG55" s="198"/>
      <c r="BH55" s="199"/>
      <c r="BI55" s="198"/>
      <c r="BJ55" s="198"/>
      <c r="BK55" s="198"/>
      <c r="BL55" s="198"/>
      <c r="BM55" s="198"/>
      <c r="BN55" s="198"/>
      <c r="BO55" s="198"/>
      <c r="BP55" s="198"/>
      <c r="BQ55" s="198"/>
      <c r="BR55" s="198"/>
      <c r="BS55" s="198"/>
      <c r="BT55" s="198"/>
      <c r="BU55" s="198"/>
      <c r="BV55" s="198"/>
      <c r="BW55" s="198"/>
      <c r="BX55" s="198"/>
      <c r="BY55" s="198"/>
      <c r="BZ55" s="199"/>
      <c r="CA55" s="185"/>
      <c r="CB55" s="185"/>
      <c r="CC55" s="185"/>
      <c r="CD55" s="184"/>
      <c r="CE55" s="184"/>
      <c r="CF55" s="185"/>
      <c r="CG55" s="185"/>
      <c r="CH55" s="185"/>
    </row>
    <row r="56" spans="2:86" ht="21" hidden="1" x14ac:dyDescent="0.4">
      <c r="AR56" s="53"/>
      <c r="AS56" s="53"/>
      <c r="BB56" s="198"/>
      <c r="BC56" s="198"/>
      <c r="BD56" s="198"/>
      <c r="BE56" s="198"/>
      <c r="BF56" s="198"/>
      <c r="BG56" s="198"/>
      <c r="BH56" s="199"/>
      <c r="BI56" s="198"/>
      <c r="BJ56" s="198"/>
      <c r="BK56" s="198"/>
      <c r="BL56" s="198"/>
      <c r="BM56" s="198"/>
      <c r="BN56" s="198"/>
      <c r="BO56" s="198"/>
      <c r="BP56" s="198"/>
      <c r="BQ56" s="198"/>
      <c r="BR56" s="198"/>
      <c r="BS56" s="198"/>
      <c r="BT56" s="198"/>
      <c r="BU56" s="198"/>
      <c r="BV56" s="198"/>
      <c r="BW56" s="198"/>
      <c r="BX56" s="198"/>
      <c r="BY56" s="198"/>
      <c r="BZ56" s="199"/>
      <c r="CA56" s="185"/>
      <c r="CB56" s="185"/>
      <c r="CC56" s="185"/>
      <c r="CD56" s="185"/>
      <c r="CE56" s="185"/>
      <c r="CF56" s="185"/>
      <c r="CG56" s="185"/>
      <c r="CH56" s="185"/>
    </row>
    <row r="57" spans="2:86" ht="10.5" hidden="1" customHeight="1" thickBot="1" x14ac:dyDescent="0.45">
      <c r="AR57" s="53"/>
      <c r="AS57" s="53"/>
      <c r="BB57" s="422" t="s">
        <v>93</v>
      </c>
      <c r="BC57" s="198"/>
      <c r="BD57" s="198"/>
      <c r="BE57" s="198"/>
      <c r="BF57" s="198"/>
      <c r="BG57" s="198"/>
      <c r="BH57" s="199"/>
      <c r="BI57" s="198"/>
      <c r="BJ57" s="198"/>
      <c r="BK57" s="198"/>
      <c r="BL57" s="198"/>
      <c r="BM57" s="198"/>
      <c r="BN57" s="198"/>
      <c r="BO57" s="198"/>
      <c r="BP57" s="198"/>
      <c r="BQ57" s="198"/>
      <c r="BR57" s="198"/>
      <c r="BS57" s="198"/>
      <c r="BT57" s="198"/>
      <c r="BU57" s="198"/>
      <c r="BV57" s="198"/>
      <c r="BW57" s="198"/>
      <c r="BX57" s="198"/>
      <c r="BY57" s="198"/>
      <c r="BZ57" s="199"/>
      <c r="CA57" s="185"/>
      <c r="CB57" s="185"/>
      <c r="CC57" s="185"/>
      <c r="CD57" s="185"/>
      <c r="CE57" s="185"/>
      <c r="CF57" s="185"/>
      <c r="CG57" s="185"/>
      <c r="CH57" s="185"/>
    </row>
    <row r="58" spans="2:86" ht="19.5" hidden="1" customHeight="1" thickBot="1" x14ac:dyDescent="0.45">
      <c r="AT58" s="44"/>
      <c r="AU58" s="44"/>
      <c r="AV58" s="44"/>
      <c r="AW58" s="44"/>
      <c r="AX58" s="44"/>
      <c r="AY58" s="44"/>
      <c r="AZ58" s="44"/>
      <c r="BA58" s="44"/>
      <c r="BB58" s="422" t="s">
        <v>92</v>
      </c>
      <c r="BC58" s="185"/>
      <c r="BD58" s="185"/>
      <c r="BE58" s="185"/>
      <c r="BF58" s="185"/>
      <c r="BG58" s="185"/>
      <c r="BH58" s="185"/>
      <c r="BI58" s="185"/>
      <c r="BJ58" s="185"/>
      <c r="BK58" s="185"/>
      <c r="BL58" s="185"/>
      <c r="BM58" s="185"/>
      <c r="BN58" s="185"/>
      <c r="BO58" s="185"/>
      <c r="BP58" s="185"/>
      <c r="BQ58" s="185"/>
      <c r="BR58" s="185"/>
      <c r="BS58" s="185"/>
      <c r="BT58" s="185"/>
      <c r="BU58" s="185"/>
      <c r="BV58" s="185"/>
      <c r="BW58" s="185"/>
      <c r="BX58" s="185"/>
      <c r="BY58" s="185"/>
      <c r="BZ58" s="185"/>
      <c r="CA58" s="185"/>
      <c r="CB58" s="185"/>
      <c r="CC58" s="185"/>
      <c r="CD58" s="210"/>
      <c r="CE58" s="234"/>
      <c r="CF58" s="212"/>
      <c r="CG58" s="185"/>
      <c r="CH58" s="185"/>
    </row>
    <row r="59" spans="2:86" ht="19.5" hidden="1" customHeight="1" thickBot="1" x14ac:dyDescent="0.45">
      <c r="AT59" s="44"/>
      <c r="AU59" s="44"/>
      <c r="AV59" s="44"/>
      <c r="AW59" s="44"/>
      <c r="AX59" s="44"/>
      <c r="AY59" s="44"/>
      <c r="AZ59" s="44"/>
      <c r="BA59" s="44"/>
      <c r="BB59" s="422" t="s">
        <v>91</v>
      </c>
      <c r="BC59" s="185"/>
      <c r="BD59" s="185"/>
      <c r="BE59" s="185"/>
      <c r="BF59" s="185"/>
      <c r="BG59" s="185"/>
      <c r="BH59" s="185"/>
      <c r="BI59" s="185"/>
      <c r="BJ59" s="185"/>
      <c r="BK59" s="185"/>
      <c r="BL59" s="185"/>
      <c r="BM59" s="185"/>
      <c r="BN59" s="185"/>
      <c r="BO59" s="185"/>
      <c r="BP59" s="185"/>
      <c r="BQ59" s="185"/>
      <c r="BR59" s="185"/>
      <c r="BS59" s="185"/>
      <c r="BT59" s="185"/>
      <c r="BU59" s="185"/>
      <c r="BV59" s="185"/>
      <c r="BW59" s="185"/>
      <c r="BX59" s="185"/>
      <c r="BY59" s="185"/>
      <c r="BZ59" s="185"/>
      <c r="CA59" s="185"/>
      <c r="CB59" s="210"/>
      <c r="CC59" s="234"/>
      <c r="CD59" s="234"/>
      <c r="CE59" s="234"/>
      <c r="CF59" s="212"/>
      <c r="CG59" s="185"/>
      <c r="CH59" s="185"/>
    </row>
    <row r="60" spans="2:86" ht="19.5" hidden="1" customHeight="1" thickBot="1" x14ac:dyDescent="0.45">
      <c r="AR60" s="44"/>
      <c r="AS60" s="44"/>
      <c r="AT60" s="44"/>
      <c r="AU60" s="44"/>
      <c r="AV60" s="44"/>
      <c r="AW60" s="44"/>
      <c r="AX60" s="44"/>
      <c r="AY60" s="44"/>
      <c r="AZ60" s="44"/>
      <c r="BA60" s="44"/>
      <c r="BB60" s="422" t="s">
        <v>90</v>
      </c>
      <c r="BC60" s="185"/>
      <c r="BD60" s="185"/>
      <c r="BE60" s="185"/>
      <c r="BF60" s="185"/>
      <c r="BG60" s="185"/>
      <c r="BH60" s="185"/>
      <c r="BI60" s="185"/>
      <c r="BJ60" s="185"/>
      <c r="BK60" s="185"/>
      <c r="BL60" s="185"/>
      <c r="BM60" s="185"/>
      <c r="BN60" s="185"/>
      <c r="BO60" s="185"/>
      <c r="BP60" s="185"/>
      <c r="BQ60" s="185"/>
      <c r="BR60" s="185"/>
      <c r="BS60" s="185"/>
      <c r="BT60" s="185"/>
      <c r="BU60" s="185"/>
      <c r="BV60" s="185"/>
      <c r="BW60" s="185"/>
      <c r="BX60" s="185"/>
      <c r="BY60" s="185"/>
      <c r="CA60" s="234"/>
      <c r="CB60" s="423" t="b">
        <f>IF(CC106=27,26)</f>
        <v>0</v>
      </c>
      <c r="CC60" s="424"/>
      <c r="CD60" s="425" t="b">
        <f>IF(CC106=27,28)</f>
        <v>0</v>
      </c>
      <c r="CE60" s="234"/>
      <c r="CG60" s="185"/>
      <c r="CH60" s="185"/>
    </row>
    <row r="61" spans="2:86" ht="19.5" hidden="1" customHeight="1" thickBot="1" x14ac:dyDescent="0.45">
      <c r="U61" s="108"/>
      <c r="V61" s="4"/>
      <c r="W61" s="4"/>
      <c r="X61" s="4"/>
      <c r="Y61" s="4"/>
      <c r="Z61" s="4"/>
      <c r="AA61" s="4"/>
      <c r="AB61" s="4"/>
      <c r="AC61" s="4"/>
      <c r="AD61" s="4"/>
      <c r="AE61" s="4"/>
      <c r="AF61" s="4"/>
      <c r="AG61" s="4"/>
      <c r="AH61" s="4"/>
      <c r="AI61" s="4"/>
      <c r="AJ61" s="4"/>
      <c r="AK61" s="4"/>
      <c r="AL61" s="4"/>
      <c r="AM61" s="4"/>
      <c r="AN61" s="4"/>
      <c r="AO61" s="4"/>
      <c r="BB61" s="422" t="s">
        <v>89</v>
      </c>
      <c r="BC61" s="185"/>
      <c r="BD61" s="185"/>
      <c r="BE61" s="185"/>
      <c r="BF61" s="185"/>
      <c r="BG61" s="185"/>
      <c r="BH61" s="185"/>
      <c r="BI61" s="185"/>
      <c r="BJ61" s="185"/>
      <c r="BK61" s="185"/>
      <c r="BL61" s="185"/>
      <c r="BM61" s="185"/>
      <c r="BN61" s="185"/>
      <c r="BO61" s="185"/>
      <c r="BP61" s="185"/>
      <c r="BQ61" s="185"/>
      <c r="BR61" s="185"/>
      <c r="BS61" s="185"/>
      <c r="BT61" s="185"/>
      <c r="BU61" s="185"/>
      <c r="BV61" s="185"/>
      <c r="BW61" s="185"/>
      <c r="BY61" s="234"/>
      <c r="BZ61" s="423" t="b">
        <f>IF(CB106=26,24)</f>
        <v>0</v>
      </c>
      <c r="CA61" s="424"/>
      <c r="CB61" s="424"/>
      <c r="CC61" s="424"/>
      <c r="CD61" s="425" t="b">
        <f>IF(CB106=26,28)</f>
        <v>0</v>
      </c>
      <c r="CE61" s="234"/>
      <c r="CG61" s="185"/>
      <c r="CH61" s="185"/>
    </row>
    <row r="62" spans="2:86" ht="19.5" hidden="1" customHeight="1" thickBot="1" x14ac:dyDescent="0.45">
      <c r="E62" s="102"/>
      <c r="F62" s="102"/>
      <c r="G62" s="102"/>
      <c r="U62" s="108"/>
      <c r="V62" s="4"/>
      <c r="W62" s="4"/>
      <c r="X62" s="4"/>
      <c r="Y62" s="4"/>
      <c r="Z62" s="4"/>
      <c r="AA62" s="4"/>
      <c r="AB62" s="4"/>
      <c r="AC62" s="4"/>
      <c r="AD62" s="4"/>
      <c r="AE62" s="4"/>
      <c r="AF62" s="4"/>
      <c r="AG62" s="4"/>
      <c r="AH62" s="4"/>
      <c r="AI62" s="4"/>
      <c r="AJ62" s="4"/>
      <c r="AK62" s="4"/>
      <c r="AL62" s="4"/>
      <c r="AM62" s="4"/>
      <c r="AN62" s="4"/>
      <c r="AO62" s="4"/>
      <c r="AT62" s="4"/>
      <c r="AU62" s="4"/>
      <c r="AV62" s="4"/>
      <c r="AW62" s="4"/>
      <c r="AX62" s="4"/>
      <c r="AY62" s="4"/>
      <c r="AZ62" s="4"/>
      <c r="BA62" s="4"/>
      <c r="BB62" s="422" t="s">
        <v>88</v>
      </c>
      <c r="BC62" s="185"/>
      <c r="BD62" s="185"/>
      <c r="BE62" s="185"/>
      <c r="BF62" s="185"/>
      <c r="BG62" s="185"/>
      <c r="BH62" s="185"/>
      <c r="BI62" s="185"/>
      <c r="BJ62" s="185"/>
      <c r="BK62" s="185"/>
      <c r="BL62" s="185"/>
      <c r="BM62" s="185"/>
      <c r="BN62" s="185"/>
      <c r="BO62" s="185"/>
      <c r="BP62" s="185"/>
      <c r="BQ62" s="185"/>
      <c r="BR62" s="185"/>
      <c r="BS62" s="185"/>
      <c r="BT62" s="185"/>
      <c r="BU62" s="185"/>
      <c r="BW62" s="234"/>
      <c r="BX62" s="423" t="b">
        <f>IF(CA106=25,22)</f>
        <v>0</v>
      </c>
      <c r="BY62" s="424"/>
      <c r="BZ62" s="424"/>
      <c r="CA62" s="424"/>
      <c r="CB62" s="424"/>
      <c r="CC62" s="424"/>
      <c r="CD62" s="425" t="b">
        <f>IF(CA106=25,28)</f>
        <v>0</v>
      </c>
      <c r="CE62" s="234"/>
      <c r="CG62" s="185"/>
      <c r="CH62" s="185"/>
    </row>
    <row r="63" spans="2:86" ht="19.5" hidden="1" customHeight="1" thickBot="1" x14ac:dyDescent="0.45">
      <c r="E63" s="102"/>
      <c r="F63" s="102"/>
      <c r="G63" s="102"/>
      <c r="U63" s="108"/>
      <c r="V63" s="4"/>
      <c r="W63" s="4"/>
      <c r="X63" s="4"/>
      <c r="Y63" s="4"/>
      <c r="Z63" s="4"/>
      <c r="AA63" s="4"/>
      <c r="AB63" s="4"/>
      <c r="AC63" s="4"/>
      <c r="AD63" s="4"/>
      <c r="AE63" s="4"/>
      <c r="AF63" s="4"/>
      <c r="AG63" s="4"/>
      <c r="AH63" s="4"/>
      <c r="AI63" s="4"/>
      <c r="AJ63" s="4"/>
      <c r="AK63" s="4"/>
      <c r="AL63" s="4"/>
      <c r="AM63" s="4"/>
      <c r="AN63" s="4"/>
      <c r="AO63" s="4"/>
      <c r="AT63" s="4"/>
      <c r="AU63" s="4"/>
      <c r="AV63" s="4"/>
      <c r="AW63" s="4"/>
      <c r="AX63" s="4"/>
      <c r="AY63" s="4"/>
      <c r="AZ63" s="4"/>
      <c r="BA63" s="4"/>
      <c r="BB63" s="762" t="s">
        <v>15</v>
      </c>
      <c r="BC63" s="185"/>
      <c r="BD63" s="185"/>
      <c r="BE63" s="185"/>
      <c r="BF63" s="185"/>
      <c r="BG63" s="185"/>
      <c r="BH63" s="185"/>
      <c r="BI63" s="185"/>
      <c r="BJ63" s="185"/>
      <c r="BK63" s="185"/>
      <c r="BL63" s="185"/>
      <c r="BM63" s="185"/>
      <c r="BN63" s="185"/>
      <c r="BO63" s="185"/>
      <c r="BP63" s="185"/>
      <c r="BQ63" s="185"/>
      <c r="BR63" s="185"/>
      <c r="BS63" s="185"/>
      <c r="BU63" s="234"/>
      <c r="BV63" s="423" t="b">
        <f>IF(BZ106=24,20)</f>
        <v>0</v>
      </c>
      <c r="BW63" s="424"/>
      <c r="BX63" s="424"/>
      <c r="BY63" s="424"/>
      <c r="BZ63" s="424"/>
      <c r="CA63" s="424"/>
      <c r="CB63" s="424"/>
      <c r="CC63" s="424"/>
      <c r="CD63" s="425" t="b">
        <f>IF(BZ106=24,28)</f>
        <v>0</v>
      </c>
      <c r="CE63" s="234"/>
      <c r="CG63" s="185"/>
      <c r="CH63" s="185"/>
    </row>
    <row r="64" spans="2:86" ht="19.5" hidden="1" customHeight="1" thickBot="1" x14ac:dyDescent="0.45">
      <c r="E64" s="103"/>
      <c r="F64" s="103"/>
      <c r="G64" s="103"/>
      <c r="U64" s="10"/>
      <c r="V64" s="4"/>
      <c r="W64" s="4"/>
      <c r="X64" s="4"/>
      <c r="Y64" s="4"/>
      <c r="Z64" s="4"/>
      <c r="AA64" s="4"/>
      <c r="AB64" s="4"/>
      <c r="AC64" s="4"/>
      <c r="AD64" s="4"/>
      <c r="AE64" s="4"/>
      <c r="AF64" s="4"/>
      <c r="AG64" s="4"/>
      <c r="AH64" s="4"/>
      <c r="AI64" s="4"/>
      <c r="AJ64" s="4"/>
      <c r="AK64" s="4"/>
      <c r="AL64" s="4"/>
      <c r="AM64" s="4"/>
      <c r="AN64" s="4"/>
      <c r="AO64" s="4"/>
      <c r="AT64" s="4"/>
      <c r="AU64" s="4"/>
      <c r="AV64" s="4"/>
      <c r="AW64" s="4"/>
      <c r="AX64" s="4"/>
      <c r="AY64" s="4"/>
      <c r="AZ64" s="4"/>
      <c r="BA64" s="4"/>
      <c r="BB64" s="762" t="s">
        <v>87</v>
      </c>
      <c r="BC64" s="185"/>
      <c r="BD64" s="185"/>
      <c r="BE64" s="185"/>
      <c r="BF64" s="185"/>
      <c r="BG64" s="185"/>
      <c r="BH64" s="185"/>
      <c r="BI64" s="185"/>
      <c r="BJ64" s="185"/>
      <c r="BK64" s="185"/>
      <c r="BL64" s="185"/>
      <c r="BM64" s="185"/>
      <c r="BN64" s="185"/>
      <c r="BO64" s="185"/>
      <c r="BP64" s="185"/>
      <c r="BQ64" s="185"/>
      <c r="BS64" s="234"/>
      <c r="BT64" s="423" t="b">
        <f>IF(BY106=23,18)</f>
        <v>0</v>
      </c>
      <c r="BU64" s="424"/>
      <c r="BV64" s="424"/>
      <c r="BW64" s="424"/>
      <c r="BX64" s="424"/>
      <c r="BY64" s="424"/>
      <c r="BZ64" s="424"/>
      <c r="CA64" s="424"/>
      <c r="CB64" s="424"/>
      <c r="CC64" s="424"/>
      <c r="CD64" s="425" t="b">
        <f>IF(BY106=23,28)</f>
        <v>0</v>
      </c>
      <c r="CE64" s="234"/>
      <c r="CG64" s="185"/>
      <c r="CH64" s="185"/>
    </row>
    <row r="65" spans="2:86" ht="19.5" hidden="1" customHeight="1" thickBot="1" x14ac:dyDescent="0.45">
      <c r="E65" s="103"/>
      <c r="F65" s="103"/>
      <c r="G65" s="103"/>
      <c r="U65" s="108"/>
      <c r="V65" s="4"/>
      <c r="W65" s="4"/>
      <c r="X65" s="4"/>
      <c r="Y65" s="4"/>
      <c r="Z65" s="4"/>
      <c r="AA65" s="4"/>
      <c r="AB65" s="4"/>
      <c r="AC65" s="4"/>
      <c r="AD65" s="4"/>
      <c r="AE65" s="4"/>
      <c r="AF65" s="4"/>
      <c r="AG65" s="4"/>
      <c r="AH65" s="4"/>
      <c r="AI65" s="4"/>
      <c r="AJ65" s="4"/>
      <c r="AK65" s="4"/>
      <c r="AL65" s="4"/>
      <c r="AM65" s="4"/>
      <c r="AN65" s="4"/>
      <c r="AO65" s="4"/>
      <c r="AT65" s="4"/>
      <c r="AU65" s="4"/>
      <c r="AV65" s="4"/>
      <c r="AW65" s="4"/>
      <c r="AX65" s="4"/>
      <c r="AY65" s="4"/>
      <c r="AZ65" s="4"/>
      <c r="BA65" s="4"/>
      <c r="BB65" s="762">
        <v>12</v>
      </c>
      <c r="BC65" s="182"/>
      <c r="BD65" s="182"/>
      <c r="BE65" s="182"/>
      <c r="BF65" s="182"/>
      <c r="BG65" s="182"/>
      <c r="BH65" s="182"/>
      <c r="BI65" s="182"/>
      <c r="BJ65" s="182"/>
      <c r="BK65" s="182"/>
      <c r="BL65" s="182"/>
      <c r="BM65" s="182"/>
      <c r="BN65" s="182"/>
      <c r="BO65" s="182"/>
      <c r="BP65" s="182"/>
      <c r="BQ65" s="182"/>
      <c r="BR65" s="426" t="b">
        <f>IF(BX106=22,16)</f>
        <v>0</v>
      </c>
      <c r="BS65" s="427"/>
      <c r="BT65" s="427"/>
      <c r="BU65" s="427"/>
      <c r="BV65" s="427"/>
      <c r="BW65" s="427"/>
      <c r="BX65" s="427"/>
      <c r="BY65" s="427"/>
      <c r="BZ65" s="427"/>
      <c r="CA65" s="428"/>
      <c r="CB65" s="428"/>
      <c r="CC65" s="379"/>
      <c r="CD65" s="429" t="b">
        <f>IF(BX106=22,28)</f>
        <v>0</v>
      </c>
      <c r="CE65" s="185"/>
      <c r="CF65" s="185"/>
      <c r="CG65" s="185"/>
      <c r="CH65" s="185"/>
    </row>
    <row r="66" spans="2:86" ht="19.5" hidden="1" customHeight="1" thickBot="1" x14ac:dyDescent="0.45">
      <c r="T66" s="4"/>
      <c r="U66" s="4"/>
      <c r="V66" s="4"/>
      <c r="W66" s="4"/>
      <c r="X66" s="4"/>
      <c r="Y66" s="4"/>
      <c r="Z66" s="4"/>
      <c r="AA66" s="4"/>
      <c r="AB66" s="4"/>
      <c r="AC66" s="4"/>
      <c r="AD66" s="4"/>
      <c r="AE66" s="4"/>
      <c r="AF66" s="4"/>
      <c r="AG66" s="4"/>
      <c r="AH66" s="4"/>
      <c r="AI66" s="4"/>
      <c r="AJ66" s="4"/>
      <c r="AK66" s="4"/>
      <c r="AL66" s="4"/>
      <c r="AM66" s="4"/>
      <c r="AN66" s="4"/>
      <c r="AO66" s="4"/>
      <c r="AT66" s="4"/>
      <c r="AU66" s="4"/>
      <c r="AV66" s="4"/>
      <c r="AW66" s="4"/>
      <c r="AX66" s="4"/>
      <c r="AY66" s="4"/>
      <c r="AZ66" s="4"/>
      <c r="BA66" s="4"/>
      <c r="BB66" s="762">
        <v>11</v>
      </c>
      <c r="BC66" s="185"/>
      <c r="BD66" s="185"/>
      <c r="BE66" s="185"/>
      <c r="BF66" s="185"/>
      <c r="BG66" s="185"/>
      <c r="BH66" s="185"/>
      <c r="BI66" s="185"/>
      <c r="BJ66" s="185"/>
      <c r="BK66" s="185"/>
      <c r="BL66" s="185"/>
      <c r="BM66" s="185"/>
      <c r="BO66" s="234"/>
      <c r="BP66" s="234"/>
      <c r="BQ66" s="234"/>
      <c r="BR66" s="423" t="b">
        <f>IF(BW106=21,16)</f>
        <v>0</v>
      </c>
      <c r="BS66" s="424"/>
      <c r="BT66" s="424"/>
      <c r="BU66" s="424"/>
      <c r="BV66" s="424"/>
      <c r="BW66" s="424"/>
      <c r="BX66" s="424"/>
      <c r="BY66" s="424"/>
      <c r="BZ66" s="424"/>
      <c r="CA66" s="424"/>
      <c r="CB66" s="425" t="b">
        <f>IF(BW106=21,26)</f>
        <v>0</v>
      </c>
      <c r="CC66" s="234"/>
      <c r="CD66" s="234"/>
      <c r="CE66" s="234"/>
      <c r="CG66" s="185"/>
      <c r="CH66" s="185"/>
    </row>
    <row r="67" spans="2:86" ht="19.5" hidden="1" customHeight="1" thickBot="1" x14ac:dyDescent="0.45">
      <c r="T67" s="4"/>
      <c r="U67" s="4"/>
      <c r="V67" s="4"/>
      <c r="W67" s="4"/>
      <c r="X67" s="4"/>
      <c r="Y67" s="4"/>
      <c r="Z67" s="4"/>
      <c r="AA67" s="4"/>
      <c r="AB67" s="4"/>
      <c r="AC67" s="4"/>
      <c r="AD67" s="4"/>
      <c r="AE67" s="4"/>
      <c r="AF67" s="4"/>
      <c r="AG67" s="4"/>
      <c r="AH67" s="4"/>
      <c r="AI67" s="4"/>
      <c r="AJ67" s="4"/>
      <c r="AK67" s="4"/>
      <c r="AL67" s="4"/>
      <c r="AM67" s="4"/>
      <c r="AN67" s="4"/>
      <c r="AO67" s="4"/>
      <c r="AT67" s="27"/>
      <c r="AU67" s="27"/>
      <c r="AV67" s="27"/>
      <c r="AW67" s="27"/>
      <c r="AX67" s="27"/>
      <c r="AY67" s="27"/>
      <c r="AZ67" s="27"/>
      <c r="BA67" s="27"/>
      <c r="BB67" s="762">
        <v>10</v>
      </c>
      <c r="BC67" s="185"/>
      <c r="BD67" s="185"/>
      <c r="BE67" s="185"/>
      <c r="BF67" s="185"/>
      <c r="BG67" s="185"/>
      <c r="BH67" s="185"/>
      <c r="BI67" s="185"/>
      <c r="BJ67" s="185"/>
      <c r="BM67" s="234"/>
      <c r="BN67" s="423" t="b">
        <f>IF(BV106=20,12)</f>
        <v>0</v>
      </c>
      <c r="BO67" s="424"/>
      <c r="BP67" s="424"/>
      <c r="BQ67" s="424"/>
      <c r="BR67" s="424"/>
      <c r="BS67" s="424"/>
      <c r="BT67" s="424"/>
      <c r="BU67" s="424"/>
      <c r="BV67" s="424"/>
      <c r="BW67" s="424"/>
      <c r="BX67" s="424"/>
      <c r="BY67" s="424"/>
      <c r="BZ67" s="424"/>
      <c r="CA67" s="424"/>
      <c r="CB67" s="424"/>
      <c r="CC67" s="424"/>
      <c r="CD67" s="425" t="b">
        <f>IF(BV106=20,28)</f>
        <v>0</v>
      </c>
      <c r="CE67" s="234"/>
      <c r="CG67" s="185"/>
      <c r="CH67" s="185"/>
    </row>
    <row r="68" spans="2:86" ht="19.5" hidden="1" customHeight="1" thickBot="1" x14ac:dyDescent="0.45">
      <c r="AT68" s="27"/>
      <c r="AU68" s="27"/>
      <c r="AV68" s="27"/>
      <c r="AW68" s="27"/>
      <c r="AX68" s="27"/>
      <c r="AY68" s="27"/>
      <c r="AZ68" s="27"/>
      <c r="BA68" s="27"/>
      <c r="BB68" s="762">
        <v>9</v>
      </c>
      <c r="BC68" s="185"/>
      <c r="BD68" s="185"/>
      <c r="BE68" s="185"/>
      <c r="BF68" s="185"/>
      <c r="BG68" s="185"/>
      <c r="BH68" s="185"/>
      <c r="BI68" s="185"/>
      <c r="BJ68" s="185"/>
      <c r="BL68" s="423" t="b">
        <f>IF(BU106=19,10)</f>
        <v>0</v>
      </c>
      <c r="BM68" s="430"/>
      <c r="BN68" s="430"/>
      <c r="BO68" s="430"/>
      <c r="BP68" s="430"/>
      <c r="BQ68" s="431"/>
      <c r="BR68" s="430"/>
      <c r="BS68" s="430"/>
      <c r="BT68" s="430"/>
      <c r="BU68" s="430"/>
      <c r="BV68" s="430"/>
      <c r="BW68" s="431"/>
      <c r="BX68" s="430"/>
      <c r="BY68" s="430"/>
      <c r="BZ68" s="430"/>
      <c r="CA68" s="424"/>
      <c r="CB68" s="424"/>
      <c r="CC68" s="431"/>
      <c r="CD68" s="425" t="b">
        <f>IF(BU106=19,28)</f>
        <v>0</v>
      </c>
      <c r="CF68" s="185"/>
      <c r="CG68" s="185"/>
      <c r="CH68" s="185"/>
    </row>
    <row r="69" spans="2:86" ht="19.5" hidden="1" customHeight="1" thickBot="1" x14ac:dyDescent="0.45">
      <c r="AT69" s="27"/>
      <c r="AU69" s="27"/>
      <c r="AV69" s="27"/>
      <c r="AW69" s="27"/>
      <c r="AX69" s="27"/>
      <c r="AY69" s="27"/>
      <c r="AZ69" s="27"/>
      <c r="BA69" s="27"/>
      <c r="BB69" s="762">
        <v>8</v>
      </c>
      <c r="BC69" s="182"/>
      <c r="BD69" s="182"/>
      <c r="BE69" s="182"/>
      <c r="BF69" s="182"/>
      <c r="BG69" s="182"/>
      <c r="BH69" s="182"/>
      <c r="BI69" s="182"/>
      <c r="BJ69" s="182"/>
      <c r="BK69" s="426" t="b">
        <f>IF(BT106=18,9)</f>
        <v>0</v>
      </c>
      <c r="BL69" s="427"/>
      <c r="BM69" s="427"/>
      <c r="BN69" s="427"/>
      <c r="BO69" s="427"/>
      <c r="BP69" s="427"/>
      <c r="BQ69" s="415"/>
      <c r="BR69" s="427"/>
      <c r="BS69" s="427"/>
      <c r="BT69" s="427"/>
      <c r="BU69" s="427"/>
      <c r="BV69" s="427"/>
      <c r="BW69" s="415"/>
      <c r="BX69" s="427"/>
      <c r="BY69" s="427"/>
      <c r="BZ69" s="427"/>
      <c r="CA69" s="428"/>
      <c r="CB69" s="428"/>
      <c r="CC69" s="429" t="b">
        <f>IF(BT106=18,27)</f>
        <v>0</v>
      </c>
      <c r="CD69" s="185"/>
      <c r="CE69" s="185"/>
      <c r="CF69" s="185"/>
      <c r="CG69" s="185"/>
      <c r="CH69" s="185"/>
    </row>
    <row r="70" spans="2:86" ht="19.5" hidden="1" customHeight="1" thickBot="1" x14ac:dyDescent="0.45">
      <c r="AT70" s="27"/>
      <c r="AU70" s="27"/>
      <c r="AV70" s="27"/>
      <c r="AW70" s="27"/>
      <c r="AX70" s="27"/>
      <c r="AY70" s="27"/>
      <c r="AZ70" s="27"/>
      <c r="BA70" s="27"/>
      <c r="BB70" s="432">
        <v>7</v>
      </c>
      <c r="BC70" s="182"/>
      <c r="BD70" s="182"/>
      <c r="BE70" s="182"/>
      <c r="BF70" s="182"/>
      <c r="BG70" s="182"/>
      <c r="BH70" s="182"/>
      <c r="BI70" s="182"/>
      <c r="BJ70" s="182"/>
      <c r="BK70" s="426" t="b">
        <f>IF(BS106=17,9)</f>
        <v>0</v>
      </c>
      <c r="BL70" s="415"/>
      <c r="BM70" s="427"/>
      <c r="BN70" s="427"/>
      <c r="BO70" s="427"/>
      <c r="BP70" s="427"/>
      <c r="BQ70" s="427"/>
      <c r="BR70" s="427"/>
      <c r="BS70" s="427"/>
      <c r="BT70" s="427"/>
      <c r="BU70" s="427"/>
      <c r="BV70" s="427"/>
      <c r="BW70" s="427"/>
      <c r="BX70" s="427"/>
      <c r="BY70" s="427"/>
      <c r="BZ70" s="415"/>
      <c r="CA70" s="429" t="b">
        <f>IF(BS106=17,25)</f>
        <v>0</v>
      </c>
      <c r="CB70" s="185"/>
      <c r="CC70" s="185"/>
      <c r="CD70" s="185"/>
      <c r="CE70" s="185"/>
      <c r="CF70" s="185"/>
      <c r="CG70" s="185"/>
      <c r="CH70" s="185"/>
    </row>
    <row r="71" spans="2:86" ht="19.5" hidden="1" customHeight="1" thickBot="1" x14ac:dyDescent="0.45">
      <c r="T71" s="4"/>
      <c r="U71" s="4"/>
      <c r="V71" s="4"/>
      <c r="W71" s="4"/>
      <c r="X71" s="4"/>
      <c r="Y71" s="4"/>
      <c r="Z71" s="4"/>
      <c r="AA71" s="4"/>
      <c r="AB71" s="4"/>
      <c r="AC71" s="4"/>
      <c r="AD71" s="4"/>
      <c r="AE71" s="4"/>
      <c r="AF71" s="4"/>
      <c r="AG71" s="4"/>
      <c r="AH71" s="4"/>
      <c r="AI71" s="4"/>
      <c r="AJ71" s="4"/>
      <c r="AK71" s="4"/>
      <c r="AL71" s="4"/>
      <c r="AM71" s="4"/>
      <c r="AN71" s="4"/>
      <c r="AO71" s="4"/>
      <c r="AQ71" s="32"/>
      <c r="AR71" s="33"/>
      <c r="AS71" s="33"/>
      <c r="AT71" s="27"/>
      <c r="AU71" s="27"/>
      <c r="AV71" s="27"/>
      <c r="AW71" s="27"/>
      <c r="AX71" s="27"/>
      <c r="AY71" s="27"/>
      <c r="AZ71" s="27"/>
      <c r="BA71" s="27"/>
      <c r="BB71" s="432">
        <v>6</v>
      </c>
      <c r="BC71" s="182"/>
      <c r="BD71" s="182"/>
      <c r="BE71" s="182"/>
      <c r="BF71" s="182"/>
      <c r="BG71" s="182"/>
      <c r="BH71" s="182"/>
      <c r="BI71" s="182"/>
      <c r="BK71" s="433" t="b">
        <f>IF(BR106=16,9)</f>
        <v>0</v>
      </c>
      <c r="BL71" s="434"/>
      <c r="BM71" s="434"/>
      <c r="BN71" s="434"/>
      <c r="BO71" s="434"/>
      <c r="BP71" s="434"/>
      <c r="BQ71" s="434"/>
      <c r="BR71" s="434"/>
      <c r="BS71" s="434"/>
      <c r="BT71" s="434"/>
      <c r="BU71" s="434"/>
      <c r="BV71" s="434"/>
      <c r="BW71" s="434"/>
      <c r="BX71" s="434"/>
      <c r="BY71" s="429" t="b">
        <f>IF(BR106=16,23)</f>
        <v>0</v>
      </c>
      <c r="CA71" s="185"/>
      <c r="CB71" s="185"/>
      <c r="CC71" s="185"/>
      <c r="CD71" s="185"/>
      <c r="CE71" s="185"/>
      <c r="CF71" s="185"/>
      <c r="CG71" s="185"/>
      <c r="CH71" s="185"/>
    </row>
    <row r="72" spans="2:86" ht="19.5" hidden="1" customHeight="1" thickBot="1" x14ac:dyDescent="0.45">
      <c r="T72" s="4"/>
      <c r="U72" s="4"/>
      <c r="V72" s="4"/>
      <c r="W72" s="4"/>
      <c r="X72" s="4"/>
      <c r="Y72" s="4"/>
      <c r="Z72" s="4"/>
      <c r="AA72" s="4"/>
      <c r="AB72" s="4"/>
      <c r="AC72" s="4"/>
      <c r="AD72" s="4"/>
      <c r="AE72" s="4"/>
      <c r="AF72" s="4"/>
      <c r="AG72" s="4"/>
      <c r="AH72" s="4"/>
      <c r="AI72" s="4"/>
      <c r="AJ72" s="4"/>
      <c r="AK72" s="4"/>
      <c r="AL72" s="4"/>
      <c r="AM72" s="4"/>
      <c r="AN72" s="4"/>
      <c r="AO72" s="4"/>
      <c r="AQ72" s="32"/>
      <c r="AR72" s="33"/>
      <c r="AS72" s="33"/>
      <c r="AT72" s="27"/>
      <c r="AU72" s="27"/>
      <c r="AV72" s="27"/>
      <c r="AW72" s="27"/>
      <c r="AX72" s="27"/>
      <c r="AY72" s="27"/>
      <c r="AZ72" s="27"/>
      <c r="BA72" s="27"/>
      <c r="BB72" s="762" t="s">
        <v>86</v>
      </c>
      <c r="BC72" s="182"/>
      <c r="BD72" s="182"/>
      <c r="BE72" s="182"/>
      <c r="BF72" s="182"/>
      <c r="BG72" s="182"/>
      <c r="BH72" s="182"/>
      <c r="BI72" s="182"/>
      <c r="BK72" s="423" t="b">
        <f>IF(BQ106=15,9)</f>
        <v>0</v>
      </c>
      <c r="BL72" s="430"/>
      <c r="BM72" s="431"/>
      <c r="BN72" s="430"/>
      <c r="BO72" s="430"/>
      <c r="BP72" s="430"/>
      <c r="BQ72" s="430"/>
      <c r="BR72" s="430"/>
      <c r="BS72" s="430"/>
      <c r="BT72" s="430"/>
      <c r="BU72" s="431"/>
      <c r="BV72" s="430"/>
      <c r="BW72" s="212" t="b">
        <f>IF(BQ106=15,21)</f>
        <v>0</v>
      </c>
      <c r="BY72" s="182"/>
      <c r="BZ72" s="182"/>
      <c r="CA72" s="185"/>
      <c r="CB72" s="185"/>
      <c r="CC72" s="185"/>
      <c r="CD72" s="185"/>
      <c r="CE72" s="185"/>
      <c r="CF72" s="185"/>
      <c r="CG72" s="185"/>
      <c r="CH72" s="185"/>
    </row>
    <row r="73" spans="2:86" ht="19.5" hidden="1" customHeight="1" thickBot="1" x14ac:dyDescent="0.45">
      <c r="T73" s="4"/>
      <c r="U73" s="4"/>
      <c r="V73" s="4"/>
      <c r="W73" s="4"/>
      <c r="X73" s="4"/>
      <c r="Y73" s="4"/>
      <c r="Z73" s="4"/>
      <c r="AA73" s="4"/>
      <c r="AB73" s="4"/>
      <c r="AC73" s="4"/>
      <c r="AD73" s="4"/>
      <c r="AE73" s="4"/>
      <c r="AF73" s="4"/>
      <c r="AG73" s="4"/>
      <c r="AH73" s="4"/>
      <c r="AI73" s="4"/>
      <c r="AJ73" s="4"/>
      <c r="AK73" s="4"/>
      <c r="AL73" s="4"/>
      <c r="AM73" s="4"/>
      <c r="AN73" s="4"/>
      <c r="AO73" s="4"/>
      <c r="AQ73" s="32"/>
      <c r="AR73" s="33"/>
      <c r="AS73" s="33"/>
      <c r="AT73" s="27"/>
      <c r="AU73" s="27"/>
      <c r="AV73" s="27"/>
      <c r="AW73" s="27"/>
      <c r="AX73" s="27"/>
      <c r="AY73" s="27"/>
      <c r="AZ73" s="27"/>
      <c r="BA73" s="27"/>
      <c r="BB73" s="762" t="s">
        <v>85</v>
      </c>
      <c r="BC73" s="182"/>
      <c r="BD73" s="182"/>
      <c r="BE73" s="182"/>
      <c r="BF73" s="182"/>
      <c r="BG73" s="182"/>
      <c r="BI73" s="229"/>
      <c r="BJ73" s="423" t="b">
        <f>IF(BP106=14,8)</f>
        <v>0</v>
      </c>
      <c r="BK73" s="431"/>
      <c r="BL73" s="430"/>
      <c r="BM73" s="430"/>
      <c r="BN73" s="430"/>
      <c r="BO73" s="430"/>
      <c r="BP73" s="430"/>
      <c r="BQ73" s="430"/>
      <c r="BR73" s="430"/>
      <c r="BS73" s="430"/>
      <c r="BT73" s="430"/>
      <c r="BU73" s="431"/>
      <c r="BV73" s="425" t="b">
        <f>IF(BP106=14,20)</f>
        <v>0</v>
      </c>
      <c r="BW73" s="229"/>
      <c r="BY73" s="182"/>
      <c r="BZ73" s="182"/>
      <c r="CA73" s="185"/>
      <c r="CB73" s="185"/>
      <c r="CC73" s="185"/>
      <c r="CD73" s="185"/>
      <c r="CE73" s="185"/>
      <c r="CF73" s="185"/>
      <c r="CG73" s="185"/>
      <c r="CH73" s="185"/>
    </row>
    <row r="74" spans="2:86" ht="19.5" hidden="1" customHeight="1" thickBot="1" x14ac:dyDescent="0.45">
      <c r="T74" s="4"/>
      <c r="U74" s="4"/>
      <c r="V74" s="4"/>
      <c r="W74" s="4"/>
      <c r="X74" s="4"/>
      <c r="Y74" s="4"/>
      <c r="Z74" s="4"/>
      <c r="AA74" s="4"/>
      <c r="AB74" s="4"/>
      <c r="AC74" s="4"/>
      <c r="AD74" s="4"/>
      <c r="AE74" s="4"/>
      <c r="AF74" s="4"/>
      <c r="AG74" s="4"/>
      <c r="AH74" s="4"/>
      <c r="AI74" s="4"/>
      <c r="AJ74" s="4"/>
      <c r="AK74" s="4"/>
      <c r="AL74" s="4"/>
      <c r="AM74" s="4"/>
      <c r="AN74" s="4"/>
      <c r="AO74" s="4"/>
      <c r="AQ74" s="32"/>
      <c r="AR74" s="33"/>
      <c r="AS74" s="33"/>
      <c r="AT74" s="27"/>
      <c r="AU74" s="27"/>
      <c r="AV74" s="27"/>
      <c r="AW74" s="27"/>
      <c r="AX74" s="27"/>
      <c r="AY74" s="27"/>
      <c r="AZ74" s="27"/>
      <c r="BA74" s="27"/>
      <c r="BB74" s="762">
        <v>5</v>
      </c>
      <c r="BC74" s="182"/>
      <c r="BD74" s="182"/>
      <c r="BE74" s="182"/>
      <c r="BH74" s="423" t="b">
        <f>IF(BO106=13,6)</f>
        <v>0</v>
      </c>
      <c r="BI74" s="431"/>
      <c r="BJ74" s="430"/>
      <c r="BK74" s="430"/>
      <c r="BL74" s="430"/>
      <c r="BM74" s="430"/>
      <c r="BN74" s="430"/>
      <c r="BO74" s="430"/>
      <c r="BP74" s="430"/>
      <c r="BQ74" s="430"/>
      <c r="BR74" s="430"/>
      <c r="BS74" s="430"/>
      <c r="BT74" s="430"/>
      <c r="BU74" s="431"/>
      <c r="BV74" s="425" t="b">
        <f>IF(BO106=13,20)</f>
        <v>0</v>
      </c>
      <c r="BW74" s="229"/>
      <c r="BY74" s="182"/>
      <c r="BZ74" s="182"/>
      <c r="CA74" s="185"/>
      <c r="CB74" s="185"/>
      <c r="CC74" s="185"/>
      <c r="CD74" s="185"/>
      <c r="CE74" s="185"/>
      <c r="CF74" s="185"/>
      <c r="CG74" s="185"/>
      <c r="CH74" s="185"/>
    </row>
    <row r="75" spans="2:86" ht="19.5" hidden="1" customHeight="1" thickBot="1" x14ac:dyDescent="0.45">
      <c r="T75" s="4"/>
      <c r="U75" s="4"/>
      <c r="V75" s="4"/>
      <c r="W75" s="4"/>
      <c r="X75" s="4"/>
      <c r="Y75" s="4"/>
      <c r="Z75" s="4"/>
      <c r="AA75" s="4"/>
      <c r="AB75" s="4"/>
      <c r="AC75" s="4"/>
      <c r="AD75" s="4"/>
      <c r="AE75" s="4"/>
      <c r="AF75" s="4"/>
      <c r="AG75" s="4"/>
      <c r="AH75" s="4"/>
      <c r="AI75" s="4"/>
      <c r="AJ75" s="4"/>
      <c r="AK75" s="4"/>
      <c r="AL75" s="4"/>
      <c r="AM75" s="4"/>
      <c r="AN75" s="4"/>
      <c r="AO75" s="4"/>
      <c r="AQ75" s="32"/>
      <c r="AR75" s="33"/>
      <c r="AS75" s="33"/>
      <c r="AT75" s="27"/>
      <c r="AU75" s="27"/>
      <c r="AV75" s="27"/>
      <c r="AW75" s="27"/>
      <c r="AX75" s="27"/>
      <c r="AY75" s="27"/>
      <c r="AZ75" s="27"/>
      <c r="BA75" s="27"/>
      <c r="BB75" s="762">
        <v>4</v>
      </c>
      <c r="BC75" s="182"/>
      <c r="BE75" s="229"/>
      <c r="BF75" s="423" t="b">
        <f>IF(BN106=12,4)</f>
        <v>0</v>
      </c>
      <c r="BG75" s="431"/>
      <c r="BH75" s="430"/>
      <c r="BI75" s="430"/>
      <c r="BJ75" s="430"/>
      <c r="BK75" s="430"/>
      <c r="BL75" s="430"/>
      <c r="BM75" s="430"/>
      <c r="BN75" s="430"/>
      <c r="BO75" s="430"/>
      <c r="BP75" s="430"/>
      <c r="BQ75" s="430"/>
      <c r="BR75" s="430"/>
      <c r="BS75" s="430"/>
      <c r="BT75" s="430"/>
      <c r="BU75" s="431"/>
      <c r="BV75" s="425" t="b">
        <f>IF(BN106=12,20)</f>
        <v>0</v>
      </c>
      <c r="BW75" s="229"/>
      <c r="BY75" s="182"/>
      <c r="BZ75" s="182"/>
      <c r="CA75" s="185"/>
      <c r="CB75" s="185"/>
      <c r="CC75" s="185"/>
      <c r="CD75" s="185"/>
      <c r="CE75" s="185"/>
      <c r="CF75" s="185"/>
      <c r="CG75" s="185"/>
      <c r="CH75" s="185"/>
    </row>
    <row r="76" spans="2:86" ht="19.5" hidden="1" customHeight="1" thickBot="1" x14ac:dyDescent="0.45">
      <c r="B76" s="24"/>
      <c r="T76" s="4"/>
      <c r="U76" s="4"/>
      <c r="V76" s="4"/>
      <c r="W76" s="4"/>
      <c r="X76" s="4"/>
      <c r="Y76" s="4"/>
      <c r="Z76" s="4"/>
      <c r="AA76" s="4"/>
      <c r="AB76" s="4"/>
      <c r="AC76" s="4"/>
      <c r="AD76" s="4"/>
      <c r="AE76" s="4"/>
      <c r="AF76" s="4"/>
      <c r="AG76" s="4"/>
      <c r="AH76" s="4"/>
      <c r="AI76" s="4"/>
      <c r="AJ76" s="4"/>
      <c r="AK76" s="4"/>
      <c r="AL76" s="4"/>
      <c r="AM76" s="4"/>
      <c r="AN76" s="4"/>
      <c r="AO76" s="4"/>
      <c r="AQ76" s="32"/>
      <c r="AR76" s="33"/>
      <c r="AS76" s="33"/>
      <c r="AT76" s="27"/>
      <c r="AU76" s="27"/>
      <c r="AV76" s="27"/>
      <c r="AW76" s="27"/>
      <c r="AX76" s="27"/>
      <c r="AY76" s="27"/>
      <c r="AZ76" s="27"/>
      <c r="BA76" s="27"/>
      <c r="BB76" s="762">
        <v>3</v>
      </c>
      <c r="BD76" s="423">
        <f>IF(BM106=11,2)</f>
        <v>2</v>
      </c>
      <c r="BE76" s="415"/>
      <c r="BF76" s="427"/>
      <c r="BG76" s="427"/>
      <c r="BH76" s="427"/>
      <c r="BI76" s="427"/>
      <c r="BJ76" s="427"/>
      <c r="BK76" s="427"/>
      <c r="BL76" s="427"/>
      <c r="BM76" s="427"/>
      <c r="BN76" s="427"/>
      <c r="BO76" s="427"/>
      <c r="BP76" s="427"/>
      <c r="BQ76" s="427"/>
      <c r="BR76" s="427"/>
      <c r="BS76" s="427"/>
      <c r="BT76" s="427"/>
      <c r="BU76" s="415"/>
      <c r="BV76" s="429">
        <f>IF(BM106=11,20)</f>
        <v>20</v>
      </c>
      <c r="BX76" s="182"/>
      <c r="BY76" s="182"/>
      <c r="BZ76" s="182"/>
      <c r="CA76" s="185"/>
      <c r="CB76" s="185"/>
      <c r="CC76" s="185"/>
      <c r="CD76" s="185"/>
      <c r="CE76" s="185"/>
      <c r="CF76" s="185"/>
      <c r="CG76" s="185"/>
      <c r="CH76" s="185"/>
    </row>
    <row r="77" spans="2:86" ht="19.5" hidden="1" customHeight="1" thickBot="1" x14ac:dyDescent="0.45">
      <c r="B77" s="166"/>
      <c r="T77" s="4"/>
      <c r="U77" s="4"/>
      <c r="V77" s="4"/>
      <c r="W77" s="4"/>
      <c r="X77" s="4"/>
      <c r="Y77" s="4"/>
      <c r="Z77" s="4"/>
      <c r="AA77" s="4"/>
      <c r="AB77" s="4"/>
      <c r="AC77" s="4"/>
      <c r="AD77" s="4"/>
      <c r="AE77" s="4"/>
      <c r="AF77" s="4"/>
      <c r="AG77" s="4"/>
      <c r="AH77" s="4"/>
      <c r="AI77" s="4"/>
      <c r="AJ77" s="4"/>
      <c r="AK77" s="4"/>
      <c r="AL77" s="4"/>
      <c r="AM77" s="4"/>
      <c r="AN77" s="4"/>
      <c r="AO77" s="4"/>
      <c r="AQ77" s="32"/>
      <c r="AR77" s="33"/>
      <c r="AS77" s="33"/>
      <c r="AT77" s="27"/>
      <c r="AU77" s="27"/>
      <c r="AV77" s="27"/>
      <c r="AW77" s="27"/>
      <c r="AX77" s="27"/>
      <c r="AY77" s="27"/>
      <c r="AZ77" s="27"/>
      <c r="BA77" s="27"/>
      <c r="BB77" s="762">
        <v>2</v>
      </c>
      <c r="BC77" s="426" t="b">
        <f>IF(BL106=10,1)</f>
        <v>0</v>
      </c>
      <c r="BD77" s="427"/>
      <c r="BE77" s="427"/>
      <c r="BF77" s="427"/>
      <c r="BG77" s="427"/>
      <c r="BH77" s="427"/>
      <c r="BI77" s="427"/>
      <c r="BJ77" s="427"/>
      <c r="BK77" s="427"/>
      <c r="BL77" s="427"/>
      <c r="BM77" s="427"/>
      <c r="BN77" s="427"/>
      <c r="BO77" s="427"/>
      <c r="BP77" s="427"/>
      <c r="BQ77" s="427"/>
      <c r="BR77" s="427"/>
      <c r="BS77" s="427"/>
      <c r="BT77" s="427"/>
      <c r="BU77" s="429" t="b">
        <f>IF(BL106=10,19)</f>
        <v>0</v>
      </c>
      <c r="BV77" s="182"/>
      <c r="BW77" s="182"/>
      <c r="BX77" s="182"/>
      <c r="BY77" s="182"/>
      <c r="BZ77" s="182"/>
      <c r="CA77" s="185"/>
      <c r="CB77" s="185"/>
      <c r="CC77" s="185"/>
      <c r="CD77" s="185"/>
      <c r="CE77" s="185"/>
      <c r="CF77" s="185"/>
      <c r="CG77" s="185"/>
      <c r="CH77" s="185"/>
    </row>
    <row r="78" spans="2:86" ht="19.5" hidden="1" customHeight="1" thickBot="1" x14ac:dyDescent="0.45">
      <c r="T78" s="4"/>
      <c r="U78" s="4"/>
      <c r="V78" s="4"/>
      <c r="W78" s="4"/>
      <c r="X78" s="4"/>
      <c r="Y78" s="4"/>
      <c r="Z78" s="4"/>
      <c r="AA78" s="4"/>
      <c r="AB78" s="4"/>
      <c r="AC78" s="4"/>
      <c r="AD78" s="4"/>
      <c r="AE78" s="4"/>
      <c r="AF78" s="4"/>
      <c r="AG78" s="4"/>
      <c r="AH78" s="4"/>
      <c r="AI78" s="4"/>
      <c r="AJ78" s="4"/>
      <c r="AK78" s="4"/>
      <c r="AL78" s="4"/>
      <c r="AM78" s="4"/>
      <c r="AN78" s="4"/>
      <c r="AO78" s="4"/>
      <c r="AQ78" s="32"/>
      <c r="AR78" s="33"/>
      <c r="AS78" s="33"/>
      <c r="AU78" s="27"/>
      <c r="AV78" s="27"/>
      <c r="AW78" s="27"/>
      <c r="AX78" s="27"/>
      <c r="AY78" s="27"/>
      <c r="AZ78" s="27"/>
      <c r="BA78" s="27"/>
      <c r="BB78" s="762">
        <v>1</v>
      </c>
      <c r="BC78" s="426" t="b">
        <f>IF(BK106=9,1)</f>
        <v>0</v>
      </c>
      <c r="BD78" s="427"/>
      <c r="BE78" s="427"/>
      <c r="BF78" s="427"/>
      <c r="BG78" s="427"/>
      <c r="BH78" s="427"/>
      <c r="BI78" s="427"/>
      <c r="BJ78" s="427"/>
      <c r="BK78" s="427"/>
      <c r="BL78" s="427"/>
      <c r="BM78" s="427"/>
      <c r="BN78" s="427"/>
      <c r="BO78" s="427"/>
      <c r="BP78" s="427"/>
      <c r="BQ78" s="427"/>
      <c r="BR78" s="427"/>
      <c r="BS78" s="429" t="b">
        <f>IF(BK106=9,17)</f>
        <v>0</v>
      </c>
      <c r="BT78" s="182"/>
      <c r="BU78" s="182"/>
      <c r="BV78" s="182"/>
      <c r="BW78" s="182"/>
      <c r="BX78" s="182"/>
      <c r="BY78" s="182"/>
      <c r="BZ78" s="182"/>
      <c r="CA78" s="185"/>
      <c r="CB78" s="185"/>
      <c r="CC78" s="185"/>
      <c r="CD78" s="185"/>
      <c r="CE78" s="185"/>
      <c r="CF78" s="185"/>
      <c r="CG78" s="185"/>
      <c r="CH78" s="185"/>
    </row>
    <row r="79" spans="2:86" ht="19.5" hidden="1" customHeight="1" thickBot="1" x14ac:dyDescent="0.45">
      <c r="T79" s="4"/>
      <c r="U79" s="4"/>
      <c r="V79" s="4"/>
      <c r="W79" s="4"/>
      <c r="X79" s="4"/>
      <c r="Y79" s="4"/>
      <c r="Z79" s="4"/>
      <c r="AA79" s="4"/>
      <c r="AB79" s="4"/>
      <c r="AC79" s="4"/>
      <c r="AD79" s="4"/>
      <c r="AE79" s="4"/>
      <c r="AF79" s="4"/>
      <c r="AG79" s="4"/>
      <c r="AH79" s="4"/>
      <c r="AI79" s="4"/>
      <c r="AJ79" s="4"/>
      <c r="AK79" s="4"/>
      <c r="AL79" s="4"/>
      <c r="AM79" s="4"/>
      <c r="AN79" s="4"/>
      <c r="AO79" s="4"/>
      <c r="AQ79" s="32"/>
      <c r="AR79" s="33"/>
      <c r="AS79" s="33"/>
      <c r="AT79" s="27"/>
      <c r="AU79" s="27"/>
      <c r="AV79" s="27"/>
      <c r="AW79" s="27"/>
      <c r="AX79" s="27"/>
      <c r="AY79" s="27"/>
      <c r="AZ79" s="27"/>
      <c r="BA79" s="27"/>
      <c r="BB79" s="762" t="s">
        <v>84</v>
      </c>
      <c r="BD79" s="182"/>
      <c r="BE79" s="426" t="b">
        <f>IF(BJ106=8,3)</f>
        <v>0</v>
      </c>
      <c r="BF79" s="427"/>
      <c r="BG79" s="427"/>
      <c r="BH79" s="427"/>
      <c r="BI79" s="427"/>
      <c r="BJ79" s="427"/>
      <c r="BK79" s="427"/>
      <c r="BL79" s="427"/>
      <c r="BM79" s="427"/>
      <c r="BN79" s="427"/>
      <c r="BO79" s="429" t="b">
        <f>IF(BJ106=8,5)</f>
        <v>0</v>
      </c>
      <c r="BP79" s="182"/>
      <c r="BR79" s="182"/>
      <c r="BS79" s="182"/>
      <c r="BT79" s="182"/>
      <c r="BU79" s="182"/>
      <c r="BV79" s="182"/>
      <c r="BW79" s="182"/>
      <c r="BX79" s="182"/>
      <c r="BY79" s="182"/>
      <c r="BZ79" s="182"/>
      <c r="CA79" s="185"/>
      <c r="CB79" s="185"/>
      <c r="CC79" s="185"/>
      <c r="CD79" s="185"/>
      <c r="CE79" s="185"/>
      <c r="CF79" s="185"/>
      <c r="CG79" s="185"/>
      <c r="CH79" s="185"/>
    </row>
    <row r="80" spans="2:86" ht="19.5" hidden="1" customHeight="1" thickBot="1" x14ac:dyDescent="0.45">
      <c r="T80" s="4"/>
      <c r="U80" s="4"/>
      <c r="V80" s="4"/>
      <c r="W80" s="4"/>
      <c r="X80" s="4"/>
      <c r="Y80" s="4"/>
      <c r="Z80" s="4"/>
      <c r="AA80" s="4"/>
      <c r="AB80" s="4"/>
      <c r="AC80" s="4"/>
      <c r="AD80" s="4"/>
      <c r="AE80" s="4"/>
      <c r="AF80" s="4"/>
      <c r="AG80" s="4"/>
      <c r="AH80" s="4"/>
      <c r="AI80" s="4"/>
      <c r="AJ80" s="4"/>
      <c r="AK80" s="4"/>
      <c r="AL80" s="4"/>
      <c r="AM80" s="4"/>
      <c r="AN80" s="4"/>
      <c r="AO80" s="4"/>
      <c r="AQ80" s="32"/>
      <c r="AR80" s="33"/>
      <c r="AS80" s="33"/>
      <c r="AU80" s="27"/>
      <c r="AV80" s="27"/>
      <c r="AW80" s="27"/>
      <c r="AX80" s="27"/>
      <c r="AY80" s="27"/>
      <c r="AZ80" s="27"/>
      <c r="BA80" s="27"/>
      <c r="BB80" s="762" t="s">
        <v>16</v>
      </c>
      <c r="BC80" s="182"/>
      <c r="BD80" s="210" t="b">
        <f>IF(BI106=7,2)</f>
        <v>0</v>
      </c>
      <c r="BE80" s="230"/>
      <c r="BF80" s="230"/>
      <c r="BG80" s="230"/>
      <c r="BH80" s="230"/>
      <c r="BI80" s="230"/>
      <c r="BJ80" s="230"/>
      <c r="BK80" s="230"/>
      <c r="BL80" s="230"/>
      <c r="BM80" s="2"/>
      <c r="BN80" s="209" t="b">
        <f>IF(BI106=7,12)</f>
        <v>0</v>
      </c>
      <c r="BO80" s="182"/>
      <c r="BP80" s="182"/>
      <c r="BQ80" s="182"/>
      <c r="BR80" s="182"/>
      <c r="BS80" s="182"/>
      <c r="BT80" s="182"/>
      <c r="BU80" s="182"/>
      <c r="BV80" s="182"/>
      <c r="BW80" s="182"/>
      <c r="BX80" s="182"/>
      <c r="BY80" s="182"/>
      <c r="BZ80" s="182"/>
      <c r="CA80" s="185"/>
      <c r="CB80" s="185"/>
      <c r="CC80" s="185"/>
      <c r="CD80" s="185"/>
      <c r="CE80" s="185"/>
      <c r="CF80" s="185"/>
      <c r="CG80" s="185"/>
      <c r="CH80" s="185"/>
    </row>
    <row r="81" spans="2:86" ht="19.5" hidden="1" customHeight="1" thickBot="1" x14ac:dyDescent="0.45">
      <c r="T81" s="4"/>
      <c r="U81" s="4"/>
      <c r="V81" s="4"/>
      <c r="W81" s="4"/>
      <c r="X81" s="4"/>
      <c r="Y81" s="4"/>
      <c r="Z81" s="4"/>
      <c r="AA81" s="4"/>
      <c r="AB81" s="4"/>
      <c r="AC81" s="4"/>
      <c r="AD81" s="4"/>
      <c r="AE81" s="4"/>
      <c r="AF81" s="4"/>
      <c r="AG81" s="4"/>
      <c r="AH81" s="4"/>
      <c r="AI81" s="4"/>
      <c r="AJ81" s="4"/>
      <c r="AK81" s="4"/>
      <c r="AL81" s="4"/>
      <c r="AM81" s="4"/>
      <c r="AN81" s="4"/>
      <c r="AO81" s="4"/>
      <c r="AQ81" s="32"/>
      <c r="AR81" s="33"/>
      <c r="AS81" s="33"/>
      <c r="AU81" s="27"/>
      <c r="AV81" s="27"/>
      <c r="AW81" s="27"/>
      <c r="AX81" s="27"/>
      <c r="AY81" s="27"/>
      <c r="AZ81" s="27"/>
      <c r="BA81" s="27"/>
      <c r="BB81" s="762" t="s">
        <v>83</v>
      </c>
      <c r="BC81" s="423" t="b">
        <f>IF(BH106=6,1)</f>
        <v>0</v>
      </c>
      <c r="BD81" s="430"/>
      <c r="BE81" s="430"/>
      <c r="BF81" s="430"/>
      <c r="BG81" s="430"/>
      <c r="BH81" s="430"/>
      <c r="BI81" s="430"/>
      <c r="BJ81" s="430"/>
      <c r="BK81" s="430"/>
      <c r="BL81" s="430"/>
      <c r="BM81" s="425" t="b">
        <f>IF(BH106=6,11)</f>
        <v>0</v>
      </c>
      <c r="BN81" s="182"/>
      <c r="BO81" s="182"/>
      <c r="BP81" s="182"/>
      <c r="BQ81" s="182"/>
      <c r="BR81" s="182"/>
      <c r="BS81" s="182"/>
      <c r="BT81" s="182"/>
      <c r="BU81" s="182"/>
      <c r="BV81" s="182"/>
      <c r="BW81" s="182"/>
      <c r="BX81" s="182"/>
      <c r="BY81" s="182"/>
      <c r="BZ81" s="182"/>
      <c r="CA81" s="185"/>
      <c r="CB81" s="185"/>
      <c r="CC81" s="185"/>
      <c r="CD81" s="185"/>
      <c r="CE81" s="185"/>
      <c r="CF81" s="185"/>
      <c r="CG81" s="185"/>
      <c r="CH81" s="185"/>
    </row>
    <row r="82" spans="2:86" ht="19.5" hidden="1" customHeight="1" thickBot="1" x14ac:dyDescent="0.45">
      <c r="T82" s="4"/>
      <c r="U82" s="4"/>
      <c r="V82" s="4"/>
      <c r="W82" s="4"/>
      <c r="X82" s="4"/>
      <c r="Y82" s="4"/>
      <c r="Z82" s="4"/>
      <c r="AA82" s="4"/>
      <c r="AB82" s="4"/>
      <c r="AC82" s="4"/>
      <c r="AD82" s="4"/>
      <c r="AE82" s="4"/>
      <c r="AF82" s="4"/>
      <c r="AG82" s="4"/>
      <c r="AH82" s="4"/>
      <c r="AI82" s="4"/>
      <c r="AJ82" s="4"/>
      <c r="AK82" s="4"/>
      <c r="AL82" s="4"/>
      <c r="AM82" s="4"/>
      <c r="AN82" s="4"/>
      <c r="AO82" s="4"/>
      <c r="AQ82" s="32"/>
      <c r="AR82" s="33"/>
      <c r="AS82" s="33"/>
      <c r="AT82" s="27"/>
      <c r="AU82" s="27"/>
      <c r="AV82" s="27"/>
      <c r="AW82" s="27"/>
      <c r="AX82" s="27"/>
      <c r="AY82" s="27"/>
      <c r="AZ82" s="27"/>
      <c r="BA82" s="27"/>
      <c r="BB82" s="762" t="s">
        <v>37</v>
      </c>
      <c r="BC82" s="426" t="b">
        <f>IF(BG106=5,1)</f>
        <v>0</v>
      </c>
      <c r="BD82" s="415"/>
      <c r="BE82" s="427"/>
      <c r="BF82" s="427"/>
      <c r="BG82" s="427"/>
      <c r="BH82" s="427"/>
      <c r="BI82" s="427"/>
      <c r="BJ82" s="415"/>
      <c r="BK82" s="429" t="b">
        <f>IF(BG106=5,9)</f>
        <v>0</v>
      </c>
      <c r="BL82" s="182"/>
      <c r="BM82" s="182"/>
      <c r="BN82" s="182"/>
      <c r="BO82" s="182"/>
      <c r="BP82" s="182"/>
      <c r="BQ82" s="182"/>
      <c r="BR82" s="182"/>
      <c r="BS82" s="182"/>
      <c r="BT82" s="182"/>
      <c r="BU82" s="182"/>
      <c r="BV82" s="182"/>
      <c r="BW82" s="182"/>
      <c r="BX82" s="182"/>
      <c r="BY82" s="182"/>
      <c r="BZ82" s="182"/>
      <c r="CA82" s="185"/>
      <c r="CB82" s="185"/>
      <c r="CC82" s="185"/>
      <c r="CD82" s="185"/>
      <c r="CE82" s="185"/>
      <c r="CF82" s="185"/>
      <c r="CG82" s="185"/>
      <c r="CH82" s="185"/>
    </row>
    <row r="83" spans="2:86" ht="19.5" hidden="1" customHeight="1" thickBot="1" x14ac:dyDescent="0.45">
      <c r="T83" s="4"/>
      <c r="U83" s="4"/>
      <c r="V83" s="4"/>
      <c r="W83" s="4"/>
      <c r="X83" s="4"/>
      <c r="Y83" s="4"/>
      <c r="Z83" s="4"/>
      <c r="AA83" s="4"/>
      <c r="AB83" s="4"/>
      <c r="AC83" s="4"/>
      <c r="AD83" s="4"/>
      <c r="AE83" s="4"/>
      <c r="AF83" s="4"/>
      <c r="AG83" s="4"/>
      <c r="AH83" s="4"/>
      <c r="AI83" s="4"/>
      <c r="AJ83" s="4"/>
      <c r="AK83" s="4"/>
      <c r="AL83" s="4"/>
      <c r="AM83" s="4"/>
      <c r="AN83" s="4"/>
      <c r="AO83" s="4"/>
      <c r="AQ83" s="32"/>
      <c r="AR83" s="33"/>
      <c r="AS83" s="33"/>
      <c r="AU83" s="27"/>
      <c r="AV83" s="27"/>
      <c r="AW83" s="27"/>
      <c r="AX83" s="27"/>
      <c r="AY83" s="27"/>
      <c r="AZ83" s="27"/>
      <c r="BA83" s="27"/>
      <c r="BB83" s="762" t="s">
        <v>36</v>
      </c>
      <c r="BC83" s="426" t="b">
        <f>IF(BF106=4,1)</f>
        <v>0</v>
      </c>
      <c r="BD83" s="427"/>
      <c r="BE83" s="427"/>
      <c r="BF83" s="427"/>
      <c r="BG83" s="427"/>
      <c r="BH83" s="427"/>
      <c r="BI83" s="429" t="b">
        <f>IF(BF106=4,7)</f>
        <v>0</v>
      </c>
      <c r="BJ83" s="182"/>
      <c r="BK83" s="194"/>
      <c r="BL83" s="194"/>
      <c r="BM83" s="182"/>
      <c r="BN83" s="194"/>
      <c r="BO83" s="182"/>
      <c r="BP83" s="182"/>
      <c r="BQ83" s="182"/>
      <c r="BR83" s="182"/>
      <c r="BS83" s="182"/>
      <c r="BT83" s="182"/>
      <c r="BU83" s="182"/>
      <c r="BV83" s="182"/>
      <c r="BW83" s="182"/>
      <c r="BX83" s="182"/>
      <c r="BY83" s="182"/>
      <c r="BZ83" s="182"/>
      <c r="CA83" s="185"/>
      <c r="CB83" s="185"/>
      <c r="CC83" s="185"/>
      <c r="CD83" s="185"/>
      <c r="CE83" s="185"/>
      <c r="CF83" s="185"/>
      <c r="CG83" s="185"/>
      <c r="CH83" s="185"/>
    </row>
    <row r="84" spans="2:86" ht="19.5" hidden="1" customHeight="1" thickBot="1" x14ac:dyDescent="0.45">
      <c r="T84" s="4"/>
      <c r="U84" s="4"/>
      <c r="V84" s="4"/>
      <c r="W84" s="4"/>
      <c r="X84" s="4"/>
      <c r="Y84" s="4"/>
      <c r="Z84" s="4"/>
      <c r="AA84" s="4"/>
      <c r="AB84" s="4"/>
      <c r="AC84" s="4"/>
      <c r="AD84" s="4"/>
      <c r="AE84" s="4"/>
      <c r="AF84" s="4"/>
      <c r="AG84" s="4"/>
      <c r="AH84" s="4"/>
      <c r="AI84" s="4"/>
      <c r="AJ84" s="4"/>
      <c r="AK84" s="4"/>
      <c r="AL84" s="4"/>
      <c r="AM84" s="4"/>
      <c r="AN84" s="4"/>
      <c r="AO84" s="4"/>
      <c r="AQ84" s="32"/>
      <c r="AR84" s="33"/>
      <c r="AS84" s="33"/>
      <c r="AT84" s="27"/>
      <c r="AU84" s="27"/>
      <c r="AV84" s="27"/>
      <c r="AW84" s="27"/>
      <c r="AX84" s="27"/>
      <c r="AY84" s="27"/>
      <c r="AZ84" s="27"/>
      <c r="BA84" s="27"/>
      <c r="BB84" s="762" t="s">
        <v>35</v>
      </c>
      <c r="BC84" s="426" t="b">
        <f>IF(BE106=3,1)</f>
        <v>0</v>
      </c>
      <c r="BD84" s="427"/>
      <c r="BE84" s="427"/>
      <c r="BF84" s="427"/>
      <c r="BG84" s="429" t="b">
        <f>IF(BE106=3,5)</f>
        <v>0</v>
      </c>
      <c r="BH84" s="182"/>
      <c r="BI84" s="182"/>
      <c r="BJ84" s="182"/>
      <c r="BK84" s="182"/>
      <c r="BL84" s="182"/>
      <c r="BM84" s="182"/>
      <c r="BN84" s="182"/>
      <c r="BO84" s="182"/>
      <c r="BP84" s="182"/>
      <c r="BQ84" s="182"/>
      <c r="BR84" s="182"/>
      <c r="BS84" s="182"/>
      <c r="BT84" s="182"/>
      <c r="BU84" s="182"/>
      <c r="BV84" s="182"/>
      <c r="BW84" s="182"/>
      <c r="BX84" s="182"/>
      <c r="BY84" s="182"/>
      <c r="BZ84" s="182"/>
      <c r="CA84" s="185"/>
      <c r="CB84" s="185"/>
      <c r="CC84" s="185"/>
      <c r="CD84" s="185"/>
      <c r="CE84" s="185"/>
      <c r="CF84" s="185"/>
      <c r="CG84" s="185"/>
      <c r="CH84" s="185"/>
    </row>
    <row r="85" spans="2:86" ht="19.5" hidden="1" customHeight="1" thickBot="1" x14ac:dyDescent="0.45">
      <c r="T85" s="4"/>
      <c r="U85" s="4"/>
      <c r="V85" s="4"/>
      <c r="W85" s="4"/>
      <c r="X85" s="4"/>
      <c r="Y85" s="4"/>
      <c r="Z85" s="4"/>
      <c r="AA85" s="4"/>
      <c r="AB85" s="4"/>
      <c r="AC85" s="4"/>
      <c r="AD85" s="4"/>
      <c r="AE85" s="4"/>
      <c r="AF85" s="4"/>
      <c r="AG85" s="4"/>
      <c r="AH85" s="4"/>
      <c r="AI85" s="4"/>
      <c r="AJ85" s="4"/>
      <c r="AK85" s="4"/>
      <c r="AL85" s="4"/>
      <c r="AM85" s="4"/>
      <c r="AN85" s="4"/>
      <c r="AO85" s="4"/>
      <c r="AQ85" s="32"/>
      <c r="AR85" s="33"/>
      <c r="AS85" s="33"/>
      <c r="AT85" s="27"/>
      <c r="AU85" s="27"/>
      <c r="AV85" s="27"/>
      <c r="AW85" s="27"/>
      <c r="AX85" s="27"/>
      <c r="AY85" s="27"/>
      <c r="AZ85" s="27"/>
      <c r="BA85" s="27"/>
      <c r="BB85" s="762" t="s">
        <v>34</v>
      </c>
      <c r="BC85" s="426" t="b">
        <f>IF(BD106=2,1)</f>
        <v>0</v>
      </c>
      <c r="BD85" s="427"/>
      <c r="BE85" s="429" t="b">
        <f>IF(BD106=2,3)</f>
        <v>0</v>
      </c>
      <c r="BF85" s="182"/>
      <c r="BG85" s="182"/>
      <c r="BH85" s="182"/>
      <c r="BI85" s="182"/>
      <c r="BJ85" s="182"/>
      <c r="BK85" s="182"/>
      <c r="BL85" s="182"/>
      <c r="BM85" s="182"/>
      <c r="BN85" s="182"/>
      <c r="BO85" s="182"/>
      <c r="BP85" s="182"/>
      <c r="BQ85" s="182"/>
      <c r="BR85" s="182"/>
      <c r="BS85" s="182"/>
      <c r="BT85" s="182"/>
      <c r="BU85" s="182"/>
      <c r="BV85" s="182"/>
      <c r="BW85" s="182"/>
      <c r="BX85" s="182"/>
      <c r="BY85" s="182"/>
      <c r="BZ85" s="182"/>
      <c r="CA85" s="185"/>
      <c r="CB85" s="185"/>
      <c r="CC85" s="185"/>
      <c r="CD85" s="185"/>
      <c r="CE85" s="185"/>
      <c r="CF85" s="185"/>
      <c r="CG85" s="185"/>
      <c r="CH85" s="185"/>
    </row>
    <row r="86" spans="2:86" ht="48" hidden="1" customHeight="1" thickBot="1" x14ac:dyDescent="0.45">
      <c r="T86" s="4"/>
      <c r="U86" s="4"/>
      <c r="V86" s="4"/>
      <c r="W86" s="4"/>
      <c r="X86" s="4"/>
      <c r="Y86" s="4"/>
      <c r="Z86" s="4"/>
      <c r="AA86" s="4"/>
      <c r="AB86" s="4"/>
      <c r="AC86" s="4"/>
      <c r="AD86" s="4"/>
      <c r="AE86" s="4"/>
      <c r="AF86" s="4"/>
      <c r="AG86" s="4"/>
      <c r="AH86" s="4"/>
      <c r="AI86" s="4"/>
      <c r="AJ86" s="4"/>
      <c r="AK86" s="4"/>
      <c r="AL86" s="4"/>
      <c r="AM86" s="4"/>
      <c r="AN86" s="4"/>
      <c r="AO86" s="4"/>
      <c r="AQ86" s="32"/>
      <c r="AR86" s="33"/>
      <c r="AS86" s="33"/>
      <c r="AT86" s="27"/>
      <c r="AU86" s="27"/>
      <c r="AV86" s="27"/>
      <c r="AW86" s="27"/>
      <c r="AX86" s="27"/>
      <c r="AY86" s="27"/>
      <c r="AZ86" s="27"/>
      <c r="BA86" s="27"/>
      <c r="BB86" s="195" t="s">
        <v>80</v>
      </c>
      <c r="BC86" s="196">
        <f>SUM(BC57:BC85)</f>
        <v>0</v>
      </c>
      <c r="BD86" s="196">
        <f t="shared" ref="BD86:CD86" si="0">SUM(BD57:BD85)</f>
        <v>2</v>
      </c>
      <c r="BE86" s="196">
        <f t="shared" si="0"/>
        <v>0</v>
      </c>
      <c r="BF86" s="196">
        <f t="shared" si="0"/>
        <v>0</v>
      </c>
      <c r="BG86" s="196">
        <f t="shared" si="0"/>
        <v>0</v>
      </c>
      <c r="BH86" s="196">
        <f t="shared" si="0"/>
        <v>0</v>
      </c>
      <c r="BI86" s="196">
        <f t="shared" si="0"/>
        <v>0</v>
      </c>
      <c r="BJ86" s="196">
        <f t="shared" si="0"/>
        <v>0</v>
      </c>
      <c r="BK86" s="196">
        <f t="shared" si="0"/>
        <v>0</v>
      </c>
      <c r="BL86" s="196">
        <f t="shared" si="0"/>
        <v>0</v>
      </c>
      <c r="BM86" s="196">
        <f t="shared" si="0"/>
        <v>0</v>
      </c>
      <c r="BN86" s="196">
        <f t="shared" si="0"/>
        <v>0</v>
      </c>
      <c r="BO86" s="196">
        <f t="shared" si="0"/>
        <v>0</v>
      </c>
      <c r="BP86" s="196">
        <f t="shared" si="0"/>
        <v>0</v>
      </c>
      <c r="BQ86" s="196">
        <f t="shared" si="0"/>
        <v>0</v>
      </c>
      <c r="BR86" s="196">
        <f t="shared" si="0"/>
        <v>0</v>
      </c>
      <c r="BS86" s="196">
        <f t="shared" si="0"/>
        <v>0</v>
      </c>
      <c r="BT86" s="196">
        <f t="shared" si="0"/>
        <v>0</v>
      </c>
      <c r="BU86" s="196">
        <f t="shared" si="0"/>
        <v>0</v>
      </c>
      <c r="BV86" s="196">
        <f t="shared" si="0"/>
        <v>20</v>
      </c>
      <c r="BW86" s="196">
        <f t="shared" si="0"/>
        <v>0</v>
      </c>
      <c r="BX86" s="196">
        <f t="shared" si="0"/>
        <v>0</v>
      </c>
      <c r="BY86" s="196">
        <f t="shared" si="0"/>
        <v>0</v>
      </c>
      <c r="BZ86" s="196">
        <f t="shared" si="0"/>
        <v>0</v>
      </c>
      <c r="CA86" s="196">
        <f t="shared" si="0"/>
        <v>0</v>
      </c>
      <c r="CB86" s="196">
        <f t="shared" si="0"/>
        <v>0</v>
      </c>
      <c r="CC86" s="196">
        <f t="shared" si="0"/>
        <v>0</v>
      </c>
      <c r="CD86" s="196">
        <f t="shared" si="0"/>
        <v>0</v>
      </c>
      <c r="CE86" s="196"/>
      <c r="CF86" s="196"/>
      <c r="CG86" s="185"/>
      <c r="CH86" s="185"/>
    </row>
    <row r="87" spans="2:86" ht="46.5" customHeight="1" thickBot="1" x14ac:dyDescent="0.45">
      <c r="T87" s="4"/>
      <c r="U87" s="4"/>
      <c r="V87" s="4"/>
      <c r="W87" s="4"/>
      <c r="X87" s="4"/>
      <c r="Y87" s="4"/>
      <c r="Z87" s="4"/>
      <c r="AA87" s="4"/>
      <c r="AB87" s="4"/>
      <c r="AC87" s="4"/>
      <c r="AD87" s="4"/>
      <c r="AE87" s="4"/>
      <c r="AF87" s="4"/>
      <c r="AG87" s="4"/>
      <c r="AH87" s="4"/>
      <c r="AI87" s="4"/>
      <c r="AJ87" s="4"/>
      <c r="AK87" s="4"/>
      <c r="AL87" s="4"/>
      <c r="AM87" s="4"/>
      <c r="AN87" s="4"/>
      <c r="AO87" s="4"/>
      <c r="AQ87" s="32"/>
      <c r="AR87" s="33"/>
      <c r="AS87" s="33"/>
      <c r="AT87" s="27"/>
      <c r="AU87" s="27"/>
      <c r="AV87" s="27"/>
      <c r="AW87" s="27"/>
      <c r="AX87" s="27"/>
      <c r="AY87" s="27"/>
      <c r="AZ87" s="27"/>
      <c r="BA87" s="27"/>
      <c r="BB87" s="197" t="s">
        <v>80</v>
      </c>
      <c r="BC87" s="765" t="str">
        <f>IF(BC86=1,"A ","")</f>
        <v/>
      </c>
      <c r="BD87" s="766" t="str">
        <f>IF(BD86=2,"B ","")</f>
        <v xml:space="preserve">B </v>
      </c>
      <c r="BE87" s="766" t="str">
        <f>IF(BE86=3,"C ","")</f>
        <v/>
      </c>
      <c r="BF87" s="766" t="str">
        <f>IF(BF86=4,"D ","")</f>
        <v/>
      </c>
      <c r="BG87" s="766" t="str">
        <f>IF(BG86=5,"E ","")</f>
        <v/>
      </c>
      <c r="BH87" s="766" t="str">
        <f>IF(BH86=6,"F ","")</f>
        <v/>
      </c>
      <c r="BI87" s="766" t="str">
        <f>IF(BI86=7,"G ","")</f>
        <v/>
      </c>
      <c r="BJ87" s="766" t="str">
        <f>IF(BJ86=8,"H ","")</f>
        <v/>
      </c>
      <c r="BK87" s="766" t="str">
        <f>IF(BK86=9,"1 ","")</f>
        <v/>
      </c>
      <c r="BL87" s="766" t="str">
        <f>IF(BL86=10,"2 ","")</f>
        <v/>
      </c>
      <c r="BM87" s="766" t="str">
        <f>IF(BM86=11,"3 ","")</f>
        <v/>
      </c>
      <c r="BN87" s="766" t="str">
        <f>IF(BN86=12,"4 ","")</f>
        <v/>
      </c>
      <c r="BO87" s="766" t="str">
        <f>IF(BO86=13,"5 ","")</f>
        <v/>
      </c>
      <c r="BP87" s="766" t="str">
        <f>IF(BP86=14,"i ","")</f>
        <v/>
      </c>
      <c r="BQ87" s="766" t="str">
        <f>IF(BQ86=15,"J ","")</f>
        <v/>
      </c>
      <c r="BR87" s="766" t="str">
        <f>IF(BR86=16,"6 ","")</f>
        <v/>
      </c>
      <c r="BS87" s="766" t="str">
        <f>IF(BS86=17,"7 ","")</f>
        <v/>
      </c>
      <c r="BT87" s="766" t="str">
        <f>IF(BT86=18,"8 ","")</f>
        <v/>
      </c>
      <c r="BU87" s="766" t="str">
        <f>IF(BU86=19,"9 ","")</f>
        <v/>
      </c>
      <c r="BV87" s="766" t="str">
        <f>IF(BV86=20,"10 ","")</f>
        <v xml:space="preserve">10 </v>
      </c>
      <c r="BW87" s="766" t="str">
        <f>IF(BW86=21,"K ","")</f>
        <v/>
      </c>
      <c r="BX87" s="766" t="str">
        <f>IF(BX86=22,"L ","")</f>
        <v/>
      </c>
      <c r="BY87" s="766" t="str">
        <f>IF(BY86=23,"M ","")</f>
        <v/>
      </c>
      <c r="BZ87" s="766" t="str">
        <f>IF(BZ86=24,"N ","")</f>
        <v/>
      </c>
      <c r="CA87" s="766" t="str">
        <f>IF(CA86=25,"O ","")</f>
        <v/>
      </c>
      <c r="CB87" s="766" t="str">
        <f>IF(CB86=26,"P ","")</f>
        <v/>
      </c>
      <c r="CC87" s="766" t="str">
        <f>IF(CC86=27,"Q ","")</f>
        <v/>
      </c>
      <c r="CD87" s="767" t="str">
        <f>IF(CD86=28,"R ","")</f>
        <v/>
      </c>
      <c r="CE87" s="435"/>
      <c r="CF87" s="435"/>
      <c r="CG87" s="184"/>
      <c r="CH87" s="185"/>
    </row>
    <row r="88" spans="2:86" ht="24.75" customHeight="1" thickBot="1" x14ac:dyDescent="0.45">
      <c r="T88" s="4"/>
      <c r="U88" s="4"/>
      <c r="V88" s="4"/>
      <c r="W88" s="4"/>
      <c r="X88" s="4"/>
      <c r="Y88" s="4"/>
      <c r="Z88" s="4"/>
      <c r="AA88" s="4"/>
      <c r="AB88" s="4"/>
      <c r="AC88" s="4"/>
      <c r="AD88" s="4"/>
      <c r="AE88" s="4"/>
      <c r="AF88" s="4"/>
      <c r="AG88" s="4"/>
      <c r="AH88" s="4"/>
      <c r="AI88" s="4"/>
      <c r="AJ88" s="4"/>
      <c r="AK88" s="4"/>
      <c r="AL88" s="4"/>
      <c r="AM88" s="4"/>
      <c r="AN88" s="4"/>
      <c r="AO88" s="4"/>
      <c r="AQ88" s="32"/>
      <c r="AR88" s="33"/>
      <c r="AS88" s="33"/>
      <c r="AT88" s="27"/>
      <c r="AU88" s="27"/>
      <c r="AV88" s="27"/>
      <c r="AW88" s="27"/>
      <c r="AX88" s="27"/>
      <c r="AY88" s="27"/>
      <c r="AZ88" s="27"/>
      <c r="BA88" s="27"/>
      <c r="BB88" s="185"/>
      <c r="BC88" s="185"/>
      <c r="BD88" s="185"/>
      <c r="BE88" s="185"/>
      <c r="BF88" s="185"/>
      <c r="BG88" s="185"/>
      <c r="BH88" s="185"/>
      <c r="BI88" s="185"/>
      <c r="BJ88" s="185"/>
      <c r="BK88" s="185"/>
      <c r="BL88" s="185"/>
      <c r="BM88" s="185"/>
      <c r="BN88" s="185"/>
      <c r="BO88" s="185"/>
      <c r="BP88" s="185"/>
      <c r="BQ88" s="185"/>
      <c r="BR88" s="185"/>
      <c r="BS88" s="185"/>
      <c r="BT88" s="185"/>
      <c r="BU88" s="185"/>
      <c r="BV88" s="198"/>
      <c r="BW88" s="198"/>
      <c r="BX88" s="198"/>
      <c r="BY88" s="198"/>
      <c r="BZ88" s="199"/>
      <c r="CA88" s="185"/>
      <c r="CB88" s="185"/>
      <c r="CC88" s="185"/>
      <c r="CD88" s="185"/>
      <c r="CE88" s="185"/>
      <c r="CF88" s="185"/>
      <c r="CG88" s="185"/>
      <c r="CH88" s="185"/>
    </row>
    <row r="89" spans="2:86" ht="21.6" thickBot="1" x14ac:dyDescent="0.45">
      <c r="T89" s="4"/>
      <c r="U89" s="4"/>
      <c r="V89" s="4"/>
      <c r="W89" s="4"/>
      <c r="X89" s="4"/>
      <c r="Y89" s="4"/>
      <c r="Z89" s="4"/>
      <c r="AA89" s="4"/>
      <c r="AB89" s="4"/>
      <c r="AC89" s="4"/>
      <c r="AD89" s="4"/>
      <c r="AE89" s="4"/>
      <c r="AF89" s="4"/>
      <c r="AG89" s="4"/>
      <c r="AH89" s="4"/>
      <c r="AI89" s="4"/>
      <c r="AJ89" s="4"/>
      <c r="AK89" s="4"/>
      <c r="AL89" s="4"/>
      <c r="AM89" s="4"/>
      <c r="AN89" s="4"/>
      <c r="AO89" s="4"/>
      <c r="AQ89" s="32"/>
      <c r="AR89" s="33"/>
      <c r="AS89" s="33"/>
      <c r="AT89" s="27"/>
      <c r="AU89" s="27"/>
      <c r="AV89" s="27"/>
      <c r="AW89" s="27"/>
      <c r="AX89" s="27"/>
      <c r="AY89" s="27"/>
      <c r="AZ89" s="27"/>
      <c r="BA89" s="27"/>
      <c r="BB89" s="200" t="s">
        <v>30</v>
      </c>
      <c r="BC89" s="1978"/>
      <c r="BD89" s="1979"/>
      <c r="BE89" s="1979"/>
      <c r="BF89" s="1979"/>
      <c r="BG89" s="1979"/>
      <c r="BH89" s="1979"/>
      <c r="BI89" s="1979"/>
      <c r="BJ89" s="1980"/>
      <c r="BK89" s="202" t="s">
        <v>31</v>
      </c>
      <c r="BL89" s="201"/>
      <c r="BM89" s="201"/>
      <c r="BN89" s="201"/>
      <c r="BO89" s="201"/>
      <c r="BP89" s="201"/>
      <c r="BQ89" s="201"/>
      <c r="BR89" s="201"/>
      <c r="BS89" s="201"/>
      <c r="BT89" s="201"/>
      <c r="BU89" s="227"/>
      <c r="BV89" s="203" t="s">
        <v>32</v>
      </c>
      <c r="BW89" s="1978"/>
      <c r="BX89" s="1979"/>
      <c r="BY89" s="1979"/>
      <c r="BZ89" s="1979"/>
      <c r="CA89" s="1979"/>
      <c r="CB89" s="1979"/>
      <c r="CC89" s="1979"/>
      <c r="CD89" s="1980"/>
      <c r="CE89" s="184"/>
      <c r="CF89" s="184"/>
      <c r="CG89" s="185"/>
      <c r="CH89" s="185"/>
    </row>
    <row r="90" spans="2:86" ht="27" customHeight="1" thickTop="1" thickBot="1" x14ac:dyDescent="0.45">
      <c r="B90" s="1356" t="s">
        <v>190</v>
      </c>
      <c r="C90" s="1359"/>
      <c r="D90" s="1376"/>
      <c r="E90" s="1356" t="s">
        <v>191</v>
      </c>
      <c r="T90" s="4"/>
      <c r="U90" s="4"/>
      <c r="V90" s="4"/>
      <c r="W90" s="4"/>
      <c r="X90" s="4"/>
      <c r="Y90" s="4"/>
      <c r="Z90" s="4"/>
      <c r="AA90" s="4"/>
      <c r="AB90" s="4"/>
      <c r="AC90" s="4"/>
      <c r="AD90" s="4"/>
      <c r="AE90" s="4"/>
      <c r="AF90" s="4"/>
      <c r="AG90" s="4"/>
      <c r="AH90" s="4"/>
      <c r="AI90" s="4"/>
      <c r="AJ90" s="4"/>
      <c r="AK90" s="4"/>
      <c r="AL90" s="4"/>
      <c r="AM90" s="4"/>
      <c r="AN90" s="4"/>
      <c r="AO90" s="4"/>
      <c r="AQ90" s="32"/>
      <c r="AR90" s="33"/>
      <c r="AS90" s="33"/>
      <c r="AT90" s="27"/>
      <c r="AU90" s="27"/>
      <c r="AV90" s="27"/>
      <c r="AW90" s="27"/>
      <c r="AX90" s="27"/>
      <c r="AY90" s="1348" t="s">
        <v>223</v>
      </c>
      <c r="AZ90" s="1348">
        <f>+MAX(BA51,BA54,BA90)</f>
        <v>68.877462249969469</v>
      </c>
      <c r="BA90" s="1347">
        <f>+IF(AND(BU90&gt;0,BK90&gt;0),BK90)</f>
        <v>63.115616613583647</v>
      </c>
      <c r="BB90" s="204" t="s">
        <v>81</v>
      </c>
      <c r="BC90" s="1981"/>
      <c r="BD90" s="1982"/>
      <c r="BE90" s="1982"/>
      <c r="BF90" s="1982"/>
      <c r="BG90" s="1982"/>
      <c r="BH90" s="1982"/>
      <c r="BI90" s="1982"/>
      <c r="BJ90" s="1983"/>
      <c r="BK90" s="2003">
        <f>+((D2-D3)/D2)*C12</f>
        <v>63.115616613583647</v>
      </c>
      <c r="BL90" s="2004"/>
      <c r="BM90" s="683"/>
      <c r="BN90" s="683"/>
      <c r="BO90" s="683"/>
      <c r="BP90" s="683"/>
      <c r="BQ90" s="683"/>
      <c r="BR90" s="683"/>
      <c r="BS90" s="683"/>
      <c r="BT90" s="683"/>
      <c r="BU90" s="1987">
        <f>+(D3/D2)*C12</f>
        <v>13.684383386416354</v>
      </c>
      <c r="BV90" s="1988"/>
      <c r="BW90" s="1981"/>
      <c r="BX90" s="1982"/>
      <c r="BY90" s="1982"/>
      <c r="BZ90" s="1982"/>
      <c r="CA90" s="1982"/>
      <c r="CB90" s="1982"/>
      <c r="CC90" s="1982"/>
      <c r="CD90" s="1983"/>
      <c r="CE90" s="1347">
        <f>+IF(AND(BK90&gt;0,BU90&gt;0),BU90)</f>
        <v>13.684383386416354</v>
      </c>
      <c r="CF90" s="1348">
        <f>+MAX(CE51,CE54,CE90)</f>
        <v>40.25937985529368</v>
      </c>
      <c r="CG90" s="1348" t="s">
        <v>224</v>
      </c>
      <c r="CH90" s="185"/>
    </row>
    <row r="91" spans="2:86" ht="22.2" hidden="1" thickTop="1" thickBot="1" x14ac:dyDescent="0.45">
      <c r="B91" s="1359"/>
      <c r="C91" s="1359"/>
      <c r="D91" s="1377"/>
      <c r="E91" s="1360"/>
      <c r="T91" s="4"/>
      <c r="U91" s="4"/>
      <c r="V91" s="4"/>
      <c r="W91" s="4"/>
      <c r="X91" s="4"/>
      <c r="Y91" s="4"/>
      <c r="Z91" s="4"/>
      <c r="AA91" s="4"/>
      <c r="AB91" s="4"/>
      <c r="AC91" s="4"/>
      <c r="AD91" s="4"/>
      <c r="AE91" s="4"/>
      <c r="AF91" s="4"/>
      <c r="AG91" s="4"/>
      <c r="AH91" s="4"/>
      <c r="AI91" s="4"/>
      <c r="AJ91" s="4"/>
      <c r="AK91" s="4"/>
      <c r="AL91" s="4"/>
      <c r="AM91" s="4"/>
      <c r="AN91" s="4"/>
      <c r="AO91" s="4"/>
      <c r="AQ91" s="32"/>
      <c r="AR91" s="33"/>
      <c r="AS91" s="33"/>
      <c r="AT91" s="27"/>
      <c r="AU91" s="27"/>
      <c r="AV91" s="27"/>
      <c r="AW91" s="27"/>
      <c r="AX91" s="27"/>
      <c r="AY91" s="27"/>
      <c r="AZ91" s="27"/>
      <c r="BA91" s="27"/>
      <c r="BB91" s="206"/>
      <c r="BC91" s="206"/>
      <c r="BD91" s="207"/>
      <c r="BE91" s="206"/>
      <c r="BF91" s="206"/>
      <c r="BG91" s="206"/>
      <c r="BK91" s="207"/>
      <c r="BL91" s="206"/>
      <c r="BM91" s="206"/>
      <c r="BN91" s="206"/>
      <c r="BO91" s="206"/>
      <c r="BP91" s="206"/>
      <c r="BQ91" s="206"/>
      <c r="BR91" s="206"/>
      <c r="BS91" s="206"/>
      <c r="BT91" s="206"/>
      <c r="BU91" s="206"/>
      <c r="BV91" s="208"/>
      <c r="BW91" s="205"/>
      <c r="BX91" s="209"/>
      <c r="BY91" s="198"/>
      <c r="BZ91" s="184"/>
      <c r="CA91" s="185"/>
      <c r="CB91" s="185"/>
      <c r="CC91" s="185"/>
      <c r="CD91" s="185"/>
      <c r="CE91" s="185"/>
      <c r="CF91" s="185"/>
      <c r="CG91" s="185"/>
      <c r="CH91" s="185"/>
    </row>
    <row r="92" spans="2:86" ht="22.2" hidden="1" thickTop="1" thickBot="1" x14ac:dyDescent="0.45">
      <c r="B92" s="1359"/>
      <c r="C92" s="1359"/>
      <c r="D92" s="1377"/>
      <c r="E92" s="1360"/>
      <c r="T92" s="4"/>
      <c r="U92" s="4"/>
      <c r="V92" s="4"/>
      <c r="W92" s="4"/>
      <c r="X92" s="4"/>
      <c r="Y92" s="4"/>
      <c r="Z92" s="4"/>
      <c r="AA92" s="4"/>
      <c r="AB92" s="4"/>
      <c r="AC92" s="4"/>
      <c r="AD92" s="4"/>
      <c r="AE92" s="4"/>
      <c r="AF92" s="4"/>
      <c r="AG92" s="4"/>
      <c r="AH92" s="4"/>
      <c r="AI92" s="4"/>
      <c r="AJ92" s="4"/>
      <c r="AK92" s="4"/>
      <c r="AL92" s="4"/>
      <c r="AM92" s="4"/>
      <c r="AN92" s="4"/>
      <c r="AO92" s="4"/>
      <c r="AQ92" s="32"/>
      <c r="AR92" s="33"/>
      <c r="AS92" s="33"/>
      <c r="AT92" s="27"/>
      <c r="AU92" s="27"/>
      <c r="AV92" s="27"/>
      <c r="AW92" s="27"/>
      <c r="AX92" s="27"/>
      <c r="AY92" s="27"/>
      <c r="AZ92" s="27"/>
      <c r="BA92" s="27"/>
      <c r="BB92" s="206"/>
      <c r="BC92" s="206"/>
      <c r="BD92" s="207"/>
      <c r="BE92" s="206"/>
      <c r="BF92" s="206"/>
      <c r="BG92" s="206"/>
      <c r="BK92" s="207"/>
      <c r="BL92" s="206"/>
      <c r="BM92" s="206"/>
      <c r="BN92" s="206"/>
      <c r="BO92" s="206"/>
      <c r="BP92" s="206"/>
      <c r="BQ92" s="206"/>
      <c r="BR92" s="206"/>
      <c r="BS92" s="206"/>
      <c r="BT92" s="222"/>
      <c r="BU92" s="201"/>
      <c r="BV92" s="201"/>
      <c r="BW92" s="201"/>
      <c r="BX92" s="226"/>
      <c r="BY92" s="198"/>
      <c r="BZ92" s="184"/>
      <c r="CA92" s="185"/>
      <c r="CB92" s="185"/>
      <c r="CC92" s="185"/>
      <c r="CD92" s="185"/>
      <c r="CE92" s="185"/>
      <c r="CF92" s="185"/>
      <c r="CG92" s="185"/>
      <c r="CH92" s="185"/>
    </row>
    <row r="93" spans="2:86" ht="22.2" hidden="1" thickTop="1" thickBot="1" x14ac:dyDescent="0.45">
      <c r="B93" s="1359"/>
      <c r="C93" s="1359"/>
      <c r="D93" s="1377"/>
      <c r="E93" s="1360"/>
      <c r="T93" s="4"/>
      <c r="U93" s="4"/>
      <c r="V93" s="4"/>
      <c r="W93" s="4"/>
      <c r="X93" s="4"/>
      <c r="Y93" s="4"/>
      <c r="Z93" s="4"/>
      <c r="AA93" s="4"/>
      <c r="AB93" s="4"/>
      <c r="AC93" s="4"/>
      <c r="AD93" s="4"/>
      <c r="AE93" s="4"/>
      <c r="AF93" s="4"/>
      <c r="AG93" s="4"/>
      <c r="AH93" s="4"/>
      <c r="AI93" s="4"/>
      <c r="AJ93" s="4"/>
      <c r="AK93" s="4"/>
      <c r="AL93" s="4"/>
      <c r="AM93" s="4"/>
      <c r="AN93" s="4"/>
      <c r="AO93" s="4"/>
      <c r="AQ93" s="32"/>
      <c r="AR93" s="33"/>
      <c r="AS93" s="33"/>
      <c r="AT93" s="27"/>
      <c r="AU93" s="27"/>
      <c r="AV93" s="27"/>
      <c r="AW93" s="27"/>
      <c r="AX93" s="27"/>
      <c r="AY93" s="27"/>
      <c r="AZ93" s="27"/>
      <c r="BA93" s="27"/>
      <c r="BB93" s="206"/>
      <c r="BC93" s="206"/>
      <c r="BD93" s="207"/>
      <c r="BE93" s="206"/>
      <c r="BF93" s="206"/>
      <c r="BG93" s="206"/>
      <c r="BK93" s="207"/>
      <c r="BL93" s="206"/>
      <c r="BM93" s="206"/>
      <c r="BN93" s="206"/>
      <c r="BO93" s="206"/>
      <c r="BP93" s="206"/>
      <c r="BQ93" s="206"/>
      <c r="BS93" s="211"/>
      <c r="BT93" s="423" t="b">
        <f>IF(BU106=19,8)</f>
        <v>0</v>
      </c>
      <c r="BU93" s="436"/>
      <c r="BV93" s="425" t="b">
        <f>IF(BU106=19,10)</f>
        <v>0</v>
      </c>
      <c r="BW93" s="211"/>
      <c r="BY93" s="198"/>
      <c r="BZ93" s="184"/>
      <c r="CA93" s="185"/>
      <c r="CB93" s="185"/>
      <c r="CC93" s="185"/>
      <c r="CD93" s="185"/>
      <c r="CE93" s="185"/>
      <c r="CF93" s="185"/>
      <c r="CG93" s="185"/>
      <c r="CH93" s="185"/>
    </row>
    <row r="94" spans="2:86" ht="22.2" hidden="1" thickTop="1" thickBot="1" x14ac:dyDescent="0.45">
      <c r="B94" s="1359"/>
      <c r="C94" s="1359"/>
      <c r="D94" s="1377"/>
      <c r="E94" s="1360"/>
      <c r="T94" s="4"/>
      <c r="U94" s="4"/>
      <c r="V94" s="4"/>
      <c r="W94" s="4"/>
      <c r="X94" s="4"/>
      <c r="Y94" s="4"/>
      <c r="Z94" s="4"/>
      <c r="AA94" s="4"/>
      <c r="AB94" s="4"/>
      <c r="AC94" s="4"/>
      <c r="AD94" s="4"/>
      <c r="AE94" s="4"/>
      <c r="AF94" s="4"/>
      <c r="AG94" s="4"/>
      <c r="AH94" s="4"/>
      <c r="AI94" s="4"/>
      <c r="AJ94" s="4"/>
      <c r="AK94" s="4"/>
      <c r="AL94" s="4"/>
      <c r="AM94" s="4"/>
      <c r="AN94" s="4"/>
      <c r="AO94" s="4"/>
      <c r="AQ94" s="32"/>
      <c r="AR94" s="33"/>
      <c r="AS94" s="33"/>
      <c r="AT94" s="27"/>
      <c r="AU94" s="27"/>
      <c r="AV94" s="27"/>
      <c r="AW94" s="27"/>
      <c r="AX94" s="27"/>
      <c r="AY94" s="27"/>
      <c r="AZ94" s="27"/>
      <c r="BA94" s="27"/>
      <c r="BB94" s="206"/>
      <c r="BC94" s="206"/>
      <c r="BD94" s="207"/>
      <c r="BE94" s="206"/>
      <c r="BF94" s="206"/>
      <c r="BG94" s="206"/>
      <c r="BK94" s="207"/>
      <c r="BL94" s="206"/>
      <c r="BM94" s="206"/>
      <c r="BN94" s="206"/>
      <c r="BO94" s="206"/>
      <c r="BR94" s="426" t="b">
        <f>IF(BT106=18,6)</f>
        <v>0</v>
      </c>
      <c r="BS94" s="437"/>
      <c r="BT94" s="437"/>
      <c r="BU94" s="437"/>
      <c r="BV94" s="429" t="b">
        <f>IF(BT106=18,10)</f>
        <v>0</v>
      </c>
      <c r="BW94" s="206"/>
      <c r="BY94" s="198"/>
      <c r="BZ94" s="184"/>
      <c r="CA94" s="185"/>
      <c r="CB94" s="185"/>
      <c r="CC94" s="185"/>
      <c r="CD94" s="185"/>
      <c r="CE94" s="185"/>
      <c r="CF94" s="185"/>
      <c r="CG94" s="185"/>
      <c r="CH94" s="185"/>
    </row>
    <row r="95" spans="2:86" ht="22.2" hidden="1" thickTop="1" thickBot="1" x14ac:dyDescent="0.45">
      <c r="B95" s="1372"/>
      <c r="C95" s="1372"/>
      <c r="D95" s="1377"/>
      <c r="E95" s="1360"/>
      <c r="T95" s="4"/>
      <c r="U95" s="4"/>
      <c r="V95" s="4"/>
      <c r="W95" s="4"/>
      <c r="X95" s="4"/>
      <c r="Y95" s="4"/>
      <c r="Z95" s="4"/>
      <c r="AA95" s="4"/>
      <c r="AB95" s="4"/>
      <c r="AC95" s="4"/>
      <c r="AD95" s="4"/>
      <c r="AE95" s="4"/>
      <c r="AF95" s="4"/>
      <c r="AG95" s="4"/>
      <c r="AH95" s="4"/>
      <c r="AI95" s="4"/>
      <c r="AJ95" s="4"/>
      <c r="AK95" s="4"/>
      <c r="AL95" s="4"/>
      <c r="AM95" s="4"/>
      <c r="AN95" s="4"/>
      <c r="AO95" s="4"/>
      <c r="AQ95" s="32"/>
      <c r="AR95" s="33"/>
      <c r="AS95" s="33"/>
      <c r="AT95" s="27"/>
      <c r="AU95" s="27"/>
      <c r="AV95" s="27"/>
      <c r="AW95" s="27"/>
      <c r="AX95" s="27"/>
      <c r="AY95" s="27"/>
      <c r="AZ95" s="27"/>
      <c r="BA95" s="27"/>
      <c r="BB95" s="206"/>
      <c r="BC95" s="206"/>
      <c r="BD95" s="207"/>
      <c r="BE95" s="206"/>
      <c r="BF95" s="206"/>
      <c r="BG95" s="206"/>
      <c r="BK95" s="207"/>
      <c r="BL95" s="206"/>
      <c r="BM95" s="206"/>
      <c r="BO95" s="211"/>
      <c r="BP95" s="211"/>
      <c r="BQ95" s="211"/>
      <c r="BR95" s="423" t="b">
        <f>IF(BS106=17,6)</f>
        <v>0</v>
      </c>
      <c r="BS95" s="436"/>
      <c r="BT95" s="425" t="b">
        <f>IF(BS106=17,8)</f>
        <v>0</v>
      </c>
      <c r="BU95" s="211"/>
      <c r="BV95" s="211"/>
      <c r="BW95" s="205"/>
      <c r="BY95" s="198"/>
      <c r="BZ95" s="184"/>
      <c r="CA95" s="185"/>
      <c r="CB95" s="185"/>
      <c r="CC95" s="185"/>
      <c r="CD95" s="185"/>
      <c r="CE95" s="185"/>
      <c r="CF95" s="185"/>
      <c r="CG95" s="185"/>
      <c r="CH95" s="185"/>
    </row>
    <row r="96" spans="2:86" ht="22.2" hidden="1" thickTop="1" thickBot="1" x14ac:dyDescent="0.45">
      <c r="B96" s="1372"/>
      <c r="C96" s="1372"/>
      <c r="D96" s="1377"/>
      <c r="E96" s="1360"/>
      <c r="T96" s="4"/>
      <c r="U96" s="4"/>
      <c r="V96" s="4"/>
      <c r="W96" s="4"/>
      <c r="X96" s="4"/>
      <c r="Y96" s="4"/>
      <c r="Z96" s="4"/>
      <c r="AA96" s="4"/>
      <c r="AB96" s="4"/>
      <c r="AC96" s="4"/>
      <c r="AD96" s="4"/>
      <c r="AE96" s="4"/>
      <c r="AF96" s="4"/>
      <c r="AG96" s="4"/>
      <c r="AH96" s="4"/>
      <c r="AI96" s="4"/>
      <c r="AJ96" s="4"/>
      <c r="AK96" s="4"/>
      <c r="AL96" s="4"/>
      <c r="AM96" s="4"/>
      <c r="AN96" s="4"/>
      <c r="AO96" s="4"/>
      <c r="AQ96" s="32"/>
      <c r="AR96" s="33"/>
      <c r="AS96" s="33"/>
      <c r="AT96" s="27"/>
      <c r="AU96" s="27"/>
      <c r="AV96" s="27"/>
      <c r="AW96" s="27"/>
      <c r="AX96" s="27"/>
      <c r="AY96" s="27"/>
      <c r="AZ96" s="27"/>
      <c r="BA96" s="27"/>
      <c r="BB96" s="206"/>
      <c r="BC96" s="206"/>
      <c r="BD96" s="207"/>
      <c r="BE96" s="206"/>
      <c r="BF96" s="206"/>
      <c r="BG96" s="206"/>
      <c r="BK96" s="207"/>
      <c r="BM96" s="211"/>
      <c r="BN96" s="423" t="b">
        <f>IF(BR106=16,4)</f>
        <v>0</v>
      </c>
      <c r="BO96" s="436"/>
      <c r="BP96" s="436"/>
      <c r="BQ96" s="436"/>
      <c r="BR96" s="436"/>
      <c r="BS96" s="436"/>
      <c r="BT96" s="436"/>
      <c r="BU96" s="436"/>
      <c r="BV96" s="425" t="b">
        <f>IF(BR106=16,10)</f>
        <v>0</v>
      </c>
      <c r="BW96" s="211"/>
      <c r="BY96" s="198"/>
      <c r="BZ96" s="184"/>
      <c r="CA96" s="185"/>
      <c r="CB96" s="185"/>
      <c r="CC96" s="185"/>
      <c r="CD96" s="185"/>
      <c r="CE96" s="185"/>
      <c r="CF96" s="185"/>
      <c r="CG96" s="185"/>
      <c r="CH96" s="185"/>
    </row>
    <row r="97" spans="2:86" ht="22.2" hidden="1" thickTop="1" thickBot="1" x14ac:dyDescent="0.45">
      <c r="B97" s="1359"/>
      <c r="C97" s="1359"/>
      <c r="D97" s="1378"/>
      <c r="E97" s="1360"/>
      <c r="T97" s="4"/>
      <c r="U97" s="4"/>
      <c r="V97" s="4"/>
      <c r="W97" s="4"/>
      <c r="X97" s="4"/>
      <c r="Y97" s="4"/>
      <c r="Z97" s="4"/>
      <c r="AA97" s="4"/>
      <c r="AB97" s="4"/>
      <c r="AC97" s="4"/>
      <c r="AD97" s="4"/>
      <c r="AE97" s="4"/>
      <c r="AF97" s="4"/>
      <c r="AG97" s="4"/>
      <c r="AH97" s="4"/>
      <c r="AI97" s="4"/>
      <c r="AJ97" s="4"/>
      <c r="AK97" s="4"/>
      <c r="AL97" s="4"/>
      <c r="AM97" s="4"/>
      <c r="AN97" s="4"/>
      <c r="AO97" s="4"/>
      <c r="AQ97" s="32"/>
      <c r="AR97" s="33"/>
      <c r="AS97" s="33"/>
      <c r="AT97" s="27"/>
      <c r="AU97" s="27"/>
      <c r="AV97" s="27"/>
      <c r="AW97" s="27"/>
      <c r="AX97" s="27"/>
      <c r="AY97" s="27"/>
      <c r="AZ97" s="27"/>
      <c r="BA97" s="27"/>
      <c r="BB97" s="206"/>
      <c r="BC97" s="206"/>
      <c r="BD97" s="207"/>
      <c r="BE97" s="206"/>
      <c r="BF97" s="206"/>
      <c r="BG97" s="206"/>
      <c r="BJ97" s="77"/>
      <c r="BL97" s="423" t="b">
        <f>IF(BQ106=15,2)</f>
        <v>0</v>
      </c>
      <c r="BM97" s="436"/>
      <c r="BN97" s="436"/>
      <c r="BO97" s="436"/>
      <c r="BP97" s="436"/>
      <c r="BQ97" s="436"/>
      <c r="BR97" s="436"/>
      <c r="BS97" s="436"/>
      <c r="BT97" s="436"/>
      <c r="BU97" s="436"/>
      <c r="BV97" s="425" t="b">
        <f>IF(BQ106=15,10)</f>
        <v>0</v>
      </c>
      <c r="BX97" s="207"/>
      <c r="BY97" s="198"/>
      <c r="BZ97" s="184"/>
      <c r="CA97" s="185"/>
      <c r="CB97" s="185"/>
      <c r="CC97" s="185"/>
      <c r="CD97" s="185"/>
      <c r="CE97" s="185"/>
      <c r="CF97" s="185"/>
      <c r="CG97" s="185"/>
      <c r="CH97" s="185"/>
    </row>
    <row r="98" spans="2:86" ht="22.2" hidden="1" thickTop="1" thickBot="1" x14ac:dyDescent="0.45">
      <c r="B98" s="1359"/>
      <c r="C98" s="1359"/>
      <c r="D98" s="1378"/>
      <c r="E98" s="1360"/>
      <c r="T98" s="4"/>
      <c r="U98" s="4"/>
      <c r="V98" s="4"/>
      <c r="W98" s="4"/>
      <c r="X98" s="4"/>
      <c r="Y98" s="4"/>
      <c r="Z98" s="4"/>
      <c r="AA98" s="4"/>
      <c r="AB98" s="4"/>
      <c r="AC98" s="4"/>
      <c r="AD98" s="4"/>
      <c r="AE98" s="4"/>
      <c r="AF98" s="4"/>
      <c r="AG98" s="4"/>
      <c r="AH98" s="4"/>
      <c r="AI98" s="4"/>
      <c r="AJ98" s="4"/>
      <c r="AK98" s="4"/>
      <c r="AL98" s="4"/>
      <c r="AM98" s="4"/>
      <c r="AN98" s="4"/>
      <c r="AO98" s="4"/>
      <c r="AQ98" s="32"/>
      <c r="AR98" s="33"/>
      <c r="AS98" s="33"/>
      <c r="AT98" s="27"/>
      <c r="AU98" s="27"/>
      <c r="AV98" s="27"/>
      <c r="AW98" s="27"/>
      <c r="AX98" s="27"/>
      <c r="AY98" s="27"/>
      <c r="AZ98" s="27"/>
      <c r="BA98" s="27"/>
      <c r="BB98" s="206"/>
      <c r="BC98" s="206"/>
      <c r="BD98" s="207"/>
      <c r="BE98" s="206"/>
      <c r="BF98" s="206"/>
      <c r="BG98" s="206"/>
      <c r="BJ98" s="77"/>
      <c r="BK98" s="426" t="b">
        <f>IF(BP106=14,1)</f>
        <v>0</v>
      </c>
      <c r="BL98" s="437"/>
      <c r="BM98" s="437"/>
      <c r="BN98" s="437"/>
      <c r="BO98" s="437"/>
      <c r="BP98" s="437"/>
      <c r="BQ98" s="437"/>
      <c r="BR98" s="437"/>
      <c r="BS98" s="437"/>
      <c r="BT98" s="437"/>
      <c r="BU98" s="429" t="b">
        <f>IF(BP106=14,9)</f>
        <v>0</v>
      </c>
      <c r="BV98" s="206"/>
      <c r="BW98" s="206"/>
      <c r="BX98" s="207"/>
      <c r="BY98" s="198"/>
      <c r="BZ98" s="184"/>
      <c r="CA98" s="185"/>
      <c r="CB98" s="185"/>
      <c r="CC98" s="185"/>
      <c r="CD98" s="185"/>
      <c r="CE98" s="185"/>
      <c r="CF98" s="185"/>
      <c r="CG98" s="185"/>
      <c r="CH98" s="185"/>
    </row>
    <row r="99" spans="2:86" ht="22.2" hidden="1" thickTop="1" thickBot="1" x14ac:dyDescent="0.45">
      <c r="B99" s="1359"/>
      <c r="C99" s="1359"/>
      <c r="D99" s="1378"/>
      <c r="E99" s="1360"/>
      <c r="T99" s="4"/>
      <c r="U99" s="4"/>
      <c r="V99" s="4"/>
      <c r="W99" s="4"/>
      <c r="X99" s="4"/>
      <c r="Y99" s="4"/>
      <c r="Z99" s="4"/>
      <c r="AA99" s="4"/>
      <c r="AB99" s="4"/>
      <c r="AC99" s="4"/>
      <c r="AD99" s="4"/>
      <c r="AE99" s="4"/>
      <c r="AF99" s="4"/>
      <c r="AG99" s="4"/>
      <c r="AH99" s="4"/>
      <c r="AI99" s="4"/>
      <c r="AJ99" s="4"/>
      <c r="AK99" s="4"/>
      <c r="AL99" s="4"/>
      <c r="AM99" s="4"/>
      <c r="AN99" s="4"/>
      <c r="AO99" s="4"/>
      <c r="AQ99" s="32"/>
      <c r="AR99" s="33"/>
      <c r="AS99" s="33"/>
      <c r="AT99" s="27"/>
      <c r="AU99" s="27"/>
      <c r="AV99" s="27"/>
      <c r="AW99" s="27"/>
      <c r="AX99" s="27"/>
      <c r="AY99" s="27"/>
      <c r="AZ99" s="27"/>
      <c r="BA99" s="27"/>
      <c r="BB99" s="206"/>
      <c r="BC99" s="206"/>
      <c r="BD99" s="207"/>
      <c r="BE99" s="206"/>
      <c r="BF99" s="206"/>
      <c r="BG99" s="206"/>
      <c r="BK99" s="423" t="b">
        <f>IF(BO106=13,1)</f>
        <v>0</v>
      </c>
      <c r="BL99" s="436"/>
      <c r="BM99" s="436"/>
      <c r="BN99" s="431"/>
      <c r="BO99" s="436"/>
      <c r="BP99" s="431"/>
      <c r="BQ99" s="436"/>
      <c r="BR99" s="436"/>
      <c r="BS99" s="425" t="b">
        <f>IF(BO106=13,7)</f>
        <v>0</v>
      </c>
      <c r="BT99" s="206"/>
      <c r="BU99" s="206"/>
      <c r="BV99" s="206"/>
      <c r="BW99" s="206"/>
      <c r="BX99" s="207"/>
      <c r="BY99" s="198"/>
      <c r="BZ99" s="184"/>
      <c r="CA99" s="185"/>
      <c r="CB99" s="185"/>
      <c r="CC99" s="185"/>
      <c r="CD99" s="185"/>
      <c r="CE99" s="185"/>
      <c r="CF99" s="185"/>
      <c r="CG99" s="185"/>
      <c r="CH99" s="185"/>
    </row>
    <row r="100" spans="2:86" ht="22.2" hidden="1" thickTop="1" thickBot="1" x14ac:dyDescent="0.45">
      <c r="B100" s="1372"/>
      <c r="C100" s="1372"/>
      <c r="D100" s="1377"/>
      <c r="E100" s="1360"/>
      <c r="T100" s="4"/>
      <c r="U100" s="4"/>
      <c r="V100" s="4"/>
      <c r="W100" s="4"/>
      <c r="X100" s="4"/>
      <c r="Y100" s="4"/>
      <c r="Z100" s="4"/>
      <c r="AA100" s="4"/>
      <c r="AB100" s="4"/>
      <c r="AC100" s="4"/>
      <c r="AD100" s="4"/>
      <c r="AE100" s="4"/>
      <c r="AF100" s="4"/>
      <c r="AG100" s="4"/>
      <c r="AH100" s="4"/>
      <c r="AI100" s="4"/>
      <c r="AJ100" s="4"/>
      <c r="AK100" s="4"/>
      <c r="AL100" s="4"/>
      <c r="AM100" s="4"/>
      <c r="AN100" s="4"/>
      <c r="AO100" s="4"/>
      <c r="AQ100" s="32"/>
      <c r="AR100" s="33"/>
      <c r="AS100" s="33"/>
      <c r="AT100" s="27"/>
      <c r="AU100" s="27"/>
      <c r="AV100" s="27"/>
      <c r="AW100" s="27"/>
      <c r="AX100" s="27"/>
      <c r="AY100" s="27"/>
      <c r="AZ100" s="27"/>
      <c r="BA100" s="27"/>
      <c r="BB100" s="206"/>
      <c r="BC100" s="206"/>
      <c r="BD100" s="207"/>
      <c r="BE100" s="206"/>
      <c r="BF100" s="206"/>
      <c r="BG100" s="206"/>
      <c r="BK100" s="207"/>
      <c r="BM100" s="426" t="b">
        <f>IF(BN106=12,3)</f>
        <v>0</v>
      </c>
      <c r="BN100" s="437"/>
      <c r="BO100" s="429" t="b">
        <f>IF(BN106=12,5)</f>
        <v>0</v>
      </c>
      <c r="BQ100" s="206"/>
      <c r="BR100" s="206"/>
      <c r="BS100" s="206"/>
      <c r="BT100" s="206"/>
      <c r="BU100" s="206"/>
      <c r="BV100" s="206"/>
      <c r="BW100" s="206"/>
      <c r="BX100" s="207"/>
      <c r="BY100" s="198"/>
      <c r="BZ100" s="184"/>
      <c r="CA100" s="185"/>
      <c r="CB100" s="185"/>
      <c r="CC100" s="185"/>
      <c r="CD100" s="185"/>
      <c r="CE100" s="185"/>
      <c r="CF100" s="185"/>
      <c r="CG100" s="185"/>
      <c r="CH100" s="185"/>
    </row>
    <row r="101" spans="2:86" ht="22.2" hidden="1" thickTop="1" thickBot="1" x14ac:dyDescent="0.45">
      <c r="B101" s="1372"/>
      <c r="C101" s="1359"/>
      <c r="D101" s="1378"/>
      <c r="E101" s="1360"/>
      <c r="T101" s="4"/>
      <c r="U101" s="4"/>
      <c r="V101" s="4"/>
      <c r="W101" s="4"/>
      <c r="X101" s="4"/>
      <c r="Y101" s="4"/>
      <c r="Z101" s="4"/>
      <c r="AA101" s="4"/>
      <c r="AB101" s="4"/>
      <c r="AC101" s="4"/>
      <c r="AD101" s="4"/>
      <c r="AE101" s="4"/>
      <c r="AF101" s="4"/>
      <c r="AG101" s="4"/>
      <c r="AH101" s="4"/>
      <c r="AI101" s="4"/>
      <c r="AJ101" s="4"/>
      <c r="AK101" s="4"/>
      <c r="AL101" s="4"/>
      <c r="AM101" s="4"/>
      <c r="AN101" s="4"/>
      <c r="AO101" s="4"/>
      <c r="AQ101" s="32"/>
      <c r="AR101" s="33"/>
      <c r="AS101" s="33"/>
      <c r="AT101" s="27"/>
      <c r="AU101" s="27"/>
      <c r="AV101" s="27"/>
      <c r="AW101" s="27"/>
      <c r="AX101" s="27"/>
      <c r="AY101" s="27"/>
      <c r="AZ101" s="27"/>
      <c r="BA101" s="27"/>
      <c r="BB101" s="206"/>
      <c r="BC101" s="206"/>
      <c r="BD101" s="207"/>
      <c r="BE101" s="206"/>
      <c r="BF101" s="206"/>
      <c r="BG101" s="206"/>
      <c r="BK101" s="423">
        <f>IF(BM106=11,1)</f>
        <v>1</v>
      </c>
      <c r="BL101" s="436"/>
      <c r="BM101" s="436"/>
      <c r="BN101" s="436"/>
      <c r="BO101" s="425">
        <f>IF(BM106=11,5)</f>
        <v>5</v>
      </c>
      <c r="BP101" s="206"/>
      <c r="BQ101" s="206"/>
      <c r="BR101" s="206"/>
      <c r="BS101" s="206"/>
      <c r="BT101" s="206"/>
      <c r="BU101" s="206"/>
      <c r="BV101" s="206"/>
      <c r="BW101" s="206"/>
      <c r="BX101" s="207"/>
      <c r="BY101" s="198"/>
      <c r="BZ101" s="184"/>
      <c r="CA101" s="185"/>
      <c r="CB101" s="185"/>
      <c r="CC101" s="185"/>
      <c r="CD101" s="185"/>
      <c r="CE101" s="185"/>
      <c r="CF101" s="185"/>
      <c r="CG101" s="185"/>
      <c r="CH101" s="185"/>
    </row>
    <row r="102" spans="2:86" ht="22.2" hidden="1" thickTop="1" thickBot="1" x14ac:dyDescent="0.45">
      <c r="B102" s="1371"/>
      <c r="C102" s="1359"/>
      <c r="D102" s="1379" t="b">
        <f>AND(AN121&gt;=10,AO121&gt;=10,B108&gt;=10,D108&gt;=10)</f>
        <v>1</v>
      </c>
      <c r="E102" s="1360"/>
      <c r="F102" s="690" t="b">
        <f>AND(B108&gt;=10,D108&gt;=10,E108&gt;=10,AN121&gt;=10,AO121&gt;=10)</f>
        <v>1</v>
      </c>
      <c r="T102" s="4"/>
      <c r="U102" s="4"/>
      <c r="V102" s="4"/>
      <c r="W102" s="4"/>
      <c r="X102" s="4"/>
      <c r="Y102" s="4"/>
      <c r="Z102" s="4"/>
      <c r="AA102" s="4"/>
      <c r="AB102" s="4"/>
      <c r="AC102" s="4"/>
      <c r="AD102" s="4"/>
      <c r="AE102" s="4"/>
      <c r="AF102" s="4"/>
      <c r="AG102" s="4"/>
      <c r="AH102" s="4"/>
      <c r="AI102" s="4"/>
      <c r="AJ102" s="4"/>
      <c r="AK102" s="4"/>
      <c r="AL102" s="4"/>
      <c r="AM102" s="4"/>
      <c r="AN102" s="4"/>
      <c r="AO102" s="4"/>
      <c r="AQ102" s="32"/>
      <c r="AR102" s="33"/>
      <c r="AS102" s="33"/>
      <c r="AT102" s="27"/>
      <c r="AU102" s="27"/>
      <c r="AV102" s="27"/>
      <c r="AW102" s="27"/>
      <c r="AX102" s="27"/>
      <c r="AY102" s="27"/>
      <c r="AZ102" s="27"/>
      <c r="BA102" s="27"/>
      <c r="BB102" s="206"/>
      <c r="BC102" s="206"/>
      <c r="BD102" s="207"/>
      <c r="BE102" s="206"/>
      <c r="BF102" s="206"/>
      <c r="BG102" s="206"/>
      <c r="BK102" s="426" t="b">
        <f>IF(BL106=10,1)</f>
        <v>0</v>
      </c>
      <c r="BL102" s="437"/>
      <c r="BM102" s="429" t="b">
        <f>IF(BL106=10,3)</f>
        <v>0</v>
      </c>
      <c r="BN102" s="206"/>
      <c r="BO102" s="206"/>
      <c r="BP102" s="206"/>
      <c r="BQ102" s="206"/>
      <c r="BR102" s="206"/>
      <c r="BS102" s="206"/>
      <c r="BT102" s="206"/>
      <c r="BU102" s="206"/>
      <c r="BV102" s="206"/>
      <c r="BW102" s="206"/>
      <c r="BX102" s="207"/>
      <c r="BY102" s="198"/>
      <c r="BZ102" s="184"/>
      <c r="CA102" s="185"/>
      <c r="CB102" s="185"/>
      <c r="CC102" s="185"/>
      <c r="CD102" s="185"/>
      <c r="CE102" s="185"/>
      <c r="CF102" s="185"/>
      <c r="CG102" s="185"/>
      <c r="CH102" s="185"/>
    </row>
    <row r="103" spans="2:86" ht="31.2" thickTop="1" thickBot="1" x14ac:dyDescent="0.55000000000000004">
      <c r="B103" s="1358" t="str">
        <f>IF(D102=TRUE,"O K","OVERLOAD")</f>
        <v>O K</v>
      </c>
      <c r="C103" s="1359"/>
      <c r="D103" s="1369"/>
      <c r="E103" s="1361" t="str">
        <f>IF(F102=TRUE,"O K ","OVERLOAD")</f>
        <v xml:space="preserve">O K </v>
      </c>
      <c r="T103" s="4"/>
      <c r="U103" s="4"/>
      <c r="V103" s="4"/>
      <c r="W103" s="4"/>
      <c r="X103" s="4"/>
      <c r="Y103" s="4"/>
      <c r="Z103" s="4"/>
      <c r="AA103" s="4"/>
      <c r="AB103" s="4"/>
      <c r="AC103" s="4"/>
      <c r="AD103" s="4"/>
      <c r="AE103" s="4"/>
      <c r="AF103" s="4"/>
      <c r="AG103" s="4"/>
      <c r="AH103" s="4"/>
      <c r="AI103" s="4"/>
      <c r="AJ103" s="4"/>
      <c r="AK103" s="4"/>
      <c r="AL103" s="4"/>
      <c r="AM103" s="4"/>
      <c r="AN103" s="4"/>
      <c r="AO103" s="4"/>
      <c r="AQ103" s="32"/>
      <c r="AR103" s="33"/>
      <c r="AS103" s="33"/>
      <c r="AT103" s="27"/>
      <c r="AU103" s="27"/>
      <c r="AV103" s="27"/>
      <c r="AW103" s="27"/>
      <c r="AX103" s="27"/>
      <c r="AY103" s="27"/>
      <c r="AZ103" s="27"/>
      <c r="BA103" s="27"/>
      <c r="BB103" s="206"/>
      <c r="BC103" s="206"/>
      <c r="BD103" s="207"/>
      <c r="BE103" s="206"/>
      <c r="BF103" s="206"/>
      <c r="BG103" s="206"/>
      <c r="BH103" s="182"/>
      <c r="BI103" s="206"/>
      <c r="BJ103" s="206"/>
      <c r="BK103" s="206"/>
      <c r="BL103" s="206"/>
      <c r="BM103" s="206"/>
      <c r="BN103" s="206"/>
      <c r="BO103" s="206"/>
      <c r="BP103" s="206"/>
      <c r="BQ103" s="206"/>
      <c r="BR103" s="206"/>
      <c r="BS103" s="206"/>
      <c r="BT103" s="206"/>
      <c r="BU103" s="207"/>
      <c r="BV103" s="198"/>
      <c r="BW103" s="198"/>
      <c r="BX103" s="198"/>
      <c r="BY103" s="198"/>
      <c r="BZ103" s="184"/>
      <c r="CA103" s="185"/>
      <c r="CB103" s="185"/>
      <c r="CC103" s="185"/>
      <c r="CD103" s="185"/>
      <c r="CE103" s="185"/>
      <c r="CF103" s="185"/>
      <c r="CG103" s="185"/>
      <c r="CH103" s="185"/>
    </row>
    <row r="104" spans="2:86" ht="43.2" thickTop="1" thickBot="1" x14ac:dyDescent="0.45">
      <c r="B104" s="2009" t="s">
        <v>200</v>
      </c>
      <c r="C104" s="2002"/>
      <c r="D104" s="2002"/>
      <c r="E104" s="2002"/>
      <c r="T104" s="4"/>
      <c r="U104" s="4"/>
      <c r="V104" s="4"/>
      <c r="W104" s="700"/>
      <c r="X104" s="4"/>
      <c r="Y104" s="4"/>
      <c r="Z104" s="4"/>
      <c r="AA104" s="4"/>
      <c r="AB104" s="4"/>
      <c r="AC104" s="4"/>
      <c r="AD104" s="4"/>
      <c r="AE104" s="4"/>
      <c r="AF104" s="4"/>
      <c r="AG104" s="4"/>
      <c r="AH104" s="4"/>
      <c r="AI104" s="4"/>
      <c r="AJ104" s="4"/>
      <c r="AK104" s="4"/>
      <c r="AL104" s="4"/>
      <c r="AM104" s="4"/>
      <c r="AN104" s="4"/>
      <c r="AO104" s="4"/>
      <c r="AQ104" s="32"/>
      <c r="AS104" s="33"/>
      <c r="AT104" s="27"/>
      <c r="AU104" s="27"/>
      <c r="AV104" s="27"/>
      <c r="AW104" s="27"/>
      <c r="AX104" s="27"/>
      <c r="AY104" s="27"/>
      <c r="AZ104" s="27"/>
      <c r="BA104" s="27"/>
      <c r="BB104" s="213" t="s">
        <v>82</v>
      </c>
      <c r="BC104" s="1984"/>
      <c r="BD104" s="1985"/>
      <c r="BE104" s="1985"/>
      <c r="BF104" s="1985"/>
      <c r="BG104" s="1985"/>
      <c r="BH104" s="1985"/>
      <c r="BI104" s="1985"/>
      <c r="BJ104" s="1986"/>
      <c r="BK104" s="765">
        <f t="shared" ref="BK104:BU104" si="1">SUM(BK91:BK103)</f>
        <v>1</v>
      </c>
      <c r="BL104" s="766">
        <f t="shared" si="1"/>
        <v>0</v>
      </c>
      <c r="BM104" s="766">
        <f t="shared" si="1"/>
        <v>0</v>
      </c>
      <c r="BN104" s="766">
        <f t="shared" si="1"/>
        <v>0</v>
      </c>
      <c r="BO104" s="766">
        <f t="shared" si="1"/>
        <v>5</v>
      </c>
      <c r="BP104" s="766">
        <f t="shared" si="1"/>
        <v>0</v>
      </c>
      <c r="BQ104" s="766">
        <f t="shared" si="1"/>
        <v>0</v>
      </c>
      <c r="BR104" s="766">
        <f t="shared" si="1"/>
        <v>0</v>
      </c>
      <c r="BS104" s="766">
        <f t="shared" si="1"/>
        <v>0</v>
      </c>
      <c r="BT104" s="766">
        <f t="shared" si="1"/>
        <v>0</v>
      </c>
      <c r="BU104" s="766">
        <f t="shared" si="1"/>
        <v>0</v>
      </c>
      <c r="BV104" s="766">
        <f>SUM(BV91:BV103)</f>
        <v>0</v>
      </c>
      <c r="BW104" s="1984"/>
      <c r="BX104" s="1985"/>
      <c r="BY104" s="1985"/>
      <c r="BZ104" s="1985"/>
      <c r="CA104" s="1985"/>
      <c r="CB104" s="1985"/>
      <c r="CC104" s="1985"/>
      <c r="CD104" s="1986"/>
      <c r="CE104" s="185"/>
      <c r="CF104" s="185"/>
      <c r="CG104" s="185"/>
      <c r="CH104" s="185"/>
    </row>
    <row r="105" spans="2:86" ht="26.25" customHeight="1" thickTop="1" thickBot="1" x14ac:dyDescent="0.45">
      <c r="B105" s="1362" t="s">
        <v>170</v>
      </c>
      <c r="C105" s="1374"/>
      <c r="D105" s="1362" t="s">
        <v>193</v>
      </c>
      <c r="E105" s="1362" t="s">
        <v>168</v>
      </c>
      <c r="T105" s="4"/>
      <c r="U105" s="4"/>
      <c r="V105" s="4"/>
      <c r="W105" s="4"/>
      <c r="X105" s="4"/>
      <c r="Y105" s="4"/>
      <c r="Z105" s="4"/>
      <c r="AA105" s="4"/>
      <c r="AB105" s="4"/>
      <c r="AC105" s="4"/>
      <c r="AD105" s="4"/>
      <c r="AE105" s="4"/>
      <c r="AF105" s="4"/>
      <c r="AG105" s="4"/>
      <c r="AH105" s="4"/>
      <c r="AI105" s="4"/>
      <c r="AJ105" s="4"/>
      <c r="AK105" s="4"/>
      <c r="AL105" s="4"/>
      <c r="AM105" s="4"/>
      <c r="AN105" s="4"/>
      <c r="AO105" s="4"/>
      <c r="AQ105" s="32"/>
      <c r="AR105" s="73"/>
      <c r="AS105" s="33"/>
      <c r="AT105" s="27"/>
      <c r="AU105" s="27"/>
      <c r="AV105" s="27"/>
      <c r="AW105" s="27"/>
      <c r="AX105" s="27"/>
      <c r="AY105" s="27"/>
      <c r="AZ105" s="27"/>
      <c r="BA105" s="27"/>
      <c r="BB105" s="214"/>
      <c r="BC105" s="198"/>
      <c r="BD105" s="199"/>
      <c r="BE105" s="198"/>
      <c r="BF105" s="198"/>
      <c r="BG105" s="198"/>
      <c r="BH105" s="199"/>
      <c r="BI105" s="198"/>
      <c r="BJ105" s="198"/>
      <c r="BK105" s="198"/>
      <c r="BL105" s="198"/>
      <c r="BM105" s="198"/>
      <c r="BN105" s="198"/>
      <c r="BO105" s="198"/>
      <c r="BP105" s="198"/>
      <c r="BQ105" s="198"/>
      <c r="BR105" s="198"/>
      <c r="BS105" s="198"/>
      <c r="BT105" s="198"/>
      <c r="BU105" s="198"/>
      <c r="BV105" s="198"/>
      <c r="BW105" s="198"/>
      <c r="BX105" s="198"/>
      <c r="BY105" s="198"/>
      <c r="BZ105" s="184"/>
      <c r="CA105" s="185"/>
      <c r="CB105" s="185"/>
      <c r="CC105" s="185"/>
      <c r="CD105" s="185"/>
      <c r="CE105" s="185"/>
      <c r="CF105" s="185"/>
      <c r="CG105" s="185"/>
      <c r="CH105" s="185"/>
    </row>
    <row r="106" spans="2:86" ht="22.2" hidden="1" thickTop="1" thickBot="1" x14ac:dyDescent="0.45">
      <c r="B106" s="1374"/>
      <c r="C106" s="1374"/>
      <c r="D106" s="1374"/>
      <c r="E106" s="1374"/>
      <c r="T106" s="4"/>
      <c r="U106" s="4"/>
      <c r="V106" s="4"/>
      <c r="W106" s="4"/>
      <c r="X106" s="4"/>
      <c r="Y106" s="4"/>
      <c r="Z106" s="4"/>
      <c r="AA106" s="4"/>
      <c r="AB106" s="4"/>
      <c r="AC106" s="4"/>
      <c r="AD106" s="4"/>
      <c r="AE106" s="4"/>
      <c r="AF106" s="4"/>
      <c r="AG106" s="4"/>
      <c r="AH106" s="4"/>
      <c r="AI106" s="4"/>
      <c r="AJ106" s="4"/>
      <c r="AK106" s="4"/>
      <c r="AL106" s="4"/>
      <c r="AM106" s="4"/>
      <c r="AN106" s="4"/>
      <c r="AO106" s="4"/>
      <c r="AQ106" s="32"/>
      <c r="AR106" s="73"/>
      <c r="AS106" s="33"/>
      <c r="AT106" s="27"/>
      <c r="AU106" s="27"/>
      <c r="AV106" s="27"/>
      <c r="AW106" s="27"/>
      <c r="AX106" s="27"/>
      <c r="AY106" s="27"/>
      <c r="AZ106" s="27"/>
      <c r="BA106" s="27"/>
      <c r="BB106" s="182"/>
      <c r="BC106" s="225" t="b">
        <f>+AZ144</f>
        <v>0</v>
      </c>
      <c r="BD106" s="225" t="b">
        <f>+AZ145</f>
        <v>0</v>
      </c>
      <c r="BE106" s="225" t="b">
        <f>+AZ146</f>
        <v>0</v>
      </c>
      <c r="BF106" s="225" t="b">
        <f>+AZ147</f>
        <v>0</v>
      </c>
      <c r="BG106" s="225" t="b">
        <f>+AZ148</f>
        <v>0</v>
      </c>
      <c r="BH106" s="225" t="b">
        <f>+AZ149</f>
        <v>0</v>
      </c>
      <c r="BI106" s="225" t="b">
        <f>+AZ150</f>
        <v>0</v>
      </c>
      <c r="BJ106" s="225" t="b">
        <f>+AZ151</f>
        <v>0</v>
      </c>
      <c r="BK106" s="225" t="b">
        <f>+AZ152</f>
        <v>0</v>
      </c>
      <c r="BL106" s="225" t="b">
        <f>+AZ153</f>
        <v>0</v>
      </c>
      <c r="BM106" s="225">
        <f>+AZ154</f>
        <v>11</v>
      </c>
      <c r="BN106" s="225" t="b">
        <f>+AZ155</f>
        <v>0</v>
      </c>
      <c r="BO106" s="225" t="b">
        <f>+AZ156</f>
        <v>0</v>
      </c>
      <c r="BP106" s="225" t="b">
        <f>+AZ157</f>
        <v>0</v>
      </c>
      <c r="BQ106" s="225" t="b">
        <f>+AZ158</f>
        <v>0</v>
      </c>
      <c r="BR106" s="225" t="b">
        <f>+AZ159</f>
        <v>0</v>
      </c>
      <c r="BS106" s="225" t="b">
        <f>+AZ160</f>
        <v>0</v>
      </c>
      <c r="BT106" s="225" t="b">
        <f>+AZ161</f>
        <v>0</v>
      </c>
      <c r="BU106" s="225" t="b">
        <f>+AZ162</f>
        <v>0</v>
      </c>
      <c r="BV106" s="225" t="b">
        <f>+AZ163</f>
        <v>0</v>
      </c>
      <c r="BW106" s="225" t="b">
        <f>+AZ164</f>
        <v>0</v>
      </c>
      <c r="BX106" s="225" t="b">
        <f>+AZ165</f>
        <v>0</v>
      </c>
      <c r="BY106" s="225" t="b">
        <f>+AZ166</f>
        <v>0</v>
      </c>
      <c r="BZ106" s="225" t="b">
        <f>+AZ167</f>
        <v>0</v>
      </c>
      <c r="CA106" s="225" t="b">
        <f>+AZ168</f>
        <v>0</v>
      </c>
      <c r="CB106" s="225" t="b">
        <f>+AZ169</f>
        <v>0</v>
      </c>
      <c r="CC106" s="225" t="b">
        <f>+AZ170</f>
        <v>0</v>
      </c>
      <c r="CD106" s="225" t="b">
        <f>+AZ171</f>
        <v>0</v>
      </c>
      <c r="CE106" s="225"/>
      <c r="CF106" s="225"/>
      <c r="CG106" s="185"/>
      <c r="CH106" s="185"/>
    </row>
    <row r="107" spans="2:86" ht="22.2" hidden="1" thickTop="1" thickBot="1" x14ac:dyDescent="0.45">
      <c r="B107" s="1364">
        <f>+C8/AZ90</f>
        <v>72.592686151154126</v>
      </c>
      <c r="C107" s="1374"/>
      <c r="D107" s="1364">
        <f>+D8/D10</f>
        <v>232.22411831626852</v>
      </c>
      <c r="E107" s="1364">
        <f>+D8/BC49</f>
        <v>104.16666666666667</v>
      </c>
      <c r="T107" s="4"/>
      <c r="U107" s="4"/>
      <c r="V107" s="4"/>
      <c r="W107" s="4"/>
      <c r="X107" s="4"/>
      <c r="Y107" s="4"/>
      <c r="Z107" s="4"/>
      <c r="AA107" s="4"/>
      <c r="AB107" s="4"/>
      <c r="AC107" s="4"/>
      <c r="AD107" s="4"/>
      <c r="AE107" s="4"/>
      <c r="AF107" s="4"/>
      <c r="AG107" s="4"/>
      <c r="AH107" s="4"/>
      <c r="AI107" s="4"/>
      <c r="AJ107" s="4"/>
      <c r="AK107" s="4"/>
      <c r="AL107" s="4"/>
      <c r="AM107" s="4"/>
      <c r="AN107" s="4"/>
      <c r="AO107" s="4"/>
      <c r="AQ107" s="32"/>
      <c r="AR107" s="73"/>
      <c r="AS107" s="33"/>
      <c r="AT107" s="27"/>
      <c r="AU107" s="27"/>
      <c r="AV107" s="27"/>
      <c r="AW107" s="27"/>
      <c r="AX107" s="27"/>
      <c r="AY107" s="27"/>
      <c r="AZ107" s="27"/>
      <c r="BA107" s="27"/>
      <c r="BB107" s="184" t="s">
        <v>27</v>
      </c>
      <c r="BC107" s="225" t="b">
        <f>+BC106</f>
        <v>0</v>
      </c>
      <c r="BD107" s="225" t="b">
        <f t="shared" ref="BD107:BU107" si="2">+BD106</f>
        <v>0</v>
      </c>
      <c r="BE107" s="225" t="b">
        <f t="shared" si="2"/>
        <v>0</v>
      </c>
      <c r="BF107" s="225" t="b">
        <f t="shared" si="2"/>
        <v>0</v>
      </c>
      <c r="BG107" s="225" t="b">
        <f t="shared" si="2"/>
        <v>0</v>
      </c>
      <c r="BH107" s="225" t="b">
        <f t="shared" si="2"/>
        <v>0</v>
      </c>
      <c r="BI107" s="225" t="b">
        <f>+BI106</f>
        <v>0</v>
      </c>
      <c r="BJ107" s="225" t="b">
        <f t="shared" si="2"/>
        <v>0</v>
      </c>
      <c r="BK107" s="225" t="b">
        <f t="shared" si="2"/>
        <v>0</v>
      </c>
      <c r="BL107" s="225" t="b">
        <f t="shared" si="2"/>
        <v>0</v>
      </c>
      <c r="BM107" s="225">
        <f t="shared" si="2"/>
        <v>11</v>
      </c>
      <c r="BN107" s="225" t="b">
        <f>+BN106</f>
        <v>0</v>
      </c>
      <c r="BO107" s="225" t="b">
        <f>+BO106</f>
        <v>0</v>
      </c>
      <c r="BP107" s="225" t="b">
        <f>+BP106</f>
        <v>0</v>
      </c>
      <c r="BQ107" s="225" t="b">
        <f>+BQ106</f>
        <v>0</v>
      </c>
      <c r="BR107" s="225" t="b">
        <f>+BR106</f>
        <v>0</v>
      </c>
      <c r="BS107" s="225" t="b">
        <f t="shared" si="2"/>
        <v>0</v>
      </c>
      <c r="BT107" s="225" t="b">
        <f t="shared" si="2"/>
        <v>0</v>
      </c>
      <c r="BU107" s="225" t="b">
        <f t="shared" si="2"/>
        <v>0</v>
      </c>
      <c r="BV107" s="225" t="b">
        <f>+BV106</f>
        <v>0</v>
      </c>
      <c r="BW107" s="225" t="b">
        <f>+BW106</f>
        <v>0</v>
      </c>
      <c r="BX107" s="225" t="b">
        <f>+BX106</f>
        <v>0</v>
      </c>
      <c r="BY107" s="225" t="b">
        <f>+BY106</f>
        <v>0</v>
      </c>
      <c r="BZ107" s="225" t="b">
        <f>+BZ106</f>
        <v>0</v>
      </c>
      <c r="CA107" s="225" t="b">
        <f t="shared" ref="CA107:CD107" si="3">+CA106</f>
        <v>0</v>
      </c>
      <c r="CB107" s="225" t="b">
        <f t="shared" si="3"/>
        <v>0</v>
      </c>
      <c r="CC107" s="225" t="b">
        <f t="shared" si="3"/>
        <v>0</v>
      </c>
      <c r="CD107" s="225" t="b">
        <f t="shared" si="3"/>
        <v>0</v>
      </c>
      <c r="CE107" s="225"/>
      <c r="CF107" s="225"/>
      <c r="CG107" s="185"/>
      <c r="CH107" s="185"/>
    </row>
    <row r="108" spans="2:86" ht="34.5" customHeight="1" thickTop="1" thickBot="1" x14ac:dyDescent="0.45">
      <c r="B108" s="1365">
        <f>ABS(B107)</f>
        <v>72.592686151154126</v>
      </c>
      <c r="C108" s="1375"/>
      <c r="D108" s="1365">
        <f>+IF(B107&lt;&gt;TRUE,ABS(D107))</f>
        <v>232.22411831626852</v>
      </c>
      <c r="E108" s="1367">
        <f>+IF(AND(D107&lt;&gt;TRUE,B107&lt;&gt;TRUE),E107)</f>
        <v>104.16666666666667</v>
      </c>
      <c r="T108" s="4"/>
      <c r="U108" s="4"/>
      <c r="V108" s="4"/>
      <c r="W108" s="4"/>
      <c r="X108" s="4"/>
      <c r="Y108" s="4"/>
      <c r="Z108" s="4"/>
      <c r="AA108" s="4"/>
      <c r="AB108" s="4"/>
      <c r="AC108" s="4"/>
      <c r="AD108" s="4"/>
      <c r="AE108" s="4"/>
      <c r="AF108" s="4"/>
      <c r="AG108" s="4"/>
      <c r="AH108" s="4"/>
      <c r="AI108" s="4"/>
      <c r="AJ108" s="4"/>
      <c r="AK108" s="4"/>
      <c r="AL108" s="4"/>
      <c r="AM108" s="4"/>
      <c r="AN108" s="4"/>
      <c r="AO108" s="4"/>
      <c r="AQ108" s="32"/>
      <c r="AS108" s="33"/>
      <c r="AT108" s="27"/>
      <c r="AU108" s="27"/>
      <c r="AV108" s="27"/>
      <c r="AW108" s="27"/>
      <c r="AX108" s="27"/>
      <c r="AY108" s="27"/>
      <c r="AZ108" s="27"/>
      <c r="BA108" s="27"/>
      <c r="BB108" s="684" t="s">
        <v>27</v>
      </c>
      <c r="BC108" s="768" t="str">
        <f>IF(BC107=1,"A ","")</f>
        <v/>
      </c>
      <c r="BD108" s="769" t="str">
        <f>IF(BD107=2,"B ","")</f>
        <v/>
      </c>
      <c r="BE108" s="769" t="str">
        <f>IF(BE107=3,"C ","")</f>
        <v/>
      </c>
      <c r="BF108" s="769" t="str">
        <f>IF(BF107=4,"D ","")</f>
        <v/>
      </c>
      <c r="BG108" s="769" t="str">
        <f>IF(BG107=5,"E ","")</f>
        <v/>
      </c>
      <c r="BH108" s="769" t="str">
        <f>IF(BH107=6,"F ","")</f>
        <v/>
      </c>
      <c r="BI108" s="769" t="str">
        <f>IF(BI107=7,"G ","")</f>
        <v/>
      </c>
      <c r="BJ108" s="769" t="str">
        <f>IF(BJ107=8,"H ","")</f>
        <v/>
      </c>
      <c r="BK108" s="769" t="str">
        <f>IF(BK107=9,"1 ","")</f>
        <v/>
      </c>
      <c r="BL108" s="769" t="str">
        <f>IF(BL107=10,"2 ","")</f>
        <v/>
      </c>
      <c r="BM108" s="769" t="str">
        <f>IF(BM107=11,"3 ","")</f>
        <v xml:space="preserve">3 </v>
      </c>
      <c r="BN108" s="769" t="str">
        <f>IF(BN107=12,"4 ","")</f>
        <v/>
      </c>
      <c r="BO108" s="769" t="str">
        <f>IF(BO107=13,"5 ","")</f>
        <v/>
      </c>
      <c r="BP108" s="769" t="str">
        <f>IF(BP107=14,"i ","")</f>
        <v/>
      </c>
      <c r="BQ108" s="769" t="str">
        <f>IF(BQ107=15,"J ","")</f>
        <v/>
      </c>
      <c r="BR108" s="769" t="str">
        <f>IF(BR107=16,"6 ","")</f>
        <v/>
      </c>
      <c r="BS108" s="769" t="str">
        <f>IF(BS107=17,"7 ","")</f>
        <v/>
      </c>
      <c r="BT108" s="769" t="str">
        <f>IF(BT107=18,"8 ","")</f>
        <v/>
      </c>
      <c r="BU108" s="769" t="str">
        <f>IF(BU107=19,"9 ","")</f>
        <v/>
      </c>
      <c r="BV108" s="769" t="str">
        <f>IF(BV107=20,"10 ","")</f>
        <v/>
      </c>
      <c r="BW108" s="769" t="str">
        <f>IF(BW107=21,"K ","")</f>
        <v/>
      </c>
      <c r="BX108" s="769" t="str">
        <f>IF(BX107=22,"L ","")</f>
        <v/>
      </c>
      <c r="BY108" s="769" t="str">
        <f>IF(BY107=23,"M ","")</f>
        <v/>
      </c>
      <c r="BZ108" s="769" t="str">
        <f>IF(BZ107=24,"N ","")</f>
        <v/>
      </c>
      <c r="CA108" s="769" t="str">
        <f>IF(CA107=25,"O ","")</f>
        <v/>
      </c>
      <c r="CB108" s="769" t="str">
        <f>IF(CB107=26,"P ","")</f>
        <v/>
      </c>
      <c r="CC108" s="769" t="str">
        <f>IF(CC107=27,"Q ","")</f>
        <v/>
      </c>
      <c r="CD108" s="770" t="str">
        <f>IF(CD107=28,"R ","")</f>
        <v/>
      </c>
      <c r="CE108" s="225"/>
      <c r="CF108" s="225"/>
      <c r="CG108" s="185"/>
      <c r="CH108" s="185"/>
    </row>
    <row r="109" spans="2:86" ht="21.6" hidden="1" thickTop="1" x14ac:dyDescent="0.4">
      <c r="B109" s="324"/>
      <c r="C109" s="141"/>
      <c r="T109" s="4"/>
      <c r="U109" s="4"/>
      <c r="V109" s="4"/>
      <c r="W109" s="4"/>
      <c r="X109" s="4"/>
      <c r="Y109" s="4"/>
      <c r="Z109" s="4"/>
      <c r="AA109" s="4"/>
      <c r="AB109" s="4"/>
      <c r="AC109" s="4"/>
      <c r="AD109" s="4"/>
      <c r="AE109" s="4"/>
      <c r="AF109" s="4"/>
      <c r="AG109" s="4"/>
      <c r="AH109" s="4"/>
      <c r="AI109" s="4"/>
      <c r="AJ109" s="4"/>
      <c r="AK109" s="4"/>
      <c r="AL109" s="4"/>
      <c r="AM109" s="4"/>
      <c r="AN109" s="4"/>
      <c r="AO109" s="4"/>
      <c r="AQ109" s="32"/>
      <c r="AR109" s="33"/>
      <c r="AS109" s="33"/>
      <c r="AT109" s="27"/>
      <c r="AU109" s="27"/>
      <c r="AV109" s="27"/>
      <c r="AW109" s="27"/>
      <c r="AX109" s="27"/>
      <c r="AY109" s="27"/>
      <c r="AZ109" s="27"/>
      <c r="BA109" s="27"/>
      <c r="BB109" s="185"/>
      <c r="BC109" s="216">
        <v>1</v>
      </c>
      <c r="BD109" s="216">
        <v>2</v>
      </c>
      <c r="BE109" s="216">
        <v>3</v>
      </c>
      <c r="BF109" s="216">
        <v>4</v>
      </c>
      <c r="BG109" s="216">
        <v>5</v>
      </c>
      <c r="BH109" s="216">
        <v>6</v>
      </c>
      <c r="BI109" s="216">
        <v>7</v>
      </c>
      <c r="BJ109" s="216">
        <v>8</v>
      </c>
      <c r="BK109" s="216">
        <v>9</v>
      </c>
      <c r="BL109" s="216">
        <v>10</v>
      </c>
      <c r="BM109" s="216">
        <v>11</v>
      </c>
      <c r="BN109" s="216">
        <v>12</v>
      </c>
      <c r="BO109" s="216">
        <v>13</v>
      </c>
      <c r="BP109" s="216">
        <v>14</v>
      </c>
      <c r="BQ109" s="216">
        <v>15</v>
      </c>
      <c r="BR109" s="216">
        <v>16</v>
      </c>
      <c r="BS109" s="216">
        <v>17</v>
      </c>
      <c r="BT109" s="216">
        <v>18</v>
      </c>
      <c r="BU109" s="216">
        <v>19</v>
      </c>
      <c r="BV109" s="216">
        <v>20</v>
      </c>
      <c r="BW109" s="216">
        <v>21</v>
      </c>
      <c r="BX109" s="216">
        <v>22</v>
      </c>
      <c r="BY109" s="216">
        <v>23</v>
      </c>
      <c r="BZ109" s="216">
        <v>24</v>
      </c>
      <c r="CA109" s="216">
        <v>25</v>
      </c>
      <c r="CB109" s="216">
        <v>26</v>
      </c>
      <c r="CC109" s="216">
        <v>27</v>
      </c>
      <c r="CD109" s="216">
        <v>28</v>
      </c>
      <c r="CE109" s="216"/>
      <c r="CF109" s="216"/>
      <c r="CG109" s="185"/>
      <c r="CH109" s="185"/>
    </row>
    <row r="110" spans="2:86" ht="26.4" thickTop="1" thickBot="1" x14ac:dyDescent="0.5">
      <c r="B110" s="701"/>
      <c r="C110" s="325"/>
      <c r="G110" s="438"/>
      <c r="H110" s="438"/>
      <c r="I110" s="438"/>
      <c r="J110" s="438"/>
      <c r="K110" s="438"/>
      <c r="L110" s="438"/>
      <c r="M110" s="438"/>
      <c r="N110" s="438"/>
      <c r="O110" s="438"/>
      <c r="P110" s="438"/>
      <c r="Q110" s="438"/>
      <c r="R110" s="438"/>
      <c r="S110" s="438"/>
      <c r="T110" s="438"/>
      <c r="U110" s="438"/>
      <c r="V110" s="438"/>
      <c r="W110" s="438"/>
      <c r="X110" s="438"/>
      <c r="Y110" s="438"/>
      <c r="Z110" s="438"/>
      <c r="AA110" s="438"/>
      <c r="AB110" s="438"/>
      <c r="AC110" s="438"/>
      <c r="AD110" s="438"/>
      <c r="AE110" s="438"/>
      <c r="AF110" s="438"/>
      <c r="AG110" s="438"/>
      <c r="AH110" s="438"/>
      <c r="AI110" s="438"/>
      <c r="AJ110" s="438"/>
      <c r="AK110" s="438"/>
      <c r="AL110" s="438"/>
      <c r="AM110" s="438"/>
      <c r="AN110" s="438"/>
      <c r="AO110" s="438"/>
      <c r="AP110" s="438"/>
      <c r="AQ110" s="438"/>
      <c r="AR110" s="438"/>
      <c r="AS110" s="72"/>
      <c r="AT110" s="27"/>
      <c r="AU110" s="27"/>
      <c r="AV110" s="27"/>
      <c r="AW110" s="27"/>
      <c r="AX110" s="27"/>
      <c r="AY110" s="27"/>
      <c r="AZ110" s="27"/>
      <c r="BA110" s="27"/>
      <c r="BB110" s="185"/>
      <c r="BC110" s="216" t="s">
        <v>33</v>
      </c>
      <c r="BD110" s="216" t="s">
        <v>34</v>
      </c>
      <c r="BE110" s="216" t="s">
        <v>35</v>
      </c>
      <c r="BF110" s="216" t="s">
        <v>36</v>
      </c>
      <c r="BG110" s="216" t="s">
        <v>37</v>
      </c>
      <c r="BH110" s="216" t="s">
        <v>83</v>
      </c>
      <c r="BI110" s="216" t="s">
        <v>16</v>
      </c>
      <c r="BJ110" s="216" t="s">
        <v>84</v>
      </c>
      <c r="BK110" s="216">
        <v>1</v>
      </c>
      <c r="BL110" s="216">
        <v>2</v>
      </c>
      <c r="BM110" s="216">
        <v>3</v>
      </c>
      <c r="BN110" s="223">
        <v>4</v>
      </c>
      <c r="BO110" s="216">
        <v>5</v>
      </c>
      <c r="BP110" s="216" t="s">
        <v>85</v>
      </c>
      <c r="BQ110" s="216" t="s">
        <v>86</v>
      </c>
      <c r="BR110" s="216">
        <v>6</v>
      </c>
      <c r="BS110" s="216">
        <v>7</v>
      </c>
      <c r="BT110" s="216">
        <v>8</v>
      </c>
      <c r="BU110" s="216">
        <v>9</v>
      </c>
      <c r="BV110" s="216">
        <v>10</v>
      </c>
      <c r="BW110" s="216" t="s">
        <v>87</v>
      </c>
      <c r="BX110" s="216" t="s">
        <v>15</v>
      </c>
      <c r="BY110" s="216" t="s">
        <v>88</v>
      </c>
      <c r="BZ110" s="216" t="s">
        <v>89</v>
      </c>
      <c r="CA110" s="216" t="s">
        <v>90</v>
      </c>
      <c r="CB110" s="216" t="s">
        <v>91</v>
      </c>
      <c r="CC110" s="216" t="s">
        <v>92</v>
      </c>
      <c r="CD110" s="216" t="s">
        <v>93</v>
      </c>
      <c r="CE110" s="216"/>
      <c r="CF110" s="216"/>
    </row>
    <row r="111" spans="2:86" ht="30" hidden="1" x14ac:dyDescent="0.4">
      <c r="D111" s="74"/>
      <c r="E111" s="74"/>
      <c r="F111" s="74"/>
      <c r="G111" s="74"/>
      <c r="H111" s="78"/>
      <c r="I111" s="78"/>
      <c r="J111" s="78"/>
      <c r="K111" s="78"/>
      <c r="L111" s="78"/>
      <c r="M111" s="78"/>
      <c r="N111" s="78"/>
      <c r="O111" s="78"/>
      <c r="P111" s="78"/>
      <c r="Q111" s="78"/>
      <c r="R111" s="78"/>
      <c r="S111" s="78"/>
      <c r="T111" s="78"/>
      <c r="U111" s="78"/>
      <c r="V111" s="78"/>
      <c r="W111" s="78"/>
      <c r="X111" s="78"/>
      <c r="Y111" s="78"/>
      <c r="Z111" s="78"/>
      <c r="AA111" s="78"/>
      <c r="AB111" s="78"/>
      <c r="AC111" s="78"/>
      <c r="AD111" s="78"/>
      <c r="AE111" s="78"/>
      <c r="AF111" s="78"/>
      <c r="AG111" s="78"/>
      <c r="AH111" s="78"/>
      <c r="AI111" s="78"/>
      <c r="AJ111" s="78"/>
      <c r="AK111" s="78"/>
      <c r="AL111" s="78"/>
      <c r="AM111" s="78"/>
      <c r="AN111" s="78"/>
      <c r="AO111" s="78"/>
      <c r="AP111" s="78"/>
      <c r="AQ111" s="78"/>
      <c r="AR111" s="78"/>
      <c r="AT111" s="27"/>
      <c r="AU111" s="27"/>
      <c r="AV111" s="27"/>
      <c r="AW111" s="27"/>
      <c r="AX111" s="27"/>
      <c r="AY111" s="27"/>
      <c r="AZ111" s="27"/>
      <c r="BA111" s="27"/>
      <c r="BB111" s="182"/>
      <c r="BC111" s="182"/>
      <c r="BD111" s="182"/>
      <c r="BE111" s="182"/>
      <c r="BF111" s="182"/>
      <c r="BG111" s="182"/>
      <c r="BH111" s="215"/>
      <c r="BI111" s="215"/>
      <c r="BJ111" s="215"/>
      <c r="BK111" s="215"/>
      <c r="BL111" s="215"/>
      <c r="BM111" s="215"/>
      <c r="BN111" s="215"/>
      <c r="BO111" s="215"/>
      <c r="BP111" s="215"/>
      <c r="BQ111" s="215"/>
      <c r="BR111" s="215"/>
      <c r="BS111" s="215"/>
      <c r="BT111" s="215"/>
      <c r="BU111" s="215"/>
      <c r="BV111" s="184"/>
      <c r="BW111" s="185"/>
      <c r="BX111" s="185"/>
      <c r="BY111" s="185"/>
      <c r="BZ111" s="185"/>
      <c r="CA111" s="185"/>
      <c r="CB111" s="185"/>
      <c r="CC111" s="185"/>
      <c r="CD111" s="185"/>
      <c r="CE111" s="185"/>
      <c r="CF111" s="185"/>
      <c r="CG111" s="185"/>
      <c r="CH111" s="185"/>
    </row>
    <row r="112" spans="2:86" ht="40.5" hidden="1" customHeight="1" thickBot="1" x14ac:dyDescent="0.35">
      <c r="D112" s="74"/>
      <c r="E112" s="74"/>
      <c r="F112" s="74"/>
      <c r="G112" s="74"/>
      <c r="H112" s="7"/>
      <c r="I112" s="7"/>
      <c r="J112" s="7"/>
      <c r="K112" s="7"/>
      <c r="L112" s="7"/>
      <c r="M112" s="7"/>
      <c r="N112" s="7"/>
      <c r="O112" s="7"/>
      <c r="P112" s="7"/>
      <c r="Q112" s="7"/>
      <c r="R112" s="7"/>
      <c r="S112" s="7"/>
      <c r="T112" s="10"/>
      <c r="U112" s="10"/>
      <c r="V112" s="10"/>
      <c r="W112" s="10"/>
      <c r="X112" s="10"/>
      <c r="Y112" s="10"/>
      <c r="Z112" s="10"/>
      <c r="AA112" s="10"/>
      <c r="AB112" s="10"/>
      <c r="AC112" s="10"/>
      <c r="AD112" s="10"/>
      <c r="AE112" s="10"/>
      <c r="AF112" s="10"/>
      <c r="AG112" s="10"/>
      <c r="AH112" s="10"/>
      <c r="AI112" s="10"/>
      <c r="AJ112" s="10"/>
      <c r="AK112" s="10"/>
      <c r="AL112" s="10"/>
      <c r="AM112" s="10"/>
      <c r="AN112" s="10"/>
      <c r="AO112" s="10"/>
      <c r="AP112" s="7"/>
      <c r="AQ112" s="32"/>
      <c r="AR112" s="33"/>
      <c r="AT112" s="27"/>
      <c r="AU112" s="27"/>
      <c r="AV112" s="27"/>
      <c r="AW112" s="27"/>
      <c r="AX112" s="27"/>
      <c r="AY112" s="27"/>
      <c r="AZ112" s="27"/>
      <c r="BA112" s="27"/>
      <c r="BB112" s="10"/>
      <c r="BC112" s="10"/>
      <c r="BD112" s="10"/>
      <c r="BE112" s="10"/>
      <c r="BF112" s="10"/>
      <c r="BG112" s="10"/>
      <c r="BH112" s="49"/>
      <c r="BI112" s="49"/>
      <c r="BJ112" s="49"/>
      <c r="BK112" s="49"/>
      <c r="BL112" s="49"/>
      <c r="BM112" s="49"/>
      <c r="BN112" s="49"/>
      <c r="BO112" s="49"/>
      <c r="BP112" s="49"/>
      <c r="BQ112" s="49"/>
      <c r="BR112" s="49"/>
      <c r="BS112" s="49"/>
      <c r="BT112" s="49"/>
      <c r="BU112" s="49"/>
      <c r="BV112" s="7"/>
    </row>
    <row r="113" spans="2:86" ht="18" hidden="1" customHeight="1" thickBot="1" x14ac:dyDescent="0.35">
      <c r="B113" s="1370"/>
      <c r="D113" s="74"/>
      <c r="E113" s="74"/>
      <c r="F113" s="74"/>
      <c r="G113" s="74"/>
      <c r="H113" s="7"/>
      <c r="I113" s="7"/>
      <c r="J113" s="7"/>
      <c r="K113" s="7"/>
      <c r="L113" s="7"/>
      <c r="M113" s="7"/>
      <c r="N113" s="7"/>
      <c r="O113" s="7"/>
      <c r="P113" s="7"/>
      <c r="Q113" s="7"/>
      <c r="R113" s="7"/>
      <c r="S113" s="7"/>
      <c r="T113" s="10"/>
      <c r="U113" s="10"/>
      <c r="V113" s="10"/>
      <c r="W113" s="10"/>
      <c r="X113" s="10"/>
      <c r="Y113" s="10"/>
      <c r="Z113" s="10"/>
      <c r="AA113" s="10"/>
      <c r="AB113" s="10"/>
      <c r="AC113" s="10"/>
      <c r="AD113" s="10"/>
      <c r="AE113" s="10"/>
      <c r="AF113" s="10"/>
      <c r="AG113" s="10"/>
      <c r="AH113" s="10"/>
      <c r="AI113" s="10"/>
      <c r="AJ113" s="10"/>
      <c r="AK113" s="10"/>
      <c r="AL113" s="10"/>
      <c r="AM113" s="10"/>
      <c r="AN113" s="10"/>
      <c r="AO113" s="10"/>
      <c r="AP113" s="7"/>
      <c r="AQ113" s="32"/>
      <c r="AR113" s="33"/>
      <c r="AS113" s="33"/>
      <c r="AT113" s="27"/>
      <c r="AU113" s="27"/>
      <c r="AV113" s="27"/>
      <c r="AW113" s="27"/>
      <c r="AX113" s="27"/>
      <c r="AY113" s="27"/>
      <c r="BA113" s="439" t="s">
        <v>95</v>
      </c>
      <c r="BB113" s="62"/>
      <c r="BE113" s="10"/>
      <c r="BF113" s="10"/>
      <c r="BG113" s="10"/>
      <c r="BH113" s="49"/>
      <c r="BI113" s="49"/>
      <c r="BJ113" s="49"/>
      <c r="BK113" s="49"/>
      <c r="BL113" s="49"/>
      <c r="BM113" s="49"/>
      <c r="BN113" s="49"/>
      <c r="BO113" s="49"/>
      <c r="BP113" s="49"/>
      <c r="BQ113" s="49"/>
      <c r="BR113" s="49"/>
      <c r="BS113" s="49"/>
      <c r="BT113" s="49"/>
      <c r="BU113" s="49"/>
      <c r="BV113" s="7"/>
      <c r="CD113" s="62"/>
      <c r="CH113" s="440" t="s">
        <v>94</v>
      </c>
    </row>
    <row r="114" spans="2:86" ht="62.25" customHeight="1" thickBot="1" x14ac:dyDescent="0.4">
      <c r="B114" s="1497" t="s">
        <v>201</v>
      </c>
      <c r="C114" s="105"/>
      <c r="D114" s="416" t="str">
        <f>IF(BA114&gt;0," ","change the angle of frame or of cabinets")</f>
        <v xml:space="preserve"> </v>
      </c>
      <c r="E114" s="114"/>
      <c r="F114" s="114"/>
      <c r="G114" s="114"/>
      <c r="H114" s="112"/>
      <c r="I114" s="112"/>
      <c r="J114" s="112"/>
      <c r="K114" s="112"/>
      <c r="L114" s="112"/>
      <c r="M114" s="112"/>
      <c r="N114" s="112"/>
      <c r="O114" s="112"/>
      <c r="P114" s="112"/>
      <c r="Q114" s="112"/>
      <c r="R114" s="112"/>
      <c r="S114" s="112"/>
      <c r="T114" s="112"/>
      <c r="U114" s="112"/>
      <c r="V114" s="79"/>
      <c r="W114" s="79"/>
      <c r="X114" s="79"/>
      <c r="Y114" s="79"/>
      <c r="Z114" s="79"/>
      <c r="AA114" s="79"/>
      <c r="AB114" s="79"/>
      <c r="AC114" s="79"/>
      <c r="AD114" s="79"/>
      <c r="AE114" s="79"/>
      <c r="AF114" s="79"/>
      <c r="AG114" s="79"/>
      <c r="AH114" s="79"/>
      <c r="AI114" s="79"/>
      <c r="AJ114" s="79"/>
      <c r="AK114" s="79"/>
      <c r="AL114" s="79"/>
      <c r="AM114" s="79"/>
      <c r="AN114" s="79"/>
      <c r="AO114" s="79"/>
      <c r="AP114" s="111"/>
      <c r="AQ114" s="79"/>
      <c r="AR114" s="79"/>
      <c r="AS114" s="77"/>
      <c r="AT114" s="27"/>
      <c r="AU114" s="27"/>
      <c r="AV114" s="27"/>
      <c r="AW114" s="27"/>
      <c r="AX114" s="27"/>
      <c r="AY114" s="27"/>
      <c r="AZ114" s="63"/>
      <c r="BA114" s="439">
        <f>-+AW144</f>
        <v>498.00014143917963</v>
      </c>
      <c r="BB114" s="62"/>
      <c r="BE114" s="10"/>
      <c r="BF114" s="10"/>
      <c r="BG114" s="10"/>
      <c r="BH114" s="49"/>
      <c r="BI114" s="49"/>
      <c r="BJ114" s="49"/>
      <c r="BK114" s="49"/>
      <c r="BL114" s="49"/>
      <c r="BM114" s="49"/>
      <c r="BN114" s="49"/>
      <c r="BO114" s="49"/>
      <c r="BP114" s="49"/>
      <c r="BQ114" s="49"/>
      <c r="BR114" s="49"/>
      <c r="BS114" s="49"/>
      <c r="BT114" s="49"/>
      <c r="BU114" s="49"/>
      <c r="BV114" s="7"/>
      <c r="CB114" s="63"/>
      <c r="CD114" s="62"/>
      <c r="CH114" s="440">
        <f>+-AW171</f>
        <v>-851.99985856082037</v>
      </c>
    </row>
    <row r="115" spans="2:86" ht="62.25" customHeight="1" thickBot="1" x14ac:dyDescent="0.45">
      <c r="B115" s="736">
        <v>0</v>
      </c>
      <c r="D115" s="416" t="str">
        <f>IF(CH114&lt;0," ","change the angle of frame or of cabinets")</f>
        <v xml:space="preserve"> </v>
      </c>
      <c r="E115" s="114"/>
      <c r="F115" s="114"/>
      <c r="G115" s="114"/>
      <c r="H115" s="112"/>
      <c r="I115" s="112"/>
      <c r="J115" s="112"/>
      <c r="K115" s="112"/>
      <c r="L115" s="112"/>
      <c r="M115" s="112"/>
      <c r="N115" s="112"/>
      <c r="O115" s="112"/>
      <c r="P115" s="112"/>
      <c r="Q115" s="112"/>
      <c r="R115" s="112"/>
      <c r="S115" s="112"/>
      <c r="T115" s="112"/>
      <c r="U115" s="112"/>
      <c r="V115" s="79"/>
      <c r="W115" s="79"/>
      <c r="X115" s="79"/>
      <c r="Y115" s="79"/>
      <c r="Z115" s="79"/>
      <c r="AA115" s="79"/>
      <c r="AB115" s="79"/>
      <c r="AC115" s="79"/>
      <c r="AD115" s="79"/>
      <c r="AE115" s="79"/>
      <c r="AF115" s="79"/>
      <c r="AG115" s="79"/>
      <c r="AH115" s="79"/>
      <c r="AI115" s="79"/>
      <c r="AJ115" s="79"/>
      <c r="AK115" s="79"/>
      <c r="AL115" s="79"/>
      <c r="AM115" s="79"/>
      <c r="AN115" s="79"/>
      <c r="AO115" s="79"/>
      <c r="AP115" s="111"/>
      <c r="AQ115" s="79"/>
      <c r="AR115" s="79"/>
      <c r="AS115" s="77"/>
      <c r="AT115" s="27"/>
      <c r="AU115" s="27"/>
      <c r="AV115" s="27"/>
      <c r="AW115" s="27"/>
      <c r="AX115" s="27"/>
      <c r="AY115" s="27"/>
      <c r="AZ115" s="27"/>
      <c r="BA115" s="27"/>
      <c r="BB115" s="10"/>
      <c r="BC115" s="10"/>
      <c r="BD115" s="10"/>
      <c r="BE115" s="10"/>
      <c r="BF115" s="10"/>
      <c r="BG115" s="10"/>
      <c r="BH115" s="49"/>
      <c r="BI115" s="49"/>
      <c r="BJ115" s="49"/>
      <c r="BK115" s="49"/>
      <c r="BL115" s="49"/>
      <c r="BM115" s="49"/>
      <c r="BN115" s="49"/>
      <c r="BO115" s="49"/>
      <c r="BP115" s="49"/>
      <c r="BQ115" s="49"/>
      <c r="BR115" s="49"/>
      <c r="BS115" s="49"/>
      <c r="BT115" s="49"/>
      <c r="BU115" s="49"/>
      <c r="BV115" s="7"/>
    </row>
    <row r="116" spans="2:86" ht="62.25" customHeight="1" thickTop="1" thickBot="1" x14ac:dyDescent="0.4">
      <c r="B116" s="1996" t="s">
        <v>42</v>
      </c>
      <c r="C116" s="749"/>
      <c r="D116" s="416" t="str">
        <f>IF(BA114&gt;(+COS(($B$115*-1)*3.14159265358979/180)*375)," ","USE EXBAR VR AT THE FRONT")</f>
        <v xml:space="preserve"> </v>
      </c>
      <c r="E116" s="114"/>
      <c r="F116" s="114"/>
      <c r="G116" s="114"/>
      <c r="H116" s="112"/>
      <c r="I116" s="112"/>
      <c r="J116" s="112"/>
      <c r="K116" s="112"/>
      <c r="L116" s="112"/>
      <c r="M116" s="112"/>
      <c r="N116" s="112"/>
      <c r="O116" s="112"/>
      <c r="P116" s="112"/>
      <c r="Q116" s="112"/>
      <c r="R116" s="112"/>
      <c r="S116" s="112"/>
      <c r="T116" s="112"/>
      <c r="U116" s="112"/>
      <c r="V116" s="79"/>
      <c r="W116" s="79"/>
      <c r="X116" s="79"/>
      <c r="Y116" s="79"/>
      <c r="Z116" s="79"/>
      <c r="AA116" s="79"/>
      <c r="AB116" s="79"/>
      <c r="AC116" s="79"/>
      <c r="AD116" s="79"/>
      <c r="AE116" s="79"/>
      <c r="AF116" s="79"/>
      <c r="AG116" s="79"/>
      <c r="AH116" s="79"/>
      <c r="AI116" s="79"/>
      <c r="AJ116" s="79"/>
      <c r="AK116" s="79"/>
      <c r="AL116" s="79"/>
      <c r="AM116" s="79"/>
      <c r="AN116" s="79"/>
      <c r="AO116" s="79"/>
      <c r="AP116" s="111"/>
      <c r="AQ116" s="220"/>
      <c r="AR116" s="221"/>
      <c r="BA116" s="35"/>
      <c r="BB116" s="10"/>
      <c r="BC116" s="10"/>
      <c r="BD116" s="10"/>
      <c r="BE116" s="10"/>
      <c r="BF116" s="10"/>
      <c r="BG116" s="10"/>
      <c r="BH116" s="49"/>
      <c r="BI116" s="49"/>
      <c r="BJ116" s="49"/>
      <c r="BK116" s="49"/>
      <c r="BL116" s="49"/>
      <c r="BM116" s="49"/>
      <c r="BN116" s="49"/>
      <c r="BO116" s="49"/>
      <c r="BP116" s="49"/>
      <c r="BQ116" s="49"/>
      <c r="BR116" s="49"/>
      <c r="BS116" s="49"/>
      <c r="BT116" s="49"/>
      <c r="BU116" s="49"/>
      <c r="BV116" s="7"/>
    </row>
    <row r="117" spans="2:86" ht="62.25" customHeight="1" thickBot="1" x14ac:dyDescent="0.4">
      <c r="B117" s="1997"/>
      <c r="C117" s="749"/>
      <c r="D117" s="685" t="str">
        <f>IF(CH114&lt;-(+COS(($B$115*-1)*3.14159265358979/180)*375)," ","USE EXBAR VR AT THE BACK")</f>
        <v xml:space="preserve"> </v>
      </c>
      <c r="E117" s="114"/>
      <c r="F117" s="114"/>
      <c r="G117" s="114"/>
      <c r="H117" s="112"/>
      <c r="I117" s="112"/>
      <c r="J117" s="112"/>
      <c r="K117" s="112"/>
      <c r="L117" s="112"/>
      <c r="M117" s="112"/>
      <c r="N117" s="112"/>
      <c r="O117" s="112"/>
      <c r="P117" s="112"/>
      <c r="Q117" s="112"/>
      <c r="R117" s="112"/>
      <c r="S117" s="112"/>
      <c r="T117" s="112"/>
      <c r="U117" s="112"/>
      <c r="V117" s="79"/>
      <c r="W117" s="79"/>
      <c r="X117" s="79"/>
      <c r="Y117" s="79"/>
      <c r="Z117" s="79"/>
      <c r="AA117" s="79"/>
      <c r="AB117" s="79"/>
      <c r="AC117" s="79"/>
      <c r="AD117" s="79"/>
      <c r="AE117" s="79"/>
      <c r="AF117" s="79"/>
      <c r="AG117" s="79"/>
      <c r="AH117" s="79"/>
      <c r="AI117" s="79"/>
      <c r="AJ117" s="79"/>
      <c r="AK117" s="79"/>
      <c r="AL117" s="79"/>
      <c r="AM117" s="79"/>
      <c r="AN117" s="79"/>
      <c r="AO117" s="79"/>
      <c r="AP117" s="113"/>
      <c r="AQ117" s="80"/>
      <c r="AR117" s="79"/>
      <c r="BA117" s="33"/>
      <c r="BB117" s="10"/>
      <c r="BC117" s="10"/>
      <c r="BD117" s="10"/>
      <c r="BE117" s="10"/>
      <c r="BF117" s="10"/>
      <c r="BG117" s="10"/>
      <c r="BH117" s="49"/>
      <c r="BI117" s="49"/>
      <c r="BJ117" s="49"/>
      <c r="BK117" s="49"/>
      <c r="BL117" s="49"/>
      <c r="BM117" s="49"/>
      <c r="BN117" s="49"/>
      <c r="BO117" s="49"/>
      <c r="BP117" s="49"/>
      <c r="BQ117" s="49"/>
      <c r="BR117" s="49"/>
      <c r="BS117" s="49"/>
      <c r="BT117" s="49"/>
      <c r="BU117" s="49"/>
      <c r="BV117" s="7"/>
    </row>
    <row r="118" spans="2:86" ht="25.8" thickTop="1" thickBot="1" x14ac:dyDescent="0.45">
      <c r="B118" s="737">
        <v>1</v>
      </c>
      <c r="C118" s="671"/>
      <c r="D118" s="686" t="s">
        <v>71</v>
      </c>
      <c r="E118" s="127"/>
      <c r="F118" s="127"/>
      <c r="G118" s="127"/>
      <c r="H118" s="138"/>
      <c r="I118" s="138"/>
      <c r="J118" s="138"/>
      <c r="K118" s="138"/>
      <c r="L118" s="138"/>
      <c r="M118" s="138"/>
      <c r="N118" s="138"/>
      <c r="O118" s="138"/>
      <c r="P118" s="138"/>
      <c r="Q118" s="138"/>
      <c r="R118" s="138"/>
      <c r="S118" s="138"/>
      <c r="T118" s="138"/>
      <c r="U118" s="38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2000" t="s">
        <v>68</v>
      </c>
      <c r="AO118" s="2001"/>
      <c r="AP118" s="115"/>
      <c r="AQ118" s="37"/>
      <c r="BA118" s="33"/>
      <c r="BB118" s="10"/>
      <c r="BC118" s="10"/>
      <c r="BD118" s="10"/>
      <c r="BE118" s="10"/>
      <c r="BF118" s="10"/>
      <c r="BG118" s="10"/>
      <c r="BH118" s="49"/>
      <c r="BI118" s="49"/>
      <c r="BJ118" s="49"/>
      <c r="BK118" s="49"/>
      <c r="BL118" s="49"/>
      <c r="BM118" s="49"/>
      <c r="BN118" s="49"/>
      <c r="BO118" s="49"/>
      <c r="BP118" s="49"/>
      <c r="BQ118" s="49"/>
      <c r="BR118" s="49"/>
      <c r="BS118" s="49"/>
      <c r="BT118" s="49"/>
      <c r="BU118" s="49"/>
      <c r="BV118" s="7"/>
    </row>
    <row r="119" spans="2:86" ht="36" hidden="1" customHeight="1" thickTop="1" thickBot="1" x14ac:dyDescent="0.35">
      <c r="B119" s="672"/>
      <c r="C119" s="71"/>
      <c r="D119" s="669"/>
      <c r="F119" s="441"/>
      <c r="H119" s="178" t="s">
        <v>4</v>
      </c>
      <c r="I119" s="178" t="s">
        <v>1</v>
      </c>
      <c r="J119" s="155" t="s">
        <v>0</v>
      </c>
      <c r="K119" s="155" t="s">
        <v>2</v>
      </c>
      <c r="L119" s="155" t="s">
        <v>3</v>
      </c>
      <c r="M119" s="155" t="s">
        <v>8</v>
      </c>
      <c r="N119" s="155" t="s">
        <v>5</v>
      </c>
      <c r="O119" s="155" t="s">
        <v>6</v>
      </c>
      <c r="P119" s="155" t="s">
        <v>7</v>
      </c>
      <c r="Q119" s="155" t="s">
        <v>9</v>
      </c>
      <c r="R119" s="176" t="s">
        <v>10</v>
      </c>
      <c r="S119" s="155" t="s">
        <v>11</v>
      </c>
      <c r="T119" s="156" t="s">
        <v>12</v>
      </c>
      <c r="U119" s="6"/>
      <c r="V119" s="6"/>
      <c r="W119" s="442"/>
      <c r="X119" s="6"/>
      <c r="Y119" s="6"/>
      <c r="Z119" s="6"/>
      <c r="AA119" s="6"/>
      <c r="AB119" s="6"/>
      <c r="AC119" s="6"/>
      <c r="AD119" s="6"/>
      <c r="AE119" s="6"/>
      <c r="AF119" s="6"/>
      <c r="AG119" s="6"/>
      <c r="AH119" s="6"/>
      <c r="AI119" s="6"/>
      <c r="AJ119" s="6"/>
      <c r="AK119" s="6"/>
      <c r="AL119" s="442" t="s">
        <v>57</v>
      </c>
      <c r="AM119" s="442" t="s">
        <v>57</v>
      </c>
      <c r="AP119" s="7"/>
      <c r="AQ119" s="77"/>
      <c r="BU119" s="60"/>
      <c r="BV119" s="60"/>
      <c r="BW119" s="60"/>
      <c r="BX119" s="60"/>
      <c r="BY119" s="60"/>
      <c r="BZ119" s="60"/>
    </row>
    <row r="120" spans="2:86" ht="41.25" customHeight="1" thickTop="1" thickBot="1" x14ac:dyDescent="0.4">
      <c r="B120" s="29"/>
      <c r="C120" s="667"/>
      <c r="D120" s="670" t="s">
        <v>24</v>
      </c>
      <c r="E120" s="114"/>
      <c r="F120" s="382" t="s">
        <v>58</v>
      </c>
      <c r="H120" s="160"/>
      <c r="I120" s="161"/>
      <c r="J120" s="7"/>
      <c r="K120" s="7"/>
      <c r="L120" s="7"/>
      <c r="M120" s="7"/>
      <c r="N120" s="7"/>
      <c r="O120" s="7"/>
      <c r="P120" s="7"/>
      <c r="Q120" s="7"/>
      <c r="R120" s="177"/>
      <c r="S120" s="7"/>
      <c r="T120" s="34"/>
      <c r="U120" s="6"/>
      <c r="V120" s="6"/>
      <c r="W120" s="6"/>
      <c r="X120" s="6" t="s">
        <v>51</v>
      </c>
      <c r="Y120" s="95" t="s">
        <v>44</v>
      </c>
      <c r="Z120" s="175" t="s">
        <v>96</v>
      </c>
      <c r="AA120" s="96" t="s">
        <v>45</v>
      </c>
      <c r="AB120" s="172" t="s">
        <v>46</v>
      </c>
      <c r="AC120" s="175" t="s">
        <v>97</v>
      </c>
      <c r="AD120" s="93" t="s">
        <v>47</v>
      </c>
      <c r="AE120" s="172" t="s">
        <v>48</v>
      </c>
      <c r="AF120" s="179" t="s">
        <v>49</v>
      </c>
      <c r="AG120" s="91" t="s">
        <v>50</v>
      </c>
      <c r="AH120" s="91" t="s">
        <v>52</v>
      </c>
      <c r="AI120" s="91" t="s">
        <v>53</v>
      </c>
      <c r="AJ120" s="99" t="s">
        <v>54</v>
      </c>
      <c r="AK120" s="99" t="s">
        <v>55</v>
      </c>
      <c r="AL120" s="101" t="s">
        <v>25</v>
      </c>
      <c r="AM120" s="101" t="s">
        <v>26</v>
      </c>
      <c r="AN120" s="373" t="s">
        <v>25</v>
      </c>
      <c r="AO120" s="373" t="s">
        <v>26</v>
      </c>
      <c r="AP120" s="7"/>
      <c r="AR120" s="28"/>
    </row>
    <row r="121" spans="2:86" ht="21" customHeight="1" thickBot="1" x14ac:dyDescent="0.4">
      <c r="B121" s="87">
        <v>1</v>
      </c>
      <c r="C121" s="668">
        <f>+($B$115*-1)+D121</f>
        <v>0</v>
      </c>
      <c r="D121" s="738">
        <v>0</v>
      </c>
      <c r="E121" s="333" t="s">
        <v>73</v>
      </c>
      <c r="F121" s="104">
        <f>+G121</f>
        <v>0</v>
      </c>
      <c r="G121" s="81">
        <f>+D121</f>
        <v>0</v>
      </c>
      <c r="H121" s="158">
        <v>190.76</v>
      </c>
      <c r="I121" s="159">
        <v>79.651040199999997</v>
      </c>
      <c r="J121" s="2">
        <f>+I121-C121</f>
        <v>79.651040199999997</v>
      </c>
      <c r="K121" s="2">
        <f t="shared" ref="K121:K138" si="4">+J121/2</f>
        <v>39.825520099999999</v>
      </c>
      <c r="L121" s="2">
        <f t="shared" ref="L121:L138" si="5">SIN(K121*3.14159265358979/180)</f>
        <v>0.64045183696587837</v>
      </c>
      <c r="M121" s="2">
        <f t="shared" ref="M121:M138" si="6">+L121*H121</f>
        <v>122.17259241961095</v>
      </c>
      <c r="N121" s="2">
        <f t="shared" ref="N121:N138" si="7">+M121*2</f>
        <v>244.3451848392219</v>
      </c>
      <c r="O121" s="2">
        <f>+C121/2</f>
        <v>0</v>
      </c>
      <c r="P121" s="2">
        <f t="shared" ref="P121:P138" si="8">SIN(O121*3.14159265358979/180)</f>
        <v>0</v>
      </c>
      <c r="Q121" s="2">
        <f t="shared" ref="Q121:Q138" si="9">+P121*N121</f>
        <v>0</v>
      </c>
      <c r="R121" s="157">
        <v>146.5</v>
      </c>
      <c r="S121" s="2">
        <f>+R121+Q121</f>
        <v>146.5</v>
      </c>
      <c r="T121" s="3">
        <f t="shared" ref="T121:T138" si="10">+S121</f>
        <v>146.5</v>
      </c>
      <c r="V121" s="23">
        <f t="shared" ref="V121:V144" si="11">IF(B121&lt;($B$118+1),T121,0)</f>
        <v>146.5</v>
      </c>
      <c r="W121" s="81" t="str">
        <f>IF(AM121&lt;0,"pin in groundstacking hole"," ")</f>
        <v xml:space="preserve"> </v>
      </c>
      <c r="X121" s="23">
        <f>SUM(V121:V144)/($B$118)</f>
        <v>146.5</v>
      </c>
      <c r="Y121" s="97">
        <f>+C121</f>
        <v>0</v>
      </c>
      <c r="Z121" s="173">
        <f>69.3447148-Y121</f>
        <v>69.344714800000006</v>
      </c>
      <c r="AA121" s="98">
        <f t="shared" ref="AA121:AA138" si="12">SIN(Z121*3.14159265358979/180)</f>
        <v>0.93571960494171247</v>
      </c>
      <c r="AB121" s="174">
        <f>+AA121*192.42</f>
        <v>180.0511663828843</v>
      </c>
      <c r="AC121" s="173">
        <f>50.1744799+Y121</f>
        <v>50.174479900000001</v>
      </c>
      <c r="AD121" s="94">
        <f>SIN(AC121*3.14159265358979/180)</f>
        <v>0.76799833627881664</v>
      </c>
      <c r="AE121" s="174">
        <f>+AD121*190.76</f>
        <v>146.50336262854705</v>
      </c>
      <c r="AF121" s="174">
        <f>25.5*B118</f>
        <v>25.5</v>
      </c>
      <c r="AG121" s="92">
        <f>+AE121+AB121</f>
        <v>326.55452901143133</v>
      </c>
      <c r="AH121" s="92">
        <f>+V121-AE121</f>
        <v>-3.3626285470518269E-3</v>
      </c>
      <c r="AI121" s="92">
        <f>+X121-AH121</f>
        <v>146.50336262854705</v>
      </c>
      <c r="AJ121" s="100">
        <f>+((AG121-AI121)/AG121)*AF121</f>
        <v>14.059840960291279</v>
      </c>
      <c r="AK121" s="100">
        <f>+(AI121/AG121)*AF121</f>
        <v>11.440159039708721</v>
      </c>
      <c r="AL121" s="109">
        <f t="shared" ref="AL121:AL138" si="13">2*$C$7/AJ121</f>
        <v>825.04489437408847</v>
      </c>
      <c r="AM121" s="110">
        <f t="shared" ref="AM121:AM138" si="14">$D$7/AK121</f>
        <v>874.11372213358766</v>
      </c>
      <c r="AN121" s="134">
        <f>ABS(AL121)</f>
        <v>825.04489437408847</v>
      </c>
      <c r="AO121" s="134">
        <f>ABS(AM121)</f>
        <v>874.11372213358766</v>
      </c>
      <c r="AP121" s="2" t="s">
        <v>56</v>
      </c>
      <c r="AR121" s="12"/>
      <c r="BA121" s="42"/>
    </row>
    <row r="122" spans="2:86" ht="21" customHeight="1" thickBot="1" x14ac:dyDescent="0.35">
      <c r="B122" s="88">
        <v>2</v>
      </c>
      <c r="C122" s="20"/>
      <c r="D122" s="738">
        <v>0</v>
      </c>
      <c r="E122" s="333" t="s">
        <v>72</v>
      </c>
      <c r="F122" s="117" t="e">
        <f t="shared" ref="F122:F138" si="15">+G122</f>
        <v>#DIV/0!</v>
      </c>
      <c r="G122" s="118" t="e">
        <f t="shared" ref="G122:G138" si="16">+D122+AP122</f>
        <v>#DIV/0!</v>
      </c>
      <c r="H122" s="158">
        <v>190.76</v>
      </c>
      <c r="I122" s="159">
        <v>79.651040199999997</v>
      </c>
      <c r="J122" s="2">
        <f t="shared" ref="J122:J138" si="17">+I122-D122</f>
        <v>79.651040199999997</v>
      </c>
      <c r="K122" s="2">
        <f t="shared" si="4"/>
        <v>39.825520099999999</v>
      </c>
      <c r="L122" s="2">
        <f>SIN(K122*3.14159265358979/180)</f>
        <v>0.64045183696587837</v>
      </c>
      <c r="M122" s="2">
        <f t="shared" si="6"/>
        <v>122.17259241961095</v>
      </c>
      <c r="N122" s="2">
        <f t="shared" si="7"/>
        <v>244.3451848392219</v>
      </c>
      <c r="O122" s="2">
        <f>+C121+(D122/2)</f>
        <v>0</v>
      </c>
      <c r="P122" s="2">
        <f t="shared" si="8"/>
        <v>0</v>
      </c>
      <c r="Q122" s="2">
        <f t="shared" si="9"/>
        <v>0</v>
      </c>
      <c r="R122" s="2">
        <f t="shared" ref="R122:R138" si="18">+T121</f>
        <v>146.5</v>
      </c>
      <c r="S122" s="2">
        <f>+R122+Q122</f>
        <v>146.5</v>
      </c>
      <c r="T122" s="3">
        <f t="shared" si="10"/>
        <v>146.5</v>
      </c>
      <c r="V122" s="23">
        <f t="shared" si="11"/>
        <v>0</v>
      </c>
      <c r="W122" s="81" t="e">
        <f t="shared" ref="W122:W144" si="19">IF(AM122&lt;0,"pin in groundstacking hole"," ")</f>
        <v>#DIV/0!</v>
      </c>
      <c r="X122" s="23" t="e">
        <f>SUM(V122:V144)/($B$118-B121)</f>
        <v>#DIV/0!</v>
      </c>
      <c r="Y122" s="97">
        <f>SUM(D122)+$C$121</f>
        <v>0</v>
      </c>
      <c r="Z122" s="173">
        <f t="shared" ref="Z122:Z138" si="20">69.3447148-Y122</f>
        <v>69.344714800000006</v>
      </c>
      <c r="AA122" s="98">
        <f t="shared" si="12"/>
        <v>0.93571960494171247</v>
      </c>
      <c r="AB122" s="174">
        <f t="shared" ref="AB122:AB138" si="21">+AA122*192.42</f>
        <v>180.0511663828843</v>
      </c>
      <c r="AC122" s="173">
        <f t="shared" ref="AC122:AC138" si="22">50.1744799+Y122</f>
        <v>50.174479900000001</v>
      </c>
      <c r="AD122" s="94">
        <f t="shared" ref="AD122:AD138" si="23">SIN(AC122*3.14159265358979/180)</f>
        <v>0.76799833627881664</v>
      </c>
      <c r="AE122" s="174">
        <f t="shared" ref="AE122:AE138" si="24">+AD122*190.76</f>
        <v>146.50336262854705</v>
      </c>
      <c r="AF122" s="174">
        <f t="shared" ref="AF122:AF138" si="25">25.5*($B$118-B121)</f>
        <v>0</v>
      </c>
      <c r="AG122" s="92">
        <f t="shared" ref="AG122:AG138" si="26">+AE122+AB122</f>
        <v>326.55452901143133</v>
      </c>
      <c r="AH122" s="92">
        <f>+V122-AE122</f>
        <v>-146.50336262854705</v>
      </c>
      <c r="AI122" s="92" t="e">
        <f>+X122-AH122</f>
        <v>#DIV/0!</v>
      </c>
      <c r="AJ122" s="100" t="e">
        <f t="shared" ref="AJ122:AJ138" si="27">+((AG122-AI122)/AG122)*AF122</f>
        <v>#DIV/0!</v>
      </c>
      <c r="AK122" s="100" t="e">
        <f t="shared" ref="AK122:AK138" si="28">+(AI122/AG122)*AF122</f>
        <v>#DIV/0!</v>
      </c>
      <c r="AL122" s="109" t="e">
        <f t="shared" si="13"/>
        <v>#DIV/0!</v>
      </c>
      <c r="AM122" s="110" t="e">
        <f t="shared" si="14"/>
        <v>#DIV/0!</v>
      </c>
      <c r="AN122" s="137" t="e">
        <f t="shared" ref="AN122:AO138" si="29">ABS(AL122)</f>
        <v>#DIV/0!</v>
      </c>
      <c r="AO122" s="137" t="e">
        <f t="shared" si="29"/>
        <v>#DIV/0!</v>
      </c>
      <c r="AP122" t="e">
        <f t="shared" ref="AP122:AP144" si="30">IF(AM122&lt;0,0.3,0)</f>
        <v>#DIV/0!</v>
      </c>
      <c r="AR122" s="7"/>
      <c r="BA122" s="42"/>
    </row>
    <row r="123" spans="2:86" ht="21" customHeight="1" thickBot="1" x14ac:dyDescent="0.35">
      <c r="B123" s="88">
        <v>3</v>
      </c>
      <c r="C123" s="20"/>
      <c r="D123" s="738">
        <v>0</v>
      </c>
      <c r="E123" s="333" t="s">
        <v>72</v>
      </c>
      <c r="F123" s="104">
        <f t="shared" si="15"/>
        <v>0.3</v>
      </c>
      <c r="G123" s="118">
        <f t="shared" si="16"/>
        <v>0.3</v>
      </c>
      <c r="H123" s="158">
        <v>190.76</v>
      </c>
      <c r="I123" s="159">
        <v>79.651040199999997</v>
      </c>
      <c r="J123" s="2">
        <f t="shared" si="17"/>
        <v>79.651040199999997</v>
      </c>
      <c r="K123" s="2">
        <f t="shared" si="4"/>
        <v>39.825520099999999</v>
      </c>
      <c r="L123" s="2">
        <f t="shared" si="5"/>
        <v>0.64045183696587837</v>
      </c>
      <c r="M123" s="2">
        <f t="shared" si="6"/>
        <v>122.17259241961095</v>
      </c>
      <c r="N123" s="2">
        <f t="shared" si="7"/>
        <v>244.3451848392219</v>
      </c>
      <c r="O123" s="2">
        <f>+C121+D122+(D123/2)</f>
        <v>0</v>
      </c>
      <c r="P123" s="2">
        <f t="shared" si="8"/>
        <v>0</v>
      </c>
      <c r="Q123" s="2">
        <f t="shared" si="9"/>
        <v>0</v>
      </c>
      <c r="R123" s="2">
        <f t="shared" si="18"/>
        <v>146.5</v>
      </c>
      <c r="S123" s="2">
        <f t="shared" ref="S123:S138" si="31">+S122+Q123</f>
        <v>146.5</v>
      </c>
      <c r="T123" s="3">
        <f t="shared" si="10"/>
        <v>146.5</v>
      </c>
      <c r="V123" s="23">
        <f t="shared" si="11"/>
        <v>0</v>
      </c>
      <c r="W123" s="81" t="str">
        <f t="shared" si="19"/>
        <v>pin in groundstacking hole</v>
      </c>
      <c r="X123" s="23">
        <f>SUM(V123:V144)/($B$118-B122)</f>
        <v>0</v>
      </c>
      <c r="Y123" s="97">
        <f>SUM(D122:D123)+$C$121</f>
        <v>0</v>
      </c>
      <c r="Z123" s="173">
        <f t="shared" si="20"/>
        <v>69.344714800000006</v>
      </c>
      <c r="AA123" s="98">
        <f t="shared" si="12"/>
        <v>0.93571960494171247</v>
      </c>
      <c r="AB123" s="174">
        <f t="shared" si="21"/>
        <v>180.0511663828843</v>
      </c>
      <c r="AC123" s="173">
        <f t="shared" si="22"/>
        <v>50.174479900000001</v>
      </c>
      <c r="AD123" s="94">
        <f t="shared" si="23"/>
        <v>0.76799833627881664</v>
      </c>
      <c r="AE123" s="174">
        <f t="shared" si="24"/>
        <v>146.50336262854705</v>
      </c>
      <c r="AF123" s="174">
        <f t="shared" si="25"/>
        <v>-25.5</v>
      </c>
      <c r="AG123" s="92">
        <f t="shared" si="26"/>
        <v>326.55452901143133</v>
      </c>
      <c r="AH123" s="92">
        <f>+V123-AE123</f>
        <v>-146.50336262854705</v>
      </c>
      <c r="AI123" s="92">
        <f>+X123-AH123</f>
        <v>146.50336262854705</v>
      </c>
      <c r="AJ123" s="100">
        <f t="shared" si="27"/>
        <v>-14.059840960291279</v>
      </c>
      <c r="AK123" s="100">
        <f t="shared" si="28"/>
        <v>-11.440159039708721</v>
      </c>
      <c r="AL123" s="109">
        <f t="shared" si="13"/>
        <v>-825.04489437408847</v>
      </c>
      <c r="AM123" s="110">
        <f t="shared" si="14"/>
        <v>-874.11372213358766</v>
      </c>
      <c r="AN123" s="137">
        <f t="shared" si="29"/>
        <v>825.04489437408847</v>
      </c>
      <c r="AO123" s="137">
        <f t="shared" si="29"/>
        <v>874.11372213358766</v>
      </c>
      <c r="AP123">
        <f t="shared" si="30"/>
        <v>0.3</v>
      </c>
      <c r="BA123" s="42"/>
      <c r="BB123" s="14"/>
    </row>
    <row r="124" spans="2:86" ht="21" customHeight="1" thickBot="1" x14ac:dyDescent="0.35">
      <c r="B124" s="88">
        <v>4</v>
      </c>
      <c r="C124" s="20"/>
      <c r="D124" s="738">
        <v>0</v>
      </c>
      <c r="E124" s="333" t="s">
        <v>72</v>
      </c>
      <c r="F124" s="104">
        <f t="shared" si="15"/>
        <v>0.3</v>
      </c>
      <c r="G124" s="118">
        <f t="shared" si="16"/>
        <v>0.3</v>
      </c>
      <c r="H124" s="158">
        <v>190.76</v>
      </c>
      <c r="I124" s="159">
        <v>79.651040199999997</v>
      </c>
      <c r="J124" s="2">
        <f t="shared" si="17"/>
        <v>79.651040199999997</v>
      </c>
      <c r="K124" s="2">
        <f t="shared" si="4"/>
        <v>39.825520099999999</v>
      </c>
      <c r="L124" s="2">
        <f t="shared" si="5"/>
        <v>0.64045183696587837</v>
      </c>
      <c r="M124" s="2">
        <f t="shared" si="6"/>
        <v>122.17259241961095</v>
      </c>
      <c r="N124" s="2">
        <f t="shared" si="7"/>
        <v>244.3451848392219</v>
      </c>
      <c r="O124" s="2">
        <f>+C121+D122+D123+(D124/2)</f>
        <v>0</v>
      </c>
      <c r="P124" s="2">
        <f t="shared" si="8"/>
        <v>0</v>
      </c>
      <c r="Q124" s="2">
        <f t="shared" si="9"/>
        <v>0</v>
      </c>
      <c r="R124" s="2">
        <f t="shared" si="18"/>
        <v>146.5</v>
      </c>
      <c r="S124" s="2">
        <f t="shared" si="31"/>
        <v>146.5</v>
      </c>
      <c r="T124" s="3">
        <f t="shared" si="10"/>
        <v>146.5</v>
      </c>
      <c r="V124" s="23">
        <f t="shared" si="11"/>
        <v>0</v>
      </c>
      <c r="W124" s="81" t="str">
        <f t="shared" si="19"/>
        <v>pin in groundstacking hole</v>
      </c>
      <c r="X124" s="23">
        <f>SUM(V124:V144)/($B$118-B123)</f>
        <v>0</v>
      </c>
      <c r="Y124" s="97">
        <f>SUM(D122:D124)+$C$121</f>
        <v>0</v>
      </c>
      <c r="Z124" s="173">
        <f t="shared" si="20"/>
        <v>69.344714800000006</v>
      </c>
      <c r="AA124" s="98">
        <f t="shared" si="12"/>
        <v>0.93571960494171247</v>
      </c>
      <c r="AB124" s="174">
        <f t="shared" si="21"/>
        <v>180.0511663828843</v>
      </c>
      <c r="AC124" s="173">
        <f t="shared" si="22"/>
        <v>50.174479900000001</v>
      </c>
      <c r="AD124" s="94">
        <f t="shared" si="23"/>
        <v>0.76799833627881664</v>
      </c>
      <c r="AE124" s="174">
        <f t="shared" si="24"/>
        <v>146.50336262854705</v>
      </c>
      <c r="AF124" s="174">
        <f t="shared" si="25"/>
        <v>-51</v>
      </c>
      <c r="AG124" s="92">
        <f t="shared" si="26"/>
        <v>326.55452901143133</v>
      </c>
      <c r="AH124" s="92">
        <f>+V124-AE124</f>
        <v>-146.50336262854705</v>
      </c>
      <c r="AI124" s="92">
        <f t="shared" ref="AI124:AI138" si="32">+X124-AH124</f>
        <v>146.50336262854705</v>
      </c>
      <c r="AJ124" s="100">
        <f t="shared" si="27"/>
        <v>-28.119681920582558</v>
      </c>
      <c r="AK124" s="100">
        <f t="shared" si="28"/>
        <v>-22.880318079417442</v>
      </c>
      <c r="AL124" s="109">
        <f t="shared" si="13"/>
        <v>-412.52244718704424</v>
      </c>
      <c r="AM124" s="110">
        <f t="shared" si="14"/>
        <v>-437.05686106679383</v>
      </c>
      <c r="AN124" s="137">
        <f t="shared" si="29"/>
        <v>412.52244718704424</v>
      </c>
      <c r="AO124" s="137">
        <f t="shared" si="29"/>
        <v>437.05686106679383</v>
      </c>
      <c r="AP124">
        <f t="shared" si="30"/>
        <v>0.3</v>
      </c>
      <c r="BA124" s="42"/>
      <c r="BB124" s="14"/>
    </row>
    <row r="125" spans="2:86" ht="21" customHeight="1" thickBot="1" x14ac:dyDescent="0.35">
      <c r="B125" s="88">
        <v>5</v>
      </c>
      <c r="C125" s="20"/>
      <c r="D125" s="738">
        <v>0</v>
      </c>
      <c r="E125" s="333" t="s">
        <v>72</v>
      </c>
      <c r="F125" s="104">
        <f t="shared" si="15"/>
        <v>0.3</v>
      </c>
      <c r="G125" s="118">
        <f t="shared" si="16"/>
        <v>0.3</v>
      </c>
      <c r="H125" s="158">
        <v>190.76</v>
      </c>
      <c r="I125" s="159">
        <v>79.651040199999997</v>
      </c>
      <c r="J125" s="2">
        <f t="shared" si="17"/>
        <v>79.651040199999997</v>
      </c>
      <c r="K125" s="2">
        <f t="shared" si="4"/>
        <v>39.825520099999999</v>
      </c>
      <c r="L125" s="2">
        <f t="shared" si="5"/>
        <v>0.64045183696587837</v>
      </c>
      <c r="M125" s="2">
        <f t="shared" si="6"/>
        <v>122.17259241961095</v>
      </c>
      <c r="N125" s="2">
        <f t="shared" si="7"/>
        <v>244.3451848392219</v>
      </c>
      <c r="O125" s="2">
        <f>+C121+D122+D123+D124+(D125/2)</f>
        <v>0</v>
      </c>
      <c r="P125" s="2">
        <f t="shared" si="8"/>
        <v>0</v>
      </c>
      <c r="Q125" s="2">
        <f t="shared" si="9"/>
        <v>0</v>
      </c>
      <c r="R125" s="2">
        <f t="shared" si="18"/>
        <v>146.5</v>
      </c>
      <c r="S125" s="2">
        <f t="shared" si="31"/>
        <v>146.5</v>
      </c>
      <c r="T125" s="3">
        <f t="shared" si="10"/>
        <v>146.5</v>
      </c>
      <c r="V125" s="23">
        <f t="shared" si="11"/>
        <v>0</v>
      </c>
      <c r="W125" s="81" t="str">
        <f t="shared" si="19"/>
        <v>pin in groundstacking hole</v>
      </c>
      <c r="X125" s="23">
        <f>SUM(V125:V144)/($B$118-B124)</f>
        <v>0</v>
      </c>
      <c r="Y125" s="97">
        <f>SUM(D122:D125)+$C$121</f>
        <v>0</v>
      </c>
      <c r="Z125" s="173">
        <f t="shared" si="20"/>
        <v>69.344714800000006</v>
      </c>
      <c r="AA125" s="98">
        <f t="shared" si="12"/>
        <v>0.93571960494171247</v>
      </c>
      <c r="AB125" s="174">
        <f t="shared" si="21"/>
        <v>180.0511663828843</v>
      </c>
      <c r="AC125" s="173">
        <f t="shared" si="22"/>
        <v>50.174479900000001</v>
      </c>
      <c r="AD125" s="94">
        <f t="shared" si="23"/>
        <v>0.76799833627881664</v>
      </c>
      <c r="AE125" s="174">
        <f t="shared" si="24"/>
        <v>146.50336262854705</v>
      </c>
      <c r="AF125" s="174">
        <f t="shared" si="25"/>
        <v>-76.5</v>
      </c>
      <c r="AG125" s="92">
        <f t="shared" si="26"/>
        <v>326.55452901143133</v>
      </c>
      <c r="AH125" s="92">
        <f t="shared" ref="AH125:AH138" si="33">+V125-AE125</f>
        <v>-146.50336262854705</v>
      </c>
      <c r="AI125" s="92">
        <f t="shared" si="32"/>
        <v>146.50336262854705</v>
      </c>
      <c r="AJ125" s="100">
        <f t="shared" si="27"/>
        <v>-42.17952288087384</v>
      </c>
      <c r="AK125" s="100">
        <f t="shared" si="28"/>
        <v>-34.32047711912616</v>
      </c>
      <c r="AL125" s="109">
        <f t="shared" si="13"/>
        <v>-275.01496479136279</v>
      </c>
      <c r="AM125" s="110">
        <f t="shared" si="14"/>
        <v>-291.37124071119592</v>
      </c>
      <c r="AN125" s="137">
        <f t="shared" si="29"/>
        <v>275.01496479136279</v>
      </c>
      <c r="AO125" s="137">
        <f t="shared" si="29"/>
        <v>291.37124071119592</v>
      </c>
      <c r="AP125">
        <f t="shared" si="30"/>
        <v>0.3</v>
      </c>
      <c r="AR125" s="4"/>
      <c r="BA125" s="42"/>
      <c r="BB125" s="14"/>
    </row>
    <row r="126" spans="2:86" ht="21" customHeight="1" thickBot="1" x14ac:dyDescent="0.35">
      <c r="B126" s="88">
        <v>6</v>
      </c>
      <c r="C126" s="20"/>
      <c r="D126" s="738">
        <v>0</v>
      </c>
      <c r="E126" s="333" t="s">
        <v>72</v>
      </c>
      <c r="F126" s="104">
        <f t="shared" si="15"/>
        <v>0.3</v>
      </c>
      <c r="G126" s="118">
        <f t="shared" si="16"/>
        <v>0.3</v>
      </c>
      <c r="H126" s="158">
        <v>190.76</v>
      </c>
      <c r="I126" s="159">
        <v>79.651040199999997</v>
      </c>
      <c r="J126" s="2">
        <f t="shared" si="17"/>
        <v>79.651040199999997</v>
      </c>
      <c r="K126" s="2">
        <f t="shared" si="4"/>
        <v>39.825520099999999</v>
      </c>
      <c r="L126" s="2">
        <f t="shared" si="5"/>
        <v>0.64045183696587837</v>
      </c>
      <c r="M126" s="2">
        <f t="shared" si="6"/>
        <v>122.17259241961095</v>
      </c>
      <c r="N126" s="2">
        <f t="shared" si="7"/>
        <v>244.3451848392219</v>
      </c>
      <c r="O126" s="2">
        <f>+C121+D122+D123+D124+D125+(D126/2)</f>
        <v>0</v>
      </c>
      <c r="P126" s="2">
        <f t="shared" si="8"/>
        <v>0</v>
      </c>
      <c r="Q126" s="2">
        <f t="shared" si="9"/>
        <v>0</v>
      </c>
      <c r="R126" s="2">
        <f t="shared" si="18"/>
        <v>146.5</v>
      </c>
      <c r="S126" s="2">
        <f t="shared" si="31"/>
        <v>146.5</v>
      </c>
      <c r="T126" s="3">
        <f t="shared" si="10"/>
        <v>146.5</v>
      </c>
      <c r="V126" s="23">
        <f t="shared" si="11"/>
        <v>0</v>
      </c>
      <c r="W126" s="81" t="str">
        <f t="shared" si="19"/>
        <v>pin in groundstacking hole</v>
      </c>
      <c r="X126" s="23">
        <f>SUM(V126:V144)/($B$118-B125)</f>
        <v>0</v>
      </c>
      <c r="Y126" s="97">
        <f>SUM(D122:D126)+$C$121</f>
        <v>0</v>
      </c>
      <c r="Z126" s="173">
        <f t="shared" si="20"/>
        <v>69.344714800000006</v>
      </c>
      <c r="AA126" s="98">
        <f t="shared" si="12"/>
        <v>0.93571960494171247</v>
      </c>
      <c r="AB126" s="174">
        <f t="shared" si="21"/>
        <v>180.0511663828843</v>
      </c>
      <c r="AC126" s="173">
        <f t="shared" si="22"/>
        <v>50.174479900000001</v>
      </c>
      <c r="AD126" s="94">
        <f t="shared" si="23"/>
        <v>0.76799833627881664</v>
      </c>
      <c r="AE126" s="174">
        <f t="shared" si="24"/>
        <v>146.50336262854705</v>
      </c>
      <c r="AF126" s="174">
        <f t="shared" si="25"/>
        <v>-102</v>
      </c>
      <c r="AG126" s="92">
        <f t="shared" si="26"/>
        <v>326.55452901143133</v>
      </c>
      <c r="AH126" s="92">
        <f t="shared" si="33"/>
        <v>-146.50336262854705</v>
      </c>
      <c r="AI126" s="92">
        <f t="shared" si="32"/>
        <v>146.50336262854705</v>
      </c>
      <c r="AJ126" s="100">
        <f t="shared" si="27"/>
        <v>-56.239363841165115</v>
      </c>
      <c r="AK126" s="100">
        <f t="shared" si="28"/>
        <v>-45.760636158834885</v>
      </c>
      <c r="AL126" s="109">
        <f t="shared" si="13"/>
        <v>-206.26122359352212</v>
      </c>
      <c r="AM126" s="110">
        <f t="shared" si="14"/>
        <v>-218.52843053339691</v>
      </c>
      <c r="AN126" s="137">
        <f t="shared" si="29"/>
        <v>206.26122359352212</v>
      </c>
      <c r="AO126" s="137">
        <f t="shared" si="29"/>
        <v>218.52843053339691</v>
      </c>
      <c r="AP126">
        <f t="shared" si="30"/>
        <v>0.3</v>
      </c>
      <c r="BA126" s="42"/>
      <c r="BB126" s="14"/>
    </row>
    <row r="127" spans="2:86" ht="21" customHeight="1" thickBot="1" x14ac:dyDescent="0.35">
      <c r="B127" s="88">
        <v>7</v>
      </c>
      <c r="C127" s="20"/>
      <c r="D127" s="738">
        <v>0</v>
      </c>
      <c r="E127" s="333" t="s">
        <v>72</v>
      </c>
      <c r="F127" s="104">
        <f t="shared" si="15"/>
        <v>0.3</v>
      </c>
      <c r="G127" s="118">
        <f t="shared" si="16"/>
        <v>0.3</v>
      </c>
      <c r="H127" s="158">
        <v>190.76</v>
      </c>
      <c r="I127" s="159">
        <v>79.651040199999997</v>
      </c>
      <c r="J127" s="2">
        <f t="shared" si="17"/>
        <v>79.651040199999997</v>
      </c>
      <c r="K127" s="2">
        <f t="shared" si="4"/>
        <v>39.825520099999999</v>
      </c>
      <c r="L127" s="2">
        <f t="shared" si="5"/>
        <v>0.64045183696587837</v>
      </c>
      <c r="M127" s="2">
        <f t="shared" si="6"/>
        <v>122.17259241961095</v>
      </c>
      <c r="N127" s="2">
        <f t="shared" si="7"/>
        <v>244.3451848392219</v>
      </c>
      <c r="O127" s="2">
        <f>+C121+D122+D123+D124+D125+D126+(D127/2)</f>
        <v>0</v>
      </c>
      <c r="P127" s="2">
        <f t="shared" si="8"/>
        <v>0</v>
      </c>
      <c r="Q127" s="2">
        <f t="shared" si="9"/>
        <v>0</v>
      </c>
      <c r="R127" s="2">
        <f t="shared" si="18"/>
        <v>146.5</v>
      </c>
      <c r="S127" s="2">
        <f t="shared" si="31"/>
        <v>146.5</v>
      </c>
      <c r="T127" s="3">
        <f t="shared" si="10"/>
        <v>146.5</v>
      </c>
      <c r="V127" s="23">
        <f t="shared" si="11"/>
        <v>0</v>
      </c>
      <c r="W127" s="81" t="str">
        <f t="shared" si="19"/>
        <v>pin in groundstacking hole</v>
      </c>
      <c r="X127" s="23">
        <f t="shared" ref="X127:X144" si="34">SUM(V127:V144)/($B$118-B126)</f>
        <v>0</v>
      </c>
      <c r="Y127" s="97">
        <f>SUM(D122:D127)+$C$121</f>
        <v>0</v>
      </c>
      <c r="Z127" s="173">
        <f t="shared" si="20"/>
        <v>69.344714800000006</v>
      </c>
      <c r="AA127" s="98">
        <f t="shared" si="12"/>
        <v>0.93571960494171247</v>
      </c>
      <c r="AB127" s="174">
        <f t="shared" si="21"/>
        <v>180.0511663828843</v>
      </c>
      <c r="AC127" s="173">
        <f t="shared" si="22"/>
        <v>50.174479900000001</v>
      </c>
      <c r="AD127" s="94">
        <f t="shared" si="23"/>
        <v>0.76799833627881664</v>
      </c>
      <c r="AE127" s="174">
        <f t="shared" si="24"/>
        <v>146.50336262854705</v>
      </c>
      <c r="AF127" s="174">
        <f t="shared" si="25"/>
        <v>-127.5</v>
      </c>
      <c r="AG127" s="92">
        <f t="shared" si="26"/>
        <v>326.55452901143133</v>
      </c>
      <c r="AH127" s="92">
        <f t="shared" si="33"/>
        <v>-146.50336262854705</v>
      </c>
      <c r="AI127" s="92">
        <f t="shared" si="32"/>
        <v>146.50336262854705</v>
      </c>
      <c r="AJ127" s="100">
        <f t="shared" si="27"/>
        <v>-70.299204801456398</v>
      </c>
      <c r="AK127" s="100">
        <f t="shared" si="28"/>
        <v>-57.200795198543602</v>
      </c>
      <c r="AL127" s="109">
        <f t="shared" si="13"/>
        <v>-165.00897887481767</v>
      </c>
      <c r="AM127" s="110">
        <f t="shared" si="14"/>
        <v>-174.82274442671755</v>
      </c>
      <c r="AN127" s="137">
        <f t="shared" si="29"/>
        <v>165.00897887481767</v>
      </c>
      <c r="AO127" s="137">
        <f t="shared" si="29"/>
        <v>174.82274442671755</v>
      </c>
      <c r="AP127">
        <f t="shared" si="30"/>
        <v>0.3</v>
      </c>
      <c r="BA127" s="42"/>
      <c r="BB127" s="14"/>
    </row>
    <row r="128" spans="2:86" ht="21" customHeight="1" thickBot="1" x14ac:dyDescent="0.35">
      <c r="B128" s="88">
        <v>8</v>
      </c>
      <c r="C128" s="20"/>
      <c r="D128" s="738">
        <v>0</v>
      </c>
      <c r="E128" s="333" t="s">
        <v>72</v>
      </c>
      <c r="F128" s="104">
        <f t="shared" si="15"/>
        <v>0.3</v>
      </c>
      <c r="G128" s="118">
        <f t="shared" si="16"/>
        <v>0.3</v>
      </c>
      <c r="H128" s="158">
        <v>190.76</v>
      </c>
      <c r="I128" s="159">
        <v>79.651040199999997</v>
      </c>
      <c r="J128" s="2">
        <f t="shared" si="17"/>
        <v>79.651040199999997</v>
      </c>
      <c r="K128" s="2">
        <f t="shared" si="4"/>
        <v>39.825520099999999</v>
      </c>
      <c r="L128" s="2">
        <f t="shared" si="5"/>
        <v>0.64045183696587837</v>
      </c>
      <c r="M128" s="2">
        <f t="shared" si="6"/>
        <v>122.17259241961095</v>
      </c>
      <c r="N128" s="2">
        <f t="shared" si="7"/>
        <v>244.3451848392219</v>
      </c>
      <c r="O128" s="2">
        <f>+C121+D122+D123+D124+D125+D126+D127+(D128/2)</f>
        <v>0</v>
      </c>
      <c r="P128" s="2">
        <f t="shared" si="8"/>
        <v>0</v>
      </c>
      <c r="Q128" s="2">
        <f t="shared" si="9"/>
        <v>0</v>
      </c>
      <c r="R128" s="2">
        <f t="shared" si="18"/>
        <v>146.5</v>
      </c>
      <c r="S128" s="2">
        <f t="shared" si="31"/>
        <v>146.5</v>
      </c>
      <c r="T128" s="3">
        <f t="shared" si="10"/>
        <v>146.5</v>
      </c>
      <c r="V128" s="23">
        <f t="shared" si="11"/>
        <v>0</v>
      </c>
      <c r="W128" s="81" t="str">
        <f t="shared" si="19"/>
        <v>pin in groundstacking hole</v>
      </c>
      <c r="X128" s="23">
        <f t="shared" si="34"/>
        <v>0</v>
      </c>
      <c r="Y128" s="97">
        <f>SUM(D122:D128)+$C$121</f>
        <v>0</v>
      </c>
      <c r="Z128" s="173">
        <f t="shared" si="20"/>
        <v>69.344714800000006</v>
      </c>
      <c r="AA128" s="98">
        <f t="shared" si="12"/>
        <v>0.93571960494171247</v>
      </c>
      <c r="AB128" s="174">
        <f t="shared" si="21"/>
        <v>180.0511663828843</v>
      </c>
      <c r="AC128" s="173">
        <f t="shared" si="22"/>
        <v>50.174479900000001</v>
      </c>
      <c r="AD128" s="94">
        <f t="shared" si="23"/>
        <v>0.76799833627881664</v>
      </c>
      <c r="AE128" s="174">
        <f t="shared" si="24"/>
        <v>146.50336262854705</v>
      </c>
      <c r="AF128" s="174">
        <f t="shared" si="25"/>
        <v>-153</v>
      </c>
      <c r="AG128" s="92">
        <f t="shared" si="26"/>
        <v>326.55452901143133</v>
      </c>
      <c r="AH128" s="92">
        <f t="shared" si="33"/>
        <v>-146.50336262854705</v>
      </c>
      <c r="AI128" s="92">
        <f t="shared" si="32"/>
        <v>146.50336262854705</v>
      </c>
      <c r="AJ128" s="100">
        <f t="shared" si="27"/>
        <v>-84.35904576174768</v>
      </c>
      <c r="AK128" s="100">
        <f t="shared" si="28"/>
        <v>-68.64095423825232</v>
      </c>
      <c r="AL128" s="109">
        <f t="shared" si="13"/>
        <v>-137.50748239568139</v>
      </c>
      <c r="AM128" s="110">
        <f t="shared" si="14"/>
        <v>-145.68562035559796</v>
      </c>
      <c r="AN128" s="137">
        <f t="shared" si="29"/>
        <v>137.50748239568139</v>
      </c>
      <c r="AO128" s="137">
        <f t="shared" si="29"/>
        <v>145.68562035559796</v>
      </c>
      <c r="AP128">
        <f t="shared" si="30"/>
        <v>0.3</v>
      </c>
      <c r="BA128" s="42"/>
      <c r="BB128" s="14"/>
    </row>
    <row r="129" spans="1:54" ht="21" customHeight="1" thickBot="1" x14ac:dyDescent="0.35">
      <c r="B129" s="88">
        <v>9</v>
      </c>
      <c r="C129" s="20"/>
      <c r="D129" s="738">
        <v>0</v>
      </c>
      <c r="E129" s="333" t="s">
        <v>72</v>
      </c>
      <c r="F129" s="104">
        <f t="shared" si="15"/>
        <v>0.3</v>
      </c>
      <c r="G129" s="118">
        <f t="shared" si="16"/>
        <v>0.3</v>
      </c>
      <c r="H129" s="158">
        <v>190.76</v>
      </c>
      <c r="I129" s="159">
        <v>79.651040199999997</v>
      </c>
      <c r="J129" s="2">
        <f t="shared" si="17"/>
        <v>79.651040199999997</v>
      </c>
      <c r="K129" s="2">
        <f t="shared" si="4"/>
        <v>39.825520099999999</v>
      </c>
      <c r="L129" s="2">
        <f t="shared" si="5"/>
        <v>0.64045183696587837</v>
      </c>
      <c r="M129" s="2">
        <f t="shared" si="6"/>
        <v>122.17259241961095</v>
      </c>
      <c r="N129" s="2">
        <f t="shared" si="7"/>
        <v>244.3451848392219</v>
      </c>
      <c r="O129" s="2">
        <f>+C121+D122+D123+D124+D125+D126+D127+D128+(D129/2)</f>
        <v>0</v>
      </c>
      <c r="P129" s="2">
        <f t="shared" si="8"/>
        <v>0</v>
      </c>
      <c r="Q129" s="2">
        <f t="shared" si="9"/>
        <v>0</v>
      </c>
      <c r="R129" s="2">
        <f t="shared" si="18"/>
        <v>146.5</v>
      </c>
      <c r="S129" s="2">
        <f t="shared" si="31"/>
        <v>146.5</v>
      </c>
      <c r="T129" s="3">
        <f t="shared" si="10"/>
        <v>146.5</v>
      </c>
      <c r="V129" s="23">
        <f t="shared" si="11"/>
        <v>0</v>
      </c>
      <c r="W129" s="81" t="str">
        <f t="shared" si="19"/>
        <v>pin in groundstacking hole</v>
      </c>
      <c r="X129" s="23">
        <f t="shared" si="34"/>
        <v>0</v>
      </c>
      <c r="Y129" s="97">
        <f>SUM(D122:D129)+$C$121</f>
        <v>0</v>
      </c>
      <c r="Z129" s="173">
        <f t="shared" si="20"/>
        <v>69.344714800000006</v>
      </c>
      <c r="AA129" s="98">
        <f t="shared" si="12"/>
        <v>0.93571960494171247</v>
      </c>
      <c r="AB129" s="174">
        <f t="shared" si="21"/>
        <v>180.0511663828843</v>
      </c>
      <c r="AC129" s="173">
        <f t="shared" si="22"/>
        <v>50.174479900000001</v>
      </c>
      <c r="AD129" s="94">
        <f t="shared" si="23"/>
        <v>0.76799833627881664</v>
      </c>
      <c r="AE129" s="174">
        <f t="shared" si="24"/>
        <v>146.50336262854705</v>
      </c>
      <c r="AF129" s="174">
        <f t="shared" si="25"/>
        <v>-178.5</v>
      </c>
      <c r="AG129" s="92">
        <f t="shared" si="26"/>
        <v>326.55452901143133</v>
      </c>
      <c r="AH129" s="92">
        <f t="shared" si="33"/>
        <v>-146.50336262854705</v>
      </c>
      <c r="AI129" s="92">
        <f t="shared" si="32"/>
        <v>146.50336262854705</v>
      </c>
      <c r="AJ129" s="100">
        <f t="shared" si="27"/>
        <v>-98.418886722038962</v>
      </c>
      <c r="AK129" s="100">
        <f t="shared" si="28"/>
        <v>-80.081113277961038</v>
      </c>
      <c r="AL129" s="109">
        <f t="shared" si="13"/>
        <v>-117.86355633915548</v>
      </c>
      <c r="AM129" s="110">
        <f t="shared" si="14"/>
        <v>-124.87338887622683</v>
      </c>
      <c r="AN129" s="137">
        <f t="shared" si="29"/>
        <v>117.86355633915548</v>
      </c>
      <c r="AO129" s="137">
        <f t="shared" si="29"/>
        <v>124.87338887622683</v>
      </c>
      <c r="AP129">
        <f t="shared" si="30"/>
        <v>0.3</v>
      </c>
      <c r="BA129" s="42"/>
      <c r="BB129" s="14"/>
    </row>
    <row r="130" spans="1:54" ht="21" customHeight="1" thickBot="1" x14ac:dyDescent="0.35">
      <c r="B130" s="88">
        <v>10</v>
      </c>
      <c r="C130" s="20"/>
      <c r="D130" s="738">
        <v>0</v>
      </c>
      <c r="E130" s="333" t="s">
        <v>72</v>
      </c>
      <c r="F130" s="104">
        <f t="shared" si="15"/>
        <v>0.3</v>
      </c>
      <c r="G130" s="118">
        <f t="shared" si="16"/>
        <v>0.3</v>
      </c>
      <c r="H130" s="158">
        <v>190.76</v>
      </c>
      <c r="I130" s="159">
        <v>79.651040199999997</v>
      </c>
      <c r="J130" s="2">
        <f t="shared" si="17"/>
        <v>79.651040199999997</v>
      </c>
      <c r="K130" s="2">
        <f t="shared" si="4"/>
        <v>39.825520099999999</v>
      </c>
      <c r="L130" s="2">
        <f t="shared" si="5"/>
        <v>0.64045183696587837</v>
      </c>
      <c r="M130" s="2">
        <f t="shared" si="6"/>
        <v>122.17259241961095</v>
      </c>
      <c r="N130" s="2">
        <f t="shared" si="7"/>
        <v>244.3451848392219</v>
      </c>
      <c r="O130" s="2">
        <f>+C121+D122+D123+D124+D125+D126+D127+D128+D129+(D130/2)</f>
        <v>0</v>
      </c>
      <c r="P130" s="2">
        <f t="shared" si="8"/>
        <v>0</v>
      </c>
      <c r="Q130" s="2">
        <f t="shared" si="9"/>
        <v>0</v>
      </c>
      <c r="R130" s="2">
        <f t="shared" si="18"/>
        <v>146.5</v>
      </c>
      <c r="S130" s="2">
        <f t="shared" si="31"/>
        <v>146.5</v>
      </c>
      <c r="T130" s="3">
        <f t="shared" si="10"/>
        <v>146.5</v>
      </c>
      <c r="V130" s="23">
        <f t="shared" si="11"/>
        <v>0</v>
      </c>
      <c r="W130" s="81" t="str">
        <f t="shared" si="19"/>
        <v>pin in groundstacking hole</v>
      </c>
      <c r="X130" s="23">
        <f t="shared" si="34"/>
        <v>0</v>
      </c>
      <c r="Y130" s="97">
        <f>SUM(D122:D130)+$C$121</f>
        <v>0</v>
      </c>
      <c r="Z130" s="173">
        <f t="shared" si="20"/>
        <v>69.344714800000006</v>
      </c>
      <c r="AA130" s="98">
        <f t="shared" si="12"/>
        <v>0.93571960494171247</v>
      </c>
      <c r="AB130" s="174">
        <f t="shared" si="21"/>
        <v>180.0511663828843</v>
      </c>
      <c r="AC130" s="173">
        <f t="shared" si="22"/>
        <v>50.174479900000001</v>
      </c>
      <c r="AD130" s="94">
        <f t="shared" si="23"/>
        <v>0.76799833627881664</v>
      </c>
      <c r="AE130" s="174">
        <f t="shared" si="24"/>
        <v>146.50336262854705</v>
      </c>
      <c r="AF130" s="174">
        <f t="shared" si="25"/>
        <v>-204</v>
      </c>
      <c r="AG130" s="92">
        <f t="shared" si="26"/>
        <v>326.55452901143133</v>
      </c>
      <c r="AH130" s="92">
        <f t="shared" si="33"/>
        <v>-146.50336262854705</v>
      </c>
      <c r="AI130" s="92">
        <f t="shared" si="32"/>
        <v>146.50336262854705</v>
      </c>
      <c r="AJ130" s="100">
        <f t="shared" si="27"/>
        <v>-112.47872768233023</v>
      </c>
      <c r="AK130" s="100">
        <f t="shared" si="28"/>
        <v>-91.521272317669769</v>
      </c>
      <c r="AL130" s="109">
        <f t="shared" si="13"/>
        <v>-103.13061179676106</v>
      </c>
      <c r="AM130" s="110">
        <f t="shared" si="14"/>
        <v>-109.26421526669846</v>
      </c>
      <c r="AN130" s="137">
        <f t="shared" si="29"/>
        <v>103.13061179676106</v>
      </c>
      <c r="AO130" s="137">
        <f t="shared" si="29"/>
        <v>109.26421526669846</v>
      </c>
      <c r="AP130">
        <f t="shared" si="30"/>
        <v>0.3</v>
      </c>
      <c r="BA130" s="42"/>
    </row>
    <row r="131" spans="1:54" ht="21" customHeight="1" thickBot="1" x14ac:dyDescent="0.35">
      <c r="A131" s="9"/>
      <c r="B131" s="88">
        <v>11</v>
      </c>
      <c r="C131" s="20"/>
      <c r="D131" s="738">
        <v>0</v>
      </c>
      <c r="E131" s="333" t="s">
        <v>72</v>
      </c>
      <c r="F131" s="104">
        <f t="shared" si="15"/>
        <v>0.3</v>
      </c>
      <c r="G131" s="118">
        <f t="shared" si="16"/>
        <v>0.3</v>
      </c>
      <c r="H131" s="158">
        <v>190.76</v>
      </c>
      <c r="I131" s="159">
        <v>79.651040199999997</v>
      </c>
      <c r="J131" s="2">
        <f t="shared" si="17"/>
        <v>79.651040199999997</v>
      </c>
      <c r="K131" s="2">
        <f t="shared" si="4"/>
        <v>39.825520099999999</v>
      </c>
      <c r="L131" s="2">
        <f t="shared" si="5"/>
        <v>0.64045183696587837</v>
      </c>
      <c r="M131" s="2">
        <f t="shared" si="6"/>
        <v>122.17259241961095</v>
      </c>
      <c r="N131" s="2">
        <f t="shared" si="7"/>
        <v>244.3451848392219</v>
      </c>
      <c r="O131" s="2">
        <f>+C121+D122+D123+D124+D125+D126+D127+D128+D129+D130+(D131/2)</f>
        <v>0</v>
      </c>
      <c r="P131" s="2">
        <f t="shared" si="8"/>
        <v>0</v>
      </c>
      <c r="Q131" s="2">
        <f t="shared" si="9"/>
        <v>0</v>
      </c>
      <c r="R131" s="2">
        <f t="shared" si="18"/>
        <v>146.5</v>
      </c>
      <c r="S131" s="2">
        <f t="shared" si="31"/>
        <v>146.5</v>
      </c>
      <c r="T131" s="3">
        <f t="shared" si="10"/>
        <v>146.5</v>
      </c>
      <c r="V131" s="23">
        <f t="shared" si="11"/>
        <v>0</v>
      </c>
      <c r="W131" s="81" t="str">
        <f t="shared" si="19"/>
        <v>pin in groundstacking hole</v>
      </c>
      <c r="X131" s="23">
        <f t="shared" si="34"/>
        <v>0</v>
      </c>
      <c r="Y131" s="97">
        <f>SUM(D122:D131)+$C$121</f>
        <v>0</v>
      </c>
      <c r="Z131" s="173">
        <f t="shared" si="20"/>
        <v>69.344714800000006</v>
      </c>
      <c r="AA131" s="98">
        <f t="shared" si="12"/>
        <v>0.93571960494171247</v>
      </c>
      <c r="AB131" s="174">
        <f t="shared" si="21"/>
        <v>180.0511663828843</v>
      </c>
      <c r="AC131" s="173">
        <f t="shared" si="22"/>
        <v>50.174479900000001</v>
      </c>
      <c r="AD131" s="94">
        <f t="shared" si="23"/>
        <v>0.76799833627881664</v>
      </c>
      <c r="AE131" s="174">
        <f t="shared" si="24"/>
        <v>146.50336262854705</v>
      </c>
      <c r="AF131" s="174">
        <f t="shared" si="25"/>
        <v>-229.5</v>
      </c>
      <c r="AG131" s="92">
        <f t="shared" si="26"/>
        <v>326.55452901143133</v>
      </c>
      <c r="AH131" s="92">
        <f t="shared" si="33"/>
        <v>-146.50336262854705</v>
      </c>
      <c r="AI131" s="92">
        <f t="shared" si="32"/>
        <v>146.50336262854705</v>
      </c>
      <c r="AJ131" s="100">
        <f t="shared" si="27"/>
        <v>-126.53856864262151</v>
      </c>
      <c r="AK131" s="100">
        <f t="shared" si="28"/>
        <v>-102.96143135737849</v>
      </c>
      <c r="AL131" s="109">
        <f t="shared" si="13"/>
        <v>-91.671654930454267</v>
      </c>
      <c r="AM131" s="110">
        <f t="shared" si="14"/>
        <v>-97.12374690373197</v>
      </c>
      <c r="AN131" s="137">
        <f t="shared" si="29"/>
        <v>91.671654930454267</v>
      </c>
      <c r="AO131" s="137">
        <f t="shared" si="29"/>
        <v>97.12374690373197</v>
      </c>
      <c r="AP131">
        <f t="shared" si="30"/>
        <v>0.3</v>
      </c>
      <c r="BA131" s="42"/>
    </row>
    <row r="132" spans="1:54" ht="21" customHeight="1" thickBot="1" x14ac:dyDescent="0.35">
      <c r="A132" s="9"/>
      <c r="B132" s="88">
        <v>12</v>
      </c>
      <c r="C132" s="20"/>
      <c r="D132" s="738">
        <v>0</v>
      </c>
      <c r="E132" s="333" t="s">
        <v>72</v>
      </c>
      <c r="F132" s="104">
        <f t="shared" si="15"/>
        <v>0.3</v>
      </c>
      <c r="G132" s="118">
        <f t="shared" si="16"/>
        <v>0.3</v>
      </c>
      <c r="H132" s="158">
        <v>190.76</v>
      </c>
      <c r="I132" s="159">
        <v>79.651040199999997</v>
      </c>
      <c r="J132" s="2">
        <f t="shared" si="17"/>
        <v>79.651040199999997</v>
      </c>
      <c r="K132" s="2">
        <f t="shared" si="4"/>
        <v>39.825520099999999</v>
      </c>
      <c r="L132" s="2">
        <f t="shared" si="5"/>
        <v>0.64045183696587837</v>
      </c>
      <c r="M132" s="2">
        <f t="shared" si="6"/>
        <v>122.17259241961095</v>
      </c>
      <c r="N132" s="2">
        <f t="shared" si="7"/>
        <v>244.3451848392219</v>
      </c>
      <c r="O132" s="2">
        <f>+C121+D122+D123+D124+D125+D126+D127+D128+D129+D130+D131+(D132/2)</f>
        <v>0</v>
      </c>
      <c r="P132" s="2">
        <f t="shared" si="8"/>
        <v>0</v>
      </c>
      <c r="Q132" s="2">
        <f t="shared" si="9"/>
        <v>0</v>
      </c>
      <c r="R132" s="2">
        <f t="shared" si="18"/>
        <v>146.5</v>
      </c>
      <c r="S132" s="2">
        <f t="shared" si="31"/>
        <v>146.5</v>
      </c>
      <c r="T132" s="3">
        <f t="shared" si="10"/>
        <v>146.5</v>
      </c>
      <c r="V132" s="23">
        <f t="shared" si="11"/>
        <v>0</v>
      </c>
      <c r="W132" s="81" t="str">
        <f t="shared" si="19"/>
        <v>pin in groundstacking hole</v>
      </c>
      <c r="X132" s="23">
        <f t="shared" si="34"/>
        <v>0</v>
      </c>
      <c r="Y132" s="97">
        <f>SUM(D122:D132)+$C$121</f>
        <v>0</v>
      </c>
      <c r="Z132" s="173">
        <f t="shared" si="20"/>
        <v>69.344714800000006</v>
      </c>
      <c r="AA132" s="98">
        <f t="shared" si="12"/>
        <v>0.93571960494171247</v>
      </c>
      <c r="AB132" s="174">
        <f t="shared" si="21"/>
        <v>180.0511663828843</v>
      </c>
      <c r="AC132" s="173">
        <f t="shared" si="22"/>
        <v>50.174479900000001</v>
      </c>
      <c r="AD132" s="94">
        <f t="shared" si="23"/>
        <v>0.76799833627881664</v>
      </c>
      <c r="AE132" s="174">
        <f t="shared" si="24"/>
        <v>146.50336262854705</v>
      </c>
      <c r="AF132" s="174">
        <f t="shared" si="25"/>
        <v>-255</v>
      </c>
      <c r="AG132" s="92">
        <f t="shared" si="26"/>
        <v>326.55452901143133</v>
      </c>
      <c r="AH132" s="92">
        <f t="shared" si="33"/>
        <v>-146.50336262854705</v>
      </c>
      <c r="AI132" s="92">
        <f t="shared" si="32"/>
        <v>146.50336262854705</v>
      </c>
      <c r="AJ132" s="100">
        <f t="shared" si="27"/>
        <v>-140.5984096029128</v>
      </c>
      <c r="AK132" s="100">
        <f t="shared" si="28"/>
        <v>-114.4015903970872</v>
      </c>
      <c r="AL132" s="109">
        <f t="shared" si="13"/>
        <v>-82.504489437408836</v>
      </c>
      <c r="AM132" s="110">
        <f t="shared" si="14"/>
        <v>-87.411372213358774</v>
      </c>
      <c r="AN132" s="137">
        <f t="shared" si="29"/>
        <v>82.504489437408836</v>
      </c>
      <c r="AO132" s="137">
        <f t="shared" si="29"/>
        <v>87.411372213358774</v>
      </c>
      <c r="AP132">
        <f t="shared" si="30"/>
        <v>0.3</v>
      </c>
    </row>
    <row r="133" spans="1:54" ht="21" customHeight="1" thickBot="1" x14ac:dyDescent="0.35">
      <c r="B133" s="88">
        <v>13</v>
      </c>
      <c r="C133" s="20"/>
      <c r="D133" s="738">
        <v>0</v>
      </c>
      <c r="E133" s="333" t="s">
        <v>72</v>
      </c>
      <c r="F133" s="104">
        <f t="shared" si="15"/>
        <v>0.3</v>
      </c>
      <c r="G133" s="118">
        <f t="shared" si="16"/>
        <v>0.3</v>
      </c>
      <c r="H133" s="158">
        <v>190.76</v>
      </c>
      <c r="I133" s="159">
        <v>79.651040199999997</v>
      </c>
      <c r="J133" s="2">
        <f t="shared" si="17"/>
        <v>79.651040199999997</v>
      </c>
      <c r="K133" s="2">
        <f t="shared" si="4"/>
        <v>39.825520099999999</v>
      </c>
      <c r="L133" s="2">
        <f t="shared" si="5"/>
        <v>0.64045183696587837</v>
      </c>
      <c r="M133" s="2">
        <f t="shared" si="6"/>
        <v>122.17259241961095</v>
      </c>
      <c r="N133" s="2">
        <f t="shared" si="7"/>
        <v>244.3451848392219</v>
      </c>
      <c r="O133" s="2">
        <f>+C121+D122+D123+D124+D125+D126+D127+D128+D129+D130+D131+D132+(D133/2)</f>
        <v>0</v>
      </c>
      <c r="P133" s="2">
        <f t="shared" si="8"/>
        <v>0</v>
      </c>
      <c r="Q133" s="2">
        <f t="shared" si="9"/>
        <v>0</v>
      </c>
      <c r="R133" s="2">
        <f t="shared" si="18"/>
        <v>146.5</v>
      </c>
      <c r="S133" s="2">
        <f t="shared" si="31"/>
        <v>146.5</v>
      </c>
      <c r="T133" s="3">
        <f t="shared" si="10"/>
        <v>146.5</v>
      </c>
      <c r="V133" s="23">
        <f t="shared" si="11"/>
        <v>0</v>
      </c>
      <c r="W133" s="81" t="str">
        <f t="shared" si="19"/>
        <v>pin in groundstacking hole</v>
      </c>
      <c r="X133" s="23">
        <f t="shared" si="34"/>
        <v>0</v>
      </c>
      <c r="Y133" s="97">
        <f>SUM(D122:D133)+$C$121</f>
        <v>0</v>
      </c>
      <c r="Z133" s="173">
        <f t="shared" si="20"/>
        <v>69.344714800000006</v>
      </c>
      <c r="AA133" s="98">
        <f t="shared" si="12"/>
        <v>0.93571960494171247</v>
      </c>
      <c r="AB133" s="174">
        <f t="shared" si="21"/>
        <v>180.0511663828843</v>
      </c>
      <c r="AC133" s="173">
        <f t="shared" si="22"/>
        <v>50.174479900000001</v>
      </c>
      <c r="AD133" s="94">
        <f t="shared" si="23"/>
        <v>0.76799833627881664</v>
      </c>
      <c r="AE133" s="174">
        <f t="shared" si="24"/>
        <v>146.50336262854705</v>
      </c>
      <c r="AF133" s="174">
        <f t="shared" si="25"/>
        <v>-280.5</v>
      </c>
      <c r="AG133" s="92">
        <f t="shared" si="26"/>
        <v>326.55452901143133</v>
      </c>
      <c r="AH133" s="92">
        <f t="shared" si="33"/>
        <v>-146.50336262854705</v>
      </c>
      <c r="AI133" s="92">
        <f t="shared" si="32"/>
        <v>146.50336262854705</v>
      </c>
      <c r="AJ133" s="100">
        <f t="shared" si="27"/>
        <v>-154.65825056320406</v>
      </c>
      <c r="AK133" s="100">
        <f t="shared" si="28"/>
        <v>-125.84174943679592</v>
      </c>
      <c r="AL133" s="109">
        <f t="shared" si="13"/>
        <v>-75.004081306735316</v>
      </c>
      <c r="AM133" s="110">
        <f t="shared" si="14"/>
        <v>-79.464883830326158</v>
      </c>
      <c r="AN133" s="137">
        <f t="shared" si="29"/>
        <v>75.004081306735316</v>
      </c>
      <c r="AO133" s="137">
        <f t="shared" si="29"/>
        <v>79.464883830326158</v>
      </c>
      <c r="AP133">
        <f t="shared" si="30"/>
        <v>0.3</v>
      </c>
    </row>
    <row r="134" spans="1:54" ht="21" customHeight="1" thickBot="1" x14ac:dyDescent="0.35">
      <c r="B134" s="88">
        <v>14</v>
      </c>
      <c r="C134" s="20"/>
      <c r="D134" s="738">
        <v>0</v>
      </c>
      <c r="E134" s="333" t="s">
        <v>72</v>
      </c>
      <c r="F134" s="104">
        <f t="shared" si="15"/>
        <v>0.3</v>
      </c>
      <c r="G134" s="118">
        <f t="shared" si="16"/>
        <v>0.3</v>
      </c>
      <c r="H134" s="158">
        <v>190.76</v>
      </c>
      <c r="I134" s="159">
        <v>79.651040199999997</v>
      </c>
      <c r="J134" s="2">
        <f t="shared" si="17"/>
        <v>79.651040199999997</v>
      </c>
      <c r="K134" s="2">
        <f t="shared" si="4"/>
        <v>39.825520099999999</v>
      </c>
      <c r="L134" s="2">
        <f t="shared" si="5"/>
        <v>0.64045183696587837</v>
      </c>
      <c r="M134" s="2">
        <f t="shared" si="6"/>
        <v>122.17259241961095</v>
      </c>
      <c r="N134" s="2">
        <f t="shared" si="7"/>
        <v>244.3451848392219</v>
      </c>
      <c r="O134" s="2">
        <f>+C121+D122+D123+D124+D125+D126+D127+D128+D129+D130+D131+D132+D133+(D134/2)</f>
        <v>0</v>
      </c>
      <c r="P134" s="2">
        <f t="shared" si="8"/>
        <v>0</v>
      </c>
      <c r="Q134" s="2">
        <f t="shared" si="9"/>
        <v>0</v>
      </c>
      <c r="R134" s="2">
        <f t="shared" si="18"/>
        <v>146.5</v>
      </c>
      <c r="S134" s="2">
        <f t="shared" si="31"/>
        <v>146.5</v>
      </c>
      <c r="T134" s="3">
        <f t="shared" si="10"/>
        <v>146.5</v>
      </c>
      <c r="V134" s="23">
        <f t="shared" si="11"/>
        <v>0</v>
      </c>
      <c r="W134" s="81" t="str">
        <f t="shared" si="19"/>
        <v>pin in groundstacking hole</v>
      </c>
      <c r="X134" s="23">
        <f t="shared" si="34"/>
        <v>0</v>
      </c>
      <c r="Y134" s="97">
        <f>SUM(D122:D134)+$C$121</f>
        <v>0</v>
      </c>
      <c r="Z134" s="173">
        <f t="shared" si="20"/>
        <v>69.344714800000006</v>
      </c>
      <c r="AA134" s="98">
        <f t="shared" si="12"/>
        <v>0.93571960494171247</v>
      </c>
      <c r="AB134" s="174">
        <f t="shared" si="21"/>
        <v>180.0511663828843</v>
      </c>
      <c r="AC134" s="173">
        <f t="shared" si="22"/>
        <v>50.174479900000001</v>
      </c>
      <c r="AD134" s="94">
        <f t="shared" si="23"/>
        <v>0.76799833627881664</v>
      </c>
      <c r="AE134" s="174">
        <f t="shared" si="24"/>
        <v>146.50336262854705</v>
      </c>
      <c r="AF134" s="174">
        <f t="shared" si="25"/>
        <v>-306</v>
      </c>
      <c r="AG134" s="92">
        <f t="shared" si="26"/>
        <v>326.55452901143133</v>
      </c>
      <c r="AH134" s="92">
        <f t="shared" si="33"/>
        <v>-146.50336262854705</v>
      </c>
      <c r="AI134" s="92">
        <f t="shared" si="32"/>
        <v>146.50336262854705</v>
      </c>
      <c r="AJ134" s="100">
        <f t="shared" si="27"/>
        <v>-168.71809152349536</v>
      </c>
      <c r="AK134" s="100">
        <f t="shared" si="28"/>
        <v>-137.28190847650464</v>
      </c>
      <c r="AL134" s="109">
        <f t="shared" si="13"/>
        <v>-68.753741197840696</v>
      </c>
      <c r="AM134" s="110">
        <f t="shared" si="14"/>
        <v>-72.842810177798981</v>
      </c>
      <c r="AN134" s="137">
        <f t="shared" si="29"/>
        <v>68.753741197840696</v>
      </c>
      <c r="AO134" s="137">
        <f t="shared" si="29"/>
        <v>72.842810177798981</v>
      </c>
      <c r="AP134">
        <f t="shared" si="30"/>
        <v>0.3</v>
      </c>
    </row>
    <row r="135" spans="1:54" ht="21" customHeight="1" thickBot="1" x14ac:dyDescent="0.35">
      <c r="B135" s="88">
        <v>15</v>
      </c>
      <c r="C135" s="20"/>
      <c r="D135" s="738">
        <v>0</v>
      </c>
      <c r="E135" s="333" t="s">
        <v>72</v>
      </c>
      <c r="F135" s="104">
        <f t="shared" si="15"/>
        <v>0.3</v>
      </c>
      <c r="G135" s="118">
        <f t="shared" si="16"/>
        <v>0.3</v>
      </c>
      <c r="H135" s="158">
        <v>190.76</v>
      </c>
      <c r="I135" s="159">
        <v>79.651040199999997</v>
      </c>
      <c r="J135" s="2">
        <f t="shared" si="17"/>
        <v>79.651040199999997</v>
      </c>
      <c r="K135" s="2">
        <f t="shared" si="4"/>
        <v>39.825520099999999</v>
      </c>
      <c r="L135" s="2">
        <f t="shared" si="5"/>
        <v>0.64045183696587837</v>
      </c>
      <c r="M135" s="2">
        <f t="shared" si="6"/>
        <v>122.17259241961095</v>
      </c>
      <c r="N135" s="2">
        <f t="shared" si="7"/>
        <v>244.3451848392219</v>
      </c>
      <c r="O135" s="2">
        <f>+C121+D122+D123+D124+D125+D126+D127+D128+D129+D130+D131+D132+D133+D134+(D135/2)</f>
        <v>0</v>
      </c>
      <c r="P135" s="2">
        <f t="shared" si="8"/>
        <v>0</v>
      </c>
      <c r="Q135" s="2">
        <f t="shared" si="9"/>
        <v>0</v>
      </c>
      <c r="R135" s="2">
        <f t="shared" si="18"/>
        <v>146.5</v>
      </c>
      <c r="S135" s="2">
        <f t="shared" si="31"/>
        <v>146.5</v>
      </c>
      <c r="T135" s="3">
        <f t="shared" si="10"/>
        <v>146.5</v>
      </c>
      <c r="V135" s="23">
        <f t="shared" si="11"/>
        <v>0</v>
      </c>
      <c r="W135" s="81" t="str">
        <f t="shared" si="19"/>
        <v>pin in groundstacking hole</v>
      </c>
      <c r="X135" s="23">
        <f t="shared" si="34"/>
        <v>0</v>
      </c>
      <c r="Y135" s="97">
        <f>SUM(D122:D135)+$C$121</f>
        <v>0</v>
      </c>
      <c r="Z135" s="173">
        <f t="shared" si="20"/>
        <v>69.344714800000006</v>
      </c>
      <c r="AA135" s="98">
        <f t="shared" si="12"/>
        <v>0.93571960494171247</v>
      </c>
      <c r="AB135" s="174">
        <f t="shared" si="21"/>
        <v>180.0511663828843</v>
      </c>
      <c r="AC135" s="173">
        <f t="shared" si="22"/>
        <v>50.174479900000001</v>
      </c>
      <c r="AD135" s="94">
        <f t="shared" si="23"/>
        <v>0.76799833627881664</v>
      </c>
      <c r="AE135" s="174">
        <f t="shared" si="24"/>
        <v>146.50336262854705</v>
      </c>
      <c r="AF135" s="174">
        <f t="shared" si="25"/>
        <v>-331.5</v>
      </c>
      <c r="AG135" s="92">
        <f t="shared" si="26"/>
        <v>326.55452901143133</v>
      </c>
      <c r="AH135" s="92">
        <f t="shared" si="33"/>
        <v>-146.50336262854705</v>
      </c>
      <c r="AI135" s="92">
        <f t="shared" si="32"/>
        <v>146.50336262854705</v>
      </c>
      <c r="AJ135" s="100">
        <f t="shared" si="27"/>
        <v>-182.77793248378663</v>
      </c>
      <c r="AK135" s="100">
        <f t="shared" si="28"/>
        <v>-148.72206751621337</v>
      </c>
      <c r="AL135" s="109">
        <f t="shared" si="13"/>
        <v>-63.464991874929879</v>
      </c>
      <c r="AM135" s="110">
        <f t="shared" si="14"/>
        <v>-67.239517087199047</v>
      </c>
      <c r="AN135" s="137">
        <f t="shared" si="29"/>
        <v>63.464991874929879</v>
      </c>
      <c r="AO135" s="137">
        <f t="shared" si="29"/>
        <v>67.239517087199047</v>
      </c>
      <c r="AP135">
        <f t="shared" si="30"/>
        <v>0.3</v>
      </c>
    </row>
    <row r="136" spans="1:54" ht="21" customHeight="1" thickBot="1" x14ac:dyDescent="0.35">
      <c r="B136" s="88">
        <v>16</v>
      </c>
      <c r="C136" s="20"/>
      <c r="D136" s="738">
        <v>0</v>
      </c>
      <c r="E136" s="333" t="s">
        <v>72</v>
      </c>
      <c r="F136" s="104">
        <v>0</v>
      </c>
      <c r="G136" s="118">
        <f>+D136+AP136</f>
        <v>0.3</v>
      </c>
      <c r="H136" s="158">
        <v>190.76</v>
      </c>
      <c r="I136" s="159">
        <v>79.651040199999997</v>
      </c>
      <c r="J136" s="2">
        <f t="shared" si="17"/>
        <v>79.651040199999997</v>
      </c>
      <c r="K136" s="2">
        <f t="shared" si="4"/>
        <v>39.825520099999999</v>
      </c>
      <c r="L136" s="2">
        <f t="shared" si="5"/>
        <v>0.64045183696587837</v>
      </c>
      <c r="M136" s="2">
        <f t="shared" si="6"/>
        <v>122.17259241961095</v>
      </c>
      <c r="N136" s="2">
        <f t="shared" si="7"/>
        <v>244.3451848392219</v>
      </c>
      <c r="O136" s="2">
        <f>+C121+D122+D123+D124+D125+D126+D127+D128+D129+D130+D131+D132+D133+D134+D135+(D136/2)</f>
        <v>0</v>
      </c>
      <c r="P136" s="2">
        <f t="shared" si="8"/>
        <v>0</v>
      </c>
      <c r="Q136" s="2">
        <f t="shared" si="9"/>
        <v>0</v>
      </c>
      <c r="R136" s="2">
        <f t="shared" si="18"/>
        <v>146.5</v>
      </c>
      <c r="S136" s="2">
        <f t="shared" si="31"/>
        <v>146.5</v>
      </c>
      <c r="T136" s="3">
        <f t="shared" si="10"/>
        <v>146.5</v>
      </c>
      <c r="V136" s="23">
        <f t="shared" si="11"/>
        <v>0</v>
      </c>
      <c r="W136" s="81" t="str">
        <f t="shared" si="19"/>
        <v>pin in groundstacking hole</v>
      </c>
      <c r="X136" s="23">
        <f t="shared" si="34"/>
        <v>0</v>
      </c>
      <c r="Y136" s="97">
        <f>SUM(D122:D136)+$C$121</f>
        <v>0</v>
      </c>
      <c r="Z136" s="173">
        <f t="shared" si="20"/>
        <v>69.344714800000006</v>
      </c>
      <c r="AA136" s="98">
        <f t="shared" si="12"/>
        <v>0.93571960494171247</v>
      </c>
      <c r="AB136" s="174">
        <f t="shared" si="21"/>
        <v>180.0511663828843</v>
      </c>
      <c r="AC136" s="173">
        <f t="shared" si="22"/>
        <v>50.174479900000001</v>
      </c>
      <c r="AD136" s="94">
        <f t="shared" si="23"/>
        <v>0.76799833627881664</v>
      </c>
      <c r="AE136" s="174">
        <f t="shared" si="24"/>
        <v>146.50336262854705</v>
      </c>
      <c r="AF136" s="174">
        <f t="shared" si="25"/>
        <v>-357</v>
      </c>
      <c r="AG136" s="92">
        <f t="shared" si="26"/>
        <v>326.55452901143133</v>
      </c>
      <c r="AH136" s="92">
        <f t="shared" si="33"/>
        <v>-146.50336262854705</v>
      </c>
      <c r="AI136" s="92">
        <f t="shared" si="32"/>
        <v>146.50336262854705</v>
      </c>
      <c r="AJ136" s="100">
        <f t="shared" si="27"/>
        <v>-196.83777344407792</v>
      </c>
      <c r="AK136" s="100">
        <f t="shared" si="28"/>
        <v>-160.16222655592208</v>
      </c>
      <c r="AL136" s="109">
        <f t="shared" si="13"/>
        <v>-58.93177816957774</v>
      </c>
      <c r="AM136" s="110">
        <f t="shared" si="14"/>
        <v>-62.436694438113413</v>
      </c>
      <c r="AN136" s="137">
        <f t="shared" si="29"/>
        <v>58.93177816957774</v>
      </c>
      <c r="AO136" s="137">
        <f t="shared" si="29"/>
        <v>62.436694438113413</v>
      </c>
      <c r="AP136">
        <f t="shared" si="30"/>
        <v>0.3</v>
      </c>
    </row>
    <row r="137" spans="1:54" ht="21" customHeight="1" thickBot="1" x14ac:dyDescent="0.35">
      <c r="B137" s="88">
        <v>17</v>
      </c>
      <c r="C137" s="20"/>
      <c r="D137" s="738">
        <v>0</v>
      </c>
      <c r="E137" s="333" t="s">
        <v>72</v>
      </c>
      <c r="F137" s="104">
        <f t="shared" si="15"/>
        <v>0.3</v>
      </c>
      <c r="G137" s="118">
        <f t="shared" si="16"/>
        <v>0.3</v>
      </c>
      <c r="H137" s="158">
        <v>190.76</v>
      </c>
      <c r="I137" s="159">
        <v>79.651040199999997</v>
      </c>
      <c r="J137" s="2">
        <f t="shared" si="17"/>
        <v>79.651040199999997</v>
      </c>
      <c r="K137" s="2">
        <f t="shared" si="4"/>
        <v>39.825520099999999</v>
      </c>
      <c r="L137" s="2">
        <f t="shared" si="5"/>
        <v>0.64045183696587837</v>
      </c>
      <c r="M137" s="2">
        <f t="shared" si="6"/>
        <v>122.17259241961095</v>
      </c>
      <c r="N137" s="2">
        <f t="shared" si="7"/>
        <v>244.3451848392219</v>
      </c>
      <c r="O137" s="2">
        <f>+C121+D122+D123+D124+D125+D126+D127+D128+D129+D130+D131+D132+D133+D134+D135+D136+(D137/2)</f>
        <v>0</v>
      </c>
      <c r="P137" s="2">
        <f t="shared" si="8"/>
        <v>0</v>
      </c>
      <c r="Q137" s="2">
        <f t="shared" si="9"/>
        <v>0</v>
      </c>
      <c r="R137" s="2">
        <f t="shared" si="18"/>
        <v>146.5</v>
      </c>
      <c r="S137" s="2">
        <f t="shared" si="31"/>
        <v>146.5</v>
      </c>
      <c r="T137" s="3">
        <f t="shared" si="10"/>
        <v>146.5</v>
      </c>
      <c r="V137" s="23">
        <f t="shared" si="11"/>
        <v>0</v>
      </c>
      <c r="W137" s="81" t="str">
        <f t="shared" si="19"/>
        <v>pin in groundstacking hole</v>
      </c>
      <c r="X137" s="23">
        <f t="shared" si="34"/>
        <v>0</v>
      </c>
      <c r="Y137" s="97">
        <f>SUM(D122:D137)+$C$121</f>
        <v>0</v>
      </c>
      <c r="Z137" s="173">
        <f t="shared" si="20"/>
        <v>69.344714800000006</v>
      </c>
      <c r="AA137" s="98">
        <f t="shared" si="12"/>
        <v>0.93571960494171247</v>
      </c>
      <c r="AB137" s="174">
        <f t="shared" si="21"/>
        <v>180.0511663828843</v>
      </c>
      <c r="AC137" s="173">
        <f t="shared" si="22"/>
        <v>50.174479900000001</v>
      </c>
      <c r="AD137" s="94">
        <f t="shared" si="23"/>
        <v>0.76799833627881664</v>
      </c>
      <c r="AE137" s="174">
        <f t="shared" si="24"/>
        <v>146.50336262854705</v>
      </c>
      <c r="AF137" s="174">
        <f t="shared" si="25"/>
        <v>-382.5</v>
      </c>
      <c r="AG137" s="92">
        <f t="shared" si="26"/>
        <v>326.55452901143133</v>
      </c>
      <c r="AH137" s="92">
        <f t="shared" si="33"/>
        <v>-146.50336262854705</v>
      </c>
      <c r="AI137" s="92">
        <f t="shared" si="32"/>
        <v>146.50336262854705</v>
      </c>
      <c r="AJ137" s="100">
        <f t="shared" si="27"/>
        <v>-210.89761440436919</v>
      </c>
      <c r="AK137" s="100">
        <f t="shared" si="28"/>
        <v>-171.60238559563081</v>
      </c>
      <c r="AL137" s="109">
        <f t="shared" si="13"/>
        <v>-55.002992958272557</v>
      </c>
      <c r="AM137" s="110">
        <f t="shared" si="14"/>
        <v>-58.27424814223918</v>
      </c>
      <c r="AN137" s="137">
        <f t="shared" si="29"/>
        <v>55.002992958272557</v>
      </c>
      <c r="AO137" s="137">
        <f t="shared" si="29"/>
        <v>58.27424814223918</v>
      </c>
      <c r="AP137">
        <f t="shared" si="30"/>
        <v>0.3</v>
      </c>
    </row>
    <row r="138" spans="1:54" ht="21" customHeight="1" thickBot="1" x14ac:dyDescent="0.35">
      <c r="B138" s="88">
        <v>18</v>
      </c>
      <c r="C138" s="20"/>
      <c r="D138" s="738">
        <v>0</v>
      </c>
      <c r="E138" s="333" t="s">
        <v>72</v>
      </c>
      <c r="F138" s="104">
        <f t="shared" si="15"/>
        <v>0.3</v>
      </c>
      <c r="G138" s="118">
        <f t="shared" si="16"/>
        <v>0.3</v>
      </c>
      <c r="H138" s="158">
        <v>190.76</v>
      </c>
      <c r="I138" s="159">
        <v>79.651040199999997</v>
      </c>
      <c r="J138" s="2">
        <f t="shared" si="17"/>
        <v>79.651040199999997</v>
      </c>
      <c r="K138" s="2">
        <f t="shared" si="4"/>
        <v>39.825520099999999</v>
      </c>
      <c r="L138" s="2">
        <f t="shared" si="5"/>
        <v>0.64045183696587837</v>
      </c>
      <c r="M138" s="2">
        <f t="shared" si="6"/>
        <v>122.17259241961095</v>
      </c>
      <c r="N138" s="2">
        <f t="shared" si="7"/>
        <v>244.3451848392219</v>
      </c>
      <c r="O138" s="2">
        <f>+C121+D122+D123+D124+D125+D126+D127+D128+D129+D130+D131+D132+D133+D134+D135+D136+D137+(D138/2)</f>
        <v>0</v>
      </c>
      <c r="P138" s="2">
        <f t="shared" si="8"/>
        <v>0</v>
      </c>
      <c r="Q138" s="2">
        <f t="shared" si="9"/>
        <v>0</v>
      </c>
      <c r="R138" s="2">
        <f t="shared" si="18"/>
        <v>146.5</v>
      </c>
      <c r="S138" s="2">
        <f t="shared" si="31"/>
        <v>146.5</v>
      </c>
      <c r="T138" s="3">
        <f t="shared" si="10"/>
        <v>146.5</v>
      </c>
      <c r="V138" s="23">
        <f t="shared" si="11"/>
        <v>0</v>
      </c>
      <c r="W138" s="81" t="str">
        <f t="shared" si="19"/>
        <v>pin in groundstacking hole</v>
      </c>
      <c r="X138" s="23">
        <f t="shared" si="34"/>
        <v>0</v>
      </c>
      <c r="Y138" s="97">
        <f>SUM(D122:D138)+$C$121</f>
        <v>0</v>
      </c>
      <c r="Z138" s="173">
        <f t="shared" si="20"/>
        <v>69.344714800000006</v>
      </c>
      <c r="AA138" s="98">
        <f t="shared" si="12"/>
        <v>0.93571960494171247</v>
      </c>
      <c r="AB138" s="174">
        <f t="shared" si="21"/>
        <v>180.0511663828843</v>
      </c>
      <c r="AC138" s="173">
        <f t="shared" si="22"/>
        <v>50.174479900000001</v>
      </c>
      <c r="AD138" s="94">
        <f t="shared" si="23"/>
        <v>0.76799833627881664</v>
      </c>
      <c r="AE138" s="174">
        <f t="shared" si="24"/>
        <v>146.50336262854705</v>
      </c>
      <c r="AF138" s="174">
        <f t="shared" si="25"/>
        <v>-408</v>
      </c>
      <c r="AG138" s="92">
        <f t="shared" si="26"/>
        <v>326.55452901143133</v>
      </c>
      <c r="AH138" s="92">
        <f t="shared" si="33"/>
        <v>-146.50336262854705</v>
      </c>
      <c r="AI138" s="92">
        <f t="shared" si="32"/>
        <v>146.50336262854705</v>
      </c>
      <c r="AJ138" s="100">
        <f t="shared" si="27"/>
        <v>-224.95745536466046</v>
      </c>
      <c r="AK138" s="100">
        <f t="shared" si="28"/>
        <v>-183.04254463533954</v>
      </c>
      <c r="AL138" s="109">
        <f t="shared" si="13"/>
        <v>-51.565305898380529</v>
      </c>
      <c r="AM138" s="110">
        <f t="shared" si="14"/>
        <v>-54.632107633349229</v>
      </c>
      <c r="AN138" s="137">
        <f t="shared" si="29"/>
        <v>51.565305898380529</v>
      </c>
      <c r="AO138" s="137">
        <f t="shared" si="29"/>
        <v>54.632107633349229</v>
      </c>
      <c r="AP138">
        <f t="shared" si="30"/>
        <v>0.3</v>
      </c>
    </row>
    <row r="139" spans="1:54" ht="21" customHeight="1" thickBot="1" x14ac:dyDescent="0.35">
      <c r="B139" s="88">
        <v>19</v>
      </c>
      <c r="D139" s="738">
        <v>0</v>
      </c>
      <c r="E139" s="333" t="s">
        <v>72</v>
      </c>
      <c r="F139" s="104">
        <f t="shared" ref="F139:F144" si="35">+G139</f>
        <v>0.3</v>
      </c>
      <c r="G139" s="118">
        <f t="shared" ref="G139:G144" si="36">+D139+AP139</f>
        <v>0.3</v>
      </c>
      <c r="H139" s="158">
        <v>190.76</v>
      </c>
      <c r="I139" s="159">
        <v>79.651040199999997</v>
      </c>
      <c r="J139" s="2">
        <f t="shared" ref="J139:J144" si="37">+I139-D139</f>
        <v>79.651040199999997</v>
      </c>
      <c r="K139" s="2">
        <f t="shared" ref="K139:K144" si="38">+J139/2</f>
        <v>39.825520099999999</v>
      </c>
      <c r="L139" s="2">
        <f t="shared" ref="L139:L144" si="39">SIN(K139*3.14159265358979/180)</f>
        <v>0.64045183696587837</v>
      </c>
      <c r="M139" s="2">
        <f t="shared" ref="M139:M144" si="40">+L139*H139</f>
        <v>122.17259241961095</v>
      </c>
      <c r="N139" s="2">
        <f t="shared" ref="N139:N144" si="41">+M139*2</f>
        <v>244.3451848392219</v>
      </c>
      <c r="O139" s="2">
        <f t="shared" ref="O139:O144" si="42">+C122+D123+D124+D125+D126+D127+D128+D129+D130+D131+D132+D133+D134+D135+D136+D137+D138+(D139/2)</f>
        <v>0</v>
      </c>
      <c r="P139" s="2">
        <f t="shared" ref="P139:P144" si="43">SIN(O139*3.14159265358979/180)</f>
        <v>0</v>
      </c>
      <c r="Q139" s="2">
        <f t="shared" ref="Q139:Q144" si="44">+P139*N139</f>
        <v>0</v>
      </c>
      <c r="R139" s="2">
        <f t="shared" ref="R139:R144" si="45">+T138</f>
        <v>146.5</v>
      </c>
      <c r="S139" s="2">
        <f t="shared" ref="S139:S144" si="46">+S138+Q139</f>
        <v>146.5</v>
      </c>
      <c r="T139" s="3">
        <f t="shared" ref="T139:T144" si="47">+S139</f>
        <v>146.5</v>
      </c>
      <c r="V139" s="23">
        <f t="shared" si="11"/>
        <v>0</v>
      </c>
      <c r="W139" s="81" t="str">
        <f t="shared" si="19"/>
        <v>pin in groundstacking hole</v>
      </c>
      <c r="X139" s="23">
        <f t="shared" si="34"/>
        <v>0</v>
      </c>
      <c r="Y139" s="97">
        <f>SUM(D122:D139)+$C$121</f>
        <v>0</v>
      </c>
      <c r="Z139" s="173">
        <f t="shared" ref="Z139:Z144" si="48">69.3447148-Y139</f>
        <v>69.344714800000006</v>
      </c>
      <c r="AA139" s="98">
        <f t="shared" ref="AA139:AA144" si="49">SIN(Z139*3.14159265358979/180)</f>
        <v>0.93571960494171247</v>
      </c>
      <c r="AB139" s="174">
        <f t="shared" ref="AB139:AB144" si="50">+AA139*192.42</f>
        <v>180.0511663828843</v>
      </c>
      <c r="AC139" s="173">
        <f t="shared" ref="AC139:AC144" si="51">50.1744799+Y139</f>
        <v>50.174479900000001</v>
      </c>
      <c r="AD139" s="94">
        <f t="shared" ref="AD139:AD144" si="52">SIN(AC139*3.14159265358979/180)</f>
        <v>0.76799833627881664</v>
      </c>
      <c r="AE139" s="174">
        <f t="shared" ref="AE139:AE144" si="53">+AD139*190.76</f>
        <v>146.50336262854705</v>
      </c>
      <c r="AF139" s="174">
        <f t="shared" ref="AF139:AF144" si="54">25.5*($B$118-B138)</f>
        <v>-433.5</v>
      </c>
      <c r="AG139" s="92">
        <f t="shared" ref="AG139:AG144" si="55">+AE139+AB139</f>
        <v>326.55452901143133</v>
      </c>
      <c r="AH139" s="92">
        <f t="shared" ref="AH139:AH144" si="56">+V139-AE139</f>
        <v>-146.50336262854705</v>
      </c>
      <c r="AI139" s="92">
        <f t="shared" ref="AI139:AI144" si="57">+X139-AH139</f>
        <v>146.50336262854705</v>
      </c>
      <c r="AJ139" s="100">
        <f t="shared" ref="AJ139:AJ144" si="58">+((AG139-AI139)/AG139)*AF139</f>
        <v>-239.01729632495176</v>
      </c>
      <c r="AK139" s="100">
        <f t="shared" ref="AK139:AK144" si="59">+(AI139/AG139)*AF139</f>
        <v>-194.48270367504824</v>
      </c>
      <c r="AL139" s="109">
        <f t="shared" ref="AL139:AL144" si="60">2*$C$7/AJ139</f>
        <v>-48.532052610240491</v>
      </c>
      <c r="AM139" s="110">
        <f t="shared" ref="AM139:AM144" si="61">$D$7/AK139</f>
        <v>-51.418454243152219</v>
      </c>
      <c r="AN139" s="137">
        <f t="shared" ref="AN139:AN144" si="62">ABS(AL139)</f>
        <v>48.532052610240491</v>
      </c>
      <c r="AO139" s="137">
        <f t="shared" ref="AO139:AO144" si="63">ABS(AM139)</f>
        <v>51.418454243152219</v>
      </c>
      <c r="AP139">
        <f t="shared" si="30"/>
        <v>0.3</v>
      </c>
    </row>
    <row r="140" spans="1:54" ht="21" customHeight="1" thickBot="1" x14ac:dyDescent="0.35">
      <c r="B140" s="88">
        <v>20</v>
      </c>
      <c r="D140" s="738">
        <v>0</v>
      </c>
      <c r="E140" s="333" t="s">
        <v>72</v>
      </c>
      <c r="F140" s="104">
        <f t="shared" si="35"/>
        <v>0.3</v>
      </c>
      <c r="G140" s="118">
        <f t="shared" si="36"/>
        <v>0.3</v>
      </c>
      <c r="H140" s="158">
        <v>190.76</v>
      </c>
      <c r="I140" s="159">
        <v>79.651040199999997</v>
      </c>
      <c r="J140" s="2">
        <f t="shared" si="37"/>
        <v>79.651040199999997</v>
      </c>
      <c r="K140" s="2">
        <f t="shared" si="38"/>
        <v>39.825520099999999</v>
      </c>
      <c r="L140" s="2">
        <f t="shared" si="39"/>
        <v>0.64045183696587837</v>
      </c>
      <c r="M140" s="2">
        <f t="shared" si="40"/>
        <v>122.17259241961095</v>
      </c>
      <c r="N140" s="2">
        <f t="shared" si="41"/>
        <v>244.3451848392219</v>
      </c>
      <c r="O140" s="2">
        <f t="shared" si="42"/>
        <v>0</v>
      </c>
      <c r="P140" s="2">
        <f t="shared" si="43"/>
        <v>0</v>
      </c>
      <c r="Q140" s="2">
        <f t="shared" si="44"/>
        <v>0</v>
      </c>
      <c r="R140" s="2">
        <f t="shared" si="45"/>
        <v>146.5</v>
      </c>
      <c r="S140" s="2">
        <f t="shared" si="46"/>
        <v>146.5</v>
      </c>
      <c r="T140" s="3">
        <f t="shared" si="47"/>
        <v>146.5</v>
      </c>
      <c r="V140" s="23">
        <f t="shared" si="11"/>
        <v>0</v>
      </c>
      <c r="W140" s="81" t="str">
        <f t="shared" si="19"/>
        <v>pin in groundstacking hole</v>
      </c>
      <c r="X140" s="23">
        <f t="shared" si="34"/>
        <v>0</v>
      </c>
      <c r="Y140" s="97">
        <f>SUM(D122:D140)+$C$121</f>
        <v>0</v>
      </c>
      <c r="Z140" s="173">
        <f t="shared" si="48"/>
        <v>69.344714800000006</v>
      </c>
      <c r="AA140" s="98">
        <f t="shared" si="49"/>
        <v>0.93571960494171247</v>
      </c>
      <c r="AB140" s="174">
        <f t="shared" si="50"/>
        <v>180.0511663828843</v>
      </c>
      <c r="AC140" s="173">
        <f t="shared" si="51"/>
        <v>50.174479900000001</v>
      </c>
      <c r="AD140" s="94">
        <f t="shared" si="52"/>
        <v>0.76799833627881664</v>
      </c>
      <c r="AE140" s="174">
        <f t="shared" si="53"/>
        <v>146.50336262854705</v>
      </c>
      <c r="AF140" s="174">
        <f t="shared" si="54"/>
        <v>-459</v>
      </c>
      <c r="AG140" s="92">
        <f t="shared" si="55"/>
        <v>326.55452901143133</v>
      </c>
      <c r="AH140" s="92">
        <f t="shared" si="56"/>
        <v>-146.50336262854705</v>
      </c>
      <c r="AI140" s="92">
        <f t="shared" si="57"/>
        <v>146.50336262854705</v>
      </c>
      <c r="AJ140" s="100">
        <f t="shared" si="58"/>
        <v>-253.07713728524303</v>
      </c>
      <c r="AK140" s="100">
        <f t="shared" si="59"/>
        <v>-205.92286271475697</v>
      </c>
      <c r="AL140" s="109">
        <f t="shared" si="60"/>
        <v>-45.835827465227133</v>
      </c>
      <c r="AM140" s="110">
        <f t="shared" si="61"/>
        <v>-48.561873451865985</v>
      </c>
      <c r="AN140" s="137">
        <f t="shared" si="62"/>
        <v>45.835827465227133</v>
      </c>
      <c r="AO140" s="137">
        <f t="shared" si="63"/>
        <v>48.561873451865985</v>
      </c>
      <c r="AP140">
        <f t="shared" si="30"/>
        <v>0.3</v>
      </c>
    </row>
    <row r="141" spans="1:54" ht="21" customHeight="1" thickBot="1" x14ac:dyDescent="0.35">
      <c r="B141" s="88">
        <v>21</v>
      </c>
      <c r="D141" s="738">
        <v>0</v>
      </c>
      <c r="E141" s="333" t="s">
        <v>72</v>
      </c>
      <c r="F141" s="104">
        <f t="shared" si="35"/>
        <v>0.3</v>
      </c>
      <c r="G141" s="118">
        <f t="shared" si="36"/>
        <v>0.3</v>
      </c>
      <c r="H141" s="158">
        <v>190.76</v>
      </c>
      <c r="I141" s="159">
        <v>79.651040199999997</v>
      </c>
      <c r="J141" s="2">
        <f t="shared" si="37"/>
        <v>79.651040199999997</v>
      </c>
      <c r="K141" s="2">
        <f t="shared" si="38"/>
        <v>39.825520099999999</v>
      </c>
      <c r="L141" s="2">
        <f t="shared" si="39"/>
        <v>0.64045183696587837</v>
      </c>
      <c r="M141" s="2">
        <f t="shared" si="40"/>
        <v>122.17259241961095</v>
      </c>
      <c r="N141" s="2">
        <f t="shared" si="41"/>
        <v>244.3451848392219</v>
      </c>
      <c r="O141" s="2">
        <f t="shared" si="42"/>
        <v>0</v>
      </c>
      <c r="P141" s="2">
        <f t="shared" si="43"/>
        <v>0</v>
      </c>
      <c r="Q141" s="2">
        <f t="shared" si="44"/>
        <v>0</v>
      </c>
      <c r="R141" s="2">
        <f t="shared" si="45"/>
        <v>146.5</v>
      </c>
      <c r="S141" s="2">
        <f t="shared" si="46"/>
        <v>146.5</v>
      </c>
      <c r="T141" s="3">
        <f t="shared" si="47"/>
        <v>146.5</v>
      </c>
      <c r="V141" s="23">
        <f t="shared" si="11"/>
        <v>0</v>
      </c>
      <c r="W141" s="81" t="str">
        <f t="shared" si="19"/>
        <v>pin in groundstacking hole</v>
      </c>
      <c r="X141" s="23">
        <f t="shared" si="34"/>
        <v>0</v>
      </c>
      <c r="Y141" s="97">
        <f>SUM(D122:D141)+$C$121</f>
        <v>0</v>
      </c>
      <c r="Z141" s="173">
        <f t="shared" si="48"/>
        <v>69.344714800000006</v>
      </c>
      <c r="AA141" s="98">
        <f t="shared" si="49"/>
        <v>0.93571960494171247</v>
      </c>
      <c r="AB141" s="174">
        <f t="shared" si="50"/>
        <v>180.0511663828843</v>
      </c>
      <c r="AC141" s="173">
        <f t="shared" si="51"/>
        <v>50.174479900000001</v>
      </c>
      <c r="AD141" s="94">
        <f t="shared" si="52"/>
        <v>0.76799833627881664</v>
      </c>
      <c r="AE141" s="174">
        <f t="shared" si="53"/>
        <v>146.50336262854705</v>
      </c>
      <c r="AF141" s="174">
        <f t="shared" si="54"/>
        <v>-484.5</v>
      </c>
      <c r="AG141" s="92">
        <f t="shared" si="55"/>
        <v>326.55452901143133</v>
      </c>
      <c r="AH141" s="92">
        <f t="shared" si="56"/>
        <v>-146.50336262854705</v>
      </c>
      <c r="AI141" s="92">
        <f t="shared" si="57"/>
        <v>146.50336262854705</v>
      </c>
      <c r="AJ141" s="100">
        <f t="shared" si="58"/>
        <v>-267.13697824553429</v>
      </c>
      <c r="AK141" s="100">
        <f t="shared" si="59"/>
        <v>-217.36302175446571</v>
      </c>
      <c r="AL141" s="109">
        <f t="shared" si="60"/>
        <v>-43.423415493373078</v>
      </c>
      <c r="AM141" s="110">
        <f t="shared" si="61"/>
        <v>-46.005985375451978</v>
      </c>
      <c r="AN141" s="137">
        <f t="shared" si="62"/>
        <v>43.423415493373078</v>
      </c>
      <c r="AO141" s="137">
        <f t="shared" si="63"/>
        <v>46.005985375451978</v>
      </c>
      <c r="AP141">
        <f t="shared" si="30"/>
        <v>0.3</v>
      </c>
    </row>
    <row r="142" spans="1:54" ht="21" customHeight="1" thickBot="1" x14ac:dyDescent="0.35">
      <c r="B142" s="88">
        <v>22</v>
      </c>
      <c r="D142" s="738">
        <v>0</v>
      </c>
      <c r="E142" s="333" t="s">
        <v>72</v>
      </c>
      <c r="F142" s="104">
        <f t="shared" si="35"/>
        <v>0.3</v>
      </c>
      <c r="G142" s="118">
        <f t="shared" si="36"/>
        <v>0.3</v>
      </c>
      <c r="H142" s="158">
        <v>190.76</v>
      </c>
      <c r="I142" s="159">
        <v>79.651040199999997</v>
      </c>
      <c r="J142" s="2">
        <f t="shared" si="37"/>
        <v>79.651040199999997</v>
      </c>
      <c r="K142" s="2">
        <f t="shared" si="38"/>
        <v>39.825520099999999</v>
      </c>
      <c r="L142" s="2">
        <f t="shared" si="39"/>
        <v>0.64045183696587837</v>
      </c>
      <c r="M142" s="2">
        <f t="shared" si="40"/>
        <v>122.17259241961095</v>
      </c>
      <c r="N142" s="2">
        <f t="shared" si="41"/>
        <v>244.3451848392219</v>
      </c>
      <c r="O142" s="2">
        <f t="shared" si="42"/>
        <v>0</v>
      </c>
      <c r="P142" s="2">
        <f t="shared" si="43"/>
        <v>0</v>
      </c>
      <c r="Q142" s="2">
        <f t="shared" si="44"/>
        <v>0</v>
      </c>
      <c r="R142" s="2">
        <f t="shared" si="45"/>
        <v>146.5</v>
      </c>
      <c r="S142" s="2">
        <f t="shared" si="46"/>
        <v>146.5</v>
      </c>
      <c r="T142" s="3">
        <f t="shared" si="47"/>
        <v>146.5</v>
      </c>
      <c r="V142" s="23">
        <f t="shared" si="11"/>
        <v>0</v>
      </c>
      <c r="W142" s="81" t="str">
        <f t="shared" si="19"/>
        <v>pin in groundstacking hole</v>
      </c>
      <c r="X142" s="23">
        <f t="shared" si="34"/>
        <v>0</v>
      </c>
      <c r="Y142" s="97">
        <f>SUM(D122:D142)+$C$121</f>
        <v>0</v>
      </c>
      <c r="Z142" s="173">
        <f t="shared" si="48"/>
        <v>69.344714800000006</v>
      </c>
      <c r="AA142" s="98">
        <f t="shared" si="49"/>
        <v>0.93571960494171247</v>
      </c>
      <c r="AB142" s="174">
        <f t="shared" si="50"/>
        <v>180.0511663828843</v>
      </c>
      <c r="AC142" s="173">
        <f t="shared" si="51"/>
        <v>50.174479900000001</v>
      </c>
      <c r="AD142" s="94">
        <f t="shared" si="52"/>
        <v>0.76799833627881664</v>
      </c>
      <c r="AE142" s="174">
        <f t="shared" si="53"/>
        <v>146.50336262854705</v>
      </c>
      <c r="AF142" s="174">
        <f t="shared" si="54"/>
        <v>-510</v>
      </c>
      <c r="AG142" s="92">
        <f t="shared" si="55"/>
        <v>326.55452901143133</v>
      </c>
      <c r="AH142" s="92">
        <f t="shared" si="56"/>
        <v>-146.50336262854705</v>
      </c>
      <c r="AI142" s="92">
        <f t="shared" si="57"/>
        <v>146.50336262854705</v>
      </c>
      <c r="AJ142" s="100">
        <f t="shared" si="58"/>
        <v>-281.19681920582559</v>
      </c>
      <c r="AK142" s="100">
        <f t="shared" si="59"/>
        <v>-228.80318079417441</v>
      </c>
      <c r="AL142" s="109">
        <f t="shared" si="60"/>
        <v>-41.252244718704418</v>
      </c>
      <c r="AM142" s="110">
        <f t="shared" si="61"/>
        <v>-43.705686106679387</v>
      </c>
      <c r="AN142" s="137">
        <f t="shared" si="62"/>
        <v>41.252244718704418</v>
      </c>
      <c r="AO142" s="137">
        <f t="shared" si="63"/>
        <v>43.705686106679387</v>
      </c>
      <c r="AP142">
        <f t="shared" si="30"/>
        <v>0.3</v>
      </c>
    </row>
    <row r="143" spans="1:54" ht="21" customHeight="1" thickBot="1" x14ac:dyDescent="0.35">
      <c r="B143" s="88">
        <v>23</v>
      </c>
      <c r="D143" s="738">
        <v>0</v>
      </c>
      <c r="E143" s="333" t="s">
        <v>72</v>
      </c>
      <c r="F143" s="104">
        <f t="shared" si="35"/>
        <v>0.3</v>
      </c>
      <c r="G143" s="118">
        <f t="shared" si="36"/>
        <v>0.3</v>
      </c>
      <c r="H143" s="158">
        <v>190.76</v>
      </c>
      <c r="I143" s="159">
        <v>79.651040199999997</v>
      </c>
      <c r="J143" s="2">
        <f t="shared" si="37"/>
        <v>79.651040199999997</v>
      </c>
      <c r="K143" s="2">
        <f t="shared" si="38"/>
        <v>39.825520099999999</v>
      </c>
      <c r="L143" s="2">
        <f t="shared" si="39"/>
        <v>0.64045183696587837</v>
      </c>
      <c r="M143" s="2">
        <f t="shared" si="40"/>
        <v>122.17259241961095</v>
      </c>
      <c r="N143" s="2">
        <f t="shared" si="41"/>
        <v>244.3451848392219</v>
      </c>
      <c r="O143" s="2">
        <f t="shared" si="42"/>
        <v>0</v>
      </c>
      <c r="P143" s="2">
        <f t="shared" si="43"/>
        <v>0</v>
      </c>
      <c r="Q143" s="2">
        <f t="shared" si="44"/>
        <v>0</v>
      </c>
      <c r="R143" s="2">
        <f t="shared" si="45"/>
        <v>146.5</v>
      </c>
      <c r="S143" s="2">
        <f t="shared" si="46"/>
        <v>146.5</v>
      </c>
      <c r="T143" s="3">
        <f t="shared" si="47"/>
        <v>146.5</v>
      </c>
      <c r="V143" s="23">
        <f t="shared" si="11"/>
        <v>0</v>
      </c>
      <c r="W143" s="81" t="str">
        <f t="shared" si="19"/>
        <v>pin in groundstacking hole</v>
      </c>
      <c r="X143" s="23">
        <f t="shared" si="34"/>
        <v>0</v>
      </c>
      <c r="Y143" s="97">
        <f>SUM(D122:D143)+$C$121</f>
        <v>0</v>
      </c>
      <c r="Z143" s="173">
        <f t="shared" si="48"/>
        <v>69.344714800000006</v>
      </c>
      <c r="AA143" s="98">
        <f t="shared" si="49"/>
        <v>0.93571960494171247</v>
      </c>
      <c r="AB143" s="174">
        <f t="shared" si="50"/>
        <v>180.0511663828843</v>
      </c>
      <c r="AC143" s="173">
        <f t="shared" si="51"/>
        <v>50.174479900000001</v>
      </c>
      <c r="AD143" s="94">
        <f t="shared" si="52"/>
        <v>0.76799833627881664</v>
      </c>
      <c r="AE143" s="174">
        <f t="shared" si="53"/>
        <v>146.50336262854705</v>
      </c>
      <c r="AF143" s="174">
        <f t="shared" si="54"/>
        <v>-535.5</v>
      </c>
      <c r="AG143" s="92">
        <f t="shared" si="55"/>
        <v>326.55452901143133</v>
      </c>
      <c r="AH143" s="92">
        <f t="shared" si="56"/>
        <v>-146.50336262854705</v>
      </c>
      <c r="AI143" s="92">
        <f t="shared" si="57"/>
        <v>146.50336262854705</v>
      </c>
      <c r="AJ143" s="100">
        <f t="shared" si="58"/>
        <v>-295.25666016611689</v>
      </c>
      <c r="AK143" s="100">
        <f t="shared" si="59"/>
        <v>-240.24333983388314</v>
      </c>
      <c r="AL143" s="109">
        <f t="shared" si="60"/>
        <v>-39.287852113051827</v>
      </c>
      <c r="AM143" s="110">
        <f t="shared" si="61"/>
        <v>-41.624462958742271</v>
      </c>
      <c r="AN143" s="137">
        <f t="shared" si="62"/>
        <v>39.287852113051827</v>
      </c>
      <c r="AO143" s="137">
        <f t="shared" si="63"/>
        <v>41.624462958742271</v>
      </c>
      <c r="AP143">
        <f t="shared" si="30"/>
        <v>0.3</v>
      </c>
      <c r="AV143" s="747" t="s">
        <v>205</v>
      </c>
    </row>
    <row r="144" spans="1:54" ht="21" customHeight="1" thickBot="1" x14ac:dyDescent="0.5">
      <c r="B144" s="88">
        <v>24</v>
      </c>
      <c r="D144" s="738">
        <v>0</v>
      </c>
      <c r="E144" s="333" t="s">
        <v>72</v>
      </c>
      <c r="F144" s="104">
        <f t="shared" si="35"/>
        <v>0.3</v>
      </c>
      <c r="G144" s="118">
        <f t="shared" si="36"/>
        <v>0.3</v>
      </c>
      <c r="H144" s="158">
        <v>190.76</v>
      </c>
      <c r="I144" s="159">
        <v>79.651040199999997</v>
      </c>
      <c r="J144" s="2">
        <f t="shared" si="37"/>
        <v>79.651040199999997</v>
      </c>
      <c r="K144" s="2">
        <f t="shared" si="38"/>
        <v>39.825520099999999</v>
      </c>
      <c r="L144" s="2">
        <f t="shared" si="39"/>
        <v>0.64045183696587837</v>
      </c>
      <c r="M144" s="2">
        <f t="shared" si="40"/>
        <v>122.17259241961095</v>
      </c>
      <c r="N144" s="2">
        <f t="shared" si="41"/>
        <v>244.3451848392219</v>
      </c>
      <c r="O144" s="2">
        <f t="shared" si="42"/>
        <v>0</v>
      </c>
      <c r="P144" s="2">
        <f t="shared" si="43"/>
        <v>0</v>
      </c>
      <c r="Q144" s="2">
        <f t="shared" si="44"/>
        <v>0</v>
      </c>
      <c r="R144" s="2">
        <f t="shared" si="45"/>
        <v>146.5</v>
      </c>
      <c r="S144" s="2">
        <f t="shared" si="46"/>
        <v>146.5</v>
      </c>
      <c r="T144" s="3">
        <f t="shared" si="47"/>
        <v>146.5</v>
      </c>
      <c r="V144" s="23">
        <f t="shared" si="11"/>
        <v>0</v>
      </c>
      <c r="W144" s="81" t="str">
        <f t="shared" si="19"/>
        <v>pin in groundstacking hole</v>
      </c>
      <c r="X144" s="23">
        <f t="shared" si="34"/>
        <v>0</v>
      </c>
      <c r="Y144" s="97">
        <f>SUM(D122:D144)+$C$121</f>
        <v>0</v>
      </c>
      <c r="Z144" s="173">
        <f t="shared" si="48"/>
        <v>69.344714800000006</v>
      </c>
      <c r="AA144" s="98">
        <f t="shared" si="49"/>
        <v>0.93571960494171247</v>
      </c>
      <c r="AB144" s="174">
        <f t="shared" si="50"/>
        <v>180.0511663828843</v>
      </c>
      <c r="AC144" s="173">
        <f t="shared" si="51"/>
        <v>50.174479900000001</v>
      </c>
      <c r="AD144" s="94">
        <f t="shared" si="52"/>
        <v>0.76799833627881664</v>
      </c>
      <c r="AE144" s="174">
        <f t="shared" si="53"/>
        <v>146.50336262854705</v>
      </c>
      <c r="AF144" s="174">
        <f t="shared" si="54"/>
        <v>-561</v>
      </c>
      <c r="AG144" s="92">
        <f t="shared" si="55"/>
        <v>326.55452901143133</v>
      </c>
      <c r="AH144" s="92">
        <f t="shared" si="56"/>
        <v>-146.50336262854705</v>
      </c>
      <c r="AI144" s="92">
        <f t="shared" si="57"/>
        <v>146.50336262854705</v>
      </c>
      <c r="AJ144" s="100">
        <f t="shared" si="58"/>
        <v>-309.31650112640813</v>
      </c>
      <c r="AK144" s="100">
        <f t="shared" si="59"/>
        <v>-251.68349887359184</v>
      </c>
      <c r="AL144" s="109">
        <f t="shared" si="60"/>
        <v>-37.502040653367658</v>
      </c>
      <c r="AM144" s="110">
        <f t="shared" si="61"/>
        <v>-39.732441915163079</v>
      </c>
      <c r="AN144" s="137">
        <f t="shared" si="62"/>
        <v>37.502040653367658</v>
      </c>
      <c r="AO144" s="137">
        <f t="shared" si="63"/>
        <v>39.732441915163079</v>
      </c>
      <c r="AP144">
        <f t="shared" si="30"/>
        <v>0.3</v>
      </c>
      <c r="AT144" s="219">
        <v>1</v>
      </c>
      <c r="AU144" s="751">
        <v>-400</v>
      </c>
      <c r="AV144" s="746">
        <f>+COS(($B$115*-1)*3.14159265358979/180)*AU144</f>
        <v>-400</v>
      </c>
      <c r="AW144" s="752">
        <f t="shared" ref="AW144:AW171" si="64">+AV144-D$3</f>
        <v>-498.00014143917963</v>
      </c>
      <c r="AX144" s="180">
        <f t="shared" ref="AX144:AX171" si="65">ABS(AW144)</f>
        <v>498.00014143917963</v>
      </c>
      <c r="AY144" s="180">
        <f>MIN(AX144:AX173)</f>
        <v>1.9998585608203854</v>
      </c>
      <c r="AZ144" s="180" t="b">
        <f>IF(AY144=AX144,AT144)</f>
        <v>0</v>
      </c>
    </row>
    <row r="145" spans="46:79" ht="19.2" x14ac:dyDescent="0.45">
      <c r="AT145" s="219">
        <v>2</v>
      </c>
      <c r="AU145" s="751">
        <f>+AU144+50</f>
        <v>-350</v>
      </c>
      <c r="AV145" s="746">
        <f>+AV144+$E$2</f>
        <v>-350</v>
      </c>
      <c r="AW145" s="752">
        <f t="shared" si="64"/>
        <v>-448.00014143917963</v>
      </c>
      <c r="AX145" s="180">
        <f t="shared" si="65"/>
        <v>448.00014143917963</v>
      </c>
      <c r="AY145" s="180">
        <f>+AY144</f>
        <v>1.9998585608203854</v>
      </c>
      <c r="AZ145" s="180" t="b">
        <f t="shared" ref="AZ145:AZ171" si="66">IF(AY145=AX145,AT145)</f>
        <v>0</v>
      </c>
    </row>
    <row r="146" spans="46:79" ht="19.2" x14ac:dyDescent="0.45">
      <c r="AT146" s="219">
        <v>3</v>
      </c>
      <c r="AU146" s="751">
        <f t="shared" ref="AU146:AU171" si="67">+AU145+50</f>
        <v>-300</v>
      </c>
      <c r="AV146" s="746">
        <f t="shared" ref="AV146:AV171" si="68">+AV145+$E$2</f>
        <v>-300</v>
      </c>
      <c r="AW146" s="752">
        <f t="shared" si="64"/>
        <v>-398.00014143917963</v>
      </c>
      <c r="AX146" s="180">
        <f t="shared" si="65"/>
        <v>398.00014143917963</v>
      </c>
      <c r="AY146" s="180">
        <f t="shared" ref="AY146:AY171" si="69">+AY145</f>
        <v>1.9998585608203854</v>
      </c>
      <c r="AZ146" s="180" t="b">
        <f t="shared" si="66"/>
        <v>0</v>
      </c>
    </row>
    <row r="147" spans="46:79" ht="19.2" x14ac:dyDescent="0.45">
      <c r="AT147" s="219">
        <v>4</v>
      </c>
      <c r="AU147" s="751">
        <f t="shared" si="67"/>
        <v>-250</v>
      </c>
      <c r="AV147" s="746">
        <f t="shared" si="68"/>
        <v>-250</v>
      </c>
      <c r="AW147" s="752">
        <f t="shared" si="64"/>
        <v>-348.00014143917963</v>
      </c>
      <c r="AX147" s="180">
        <f t="shared" si="65"/>
        <v>348.00014143917963</v>
      </c>
      <c r="AY147" s="180">
        <f t="shared" si="69"/>
        <v>1.9998585608203854</v>
      </c>
      <c r="AZ147" s="180" t="b">
        <f t="shared" si="66"/>
        <v>0</v>
      </c>
    </row>
    <row r="148" spans="46:79" ht="19.2" x14ac:dyDescent="0.45">
      <c r="AT148" s="219">
        <v>5</v>
      </c>
      <c r="AU148" s="751">
        <f t="shared" si="67"/>
        <v>-200</v>
      </c>
      <c r="AV148" s="746">
        <f t="shared" si="68"/>
        <v>-200</v>
      </c>
      <c r="AW148" s="752">
        <f t="shared" si="64"/>
        <v>-298.00014143917963</v>
      </c>
      <c r="AX148" s="180">
        <f t="shared" si="65"/>
        <v>298.00014143917963</v>
      </c>
      <c r="AY148" s="180">
        <f t="shared" si="69"/>
        <v>1.9998585608203854</v>
      </c>
      <c r="AZ148" s="180" t="b">
        <f t="shared" si="66"/>
        <v>0</v>
      </c>
    </row>
    <row r="149" spans="46:79" ht="19.2" x14ac:dyDescent="0.45">
      <c r="AT149" s="219">
        <v>6</v>
      </c>
      <c r="AU149" s="751">
        <f t="shared" si="67"/>
        <v>-150</v>
      </c>
      <c r="AV149" s="746">
        <f t="shared" si="68"/>
        <v>-150</v>
      </c>
      <c r="AW149" s="752">
        <f t="shared" si="64"/>
        <v>-248.00014143917963</v>
      </c>
      <c r="AX149" s="180">
        <f t="shared" si="65"/>
        <v>248.00014143917963</v>
      </c>
      <c r="AY149" s="180">
        <f t="shared" si="69"/>
        <v>1.9998585608203854</v>
      </c>
      <c r="AZ149" s="180" t="b">
        <f t="shared" si="66"/>
        <v>0</v>
      </c>
    </row>
    <row r="150" spans="46:79" ht="19.2" x14ac:dyDescent="0.45">
      <c r="AT150" s="219">
        <v>7</v>
      </c>
      <c r="AU150" s="751">
        <f t="shared" si="67"/>
        <v>-100</v>
      </c>
      <c r="AV150" s="746">
        <f t="shared" si="68"/>
        <v>-100</v>
      </c>
      <c r="AW150" s="752">
        <f t="shared" si="64"/>
        <v>-198.00014143917963</v>
      </c>
      <c r="AX150" s="180">
        <f t="shared" si="65"/>
        <v>198.00014143917963</v>
      </c>
      <c r="AY150" s="180">
        <f t="shared" si="69"/>
        <v>1.9998585608203854</v>
      </c>
      <c r="AZ150" s="180" t="b">
        <f t="shared" si="66"/>
        <v>0</v>
      </c>
    </row>
    <row r="151" spans="46:79" ht="19.2" x14ac:dyDescent="0.45">
      <c r="AT151" s="219">
        <v>8</v>
      </c>
      <c r="AU151" s="751">
        <f t="shared" si="67"/>
        <v>-50</v>
      </c>
      <c r="AV151" s="746">
        <f t="shared" si="68"/>
        <v>-50</v>
      </c>
      <c r="AW151" s="752">
        <f t="shared" si="64"/>
        <v>-148.00014143917963</v>
      </c>
      <c r="AX151" s="180">
        <f t="shared" si="65"/>
        <v>148.00014143917963</v>
      </c>
      <c r="AY151" s="180">
        <f t="shared" si="69"/>
        <v>1.9998585608203854</v>
      </c>
      <c r="AZ151" s="180" t="b">
        <f t="shared" si="66"/>
        <v>0</v>
      </c>
    </row>
    <row r="152" spans="46:79" ht="19.2" x14ac:dyDescent="0.45">
      <c r="AT152" s="219">
        <v>9</v>
      </c>
      <c r="AU152" s="751">
        <f t="shared" si="67"/>
        <v>0</v>
      </c>
      <c r="AV152" s="746">
        <f t="shared" si="68"/>
        <v>0</v>
      </c>
      <c r="AW152" s="752">
        <f t="shared" si="64"/>
        <v>-98.000141439179615</v>
      </c>
      <c r="AX152" s="180">
        <f t="shared" si="65"/>
        <v>98.000141439179615</v>
      </c>
      <c r="AY152" s="180">
        <f t="shared" si="69"/>
        <v>1.9998585608203854</v>
      </c>
      <c r="AZ152" s="180" t="b">
        <f t="shared" si="66"/>
        <v>0</v>
      </c>
    </row>
    <row r="153" spans="46:79" ht="19.2" x14ac:dyDescent="0.45">
      <c r="AT153" s="219">
        <v>10</v>
      </c>
      <c r="AU153" s="751">
        <f t="shared" si="67"/>
        <v>50</v>
      </c>
      <c r="AV153" s="746">
        <f t="shared" si="68"/>
        <v>50</v>
      </c>
      <c r="AW153" s="752">
        <f t="shared" si="64"/>
        <v>-48.000141439179615</v>
      </c>
      <c r="AX153" s="180">
        <f t="shared" si="65"/>
        <v>48.000141439179615</v>
      </c>
      <c r="AY153" s="180">
        <f t="shared" si="69"/>
        <v>1.9998585608203854</v>
      </c>
      <c r="AZ153" s="180" t="b">
        <f t="shared" si="66"/>
        <v>0</v>
      </c>
    </row>
    <row r="154" spans="46:79" ht="19.2" x14ac:dyDescent="0.45">
      <c r="AT154" s="219">
        <v>11</v>
      </c>
      <c r="AU154" s="751">
        <f t="shared" si="67"/>
        <v>100</v>
      </c>
      <c r="AV154" s="746">
        <f t="shared" si="68"/>
        <v>100</v>
      </c>
      <c r="AW154" s="752">
        <f t="shared" si="64"/>
        <v>1.9998585608203854</v>
      </c>
      <c r="AX154" s="180">
        <f t="shared" si="65"/>
        <v>1.9998585608203854</v>
      </c>
      <c r="AY154" s="180">
        <f t="shared" si="69"/>
        <v>1.9998585608203854</v>
      </c>
      <c r="AZ154" s="180">
        <f t="shared" si="66"/>
        <v>11</v>
      </c>
    </row>
    <row r="155" spans="46:79" ht="19.2" x14ac:dyDescent="0.45">
      <c r="AT155" s="219">
        <v>12</v>
      </c>
      <c r="AU155" s="751">
        <f t="shared" si="67"/>
        <v>150</v>
      </c>
      <c r="AV155" s="746">
        <f t="shared" si="68"/>
        <v>150</v>
      </c>
      <c r="AW155" s="752">
        <f t="shared" si="64"/>
        <v>51.999858560820385</v>
      </c>
      <c r="AX155" s="180">
        <f t="shared" si="65"/>
        <v>51.999858560820385</v>
      </c>
      <c r="AY155" s="180">
        <f t="shared" si="69"/>
        <v>1.9998585608203854</v>
      </c>
      <c r="AZ155" s="180" t="b">
        <f t="shared" si="66"/>
        <v>0</v>
      </c>
    </row>
    <row r="156" spans="46:79" ht="19.2" x14ac:dyDescent="0.45">
      <c r="AT156" s="219">
        <v>13</v>
      </c>
      <c r="AU156" s="751">
        <f t="shared" si="67"/>
        <v>200</v>
      </c>
      <c r="AV156" s="746">
        <f t="shared" si="68"/>
        <v>200</v>
      </c>
      <c r="AW156" s="752">
        <f t="shared" si="64"/>
        <v>101.99985856082039</v>
      </c>
      <c r="AX156" s="180">
        <f t="shared" si="65"/>
        <v>101.99985856082039</v>
      </c>
      <c r="AY156" s="180">
        <f t="shared" si="69"/>
        <v>1.9998585608203854</v>
      </c>
      <c r="AZ156" s="180" t="b">
        <f t="shared" si="66"/>
        <v>0</v>
      </c>
    </row>
    <row r="157" spans="46:79" ht="19.2" x14ac:dyDescent="0.45">
      <c r="AT157" s="219">
        <v>14</v>
      </c>
      <c r="AU157" s="751">
        <f t="shared" si="67"/>
        <v>250</v>
      </c>
      <c r="AV157" s="746">
        <f t="shared" si="68"/>
        <v>250</v>
      </c>
      <c r="AW157" s="752">
        <f t="shared" si="64"/>
        <v>151.99985856082037</v>
      </c>
      <c r="AX157" s="180">
        <f t="shared" si="65"/>
        <v>151.99985856082037</v>
      </c>
      <c r="AY157" s="180">
        <f t="shared" si="69"/>
        <v>1.9998585608203854</v>
      </c>
      <c r="AZ157" s="180" t="b">
        <f t="shared" si="66"/>
        <v>0</v>
      </c>
    </row>
    <row r="158" spans="46:79" ht="19.2" x14ac:dyDescent="0.45">
      <c r="AT158" s="219">
        <v>15</v>
      </c>
      <c r="AU158" s="751">
        <f t="shared" si="67"/>
        <v>300</v>
      </c>
      <c r="AV158" s="746">
        <f t="shared" si="68"/>
        <v>300</v>
      </c>
      <c r="AW158" s="752">
        <f t="shared" si="64"/>
        <v>201.99985856082037</v>
      </c>
      <c r="AX158" s="180">
        <f t="shared" si="65"/>
        <v>201.99985856082037</v>
      </c>
      <c r="AY158" s="180">
        <f t="shared" si="69"/>
        <v>1.9998585608203854</v>
      </c>
      <c r="AZ158" s="180" t="b">
        <f t="shared" si="66"/>
        <v>0</v>
      </c>
    </row>
    <row r="159" spans="46:79" ht="19.2" x14ac:dyDescent="0.45">
      <c r="AT159" s="219">
        <v>16</v>
      </c>
      <c r="AU159" s="751">
        <f t="shared" si="67"/>
        <v>350</v>
      </c>
      <c r="AV159" s="746">
        <f t="shared" si="68"/>
        <v>350</v>
      </c>
      <c r="AW159" s="752">
        <f t="shared" si="64"/>
        <v>251.99985856082037</v>
      </c>
      <c r="AX159" s="180">
        <f t="shared" si="65"/>
        <v>251.99985856082037</v>
      </c>
      <c r="AY159" s="180">
        <f t="shared" si="69"/>
        <v>1.9998585608203854</v>
      </c>
      <c r="AZ159" s="180" t="b">
        <f t="shared" si="66"/>
        <v>0</v>
      </c>
      <c r="BB159" s="64"/>
      <c r="BC159" s="64"/>
      <c r="BD159" s="64"/>
      <c r="BE159" s="64"/>
      <c r="BF159" s="64"/>
      <c r="BG159" s="64"/>
      <c r="BH159" s="1998"/>
      <c r="BI159" s="1998"/>
      <c r="BJ159" s="1998"/>
      <c r="BK159" s="10"/>
      <c r="BL159" s="7"/>
      <c r="BM159" s="7"/>
      <c r="BN159" s="7"/>
      <c r="BO159" s="7"/>
      <c r="BP159" s="7"/>
      <c r="BQ159" s="7"/>
      <c r="BR159" s="7"/>
      <c r="BS159" s="7"/>
      <c r="BT159" s="7"/>
      <c r="BU159" s="7"/>
      <c r="BV159" s="7"/>
      <c r="BW159" s="7"/>
      <c r="BX159" s="7"/>
      <c r="BY159" s="7"/>
      <c r="BZ159" s="7"/>
      <c r="CA159" s="7"/>
    </row>
    <row r="160" spans="46:79" ht="19.2" x14ac:dyDescent="0.45">
      <c r="AT160" s="219">
        <v>17</v>
      </c>
      <c r="AU160" s="751">
        <f t="shared" si="67"/>
        <v>400</v>
      </c>
      <c r="AV160" s="746">
        <f t="shared" si="68"/>
        <v>400</v>
      </c>
      <c r="AW160" s="752">
        <f t="shared" si="64"/>
        <v>301.99985856082037</v>
      </c>
      <c r="AX160" s="180">
        <f t="shared" si="65"/>
        <v>301.99985856082037</v>
      </c>
      <c r="AY160" s="180">
        <f t="shared" si="69"/>
        <v>1.9998585608203854</v>
      </c>
      <c r="AZ160" s="180" t="b">
        <f t="shared" si="66"/>
        <v>0</v>
      </c>
      <c r="BB160" s="7"/>
      <c r="BC160" s="7"/>
      <c r="BD160" s="7"/>
      <c r="BE160" s="7"/>
      <c r="BF160" s="7"/>
      <c r="BG160" s="7"/>
      <c r="BH160" s="57"/>
      <c r="BI160" s="7"/>
      <c r="BJ160" s="7"/>
      <c r="BK160" s="7"/>
      <c r="BL160" s="7"/>
      <c r="BM160" s="7"/>
      <c r="BN160" s="7"/>
      <c r="BO160" s="7"/>
      <c r="BP160" s="7"/>
      <c r="BQ160" s="7"/>
      <c r="BR160" s="7"/>
      <c r="BS160" s="7"/>
      <c r="BT160" s="7"/>
      <c r="BU160" s="57"/>
      <c r="BV160" s="7"/>
      <c r="BW160" s="7"/>
      <c r="BX160" s="7"/>
      <c r="BY160" s="7"/>
      <c r="BZ160" s="7"/>
      <c r="CA160" s="7"/>
    </row>
    <row r="161" spans="46:79" ht="19.2" x14ac:dyDescent="0.45">
      <c r="AT161" s="219">
        <v>18</v>
      </c>
      <c r="AU161" s="751">
        <f t="shared" si="67"/>
        <v>450</v>
      </c>
      <c r="AV161" s="746">
        <f t="shared" si="68"/>
        <v>450</v>
      </c>
      <c r="AW161" s="752">
        <f t="shared" si="64"/>
        <v>351.99985856082037</v>
      </c>
      <c r="AX161" s="180">
        <f t="shared" si="65"/>
        <v>351.99985856082037</v>
      </c>
      <c r="AY161" s="180">
        <f t="shared" si="69"/>
        <v>1.9998585608203854</v>
      </c>
      <c r="AZ161" s="180" t="b">
        <f t="shared" si="66"/>
        <v>0</v>
      </c>
      <c r="BB161" s="65"/>
      <c r="BC161" s="65"/>
      <c r="BD161" s="65"/>
      <c r="BE161" s="65"/>
      <c r="BF161" s="65"/>
      <c r="BG161" s="65"/>
      <c r="BH161" s="1999"/>
      <c r="BI161" s="1999"/>
      <c r="BJ161" s="7"/>
      <c r="BK161" s="7"/>
      <c r="BL161" s="7"/>
      <c r="BM161" s="7"/>
      <c r="BN161" s="7"/>
      <c r="BO161" s="7"/>
      <c r="BP161" s="7"/>
      <c r="BQ161" s="7"/>
      <c r="BR161" s="7"/>
      <c r="BS161" s="7"/>
      <c r="BT161" s="1993"/>
      <c r="BU161" s="1993"/>
      <c r="BV161" s="7"/>
      <c r="BW161" s="7"/>
      <c r="BX161" s="7"/>
      <c r="BY161" s="7"/>
      <c r="BZ161" s="7"/>
      <c r="CA161" s="7"/>
    </row>
    <row r="162" spans="46:79" ht="19.2" x14ac:dyDescent="0.45">
      <c r="AT162" s="219">
        <v>19</v>
      </c>
      <c r="AU162" s="751">
        <f t="shared" si="67"/>
        <v>500</v>
      </c>
      <c r="AV162" s="746">
        <f t="shared" si="68"/>
        <v>500</v>
      </c>
      <c r="AW162" s="752">
        <f t="shared" si="64"/>
        <v>401.99985856082037</v>
      </c>
      <c r="AX162" s="180">
        <f t="shared" si="65"/>
        <v>401.99985856082037</v>
      </c>
      <c r="AY162" s="180">
        <f t="shared" si="69"/>
        <v>1.9998585608203854</v>
      </c>
      <c r="AZ162" s="180" t="b">
        <f t="shared" si="66"/>
        <v>0</v>
      </c>
      <c r="BB162" s="7"/>
      <c r="BC162" s="7"/>
      <c r="BD162" s="7"/>
      <c r="BE162" s="7"/>
      <c r="BF162" s="7"/>
      <c r="BG162" s="7"/>
      <c r="BH162" s="7"/>
      <c r="BI162" s="7"/>
      <c r="BJ162" s="7"/>
      <c r="BK162" s="7"/>
      <c r="BL162" s="7"/>
      <c r="BM162" s="7"/>
      <c r="BN162" s="7"/>
      <c r="BO162" s="7"/>
      <c r="BP162" s="7"/>
      <c r="BQ162" s="7"/>
      <c r="BR162" s="7"/>
      <c r="BS162" s="7"/>
      <c r="BT162" s="7"/>
      <c r="BU162" s="7"/>
      <c r="BV162" s="7"/>
      <c r="BW162" s="7"/>
      <c r="BX162" s="7"/>
      <c r="BY162" s="7"/>
      <c r="BZ162" s="7"/>
      <c r="CA162" s="7"/>
    </row>
    <row r="163" spans="46:79" ht="19.2" x14ac:dyDescent="0.45">
      <c r="AT163" s="219">
        <v>20</v>
      </c>
      <c r="AU163" s="751">
        <f t="shared" si="67"/>
        <v>550</v>
      </c>
      <c r="AV163" s="746">
        <f t="shared" si="68"/>
        <v>550</v>
      </c>
      <c r="AW163" s="752">
        <f t="shared" si="64"/>
        <v>451.99985856082037</v>
      </c>
      <c r="AX163" s="180">
        <f t="shared" si="65"/>
        <v>451.99985856082037</v>
      </c>
      <c r="AY163" s="180">
        <f t="shared" si="69"/>
        <v>1.9998585608203854</v>
      </c>
      <c r="AZ163" s="180" t="b">
        <f t="shared" si="66"/>
        <v>0</v>
      </c>
      <c r="BB163" s="7"/>
      <c r="BC163" s="7"/>
      <c r="BD163" s="7"/>
      <c r="BE163" s="7"/>
      <c r="BF163" s="7"/>
      <c r="BG163" s="7"/>
      <c r="BH163" s="7"/>
      <c r="BI163" s="7"/>
      <c r="BJ163" s="7"/>
      <c r="BK163" s="7"/>
      <c r="BL163" s="7"/>
      <c r="BM163" s="7"/>
      <c r="BN163" s="7"/>
      <c r="BO163" s="7"/>
      <c r="BP163" s="7"/>
      <c r="BQ163" s="7"/>
      <c r="BR163" s="7"/>
      <c r="BS163" s="7"/>
      <c r="BT163" s="7"/>
      <c r="BU163" s="7"/>
      <c r="BV163" s="7"/>
      <c r="BW163" s="7"/>
      <c r="BX163" s="7"/>
      <c r="BY163" s="7"/>
      <c r="BZ163" s="7"/>
      <c r="CA163" s="7"/>
    </row>
    <row r="164" spans="46:79" ht="19.2" x14ac:dyDescent="0.45">
      <c r="AT164" s="219">
        <v>21</v>
      </c>
      <c r="AU164" s="751">
        <f t="shared" si="67"/>
        <v>600</v>
      </c>
      <c r="AV164" s="746">
        <f t="shared" si="68"/>
        <v>600</v>
      </c>
      <c r="AW164" s="752">
        <f t="shared" si="64"/>
        <v>501.99985856082037</v>
      </c>
      <c r="AX164" s="180">
        <f t="shared" si="65"/>
        <v>501.99985856082037</v>
      </c>
      <c r="AY164" s="180">
        <f t="shared" si="69"/>
        <v>1.9998585608203854</v>
      </c>
      <c r="AZ164" s="180" t="b">
        <f t="shared" si="66"/>
        <v>0</v>
      </c>
      <c r="BB164" s="7"/>
      <c r="BC164" s="7"/>
      <c r="BD164" s="7"/>
      <c r="BE164" s="7"/>
      <c r="BF164" s="7"/>
      <c r="BG164" s="7"/>
      <c r="BH164" s="7"/>
      <c r="BI164" s="7"/>
      <c r="BJ164" s="7"/>
      <c r="BK164" s="7"/>
      <c r="BL164" s="7"/>
      <c r="BM164" s="7"/>
      <c r="BN164" s="7"/>
      <c r="BO164" s="7"/>
      <c r="BP164" s="7"/>
      <c r="BQ164" s="7"/>
      <c r="BR164" s="7"/>
      <c r="BS164" s="7"/>
      <c r="BT164" s="7"/>
      <c r="BU164" s="7"/>
      <c r="BV164" s="7"/>
      <c r="BW164" s="7"/>
      <c r="BX164" s="7"/>
      <c r="BY164" s="7"/>
      <c r="BZ164" s="7"/>
      <c r="CA164" s="7"/>
    </row>
    <row r="165" spans="46:79" ht="19.2" x14ac:dyDescent="0.45">
      <c r="AT165" s="219">
        <v>22</v>
      </c>
      <c r="AU165" s="751">
        <f t="shared" si="67"/>
        <v>650</v>
      </c>
      <c r="AV165" s="746">
        <f t="shared" si="68"/>
        <v>650</v>
      </c>
      <c r="AW165" s="752">
        <f t="shared" si="64"/>
        <v>551.99985856082037</v>
      </c>
      <c r="AX165" s="180">
        <f t="shared" si="65"/>
        <v>551.99985856082037</v>
      </c>
      <c r="AY165" s="180">
        <f t="shared" si="69"/>
        <v>1.9998585608203854</v>
      </c>
      <c r="AZ165" s="180" t="b">
        <f t="shared" si="66"/>
        <v>0</v>
      </c>
      <c r="BB165" s="7"/>
      <c r="BC165" s="7"/>
      <c r="BD165" s="7"/>
      <c r="BE165" s="7"/>
      <c r="BF165" s="7"/>
      <c r="BG165" s="7"/>
      <c r="BH165" s="7"/>
      <c r="BI165" s="7"/>
      <c r="BJ165" s="7"/>
      <c r="BK165" s="7"/>
      <c r="BL165" s="7"/>
      <c r="BM165" s="7"/>
      <c r="BN165" s="7"/>
      <c r="BO165" s="7"/>
      <c r="BP165" s="7"/>
      <c r="BQ165" s="7"/>
      <c r="BR165" s="7"/>
      <c r="BS165" s="7"/>
      <c r="BT165" s="7"/>
      <c r="BU165" s="7"/>
      <c r="BV165" s="7"/>
      <c r="BW165" s="7"/>
      <c r="BX165" s="7"/>
      <c r="BY165" s="7"/>
      <c r="BZ165" s="7"/>
      <c r="CA165" s="7"/>
    </row>
    <row r="166" spans="46:79" ht="19.2" x14ac:dyDescent="0.45">
      <c r="AT166" s="219">
        <v>23</v>
      </c>
      <c r="AU166" s="751">
        <f t="shared" si="67"/>
        <v>700</v>
      </c>
      <c r="AV166" s="746">
        <f t="shared" si="68"/>
        <v>700</v>
      </c>
      <c r="AW166" s="752">
        <f t="shared" si="64"/>
        <v>601.99985856082037</v>
      </c>
      <c r="AX166" s="180">
        <f t="shared" si="65"/>
        <v>601.99985856082037</v>
      </c>
      <c r="AY166" s="180">
        <f t="shared" si="69"/>
        <v>1.9998585608203854</v>
      </c>
      <c r="AZ166" s="180" t="b">
        <f t="shared" si="66"/>
        <v>0</v>
      </c>
      <c r="BB166" s="7"/>
      <c r="BC166" s="7"/>
      <c r="BD166" s="7"/>
      <c r="BE166" s="7"/>
      <c r="BF166" s="7"/>
      <c r="BG166" s="7"/>
      <c r="BH166" s="7"/>
      <c r="BI166" s="7"/>
      <c r="BJ166" s="7"/>
      <c r="BK166" s="7"/>
      <c r="BL166" s="7"/>
      <c r="BM166" s="7"/>
      <c r="BN166" s="7"/>
      <c r="BO166" s="7"/>
      <c r="BP166" s="7"/>
      <c r="BQ166" s="7"/>
      <c r="BR166" s="7"/>
      <c r="BS166" s="7"/>
      <c r="BT166" s="7"/>
      <c r="BU166" s="7"/>
      <c r="BV166" s="7"/>
      <c r="BW166" s="7"/>
      <c r="BX166" s="7"/>
      <c r="BY166" s="7"/>
      <c r="BZ166" s="7"/>
      <c r="CA166" s="7"/>
    </row>
    <row r="167" spans="46:79" ht="19.2" x14ac:dyDescent="0.45">
      <c r="AT167" s="219">
        <v>24</v>
      </c>
      <c r="AU167" s="751">
        <f t="shared" si="67"/>
        <v>750</v>
      </c>
      <c r="AV167" s="746">
        <f t="shared" si="68"/>
        <v>750</v>
      </c>
      <c r="AW167" s="752">
        <f t="shared" si="64"/>
        <v>651.99985856082037</v>
      </c>
      <c r="AX167" s="180">
        <f t="shared" si="65"/>
        <v>651.99985856082037</v>
      </c>
      <c r="AY167" s="180">
        <f t="shared" si="69"/>
        <v>1.9998585608203854</v>
      </c>
      <c r="AZ167" s="180" t="b">
        <f t="shared" si="66"/>
        <v>0</v>
      </c>
      <c r="BB167" s="7"/>
      <c r="BC167" s="7"/>
      <c r="BD167" s="7"/>
      <c r="BE167" s="7"/>
      <c r="BF167" s="7"/>
      <c r="BG167" s="7"/>
      <c r="BH167" s="7"/>
      <c r="BI167" s="7"/>
      <c r="BJ167" s="7"/>
      <c r="BK167" s="7"/>
      <c r="BL167" s="7"/>
      <c r="BM167" s="7"/>
      <c r="BN167" s="7"/>
      <c r="BO167" s="7"/>
      <c r="BP167" s="7"/>
      <c r="BQ167" s="7"/>
      <c r="BR167" s="7"/>
      <c r="BS167" s="7"/>
      <c r="BT167" s="7"/>
      <c r="BU167" s="7"/>
      <c r="BV167" s="7"/>
      <c r="BW167" s="7"/>
      <c r="BX167" s="7"/>
      <c r="BY167" s="7"/>
      <c r="BZ167" s="7"/>
      <c r="CA167" s="7"/>
    </row>
    <row r="168" spans="46:79" ht="19.2" x14ac:dyDescent="0.45">
      <c r="AT168" s="219">
        <v>25</v>
      </c>
      <c r="AU168" s="751">
        <f t="shared" si="67"/>
        <v>800</v>
      </c>
      <c r="AV168" s="746">
        <f t="shared" si="68"/>
        <v>800</v>
      </c>
      <c r="AW168" s="752">
        <f t="shared" si="64"/>
        <v>701.99985856082037</v>
      </c>
      <c r="AX168" s="180">
        <f t="shared" si="65"/>
        <v>701.99985856082037</v>
      </c>
      <c r="AY168" s="180">
        <f t="shared" si="69"/>
        <v>1.9998585608203854</v>
      </c>
      <c r="AZ168" s="180" t="b">
        <f t="shared" si="66"/>
        <v>0</v>
      </c>
      <c r="BB168" s="7"/>
      <c r="BC168" s="7"/>
      <c r="BD168" s="7"/>
      <c r="BE168" s="7"/>
      <c r="BF168" s="7"/>
      <c r="BG168" s="7"/>
      <c r="BH168" s="7"/>
      <c r="BI168" s="7"/>
      <c r="BJ168" s="7"/>
      <c r="BK168" s="7"/>
      <c r="BL168" s="7"/>
      <c r="BM168" s="7"/>
      <c r="BN168" s="7"/>
      <c r="BO168" s="7"/>
      <c r="BP168" s="7"/>
      <c r="BQ168" s="7"/>
      <c r="BR168" s="7"/>
      <c r="BS168" s="7"/>
      <c r="BT168" s="7"/>
      <c r="BU168" s="7"/>
      <c r="BV168" s="7"/>
      <c r="BW168" s="7"/>
      <c r="BX168" s="7"/>
      <c r="BY168" s="7"/>
      <c r="BZ168" s="7"/>
      <c r="CA168" s="7"/>
    </row>
    <row r="169" spans="46:79" ht="19.2" x14ac:dyDescent="0.45">
      <c r="AT169" s="219">
        <v>26</v>
      </c>
      <c r="AU169" s="751">
        <f t="shared" si="67"/>
        <v>850</v>
      </c>
      <c r="AV169" s="746">
        <f t="shared" si="68"/>
        <v>850</v>
      </c>
      <c r="AW169" s="752">
        <f t="shared" si="64"/>
        <v>751.99985856082037</v>
      </c>
      <c r="AX169" s="180">
        <f t="shared" si="65"/>
        <v>751.99985856082037</v>
      </c>
      <c r="AY169" s="180">
        <f t="shared" si="69"/>
        <v>1.9998585608203854</v>
      </c>
      <c r="AZ169" s="180" t="b">
        <f t="shared" si="66"/>
        <v>0</v>
      </c>
      <c r="BB169" s="7"/>
      <c r="BC169" s="7"/>
      <c r="BD169" s="7"/>
      <c r="BE169" s="7"/>
      <c r="BF169" s="7"/>
      <c r="BG169" s="7"/>
      <c r="BH169" s="7"/>
      <c r="BI169" s="7"/>
      <c r="BJ169" s="7"/>
      <c r="BK169" s="7"/>
      <c r="BL169" s="7"/>
      <c r="BM169" s="7"/>
      <c r="BN169" s="7"/>
      <c r="BO169" s="7"/>
      <c r="BP169" s="7"/>
      <c r="BQ169" s="7"/>
      <c r="BR169" s="7"/>
      <c r="BS169" s="7"/>
      <c r="BT169" s="7"/>
      <c r="BU169" s="7"/>
      <c r="BV169" s="7"/>
      <c r="BW169" s="7"/>
      <c r="BX169" s="7"/>
      <c r="BY169" s="7"/>
      <c r="BZ169" s="7"/>
      <c r="CA169" s="7"/>
    </row>
    <row r="170" spans="46:79" ht="19.2" x14ac:dyDescent="0.45">
      <c r="AT170" s="219">
        <v>27</v>
      </c>
      <c r="AU170" s="751">
        <f t="shared" si="67"/>
        <v>900</v>
      </c>
      <c r="AV170" s="746">
        <f t="shared" si="68"/>
        <v>900</v>
      </c>
      <c r="AW170" s="752">
        <f t="shared" si="64"/>
        <v>801.99985856082037</v>
      </c>
      <c r="AX170" s="180">
        <f t="shared" si="65"/>
        <v>801.99985856082037</v>
      </c>
      <c r="AY170" s="180">
        <f t="shared" si="69"/>
        <v>1.9998585608203854</v>
      </c>
      <c r="AZ170" s="180" t="b">
        <f t="shared" si="66"/>
        <v>0</v>
      </c>
      <c r="BB170" s="7"/>
      <c r="BC170" s="7"/>
      <c r="BD170" s="7"/>
      <c r="BE170" s="7"/>
      <c r="BF170" s="7"/>
      <c r="BG170" s="7"/>
      <c r="BH170" s="7"/>
      <c r="BI170" s="7"/>
      <c r="BJ170" s="7"/>
      <c r="BK170" s="7"/>
      <c r="BL170" s="7"/>
      <c r="BM170" s="7"/>
      <c r="BN170" s="7"/>
      <c r="BO170" s="7"/>
      <c r="BP170" s="7"/>
      <c r="BQ170" s="7"/>
      <c r="BR170" s="7"/>
      <c r="BS170" s="7"/>
      <c r="BT170" s="7"/>
      <c r="BU170" s="7"/>
      <c r="BV170" s="7"/>
      <c r="BW170" s="7"/>
      <c r="BX170" s="7"/>
      <c r="BY170" s="7"/>
      <c r="BZ170" s="7"/>
      <c r="CA170" s="7"/>
    </row>
    <row r="171" spans="46:79" ht="19.2" x14ac:dyDescent="0.45">
      <c r="AT171" s="219">
        <v>28</v>
      </c>
      <c r="AU171" s="751">
        <f t="shared" si="67"/>
        <v>950</v>
      </c>
      <c r="AV171" s="746">
        <f t="shared" si="68"/>
        <v>950</v>
      </c>
      <c r="AW171" s="752">
        <f t="shared" si="64"/>
        <v>851.99985856082037</v>
      </c>
      <c r="AX171" s="180">
        <f t="shared" si="65"/>
        <v>851.99985856082037</v>
      </c>
      <c r="AY171" s="180">
        <f t="shared" si="69"/>
        <v>1.9998585608203854</v>
      </c>
      <c r="AZ171" s="180" t="b">
        <f t="shared" si="66"/>
        <v>0</v>
      </c>
      <c r="BB171" s="7"/>
      <c r="BC171" s="7"/>
      <c r="BD171" s="7"/>
      <c r="BE171" s="7"/>
      <c r="BF171" s="7"/>
      <c r="BG171" s="7"/>
      <c r="BH171" s="7"/>
      <c r="BI171" s="7"/>
      <c r="BJ171" s="7"/>
      <c r="BK171" s="7"/>
      <c r="BL171" s="7"/>
      <c r="BM171" s="7"/>
      <c r="BN171" s="7"/>
      <c r="BO171" s="7"/>
      <c r="BP171" s="7"/>
      <c r="BQ171" s="7"/>
      <c r="BR171" s="7"/>
      <c r="BS171" s="7"/>
      <c r="BT171" s="7"/>
      <c r="BU171" s="7"/>
      <c r="BV171" s="7"/>
      <c r="BW171" s="7"/>
      <c r="BX171" s="7"/>
      <c r="BY171" s="7"/>
      <c r="BZ171" s="7"/>
      <c r="CA171" s="7"/>
    </row>
    <row r="172" spans="46:79" ht="18.600000000000001" x14ac:dyDescent="0.45">
      <c r="AT172" s="219"/>
      <c r="AU172" s="751"/>
      <c r="AV172" s="443"/>
      <c r="AW172" s="180"/>
      <c r="AX172" s="180"/>
      <c r="AY172" s="180"/>
      <c r="AZ172" s="180"/>
      <c r="BB172" s="7"/>
      <c r="BC172" s="7"/>
      <c r="BD172" s="7"/>
      <c r="BE172" s="7"/>
      <c r="BF172" s="7"/>
      <c r="BG172" s="7"/>
      <c r="BH172" s="7"/>
      <c r="BI172" s="7"/>
      <c r="BJ172" s="7"/>
      <c r="BK172" s="7"/>
      <c r="BL172" s="7"/>
      <c r="BM172" s="7"/>
      <c r="BN172" s="7"/>
      <c r="BO172" s="7"/>
      <c r="BP172" s="7"/>
      <c r="BQ172" s="7"/>
      <c r="BR172" s="7"/>
      <c r="BS172" s="7"/>
      <c r="BT172" s="7"/>
      <c r="BU172" s="7"/>
      <c r="BV172" s="7"/>
      <c r="BW172" s="7"/>
      <c r="BX172" s="7"/>
      <c r="BY172" s="7"/>
      <c r="BZ172" s="7"/>
      <c r="CA172" s="7"/>
    </row>
    <row r="173" spans="46:79" ht="18.600000000000001" x14ac:dyDescent="0.45">
      <c r="AT173" s="219"/>
      <c r="AU173" s="443"/>
      <c r="AV173" s="443"/>
      <c r="AW173" s="180"/>
      <c r="AX173" s="180"/>
      <c r="AY173" s="180"/>
      <c r="AZ173" s="180"/>
      <c r="BB173" s="7"/>
      <c r="BC173" s="7"/>
      <c r="BD173" s="7"/>
      <c r="BE173" s="7"/>
      <c r="BF173" s="7"/>
      <c r="BG173" s="7"/>
      <c r="BH173" s="7"/>
      <c r="BI173" s="7"/>
      <c r="BJ173" s="7"/>
      <c r="BK173" s="7"/>
      <c r="BL173" s="7"/>
      <c r="BM173" s="7"/>
      <c r="BN173" s="7"/>
      <c r="BO173" s="7"/>
      <c r="BP173" s="7"/>
      <c r="BQ173" s="7"/>
      <c r="BR173" s="7"/>
      <c r="BS173" s="7"/>
      <c r="BT173" s="7"/>
      <c r="BU173" s="7"/>
      <c r="BV173" s="7"/>
      <c r="BW173" s="7"/>
      <c r="BX173" s="7"/>
      <c r="BY173" s="7"/>
      <c r="BZ173" s="7"/>
      <c r="CA173" s="7"/>
    </row>
    <row r="174" spans="46:79" x14ac:dyDescent="0.3">
      <c r="BB174" s="7"/>
      <c r="BC174" s="7"/>
      <c r="BD174" s="7"/>
      <c r="BE174" s="7"/>
      <c r="BF174" s="7"/>
      <c r="BG174" s="15"/>
      <c r="BH174" s="15"/>
      <c r="BI174" s="15"/>
      <c r="BJ174" s="15"/>
      <c r="BK174" s="15"/>
      <c r="BL174" s="15"/>
      <c r="BM174" s="15"/>
      <c r="BN174" s="15"/>
      <c r="BO174" s="15"/>
      <c r="BP174" s="15"/>
      <c r="BQ174" s="7"/>
      <c r="BR174" s="7"/>
      <c r="BS174" s="7"/>
      <c r="BT174" s="7"/>
      <c r="BU174" s="7"/>
      <c r="BV174" s="7"/>
      <c r="BW174" s="7"/>
      <c r="BX174" s="7"/>
      <c r="BY174" s="7"/>
      <c r="BZ174" s="7"/>
      <c r="CA174" s="7"/>
    </row>
    <row r="175" spans="46:79" x14ac:dyDescent="0.3">
      <c r="BB175" s="7"/>
      <c r="BC175" s="7"/>
      <c r="BD175" s="7"/>
      <c r="BE175" s="7"/>
      <c r="BF175" s="7"/>
      <c r="BG175" s="15"/>
      <c r="BH175" s="15"/>
      <c r="BI175" s="15"/>
      <c r="BJ175" s="15"/>
      <c r="BK175" s="15"/>
      <c r="BL175" s="15"/>
      <c r="BM175" s="15"/>
      <c r="BN175" s="15"/>
      <c r="BO175" s="15"/>
      <c r="BP175" s="15"/>
      <c r="BQ175" s="7"/>
      <c r="BR175" s="7"/>
      <c r="BS175" s="7"/>
      <c r="BT175" s="7"/>
      <c r="BU175" s="7"/>
      <c r="BV175" s="7"/>
      <c r="BW175" s="7"/>
      <c r="BX175" s="7"/>
      <c r="BY175" s="7"/>
      <c r="BZ175" s="7"/>
      <c r="CA175" s="7"/>
    </row>
    <row r="176" spans="46:79" x14ac:dyDescent="0.3">
      <c r="BB176" s="7"/>
      <c r="BC176" s="7"/>
      <c r="BD176" s="7"/>
      <c r="BE176" s="7"/>
      <c r="BF176" s="7"/>
      <c r="BG176" s="15"/>
      <c r="BH176" s="15"/>
      <c r="BI176" s="15"/>
      <c r="BJ176" s="15"/>
      <c r="BK176" s="15"/>
      <c r="BL176" s="15"/>
      <c r="BM176" s="15"/>
      <c r="BN176" s="15"/>
      <c r="BO176" s="15"/>
      <c r="BP176" s="15"/>
      <c r="BQ176" s="7"/>
      <c r="BR176" s="7"/>
      <c r="BS176" s="7"/>
      <c r="BT176" s="7"/>
      <c r="BU176" s="7"/>
      <c r="BV176" s="7"/>
      <c r="BW176" s="7"/>
      <c r="BX176" s="7"/>
      <c r="BY176" s="7"/>
      <c r="BZ176" s="7"/>
      <c r="CA176" s="7"/>
    </row>
    <row r="177" spans="54:79" x14ac:dyDescent="0.3">
      <c r="BB177" s="7"/>
      <c r="BC177" s="7"/>
      <c r="BD177" s="7"/>
      <c r="BE177" s="7"/>
      <c r="BF177" s="7"/>
      <c r="BG177" s="15"/>
      <c r="BH177" s="15"/>
      <c r="BI177" s="15"/>
      <c r="BJ177" s="15"/>
      <c r="BK177" s="15"/>
      <c r="BL177" s="15"/>
      <c r="BM177" s="15"/>
      <c r="BN177" s="15"/>
      <c r="BO177" s="15"/>
      <c r="BP177" s="15"/>
      <c r="BQ177" s="7"/>
      <c r="BR177" s="7"/>
      <c r="BS177" s="7"/>
      <c r="BT177" s="7"/>
      <c r="BU177" s="7"/>
      <c r="BV177" s="7"/>
      <c r="BW177" s="7"/>
      <c r="BX177" s="7"/>
      <c r="BY177" s="7"/>
      <c r="BZ177" s="7"/>
      <c r="CA177" s="7"/>
    </row>
    <row r="178" spans="54:79" x14ac:dyDescent="0.3">
      <c r="BB178" s="10"/>
      <c r="BC178" s="7"/>
      <c r="BD178" s="10"/>
      <c r="BE178" s="7"/>
      <c r="BF178" s="10"/>
      <c r="BG178" s="15"/>
      <c r="BH178" s="15"/>
      <c r="BI178" s="15"/>
      <c r="BJ178" s="15"/>
      <c r="BK178" s="15"/>
      <c r="BL178" s="15"/>
      <c r="BM178" s="15"/>
      <c r="BN178" s="15"/>
      <c r="BO178" s="15"/>
      <c r="BP178" s="15"/>
      <c r="BQ178" s="7"/>
      <c r="BR178" s="7"/>
      <c r="BS178" s="7"/>
      <c r="BT178" s="7"/>
      <c r="BU178" s="7"/>
      <c r="BV178" s="7"/>
      <c r="BW178" s="7"/>
      <c r="BX178" s="7"/>
      <c r="BY178" s="7"/>
      <c r="BZ178" s="7"/>
      <c r="CA178" s="7"/>
    </row>
    <row r="179" spans="54:79" x14ac:dyDescent="0.3">
      <c r="BB179" s="10"/>
      <c r="BC179" s="7"/>
      <c r="BD179" s="7"/>
      <c r="BE179" s="7"/>
      <c r="BF179" s="10"/>
      <c r="BG179" s="15"/>
      <c r="BH179" s="15"/>
      <c r="BI179" s="15"/>
      <c r="BJ179" s="15"/>
      <c r="BK179" s="15"/>
      <c r="BL179" s="15"/>
      <c r="BM179" s="15"/>
      <c r="BN179" s="15"/>
      <c r="BO179" s="15"/>
      <c r="BP179" s="15"/>
      <c r="BQ179" s="7"/>
      <c r="BR179" s="7"/>
      <c r="BS179" s="7"/>
      <c r="BT179" s="7"/>
      <c r="BU179" s="7"/>
      <c r="BV179" s="7"/>
      <c r="BW179" s="7"/>
      <c r="BX179" s="7"/>
      <c r="BY179" s="7"/>
      <c r="BZ179" s="7"/>
      <c r="CA179" s="7"/>
    </row>
    <row r="180" spans="54:79" x14ac:dyDescent="0.3">
      <c r="BB180" s="10"/>
      <c r="BC180" s="66"/>
      <c r="BD180" s="66"/>
      <c r="BE180" s="66"/>
      <c r="BF180" s="66"/>
      <c r="BG180" s="66"/>
      <c r="BH180" s="66"/>
      <c r="BI180" s="66"/>
      <c r="BJ180" s="66"/>
      <c r="BK180" s="66"/>
      <c r="BL180" s="66"/>
      <c r="BM180" s="66"/>
      <c r="BN180" s="66"/>
      <c r="BO180" s="66"/>
      <c r="BP180" s="66"/>
      <c r="BQ180" s="66"/>
      <c r="BR180" s="66"/>
      <c r="BS180" s="66"/>
      <c r="BT180" s="66"/>
      <c r="BU180" s="66"/>
      <c r="BV180" s="66"/>
      <c r="BW180" s="66"/>
      <c r="BX180" s="66"/>
      <c r="BY180" s="66"/>
      <c r="BZ180" s="66"/>
      <c r="CA180" s="7"/>
    </row>
    <row r="181" spans="54:79" x14ac:dyDescent="0.3">
      <c r="BB181" s="10"/>
      <c r="BC181" s="7"/>
      <c r="BD181" s="7"/>
      <c r="BE181" s="7"/>
      <c r="BF181" s="7"/>
      <c r="BG181" s="7"/>
      <c r="BH181" s="7"/>
      <c r="BI181" s="7"/>
      <c r="BJ181" s="7"/>
      <c r="BK181" s="7"/>
      <c r="BL181" s="7"/>
      <c r="BM181" s="7"/>
      <c r="BN181" s="7"/>
      <c r="BO181" s="7"/>
      <c r="BP181" s="7"/>
      <c r="BQ181" s="7"/>
      <c r="BR181" s="7"/>
      <c r="BS181" s="7"/>
      <c r="BT181" s="7"/>
      <c r="BU181" s="7"/>
      <c r="BV181" s="7"/>
      <c r="BW181" s="7"/>
      <c r="BX181" s="7"/>
      <c r="BY181" s="7"/>
      <c r="BZ181" s="7"/>
      <c r="CA181" s="7"/>
    </row>
    <row r="182" spans="54:79" x14ac:dyDescent="0.3">
      <c r="BB182" s="444"/>
      <c r="BC182" s="61"/>
      <c r="BD182" s="61"/>
      <c r="BE182" s="61"/>
      <c r="BF182" s="61"/>
      <c r="BG182" s="61"/>
      <c r="BH182" s="61"/>
      <c r="BI182" s="61"/>
      <c r="BJ182" s="61"/>
      <c r="BK182" s="61"/>
      <c r="BL182" s="61"/>
      <c r="BM182" s="61"/>
      <c r="BN182" s="61"/>
      <c r="BO182" s="61"/>
      <c r="BP182" s="61"/>
      <c r="BQ182" s="61"/>
      <c r="BR182" s="61"/>
      <c r="BS182" s="61"/>
      <c r="BT182" s="61"/>
      <c r="BU182" s="61"/>
      <c r="BV182" s="61"/>
      <c r="BW182" s="61"/>
      <c r="BX182" s="61"/>
      <c r="BY182" s="61"/>
      <c r="BZ182" s="61"/>
      <c r="CA182" s="7"/>
    </row>
    <row r="183" spans="54:79" x14ac:dyDescent="0.3">
      <c r="BB183" s="10"/>
      <c r="BC183" s="49"/>
      <c r="BD183" s="49"/>
      <c r="BE183" s="49"/>
      <c r="BF183" s="49"/>
      <c r="BG183" s="49"/>
      <c r="BH183" s="49"/>
      <c r="BI183" s="49"/>
      <c r="BJ183" s="49"/>
      <c r="BK183" s="49"/>
      <c r="BL183" s="49"/>
      <c r="BM183" s="49"/>
      <c r="BN183" s="49"/>
      <c r="BO183" s="49"/>
      <c r="BP183" s="49"/>
      <c r="BQ183" s="49"/>
      <c r="BR183" s="49"/>
      <c r="BS183" s="49"/>
      <c r="BT183" s="49"/>
      <c r="BU183" s="49"/>
      <c r="BV183" s="49"/>
      <c r="BW183" s="49"/>
      <c r="BX183" s="49"/>
      <c r="BY183" s="49"/>
      <c r="BZ183" s="49"/>
      <c r="CA183" s="7"/>
    </row>
    <row r="184" spans="54:79" x14ac:dyDescent="0.3">
      <c r="BB184" s="7"/>
      <c r="BC184" s="7"/>
      <c r="BD184" s="7"/>
      <c r="BE184" s="7"/>
      <c r="BF184" s="7"/>
      <c r="BG184" s="7"/>
      <c r="BH184" s="7"/>
      <c r="BI184" s="7"/>
      <c r="BJ184" s="7"/>
      <c r="BK184" s="7"/>
      <c r="BL184" s="7"/>
      <c r="BM184" s="7"/>
      <c r="BN184" s="7"/>
      <c r="BO184" s="7"/>
      <c r="BP184" s="7"/>
      <c r="BQ184" s="7"/>
      <c r="BR184" s="7"/>
      <c r="BS184" s="7"/>
      <c r="BT184" s="7"/>
      <c r="BU184" s="7"/>
      <c r="BV184" s="7"/>
      <c r="BW184" s="7"/>
      <c r="BX184" s="7"/>
      <c r="BY184" s="7"/>
      <c r="BZ184" s="7"/>
      <c r="CA184" s="7"/>
    </row>
    <row r="185" spans="54:79" x14ac:dyDescent="0.3">
      <c r="BB185" s="7"/>
      <c r="BC185" s="67"/>
      <c r="BD185" s="67"/>
      <c r="BE185" s="67"/>
      <c r="BF185" s="67"/>
      <c r="BG185" s="67"/>
      <c r="BH185" s="67"/>
      <c r="BI185" s="10"/>
      <c r="BJ185" s="10"/>
      <c r="BK185" s="10"/>
      <c r="BL185" s="10"/>
      <c r="BM185" s="10"/>
      <c r="BN185" s="67"/>
      <c r="BO185" s="67"/>
      <c r="BP185" s="67"/>
      <c r="BQ185" s="10"/>
      <c r="BR185" s="10"/>
      <c r="BS185" s="10"/>
      <c r="BT185" s="10"/>
      <c r="BU185" s="10"/>
      <c r="BV185" s="10"/>
      <c r="BW185" s="10"/>
      <c r="BX185" s="10"/>
      <c r="BY185" s="10"/>
      <c r="BZ185" s="10"/>
      <c r="CA185" s="7"/>
    </row>
    <row r="186" spans="54:79" x14ac:dyDescent="0.3">
      <c r="BB186" s="7"/>
      <c r="BC186" s="67"/>
      <c r="BD186" s="67"/>
      <c r="BE186" s="67"/>
      <c r="BF186" s="67"/>
      <c r="BG186" s="67"/>
      <c r="BH186" s="67"/>
      <c r="BI186" s="7"/>
      <c r="BJ186" s="7"/>
      <c r="BK186" s="7"/>
      <c r="BL186" s="7"/>
      <c r="BM186" s="67"/>
      <c r="BN186" s="67"/>
      <c r="BO186" s="67"/>
      <c r="BP186" s="67"/>
      <c r="BQ186" s="7"/>
      <c r="BR186" s="7"/>
      <c r="BS186" s="7"/>
      <c r="BT186" s="7"/>
      <c r="BU186" s="67"/>
      <c r="BV186" s="67"/>
      <c r="BW186" s="67"/>
      <c r="BX186" s="67"/>
      <c r="BY186" s="67"/>
      <c r="BZ186" s="67"/>
      <c r="CA186" s="7"/>
    </row>
    <row r="187" spans="54:79" x14ac:dyDescent="0.3">
      <c r="BB187" s="7"/>
      <c r="BC187" s="7"/>
      <c r="BD187" s="7"/>
      <c r="BE187" s="7"/>
      <c r="BF187" s="7"/>
      <c r="BG187" s="7"/>
      <c r="BH187" s="7"/>
      <c r="BI187" s="7"/>
      <c r="BJ187" s="7"/>
      <c r="BK187" s="7"/>
      <c r="BL187" s="7"/>
      <c r="BM187" s="7"/>
      <c r="BN187" s="7"/>
      <c r="BO187" s="7"/>
      <c r="BP187" s="7"/>
      <c r="BQ187" s="7"/>
      <c r="BR187" s="7"/>
      <c r="BS187" s="7"/>
      <c r="BT187" s="7"/>
      <c r="BU187" s="7"/>
      <c r="BV187" s="7"/>
      <c r="BW187" s="7"/>
      <c r="BX187" s="7"/>
      <c r="BY187" s="7"/>
      <c r="BZ187" s="7"/>
      <c r="CA187" s="7"/>
    </row>
    <row r="188" spans="54:79" x14ac:dyDescent="0.3">
      <c r="BB188" s="7"/>
      <c r="BC188" s="7"/>
      <c r="BD188" s="7"/>
      <c r="BE188" s="7"/>
      <c r="BF188" s="7"/>
      <c r="BG188" s="7"/>
      <c r="BH188" s="7"/>
      <c r="BI188" s="7"/>
      <c r="BJ188" s="7"/>
      <c r="BK188" s="7"/>
      <c r="BL188" s="7"/>
      <c r="BM188" s="7"/>
      <c r="BN188" s="7"/>
      <c r="BO188" s="7"/>
      <c r="BP188" s="7"/>
      <c r="BQ188" s="7"/>
      <c r="BR188" s="7"/>
      <c r="BS188" s="7"/>
      <c r="BT188" s="7"/>
      <c r="BU188" s="7"/>
      <c r="BV188" s="7"/>
      <c r="BW188" s="7"/>
      <c r="BX188" s="7"/>
      <c r="BY188" s="7"/>
      <c r="BZ188" s="7"/>
      <c r="CA188" s="7"/>
    </row>
  </sheetData>
  <sheetProtection algorithmName="SHA-512" hashValue="7G5tsbS1/V8gl3yv8OHALaT78D5E+9mIkp5gfgReFipk93zViAnYCdNS2Tel5Ucw1BWSsujcVztwBv3SvYim8w==" saltValue="2QMuSzSJIwf1VqOs2cCq8A==" spinCount="100000" sheet="1" objects="1" scenarios="1"/>
  <protectedRanges>
    <protectedRange sqref="B115 B118 D121:D144" name="Range1"/>
  </protectedRanges>
  <mergeCells count="20">
    <mergeCell ref="BC49:BD49"/>
    <mergeCell ref="BW50:CD51"/>
    <mergeCell ref="AR51:AS51"/>
    <mergeCell ref="BC53:BJ54"/>
    <mergeCell ref="BC89:BJ90"/>
    <mergeCell ref="BW89:CD90"/>
    <mergeCell ref="BK90:BL90"/>
    <mergeCell ref="BU90:BV90"/>
    <mergeCell ref="CC54:CD54"/>
    <mergeCell ref="BK54:BL54"/>
    <mergeCell ref="BU51:BV51"/>
    <mergeCell ref="BC51:BD51"/>
    <mergeCell ref="BW104:CD104"/>
    <mergeCell ref="BH161:BI161"/>
    <mergeCell ref="BT161:BU161"/>
    <mergeCell ref="BC104:BJ104"/>
    <mergeCell ref="B116:B117"/>
    <mergeCell ref="AN118:AO118"/>
    <mergeCell ref="BH159:BJ159"/>
    <mergeCell ref="B104:E104"/>
  </mergeCells>
  <conditionalFormatting sqref="AR117 E117:G117">
    <cfRule type="cellIs" dxfId="1257" priority="54" stopIfTrue="1" operator="equal">
      <formula>"USE EXBAR VR AT THE BACK"</formula>
    </cfRule>
  </conditionalFormatting>
  <conditionalFormatting sqref="AR116 E116:G116 E117">
    <cfRule type="cellIs" dxfId="1256" priority="53" stopIfTrue="1" operator="equal">
      <formula>"USE EXBAR VR AT THE FRONT"</formula>
    </cfRule>
  </conditionalFormatting>
  <conditionalFormatting sqref="BC182:BZ183 BH111:BU118 BC106:CF107">
    <cfRule type="cellIs" dxfId="1255" priority="52" stopIfTrue="1" operator="equal">
      <formula>FALSE</formula>
    </cfRule>
  </conditionalFormatting>
  <conditionalFormatting sqref="BC180:BZ180 BC86:CF86 BK104:BV104">
    <cfRule type="cellIs" dxfId="1254" priority="18" stopIfTrue="1" operator="equal">
      <formula>0</formula>
    </cfRule>
  </conditionalFormatting>
  <conditionalFormatting sqref="AZ144:AZ173 BA121:BA131">
    <cfRule type="cellIs" dxfId="1253" priority="50" stopIfTrue="1" operator="equal">
      <formula>FALSE</formula>
    </cfRule>
  </conditionalFormatting>
  <conditionalFormatting sqref="W121 AL121:AO121 F122 D121:G121">
    <cfRule type="expression" dxfId="1252" priority="47" stopIfTrue="1">
      <formula>$B$118&lt;1</formula>
    </cfRule>
  </conditionalFormatting>
  <conditionalFormatting sqref="W122 AL122:AO122 D122:G122 E123:E138">
    <cfRule type="expression" dxfId="1251" priority="46" stopIfTrue="1">
      <formula>$B$118&lt;2</formula>
    </cfRule>
  </conditionalFormatting>
  <conditionalFormatting sqref="W123 AL123:AO123 D123:G123">
    <cfRule type="expression" dxfId="1250" priority="45" stopIfTrue="1">
      <formula>$B$118&lt;3</formula>
    </cfRule>
  </conditionalFormatting>
  <conditionalFormatting sqref="W124 AL124:AO124 D124:G124">
    <cfRule type="expression" dxfId="1249" priority="44" stopIfTrue="1">
      <formula>$B$118&lt;4</formula>
    </cfRule>
  </conditionalFormatting>
  <conditionalFormatting sqref="W125 AL125:AO125 D125:G125">
    <cfRule type="expression" dxfId="1248" priority="43" stopIfTrue="1">
      <formula>$B$118&lt;5</formula>
    </cfRule>
  </conditionalFormatting>
  <conditionalFormatting sqref="W126 AL126:AO126 D126:G126">
    <cfRule type="expression" dxfId="1247" priority="42">
      <formula>$B$118&lt;6</formula>
    </cfRule>
  </conditionalFormatting>
  <conditionalFormatting sqref="W127 AL127:AO127 D127:G127">
    <cfRule type="expression" dxfId="1246" priority="41">
      <formula>$B$118&lt;7</formula>
    </cfRule>
  </conditionalFormatting>
  <conditionalFormatting sqref="W128 AL128:AO128 D128:G128">
    <cfRule type="expression" dxfId="1245" priority="40">
      <formula>$B$118&lt;8</formula>
    </cfRule>
  </conditionalFormatting>
  <conditionalFormatting sqref="W129 AL129:AO129 D129:G129">
    <cfRule type="expression" dxfId="1244" priority="39">
      <formula>$B$118&lt;9</formula>
    </cfRule>
  </conditionalFormatting>
  <conditionalFormatting sqref="W130 AL130:AO130 D130:G130">
    <cfRule type="expression" dxfId="1243" priority="38">
      <formula>$B$118&lt;10</formula>
    </cfRule>
  </conditionalFormatting>
  <conditionalFormatting sqref="W131 AL131:AO131 D131:G131">
    <cfRule type="expression" dxfId="1242" priority="37">
      <formula>$B$118&lt;11</formula>
    </cfRule>
  </conditionalFormatting>
  <conditionalFormatting sqref="W132 AL132:AO132 D132:G132">
    <cfRule type="expression" dxfId="1241" priority="36">
      <formula>$B$118&lt;12</formula>
    </cfRule>
  </conditionalFormatting>
  <conditionalFormatting sqref="W133 AL133:AO133 D133:G133">
    <cfRule type="expression" dxfId="1240" priority="35">
      <formula>$B$118&lt;13</formula>
    </cfRule>
  </conditionalFormatting>
  <conditionalFormatting sqref="W134 AL134:AO134 D134:G134">
    <cfRule type="expression" dxfId="1239" priority="34">
      <formula>$B$118&lt;14</formula>
    </cfRule>
  </conditionalFormatting>
  <conditionalFormatting sqref="W135 AL135:AO135 D135:G135">
    <cfRule type="expression" dxfId="1238" priority="33">
      <formula>$B$118&lt;15</formula>
    </cfRule>
  </conditionalFormatting>
  <conditionalFormatting sqref="W136 AL136:AO136 D136:G136">
    <cfRule type="expression" dxfId="1237" priority="32">
      <formula>$B$118&lt;16</formula>
    </cfRule>
  </conditionalFormatting>
  <conditionalFormatting sqref="W137 AL137:AO137 D137:G137">
    <cfRule type="expression" dxfId="1236" priority="28">
      <formula>$B$118&lt;17</formula>
    </cfRule>
  </conditionalFormatting>
  <conditionalFormatting sqref="W138 AL138:AO138 D138:G138">
    <cfRule type="expression" dxfId="1235" priority="26">
      <formula>$B$118&lt;18</formula>
    </cfRule>
  </conditionalFormatting>
  <conditionalFormatting sqref="D114:G115">
    <cfRule type="cellIs" dxfId="1234" priority="31" stopIfTrue="1" operator="equal">
      <formula>"change the angle of frame or of cabinets"</formula>
    </cfRule>
  </conditionalFormatting>
  <conditionalFormatting sqref="B121:B144">
    <cfRule type="cellIs" dxfId="1233" priority="30" stopIfTrue="1" operator="greaterThan">
      <formula>$B$118</formula>
    </cfRule>
  </conditionalFormatting>
  <conditionalFormatting sqref="W121:W138">
    <cfRule type="cellIs" dxfId="1232" priority="49" stopIfTrue="1" operator="equal">
      <formula>"pin in groundstacking hole"</formula>
    </cfRule>
  </conditionalFormatting>
  <conditionalFormatting sqref="AN121:AO138 D108 B108">
    <cfRule type="cellIs" dxfId="1231" priority="27" stopIfTrue="1" operator="lessThan">
      <formula>10</formula>
    </cfRule>
  </conditionalFormatting>
  <conditionalFormatting sqref="D121:D138">
    <cfRule type="cellIs" dxfId="1230" priority="48" stopIfTrue="1" operator="notEqual">
      <formula>0</formula>
    </cfRule>
  </conditionalFormatting>
  <conditionalFormatting sqref="E103">
    <cfRule type="cellIs" dxfId="1229" priority="23" stopIfTrue="1" operator="between">
      <formula>"OVERLOAD"</formula>
      <formula>"OVERLOAD"</formula>
    </cfRule>
  </conditionalFormatting>
  <conditionalFormatting sqref="B103">
    <cfRule type="cellIs" dxfId="1228" priority="24" stopIfTrue="1" operator="equal">
      <formula>"overload"</formula>
    </cfRule>
  </conditionalFormatting>
  <conditionalFormatting sqref="E120">
    <cfRule type="cellIs" dxfId="1227" priority="22" stopIfTrue="1" operator="equal">
      <formula>"USE EXBAR VR AT THE BACK"</formula>
    </cfRule>
  </conditionalFormatting>
  <conditionalFormatting sqref="E120">
    <cfRule type="cellIs" dxfId="1226" priority="21" stopIfTrue="1" operator="equal">
      <formula>"USE EXBAR VR AT THE FRONT"</formula>
    </cfRule>
  </conditionalFormatting>
  <conditionalFormatting sqref="D117">
    <cfRule type="cellIs" dxfId="1225" priority="19" stopIfTrue="1" operator="equal">
      <formula>"USE EXBAR VR AT THE BACK"</formula>
    </cfRule>
  </conditionalFormatting>
  <conditionalFormatting sqref="D116">
    <cfRule type="cellIs" dxfId="1224" priority="20" stopIfTrue="1" operator="equal">
      <formula>"USE EXBAR VR AT THE FRONT"</formula>
    </cfRule>
  </conditionalFormatting>
  <conditionalFormatting sqref="BC87:CD87 BK104:BV104">
    <cfRule type="expression" dxfId="1223" priority="17">
      <formula>$B$115=0</formula>
    </cfRule>
    <cfRule type="expression" dxfId="1222" priority="51">
      <formula>$B$115=0</formula>
    </cfRule>
  </conditionalFormatting>
  <conditionalFormatting sqref="E108">
    <cfRule type="cellIs" dxfId="1221" priority="16" stopIfTrue="1" operator="lessThan">
      <formula>10</formula>
    </cfRule>
  </conditionalFormatting>
  <conditionalFormatting sqref="B103 E103 D108:E108 B108">
    <cfRule type="expression" dxfId="1220" priority="15">
      <formula>$AZ$90=0</formula>
    </cfRule>
  </conditionalFormatting>
  <conditionalFormatting sqref="D139:D144">
    <cfRule type="cellIs" dxfId="1219" priority="14" stopIfTrue="1" operator="notEqual">
      <formula>0</formula>
    </cfRule>
  </conditionalFormatting>
  <conditionalFormatting sqref="E139:E144">
    <cfRule type="expression" dxfId="1218" priority="12" stopIfTrue="1">
      <formula>$B$118&lt;2</formula>
    </cfRule>
  </conditionalFormatting>
  <conditionalFormatting sqref="W139:W144">
    <cfRule type="cellIs" dxfId="1217" priority="9" stopIfTrue="1" operator="equal">
      <formula>"pin in groundstacking hole"</formula>
    </cfRule>
  </conditionalFormatting>
  <conditionalFormatting sqref="D140:AO140">
    <cfRule type="expression" dxfId="1216" priority="6">
      <formula>$B$118&lt;20</formula>
    </cfRule>
  </conditionalFormatting>
  <conditionalFormatting sqref="AN139:AO144">
    <cfRule type="cellIs" dxfId="1215" priority="7" stopIfTrue="1" operator="lessThan">
      <formula>10</formula>
    </cfRule>
  </conditionalFormatting>
  <conditionalFormatting sqref="D139:AO139">
    <cfRule type="expression" dxfId="1214" priority="5">
      <formula>$B$118&lt;19</formula>
    </cfRule>
  </conditionalFormatting>
  <conditionalFormatting sqref="D141:AO141">
    <cfRule type="expression" dxfId="1213" priority="4">
      <formula>$B$118&lt;21</formula>
    </cfRule>
  </conditionalFormatting>
  <conditionalFormatting sqref="D142:AO142">
    <cfRule type="expression" dxfId="1212" priority="3">
      <formula>$B$118&lt;22</formula>
    </cfRule>
  </conditionalFormatting>
  <conditionalFormatting sqref="D143:AO143">
    <cfRule type="expression" dxfId="1211" priority="2">
      <formula>$B$118&lt;23</formula>
    </cfRule>
  </conditionalFormatting>
  <conditionalFormatting sqref="D144:AO144">
    <cfRule type="expression" dxfId="1210" priority="1">
      <formula>$B$118&lt;24</formula>
    </cfRule>
  </conditionalFormatting>
  <dataValidations count="6">
    <dataValidation type="whole" allowBlank="1" showInputMessage="1" showErrorMessage="1" sqref="D122:D144" xr:uid="{00000000-0002-0000-0100-000000000000}">
      <formula1>0</formula1>
      <formula2>10</formula2>
    </dataValidation>
    <dataValidation type="whole" allowBlank="1" showInputMessage="1" showErrorMessage="1" sqref="D121" xr:uid="{00000000-0002-0000-0100-000001000000}">
      <formula1>0</formula1>
      <formula2>5</formula2>
    </dataValidation>
    <dataValidation type="decimal" allowBlank="1" showInputMessage="1" showErrorMessage="1" sqref="G122:G144 F123:F144" xr:uid="{00000000-0002-0000-0100-000002000000}">
      <formula1>0</formula1>
      <formula2>8</formula2>
    </dataValidation>
    <dataValidation type="decimal" allowBlank="1" showInputMessage="1" showErrorMessage="1" sqref="F121:G121" xr:uid="{00000000-0002-0000-0100-000003000000}">
      <formula1>0</formula1>
      <formula2>4</formula2>
    </dataValidation>
    <dataValidation type="whole" allowBlank="1" showInputMessage="1" showErrorMessage="1" errorTitle="Coda Audio" error="YOU HAVE ENTERED A WRONG NUMBER OF CABINETS" promptTitle="Coda Audio" prompt="ENTER THE NUMBER OF CABINETS FROM 1 UP TO 18" sqref="B118" xr:uid="{00000000-0002-0000-0100-000004000000}">
      <formula1>1</formula1>
      <formula2>24</formula2>
    </dataValidation>
    <dataValidation type="decimal" allowBlank="1" showInputMessage="1" showErrorMessage="1" sqref="B115" xr:uid="{00000000-0002-0000-0100-000005000000}">
      <formula1>-89.9</formula1>
      <formula2>89.9</formula2>
    </dataValidation>
  </dataValidations>
  <pageMargins left="0.75" right="0.75" top="1" bottom="1" header="0.5" footer="0.5"/>
  <pageSetup paperSize="9" orientation="portrait" horizontalDpi="4294967293" verticalDpi="200" r:id="rId1"/>
  <headerFooter alignWithMargins="0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3" tint="0.39997558519241921"/>
  </sheetPr>
  <dimension ref="A1:CP458"/>
  <sheetViews>
    <sheetView topLeftCell="A49" zoomScale="50" zoomScaleNormal="50" workbookViewId="0">
      <selection activeCell="B133" sqref="B133:B134"/>
    </sheetView>
  </sheetViews>
  <sheetFormatPr baseColWidth="10" defaultColWidth="8.88671875" defaultRowHeight="15.6" x14ac:dyDescent="0.3"/>
  <cols>
    <col min="1" max="1" width="3" customWidth="1"/>
    <col min="2" max="2" width="38.109375" style="13" customWidth="1"/>
    <col min="3" max="3" width="19.5546875" style="13" hidden="1" customWidth="1"/>
    <col min="4" max="4" width="34.44140625" style="19" customWidth="1"/>
    <col min="5" max="5" width="26" style="19" bestFit="1" customWidth="1"/>
    <col min="6" max="6" width="47.6640625" style="19" hidden="1" customWidth="1"/>
    <col min="7" max="7" width="8.88671875" style="19" hidden="1" customWidth="1"/>
    <col min="8" max="8" width="7.44140625" hidden="1" customWidth="1"/>
    <col min="9" max="11" width="11.5546875" hidden="1" customWidth="1"/>
    <col min="12" max="12" width="12.5546875" hidden="1" customWidth="1"/>
    <col min="13" max="13" width="13.44140625" hidden="1" customWidth="1"/>
    <col min="14" max="14" width="12.5546875" hidden="1" customWidth="1"/>
    <col min="15" max="15" width="7" hidden="1" customWidth="1"/>
    <col min="16" max="17" width="12.5546875" hidden="1" customWidth="1"/>
    <col min="18" max="18" width="24.44140625" hidden="1" customWidth="1"/>
    <col min="19" max="19" width="12.5546875" hidden="1" customWidth="1"/>
    <col min="20" max="20" width="18.6640625" hidden="1" customWidth="1"/>
    <col min="21" max="21" width="18.109375" hidden="1" customWidth="1"/>
    <col min="22" max="22" width="15.5546875" hidden="1" customWidth="1"/>
    <col min="23" max="23" width="35.33203125" customWidth="1"/>
    <col min="24" max="24" width="21.109375" hidden="1" customWidth="1"/>
    <col min="25" max="25" width="11.88671875" hidden="1" customWidth="1"/>
    <col min="26" max="26" width="15" hidden="1" customWidth="1"/>
    <col min="27" max="27" width="16.33203125" hidden="1" customWidth="1"/>
    <col min="28" max="28" width="21.6640625" hidden="1" customWidth="1"/>
    <col min="29" max="29" width="15" hidden="1" customWidth="1"/>
    <col min="30" max="31" width="16.33203125" hidden="1" customWidth="1"/>
    <col min="32" max="32" width="14.109375" hidden="1" customWidth="1"/>
    <col min="33" max="33" width="15" hidden="1" customWidth="1"/>
    <col min="34" max="34" width="17" hidden="1" customWidth="1"/>
    <col min="35" max="35" width="16.33203125" hidden="1" customWidth="1"/>
    <col min="36" max="37" width="17" hidden="1" customWidth="1"/>
    <col min="38" max="39" width="10" hidden="1" customWidth="1"/>
    <col min="40" max="41" width="11.109375" customWidth="1"/>
    <col min="42" max="42" width="9.44140625" hidden="1" customWidth="1"/>
    <col min="43" max="48" width="4.88671875" style="1550" hidden="1" customWidth="1"/>
    <col min="49" max="49" width="14" style="1550" hidden="1" customWidth="1"/>
    <col min="50" max="50" width="9.33203125" style="1550" hidden="1" customWidth="1"/>
    <col min="51" max="51" width="24.88671875" style="1550" bestFit="1" customWidth="1"/>
    <col min="52" max="52" width="33.5546875" style="1550" customWidth="1"/>
    <col min="53" max="53" width="43.5546875" style="1550" customWidth="1"/>
    <col min="54" max="90" width="7.109375" style="1550" customWidth="1"/>
    <col min="91" max="91" width="7.6640625" style="1550" customWidth="1"/>
    <col min="92" max="92" width="16" style="1550" customWidth="1"/>
    <col min="93" max="93" width="40.88671875" style="1550" hidden="1" customWidth="1"/>
    <col min="94" max="94" width="40.88671875" bestFit="1" customWidth="1"/>
    <col min="95" max="95" width="9.109375" customWidth="1"/>
    <col min="96" max="96" width="11.44140625" customWidth="1"/>
    <col min="97" max="118" width="9.109375" customWidth="1"/>
  </cols>
  <sheetData>
    <row r="1" spans="1:93" ht="21" hidden="1" x14ac:dyDescent="0.4">
      <c r="A1" s="1499"/>
      <c r="B1" s="1500"/>
      <c r="C1" s="1500"/>
      <c r="D1" s="1501" t="s">
        <v>202</v>
      </c>
      <c r="E1" s="1501" t="s">
        <v>203</v>
      </c>
      <c r="F1" s="1502" t="s">
        <v>204</v>
      </c>
    </row>
    <row r="2" spans="1:93" ht="29.25" hidden="1" customHeight="1" x14ac:dyDescent="0.4">
      <c r="A2" s="1503"/>
      <c r="B2" s="1504" t="s">
        <v>29</v>
      </c>
      <c r="C2" s="1526">
        <v>688</v>
      </c>
      <c r="D2" s="1527">
        <f>+COS(($B$132*-1)*3.14159265358979/180)*C2</f>
        <v>688</v>
      </c>
      <c r="E2" s="1528">
        <f>+COS(($B$132*-1)*3.14159265358979/180)*43</f>
        <v>43</v>
      </c>
      <c r="F2" s="1529">
        <f>+COS((($B$132*-1)+72.969997)*3.14159265358979/180)*162.1867</f>
        <v>47.500013702602963</v>
      </c>
    </row>
    <row r="3" spans="1:93" ht="29.25" hidden="1" customHeight="1" x14ac:dyDescent="0.4">
      <c r="A3" s="1503"/>
      <c r="B3" s="1504" t="s">
        <v>69</v>
      </c>
      <c r="C3" s="1530">
        <f>+C15-47.5</f>
        <v>99</v>
      </c>
      <c r="D3" s="750">
        <f>+C15-F2</f>
        <v>98.999986297397044</v>
      </c>
      <c r="E3" s="1505"/>
      <c r="F3" s="1506"/>
    </row>
    <row r="4" spans="1:93" ht="37.5" hidden="1" customHeight="1" x14ac:dyDescent="0.4">
      <c r="A4" s="1503"/>
      <c r="B4" s="1507" t="s">
        <v>40</v>
      </c>
      <c r="C4" s="1531">
        <v>1075</v>
      </c>
      <c r="D4" s="1527">
        <f>+COS(($B$132*-1)*3.14159265358979/180)*C4</f>
        <v>1075</v>
      </c>
      <c r="E4" s="1505"/>
      <c r="F4" s="1506"/>
    </row>
    <row r="5" spans="1:93" ht="41.25" hidden="1" customHeight="1" x14ac:dyDescent="0.4">
      <c r="A5" s="1503"/>
      <c r="B5" s="1507" t="s">
        <v>238</v>
      </c>
      <c r="C5" s="1531">
        <f>+C15+425.5</f>
        <v>572</v>
      </c>
      <c r="D5" s="750">
        <f>+(COS(($B$132*-1)*3.14159265358979/180)*400)+$D$3</f>
        <v>498.99998629739707</v>
      </c>
      <c r="E5" s="1505"/>
      <c r="F5" s="1506"/>
    </row>
    <row r="6" spans="1:93" s="14" customFormat="1" ht="29.25" hidden="1" customHeight="1" x14ac:dyDescent="0.4">
      <c r="A6" s="1508"/>
      <c r="B6" s="1509"/>
      <c r="C6" s="1510"/>
      <c r="D6" s="1505"/>
      <c r="E6" s="1505"/>
      <c r="F6" s="1506"/>
      <c r="G6" s="19"/>
      <c r="AQ6" s="1551"/>
      <c r="AR6" s="1551"/>
      <c r="AS6" s="1551"/>
      <c r="AT6" s="1551"/>
      <c r="AU6" s="1551"/>
      <c r="AV6" s="1551"/>
      <c r="AW6" s="1551"/>
      <c r="AX6" s="1551"/>
      <c r="AY6" s="1551"/>
      <c r="AZ6" s="1551"/>
      <c r="BA6" s="1551"/>
      <c r="BB6" s="1551"/>
      <c r="BC6" s="1551"/>
      <c r="BD6" s="1551"/>
      <c r="BE6" s="1551"/>
      <c r="BF6" s="1551"/>
      <c r="BG6" s="1551"/>
      <c r="BH6" s="1551"/>
      <c r="BI6" s="1551"/>
      <c r="BJ6" s="1551"/>
      <c r="BK6" s="1551"/>
      <c r="BL6" s="1551"/>
      <c r="BM6" s="1551"/>
      <c r="BN6" s="1551"/>
      <c r="BO6" s="1551"/>
      <c r="BP6" s="1551"/>
      <c r="BQ6" s="1551"/>
      <c r="BR6" s="1551"/>
      <c r="BS6" s="1551"/>
      <c r="BT6" s="1551"/>
      <c r="BU6" s="1551"/>
      <c r="BV6" s="1551"/>
      <c r="BW6" s="1551"/>
      <c r="BX6" s="1551"/>
      <c r="BY6" s="1551"/>
      <c r="BZ6" s="1551"/>
      <c r="CA6" s="1551"/>
      <c r="CB6" s="1551"/>
      <c r="CC6" s="1551"/>
      <c r="CD6" s="1551"/>
      <c r="CE6" s="1551"/>
      <c r="CF6" s="1551"/>
      <c r="CG6" s="1551"/>
      <c r="CH6" s="1551"/>
      <c r="CI6" s="1551"/>
      <c r="CJ6" s="1551"/>
      <c r="CK6" s="1551"/>
      <c r="CL6" s="1551"/>
      <c r="CM6" s="1551"/>
      <c r="CN6" s="1551"/>
      <c r="CO6" s="1551"/>
    </row>
    <row r="7" spans="1:93" ht="29.25" hidden="1" customHeight="1" x14ac:dyDescent="0.35">
      <c r="A7" s="1503"/>
      <c r="B7" s="1511" t="s">
        <v>21</v>
      </c>
      <c r="C7" s="1512">
        <v>5800</v>
      </c>
      <c r="D7" s="1512">
        <v>10000</v>
      </c>
      <c r="E7" s="1505"/>
      <c r="F7" s="1506"/>
    </row>
    <row r="8" spans="1:93" ht="29.25" hidden="1" customHeight="1" x14ac:dyDescent="0.35">
      <c r="A8" s="1503"/>
      <c r="B8" s="1511" t="s">
        <v>167</v>
      </c>
      <c r="C8" s="1512">
        <v>5000</v>
      </c>
      <c r="D8" s="1512">
        <v>8000</v>
      </c>
      <c r="E8" s="1505"/>
      <c r="F8" s="1506"/>
    </row>
    <row r="9" spans="1:93" ht="29.25" hidden="1" customHeight="1" x14ac:dyDescent="0.4">
      <c r="A9" s="1503"/>
      <c r="B9" s="1512"/>
      <c r="C9" s="1513" t="s">
        <v>22</v>
      </c>
      <c r="D9" s="1513" t="s">
        <v>23</v>
      </c>
      <c r="E9" s="1505"/>
      <c r="F9" s="1506"/>
    </row>
    <row r="10" spans="1:93" ht="29.25" hidden="1" customHeight="1" x14ac:dyDescent="0.35">
      <c r="A10" s="1503"/>
      <c r="B10" s="1512" t="s">
        <v>17</v>
      </c>
      <c r="C10" s="1514">
        <f>+((C13-C15)/C13)*C12</f>
        <v>50.456674831598292</v>
      </c>
      <c r="D10" s="1514">
        <f>+(C15/C13)*C12</f>
        <v>41.043325168401708</v>
      </c>
      <c r="E10" s="1505"/>
      <c r="F10" s="1506"/>
    </row>
    <row r="11" spans="1:93" s="14" customFormat="1" ht="29.25" hidden="1" customHeight="1" x14ac:dyDescent="0.4">
      <c r="A11" s="1508"/>
      <c r="B11" s="1509"/>
      <c r="C11" s="1510"/>
      <c r="D11" s="1505"/>
      <c r="E11" s="1505"/>
      <c r="F11" s="1515" t="s">
        <v>225</v>
      </c>
      <c r="G11" s="19"/>
      <c r="AQ11" s="1551"/>
      <c r="AR11" s="1551"/>
      <c r="AS11" s="1551"/>
      <c r="AT11" s="1551"/>
      <c r="AU11" s="1551"/>
      <c r="AV11" s="1551"/>
      <c r="AW11" s="1551"/>
      <c r="AX11" s="1551"/>
      <c r="AY11" s="1551"/>
      <c r="AZ11" s="1551"/>
      <c r="BA11" s="1551"/>
      <c r="BB11" s="1551"/>
      <c r="BC11" s="1551"/>
      <c r="BD11" s="1551"/>
      <c r="BE11" s="1551"/>
      <c r="BF11" s="1551"/>
      <c r="BG11" s="1551"/>
      <c r="BH11" s="1551"/>
      <c r="BI11" s="1551"/>
      <c r="BJ11" s="1551"/>
      <c r="BK11" s="1551"/>
      <c r="BL11" s="1551"/>
      <c r="BM11" s="1551"/>
      <c r="BN11" s="1551"/>
      <c r="BO11" s="1551"/>
      <c r="BP11" s="1551"/>
      <c r="BQ11" s="1551"/>
      <c r="BR11" s="1551"/>
      <c r="BS11" s="1551"/>
      <c r="BT11" s="1551"/>
      <c r="BU11" s="1551"/>
      <c r="BV11" s="1551"/>
      <c r="BW11" s="1551"/>
      <c r="BX11" s="1551"/>
      <c r="BY11" s="1551"/>
      <c r="BZ11" s="1551"/>
      <c r="CA11" s="1551"/>
      <c r="CB11" s="1551"/>
      <c r="CC11" s="1551"/>
      <c r="CD11" s="1551"/>
      <c r="CE11" s="1551"/>
      <c r="CF11" s="1551"/>
      <c r="CG11" s="1551"/>
      <c r="CH11" s="1551"/>
      <c r="CI11" s="1551"/>
      <c r="CJ11" s="1551"/>
      <c r="CK11" s="1551"/>
      <c r="CL11" s="1551"/>
      <c r="CM11" s="1551"/>
      <c r="CN11" s="1551"/>
      <c r="CO11" s="1551"/>
    </row>
    <row r="12" spans="1:93" ht="29.25" hidden="1" customHeight="1" x14ac:dyDescent="0.4">
      <c r="A12" s="1503"/>
      <c r="B12" s="1516" t="s">
        <v>74</v>
      </c>
      <c r="C12" s="1532">
        <f>+(B135*25.5)+31+4.5+0.5+30</f>
        <v>91.5</v>
      </c>
      <c r="D12" s="1505"/>
      <c r="E12" s="1505"/>
      <c r="F12" s="1515" t="s">
        <v>71</v>
      </c>
    </row>
    <row r="13" spans="1:93" ht="29.25" hidden="1" customHeight="1" x14ac:dyDescent="0.4">
      <c r="A13" s="1503"/>
      <c r="B13" s="1518" t="s">
        <v>75</v>
      </c>
      <c r="C13" s="1517">
        <v>326.60000000000002</v>
      </c>
      <c r="D13" s="1505"/>
      <c r="E13" s="1505"/>
      <c r="F13" s="1506"/>
    </row>
    <row r="14" spans="1:93" ht="29.25" hidden="1" customHeight="1" x14ac:dyDescent="0.4">
      <c r="A14" s="1503"/>
      <c r="B14" s="1519">
        <f>+B135</f>
        <v>1</v>
      </c>
      <c r="C14" s="1520">
        <f>IF(B14&lt;=24,B14)</f>
        <v>1</v>
      </c>
      <c r="D14" s="1505"/>
      <c r="E14" s="1505"/>
      <c r="F14" s="1506"/>
    </row>
    <row r="15" spans="1:93" ht="29.25" hidden="1" customHeight="1" x14ac:dyDescent="0.4">
      <c r="A15" s="1503"/>
      <c r="B15" s="1518" t="s">
        <v>76</v>
      </c>
      <c r="C15" s="1516">
        <f>SUM(V138:V161)/C14</f>
        <v>146.5</v>
      </c>
      <c r="D15" s="1505"/>
      <c r="E15" s="1505"/>
      <c r="F15" s="1506"/>
    </row>
    <row r="16" spans="1:93" ht="21" hidden="1" x14ac:dyDescent="0.4">
      <c r="A16" s="1503"/>
      <c r="B16" s="1509"/>
      <c r="C16" s="1510"/>
      <c r="D16" s="1505"/>
      <c r="E16" s="1505"/>
      <c r="F16" s="1506"/>
    </row>
    <row r="17" spans="1:6" ht="21.6" hidden="1" thickBot="1" x14ac:dyDescent="0.45">
      <c r="A17" s="1521"/>
      <c r="B17" s="1522"/>
      <c r="C17" s="1523"/>
      <c r="D17" s="1524"/>
      <c r="E17" s="1524"/>
      <c r="F17" s="1525"/>
    </row>
    <row r="18" spans="1:6" ht="17.399999999999999" hidden="1" x14ac:dyDescent="0.3">
      <c r="B18" s="241"/>
      <c r="C18" s="242"/>
    </row>
    <row r="19" spans="1:6" ht="17.399999999999999" hidden="1" x14ac:dyDescent="0.3">
      <c r="B19" s="241"/>
      <c r="C19" s="242"/>
    </row>
    <row r="20" spans="1:6" ht="17.399999999999999" hidden="1" x14ac:dyDescent="0.3">
      <c r="B20" s="241"/>
      <c r="C20" s="242"/>
    </row>
    <row r="21" spans="1:6" ht="17.399999999999999" hidden="1" x14ac:dyDescent="0.3">
      <c r="B21" s="241"/>
      <c r="C21" s="242"/>
    </row>
    <row r="22" spans="1:6" ht="17.399999999999999" hidden="1" x14ac:dyDescent="0.3">
      <c r="B22" s="241"/>
      <c r="C22" s="242"/>
    </row>
    <row r="23" spans="1:6" ht="17.399999999999999" hidden="1" x14ac:dyDescent="0.3">
      <c r="B23" s="241"/>
      <c r="C23" s="242"/>
    </row>
    <row r="24" spans="1:6" ht="17.399999999999999" hidden="1" x14ac:dyDescent="0.3">
      <c r="B24" s="241"/>
      <c r="C24" s="242"/>
    </row>
    <row r="25" spans="1:6" ht="17.399999999999999" hidden="1" x14ac:dyDescent="0.3">
      <c r="B25" s="241"/>
      <c r="C25" s="242"/>
    </row>
    <row r="26" spans="1:6" ht="17.399999999999999" hidden="1" x14ac:dyDescent="0.3">
      <c r="B26" s="241"/>
      <c r="C26" s="242"/>
    </row>
    <row r="27" spans="1:6" ht="17.399999999999999" hidden="1" x14ac:dyDescent="0.3">
      <c r="B27" s="241"/>
      <c r="C27" s="242"/>
    </row>
    <row r="28" spans="1:6" ht="17.399999999999999" hidden="1" x14ac:dyDescent="0.3">
      <c r="B28" s="241"/>
      <c r="C28" s="242"/>
    </row>
    <row r="29" spans="1:6" ht="17.399999999999999" hidden="1" x14ac:dyDescent="0.3">
      <c r="B29" s="241"/>
      <c r="C29" s="242"/>
    </row>
    <row r="30" spans="1:6" ht="17.399999999999999" hidden="1" x14ac:dyDescent="0.3">
      <c r="B30" s="241"/>
      <c r="C30" s="242"/>
    </row>
    <row r="31" spans="1:6" ht="17.399999999999999" hidden="1" x14ac:dyDescent="0.3">
      <c r="B31" s="241"/>
      <c r="C31" s="242"/>
    </row>
    <row r="32" spans="1:6" ht="17.399999999999999" hidden="1" x14ac:dyDescent="0.3">
      <c r="B32" s="241"/>
      <c r="C32" s="242"/>
    </row>
    <row r="33" spans="2:51" ht="17.399999999999999" hidden="1" x14ac:dyDescent="0.3">
      <c r="B33" s="241"/>
      <c r="C33" s="242"/>
    </row>
    <row r="34" spans="2:51" ht="17.399999999999999" hidden="1" x14ac:dyDescent="0.3">
      <c r="B34" s="241"/>
      <c r="C34" s="242"/>
    </row>
    <row r="35" spans="2:51" ht="17.399999999999999" hidden="1" x14ac:dyDescent="0.3">
      <c r="B35" s="241"/>
      <c r="C35" s="242"/>
    </row>
    <row r="36" spans="2:51" ht="17.399999999999999" hidden="1" x14ac:dyDescent="0.3">
      <c r="B36" s="241"/>
      <c r="C36" s="242"/>
    </row>
    <row r="37" spans="2:51" ht="17.399999999999999" hidden="1" x14ac:dyDescent="0.3">
      <c r="B37" s="241"/>
      <c r="C37" s="242"/>
    </row>
    <row r="38" spans="2:51" ht="17.399999999999999" hidden="1" x14ac:dyDescent="0.3">
      <c r="B38" s="241"/>
      <c r="C38" s="242"/>
    </row>
    <row r="39" spans="2:51" ht="17.399999999999999" hidden="1" x14ac:dyDescent="0.3">
      <c r="B39" s="241"/>
      <c r="C39" s="242"/>
    </row>
    <row r="40" spans="2:51" ht="17.399999999999999" hidden="1" x14ac:dyDescent="0.3">
      <c r="B40" s="241"/>
      <c r="C40" s="242"/>
    </row>
    <row r="41" spans="2:51" ht="17.399999999999999" hidden="1" x14ac:dyDescent="0.3">
      <c r="B41" s="241"/>
      <c r="C41" s="242"/>
    </row>
    <row r="42" spans="2:51" ht="17.399999999999999" hidden="1" x14ac:dyDescent="0.3">
      <c r="B42" s="241"/>
      <c r="C42" s="242"/>
    </row>
    <row r="43" spans="2:51" ht="17.399999999999999" hidden="1" x14ac:dyDescent="0.3">
      <c r="B43" s="241"/>
      <c r="C43" s="242"/>
    </row>
    <row r="44" spans="2:51" ht="17.399999999999999" hidden="1" x14ac:dyDescent="0.3">
      <c r="B44" s="241"/>
      <c r="C44" s="242"/>
    </row>
    <row r="45" spans="2:51" ht="17.399999999999999" hidden="1" x14ac:dyDescent="0.3">
      <c r="B45" s="241"/>
      <c r="C45" s="242"/>
    </row>
    <row r="46" spans="2:51" ht="17.399999999999999" hidden="1" x14ac:dyDescent="0.3">
      <c r="B46" s="241"/>
      <c r="C46" s="242"/>
    </row>
    <row r="47" spans="2:51" hidden="1" x14ac:dyDescent="0.3"/>
    <row r="48" spans="2:51" ht="60" hidden="1" x14ac:dyDescent="0.95">
      <c r="AY48" s="1814" t="s">
        <v>247</v>
      </c>
    </row>
    <row r="49" spans="2:94" s="62" customFormat="1" ht="34.5" customHeight="1" thickBot="1" x14ac:dyDescent="0.45">
      <c r="B49" s="141"/>
      <c r="C49" s="141"/>
      <c r="D49" s="150"/>
      <c r="E49" s="150"/>
      <c r="F49" s="150"/>
      <c r="G49" s="150"/>
      <c r="AQ49" s="1552"/>
      <c r="AR49" s="1552"/>
      <c r="AS49" s="1552"/>
      <c r="AT49" s="1550"/>
      <c r="AU49" s="1550"/>
      <c r="AV49" s="1550"/>
      <c r="AW49" s="1550"/>
      <c r="AX49" s="1550"/>
      <c r="AY49" s="1550"/>
      <c r="AZ49" s="1552"/>
      <c r="BA49" s="1553" t="s">
        <v>28</v>
      </c>
      <c r="BB49" s="2021">
        <f>+C12</f>
        <v>91.5</v>
      </c>
      <c r="BC49" s="2021"/>
      <c r="BD49" s="1554" t="s">
        <v>17</v>
      </c>
      <c r="BE49" s="1554"/>
      <c r="BF49" s="1555" t="s">
        <v>236</v>
      </c>
      <c r="BG49" s="1556"/>
      <c r="BH49" s="1556"/>
      <c r="BI49" s="1556"/>
      <c r="BJ49" s="1556"/>
      <c r="BK49" s="1556"/>
      <c r="BL49" s="1556"/>
      <c r="BM49" s="1556"/>
      <c r="BN49" s="1556"/>
      <c r="BO49" s="1556"/>
      <c r="BP49" s="1556"/>
      <c r="BQ49" s="1556"/>
      <c r="BR49" s="1556"/>
      <c r="BS49" s="1556"/>
      <c r="BT49" s="1556"/>
      <c r="BU49" s="1556"/>
      <c r="BV49" s="1556"/>
      <c r="BW49" s="1556"/>
      <c r="BX49" s="1556"/>
      <c r="BY49" s="1556"/>
      <c r="BZ49" s="1557"/>
      <c r="CA49" s="1557"/>
      <c r="CB49" s="1557"/>
      <c r="CC49" s="1557"/>
      <c r="CD49" s="1557"/>
      <c r="CE49" s="1557"/>
      <c r="CF49" s="1557"/>
      <c r="CG49" s="1557"/>
      <c r="CH49" s="1557"/>
      <c r="CI49" s="1557"/>
      <c r="CJ49" s="1557"/>
      <c r="CK49" s="1557"/>
      <c r="CL49" s="1557"/>
      <c r="CM49" s="1557"/>
      <c r="CN49" s="1557"/>
      <c r="CO49" s="1557"/>
      <c r="CP49" s="185"/>
    </row>
    <row r="50" spans="2:94" ht="45" customHeight="1" thickBot="1" x14ac:dyDescent="0.5">
      <c r="AQ50" s="1558"/>
      <c r="AR50" s="1558"/>
      <c r="AS50" s="1558"/>
      <c r="AX50" s="1559" t="b">
        <f>AND(BB51&gt;0,BZ51&gt;0)</f>
        <v>1</v>
      </c>
      <c r="AY50" s="1560" t="str">
        <f>IF(AX50=TRUE,"","negative force at the motor")</f>
        <v/>
      </c>
      <c r="AZ50" s="1561" t="s">
        <v>227</v>
      </c>
      <c r="BA50" s="1562" t="s">
        <v>30</v>
      </c>
      <c r="BB50" s="1563" t="s">
        <v>31</v>
      </c>
      <c r="BC50" s="1564"/>
      <c r="BD50" s="1565"/>
      <c r="BE50" s="1565"/>
      <c r="BF50" s="1565"/>
      <c r="BG50" s="1565"/>
      <c r="BH50" s="1565"/>
      <c r="BI50" s="1565"/>
      <c r="BJ50" s="1565"/>
      <c r="BK50" s="1565"/>
      <c r="BL50" s="1565"/>
      <c r="BM50" s="1565"/>
      <c r="BN50" s="1565"/>
      <c r="BO50" s="1565"/>
      <c r="BP50" s="1565"/>
      <c r="BQ50" s="1565"/>
      <c r="BR50" s="1565"/>
      <c r="BS50" s="1565"/>
      <c r="BT50" s="1566"/>
      <c r="BU50" s="1567"/>
      <c r="BV50" s="1568"/>
      <c r="BW50" s="1568"/>
      <c r="BX50" s="1568"/>
      <c r="BY50" s="1568"/>
      <c r="BZ50" s="1564"/>
      <c r="CA50" s="1569" t="s">
        <v>32</v>
      </c>
      <c r="CB50" s="2013"/>
      <c r="CC50" s="2013"/>
      <c r="CD50" s="2013"/>
      <c r="CE50" s="2013"/>
      <c r="CF50" s="2013"/>
      <c r="CG50" s="2013"/>
      <c r="CH50" s="2013"/>
      <c r="CI50" s="2013"/>
      <c r="CJ50" s="2013"/>
      <c r="CK50" s="2013"/>
      <c r="CL50" s="2014"/>
      <c r="CM50" s="1557"/>
      <c r="CN50" s="1557"/>
      <c r="CO50" s="1557"/>
      <c r="CP50" s="185"/>
    </row>
    <row r="51" spans="2:94" ht="45" customHeight="1" thickBot="1" x14ac:dyDescent="0.5">
      <c r="AQ51" s="1558"/>
      <c r="AR51" s="1558"/>
      <c r="AS51" s="1558"/>
      <c r="AX51" s="1550" t="b">
        <f>AND(AZ51&gt;=10,$AN$138&gt;=10,$AO$138&gt;=10)</f>
        <v>1</v>
      </c>
      <c r="AY51" s="1570" t="str">
        <f>IF(AX51=TRUE,"O K","OVERLOAD")</f>
        <v>O K</v>
      </c>
      <c r="AZ51" s="1571">
        <f>+D8/(MAX(BB51,BZ51))</f>
        <v>163.17546667069919</v>
      </c>
      <c r="BA51" s="1572" t="s">
        <v>228</v>
      </c>
      <c r="BB51" s="2026">
        <f>+((D4-D5)/D4)*C12</f>
        <v>49.026977910500619</v>
      </c>
      <c r="BC51" s="2027"/>
      <c r="BD51" s="1573"/>
      <c r="BE51" s="1573"/>
      <c r="BF51" s="1573"/>
      <c r="BG51" s="1574"/>
      <c r="BH51" s="1574"/>
      <c r="BI51" s="1574"/>
      <c r="BJ51" s="1575"/>
      <c r="BK51" s="1575"/>
      <c r="BL51" s="1575"/>
      <c r="BM51" s="1575"/>
      <c r="BN51" s="1575"/>
      <c r="BO51" s="1575"/>
      <c r="BP51" s="1575"/>
      <c r="BQ51" s="1575"/>
      <c r="BR51" s="1575"/>
      <c r="BS51" s="1575"/>
      <c r="BT51" s="1576"/>
      <c r="BU51" s="1573"/>
      <c r="BV51" s="1573"/>
      <c r="BW51" s="1573"/>
      <c r="BX51" s="1574"/>
      <c r="BY51" s="1574"/>
      <c r="BZ51" s="2028">
        <f>+(D5/D4)*C12</f>
        <v>42.473022089499381</v>
      </c>
      <c r="CA51" s="2029"/>
      <c r="CB51" s="2015"/>
      <c r="CC51" s="2015"/>
      <c r="CD51" s="2015"/>
      <c r="CE51" s="2015"/>
      <c r="CF51" s="2015"/>
      <c r="CG51" s="2015"/>
      <c r="CH51" s="2015"/>
      <c r="CI51" s="2015"/>
      <c r="CJ51" s="2015"/>
      <c r="CK51" s="2015"/>
      <c r="CL51" s="2016"/>
      <c r="CM51" s="1557"/>
      <c r="CN51" s="1557"/>
      <c r="CO51" s="1557"/>
      <c r="CP51" s="185"/>
    </row>
    <row r="52" spans="2:94" ht="15" customHeight="1" thickBot="1" x14ac:dyDescent="0.5">
      <c r="AQ52" s="1558"/>
      <c r="AR52" s="1558"/>
      <c r="AS52" s="1558"/>
      <c r="AY52" s="1577"/>
      <c r="AZ52" s="1578"/>
      <c r="BA52" s="1579"/>
      <c r="BB52" s="1580"/>
      <c r="BC52" s="1580"/>
      <c r="BD52" s="1579"/>
      <c r="BE52" s="1579"/>
      <c r="BF52" s="1579"/>
      <c r="BG52" s="1579"/>
      <c r="BH52" s="1579"/>
      <c r="BI52" s="1579"/>
      <c r="BJ52" s="1579"/>
      <c r="BK52" s="1579"/>
      <c r="BL52" s="1579"/>
      <c r="BM52" s="1579"/>
      <c r="BN52" s="1579"/>
      <c r="BO52" s="1579"/>
      <c r="BP52" s="1579"/>
      <c r="BQ52" s="1579"/>
      <c r="BR52" s="1579"/>
      <c r="BS52" s="1579"/>
      <c r="BT52" s="1581"/>
      <c r="BU52" s="1582"/>
      <c r="BV52" s="1582"/>
      <c r="BW52" s="1580"/>
      <c r="BX52" s="1583"/>
      <c r="BY52" s="1583"/>
      <c r="BZ52" s="1583"/>
      <c r="CA52" s="1583"/>
      <c r="CB52" s="1583"/>
      <c r="CC52" s="1583"/>
      <c r="CD52" s="1583"/>
      <c r="CE52" s="1583"/>
      <c r="CF52" s="1583"/>
      <c r="CG52" s="1583"/>
      <c r="CH52" s="1583"/>
      <c r="CI52" s="1583"/>
      <c r="CJ52" s="1583"/>
      <c r="CK52" s="1583"/>
      <c r="CL52" s="1583"/>
      <c r="CM52" s="1583"/>
      <c r="CN52" s="1557"/>
      <c r="CO52" s="1557"/>
      <c r="CP52" s="185"/>
    </row>
    <row r="53" spans="2:94" ht="45" customHeight="1" thickBot="1" x14ac:dyDescent="0.5">
      <c r="AQ53" s="1558"/>
      <c r="AR53" s="1558"/>
      <c r="AS53" s="1558"/>
      <c r="AX53" s="1559" t="b">
        <f>AND(BM54&gt;0,CK54&gt;0)</f>
        <v>1</v>
      </c>
      <c r="AY53" s="1560" t="str">
        <f>IF(AX53=TRUE,"","negative force at the motor")</f>
        <v/>
      </c>
      <c r="AZ53" s="1561" t="s">
        <v>227</v>
      </c>
      <c r="BA53" s="1584" t="s">
        <v>30</v>
      </c>
      <c r="BB53" s="2017"/>
      <c r="BC53" s="2013"/>
      <c r="BD53" s="2013"/>
      <c r="BE53" s="2013"/>
      <c r="BF53" s="2013"/>
      <c r="BG53" s="2013"/>
      <c r="BH53" s="2013"/>
      <c r="BI53" s="2013"/>
      <c r="BJ53" s="2013"/>
      <c r="BK53" s="2013"/>
      <c r="BL53" s="2013"/>
      <c r="BM53" s="1585" t="s">
        <v>31</v>
      </c>
      <c r="BN53" s="1586"/>
      <c r="BO53" s="1587"/>
      <c r="BP53" s="1587"/>
      <c r="BQ53" s="1587"/>
      <c r="BR53" s="1587"/>
      <c r="BS53" s="1587"/>
      <c r="BT53" s="1587"/>
      <c r="BU53" s="1587"/>
      <c r="BV53" s="1587"/>
      <c r="BW53" s="1587"/>
      <c r="BX53" s="1587"/>
      <c r="BY53" s="1588"/>
      <c r="BZ53" s="1589"/>
      <c r="CA53" s="1589"/>
      <c r="CB53" s="1589"/>
      <c r="CC53" s="1589"/>
      <c r="CD53" s="1590"/>
      <c r="CE53" s="1590"/>
      <c r="CF53" s="1588"/>
      <c r="CG53" s="1588"/>
      <c r="CH53" s="1588"/>
      <c r="CI53" s="1588"/>
      <c r="CJ53" s="1588"/>
      <c r="CK53" s="1591"/>
      <c r="CL53" s="1592" t="s">
        <v>32</v>
      </c>
      <c r="CM53" s="1593"/>
      <c r="CN53" s="1557"/>
      <c r="CO53" s="1557"/>
      <c r="CP53" s="185"/>
    </row>
    <row r="54" spans="2:94" ht="45" customHeight="1" thickBot="1" x14ac:dyDescent="0.5">
      <c r="AX54" s="1550" t="b">
        <f>AND(AZ54&gt;=10,$AN$138&gt;=10,$AO$138&gt;=10)</f>
        <v>1</v>
      </c>
      <c r="AY54" s="1570" t="str">
        <f>IF(AX54=TRUE,"O K","OVERLOAD")</f>
        <v>O K</v>
      </c>
      <c r="AZ54" s="1571">
        <f>+$D$8/(MAX(BM54,CK54))</f>
        <v>96.300276351113638</v>
      </c>
      <c r="BA54" s="1594" t="s">
        <v>229</v>
      </c>
      <c r="BB54" s="2018"/>
      <c r="BC54" s="2015"/>
      <c r="BD54" s="2015"/>
      <c r="BE54" s="2015"/>
      <c r="BF54" s="2015"/>
      <c r="BG54" s="2015"/>
      <c r="BH54" s="2015"/>
      <c r="BI54" s="2015"/>
      <c r="BJ54" s="2015"/>
      <c r="BK54" s="2015"/>
      <c r="BL54" s="2015"/>
      <c r="BM54" s="2030">
        <f>+((D4-D3)/D4)*C12</f>
        <v>83.0734895384076</v>
      </c>
      <c r="BN54" s="2031"/>
      <c r="BO54" s="1595"/>
      <c r="BP54" s="1595"/>
      <c r="BQ54" s="1595"/>
      <c r="BR54" s="1595"/>
      <c r="BS54" s="1595"/>
      <c r="BT54" s="1595"/>
      <c r="BU54" s="1595"/>
      <c r="BV54" s="1595"/>
      <c r="BW54" s="1595"/>
      <c r="BX54" s="1595"/>
      <c r="BY54" s="1596"/>
      <c r="BZ54" s="1597"/>
      <c r="CA54" s="1597"/>
      <c r="CB54" s="1597"/>
      <c r="CC54" s="1597"/>
      <c r="CD54" s="1598"/>
      <c r="CE54" s="1598"/>
      <c r="CF54" s="1599"/>
      <c r="CG54" s="1599"/>
      <c r="CH54" s="1599"/>
      <c r="CI54" s="1599"/>
      <c r="CJ54" s="1599"/>
      <c r="CK54" s="2019">
        <f>+(D3/D4)*C12</f>
        <v>8.4265104615924002</v>
      </c>
      <c r="CL54" s="2020"/>
      <c r="CM54" s="1600"/>
      <c r="CN54" s="1557"/>
      <c r="CO54" s="1557"/>
      <c r="CP54" s="185"/>
    </row>
    <row r="55" spans="2:94" ht="15" customHeight="1" thickBot="1" x14ac:dyDescent="0.45">
      <c r="AY55" s="1577"/>
      <c r="AZ55" s="1601"/>
      <c r="BA55" s="1602"/>
      <c r="BB55" s="1602"/>
      <c r="BC55" s="1602"/>
      <c r="BD55" s="1602"/>
      <c r="BE55" s="1602"/>
      <c r="BF55" s="1602"/>
      <c r="BG55" s="1602"/>
      <c r="BH55" s="1602"/>
      <c r="BI55" s="1602"/>
      <c r="BJ55" s="1603"/>
      <c r="BK55" s="1603"/>
      <c r="BL55" s="1604"/>
      <c r="BM55" s="1604"/>
      <c r="BN55" s="1604"/>
      <c r="BO55" s="1604"/>
      <c r="BP55" s="1604"/>
      <c r="BQ55" s="1604"/>
      <c r="BR55" s="1604"/>
      <c r="BS55" s="1604"/>
      <c r="BT55" s="1604"/>
      <c r="BU55" s="1604"/>
      <c r="BV55" s="1604"/>
      <c r="BW55" s="1604"/>
      <c r="BX55" s="1604"/>
      <c r="BY55" s="1605"/>
      <c r="BZ55" s="1606"/>
      <c r="CA55" s="1606"/>
      <c r="CB55" s="1606"/>
      <c r="CC55" s="1606"/>
      <c r="CD55" s="1600"/>
      <c r="CE55" s="1600"/>
      <c r="CF55" s="1600"/>
      <c r="CG55" s="1600"/>
      <c r="CH55" s="1600"/>
      <c r="CI55" s="1600"/>
      <c r="CJ55" s="1600"/>
      <c r="CK55" s="1600"/>
      <c r="CL55" s="1600"/>
      <c r="CM55" s="1600"/>
      <c r="CN55" s="1557"/>
      <c r="CO55" s="1557"/>
      <c r="CP55" s="185"/>
    </row>
    <row r="56" spans="2:94" ht="45" customHeight="1" thickBot="1" x14ac:dyDescent="0.45">
      <c r="AX56" s="1559" t="b">
        <f>AND(BM57&gt;0,CB57&gt;0)</f>
        <v>1</v>
      </c>
      <c r="AY56" s="1560" t="str">
        <f>IF(AX56=TRUE,"","negative force at the motor")</f>
        <v/>
      </c>
      <c r="AZ56" s="1561" t="s">
        <v>227</v>
      </c>
      <c r="BA56" s="1607" t="s">
        <v>30</v>
      </c>
      <c r="BB56" s="2017"/>
      <c r="BC56" s="2013"/>
      <c r="BD56" s="2013"/>
      <c r="BE56" s="2013"/>
      <c r="BF56" s="2013"/>
      <c r="BG56" s="2013"/>
      <c r="BH56" s="2013"/>
      <c r="BI56" s="2013"/>
      <c r="BJ56" s="2013"/>
      <c r="BK56" s="2013"/>
      <c r="BL56" s="2013"/>
      <c r="BM56" s="1608" t="s">
        <v>31</v>
      </c>
      <c r="BN56" s="1609"/>
      <c r="BO56" s="1610"/>
      <c r="BP56" s="1610"/>
      <c r="BQ56" s="1610"/>
      <c r="BR56" s="1610"/>
      <c r="BS56" s="1610"/>
      <c r="BT56" s="1611"/>
      <c r="BU56" s="1612"/>
      <c r="BV56" s="1613"/>
      <c r="BW56" s="1613"/>
      <c r="BX56" s="1614"/>
      <c r="BY56" s="1614"/>
      <c r="BZ56" s="1614"/>
      <c r="CA56" s="1614"/>
      <c r="CB56" s="1609"/>
      <c r="CC56" s="1615" t="s">
        <v>32</v>
      </c>
      <c r="CD56" s="2013"/>
      <c r="CE56" s="2013"/>
      <c r="CF56" s="2013"/>
      <c r="CG56" s="2013"/>
      <c r="CH56" s="2013"/>
      <c r="CI56" s="2013"/>
      <c r="CJ56" s="2013"/>
      <c r="CK56" s="2013"/>
      <c r="CL56" s="2014"/>
      <c r="CM56" s="1583"/>
      <c r="CN56" s="1557"/>
      <c r="CO56" s="1557"/>
      <c r="CP56" s="185"/>
    </row>
    <row r="57" spans="2:94" ht="45" customHeight="1" thickBot="1" x14ac:dyDescent="0.5">
      <c r="AX57" s="1550" t="b">
        <f>AND(AZ57&gt;=10,$AN$138&gt;=10,$AO$138&gt;=10)</f>
        <v>1</v>
      </c>
      <c r="AY57" s="1570" t="str">
        <f>IF(AX57=TRUE,"O K","OVERLOAD")</f>
        <v>O K</v>
      </c>
      <c r="AZ57" s="1616">
        <f>+$D$8/(MAX(BM57,CB57))</f>
        <v>102.12734136684291</v>
      </c>
      <c r="BA57" s="1617" t="s">
        <v>230</v>
      </c>
      <c r="BB57" s="2018"/>
      <c r="BC57" s="2015"/>
      <c r="BD57" s="2015"/>
      <c r="BE57" s="2015"/>
      <c r="BF57" s="2015"/>
      <c r="BG57" s="2015"/>
      <c r="BH57" s="2015"/>
      <c r="BI57" s="2015"/>
      <c r="BJ57" s="2015"/>
      <c r="BK57" s="2015"/>
      <c r="BL57" s="2015"/>
      <c r="BM57" s="2022">
        <f>+((D2-D3)/D2)*C12</f>
        <v>78.333577403761865</v>
      </c>
      <c r="BN57" s="2023"/>
      <c r="BO57" s="1618"/>
      <c r="BP57" s="1618"/>
      <c r="BQ57" s="1618"/>
      <c r="BR57" s="1618"/>
      <c r="BS57" s="1618"/>
      <c r="BT57" s="1619"/>
      <c r="BU57" s="1620"/>
      <c r="BV57" s="1621"/>
      <c r="BW57" s="1621"/>
      <c r="BX57" s="1622"/>
      <c r="BY57" s="1622"/>
      <c r="BZ57" s="1622"/>
      <c r="CA57" s="1622"/>
      <c r="CB57" s="2024">
        <f>+(D3/D2)*C12</f>
        <v>13.166422596238126</v>
      </c>
      <c r="CC57" s="2025"/>
      <c r="CD57" s="2015"/>
      <c r="CE57" s="2015"/>
      <c r="CF57" s="2015"/>
      <c r="CG57" s="2015"/>
      <c r="CH57" s="2015"/>
      <c r="CI57" s="2015"/>
      <c r="CJ57" s="2015"/>
      <c r="CK57" s="2015"/>
      <c r="CL57" s="2016"/>
      <c r="CM57" s="1583"/>
      <c r="CN57" s="1557"/>
      <c r="CO57" s="1557"/>
      <c r="CP57" s="185"/>
    </row>
    <row r="58" spans="2:94" ht="19.5" hidden="1" customHeight="1" x14ac:dyDescent="0.4">
      <c r="AY58" s="1577"/>
      <c r="AZ58" s="1601"/>
      <c r="BA58" s="1602"/>
      <c r="BB58" s="1602"/>
      <c r="BC58" s="1602"/>
      <c r="BD58" s="1602"/>
      <c r="BE58" s="1602"/>
      <c r="BF58" s="1602"/>
      <c r="BG58" s="1602"/>
      <c r="BH58" s="1602"/>
      <c r="BI58" s="1602"/>
      <c r="BJ58" s="1603"/>
      <c r="BK58" s="1603"/>
      <c r="BL58" s="1604"/>
      <c r="BM58" s="1604"/>
      <c r="BN58" s="1604"/>
      <c r="BO58" s="1604"/>
      <c r="BP58" s="1604"/>
      <c r="BQ58" s="1604"/>
      <c r="BR58" s="1604"/>
      <c r="BS58" s="1604"/>
      <c r="BT58" s="1604"/>
      <c r="BU58" s="1604"/>
      <c r="BV58" s="1602"/>
      <c r="BW58" s="1604"/>
      <c r="BX58" s="1604"/>
      <c r="BY58" s="1605"/>
      <c r="BZ58" s="1606"/>
      <c r="CA58" s="1606"/>
      <c r="CB58" s="1606"/>
      <c r="CC58" s="1606"/>
      <c r="CD58" s="1600"/>
      <c r="CE58" s="1600"/>
      <c r="CF58" s="1600"/>
      <c r="CG58" s="1600"/>
      <c r="CH58" s="1600"/>
      <c r="CI58" s="1600"/>
      <c r="CJ58" s="1600"/>
      <c r="CK58" s="1600"/>
      <c r="CL58" s="1600"/>
      <c r="CM58" s="1600"/>
      <c r="CN58" s="1557"/>
      <c r="CO58" s="1557"/>
      <c r="CP58" s="185"/>
    </row>
    <row r="59" spans="2:94" ht="19.5" hidden="1" customHeight="1" x14ac:dyDescent="0.35">
      <c r="AQ59" s="1623"/>
      <c r="AR59" s="1623"/>
      <c r="AS59" s="1623"/>
      <c r="AY59" s="1577"/>
      <c r="CP59" s="185"/>
    </row>
    <row r="60" spans="2:94" ht="19.5" hidden="1" customHeight="1" x14ac:dyDescent="0.35">
      <c r="AQ60" s="1623"/>
      <c r="AR60" s="1623"/>
      <c r="AS60" s="1623"/>
      <c r="AY60" s="1577"/>
      <c r="CP60" s="185"/>
    </row>
    <row r="61" spans="2:94" ht="19.5" hidden="1" customHeight="1" x14ac:dyDescent="0.4">
      <c r="U61" s="108"/>
      <c r="V61" s="4"/>
      <c r="W61" s="4"/>
      <c r="X61" s="4"/>
      <c r="Y61" s="4"/>
      <c r="Z61" s="4"/>
      <c r="AA61" s="4"/>
      <c r="AB61" s="4"/>
      <c r="AC61" s="4"/>
      <c r="AD61" s="4"/>
      <c r="AE61" s="4"/>
      <c r="AF61" s="4"/>
      <c r="AG61" s="4"/>
      <c r="AH61" s="4"/>
      <c r="AI61" s="4"/>
      <c r="AJ61" s="4"/>
      <c r="AK61" s="4"/>
      <c r="AL61" s="4"/>
      <c r="AM61" s="4"/>
      <c r="AN61" s="4"/>
      <c r="AO61" s="4"/>
      <c r="AQ61" s="1623"/>
      <c r="AR61" s="1623"/>
      <c r="AS61" s="1623"/>
      <c r="AY61" s="1577"/>
      <c r="AZ61" s="1624"/>
      <c r="BA61" s="1625"/>
      <c r="BB61" s="1626"/>
      <c r="BC61" s="1626"/>
      <c r="BD61" s="1626"/>
      <c r="BE61" s="1626"/>
      <c r="BF61" s="1626"/>
      <c r="BG61" s="1626"/>
      <c r="BH61" s="1626"/>
      <c r="BI61" s="1626"/>
      <c r="BJ61" s="1627"/>
      <c r="BK61" s="1627"/>
      <c r="BL61" s="1628"/>
      <c r="BM61" s="1628"/>
      <c r="BN61" s="1628"/>
      <c r="BO61" s="1628"/>
      <c r="BP61" s="1628"/>
      <c r="BQ61" s="1628"/>
      <c r="BR61" s="1628"/>
      <c r="BS61" s="1628"/>
      <c r="BT61" s="1605"/>
      <c r="BU61" s="1604"/>
      <c r="BV61" s="1629"/>
      <c r="BW61" s="1629"/>
      <c r="BX61" s="1583"/>
      <c r="BY61" s="1583"/>
      <c r="BZ61" s="1583"/>
      <c r="CA61" s="1583"/>
      <c r="CB61" s="1583"/>
      <c r="CC61" s="1583"/>
      <c r="CD61" s="1583"/>
      <c r="CE61" s="1583"/>
      <c r="CF61" s="1583"/>
      <c r="CG61" s="1583"/>
      <c r="CH61" s="1626"/>
      <c r="CI61" s="1626"/>
      <c r="CJ61" s="1626"/>
      <c r="CK61" s="1626"/>
      <c r="CL61" s="1626"/>
      <c r="CM61" s="1630"/>
      <c r="CN61" s="1626"/>
      <c r="CO61" s="1626"/>
      <c r="CP61" s="185"/>
    </row>
    <row r="62" spans="2:94" ht="19.5" hidden="1" customHeight="1" thickBot="1" x14ac:dyDescent="0.45">
      <c r="E62" s="102"/>
      <c r="F62" s="102"/>
      <c r="G62" s="102"/>
      <c r="U62" s="108"/>
      <c r="V62" s="4"/>
      <c r="W62" s="4"/>
      <c r="X62" s="4"/>
      <c r="Y62" s="4"/>
      <c r="Z62" s="4"/>
      <c r="AA62" s="4"/>
      <c r="AB62" s="4"/>
      <c r="AC62" s="4"/>
      <c r="AD62" s="4"/>
      <c r="AE62" s="4"/>
      <c r="AF62" s="4"/>
      <c r="AG62" s="4"/>
      <c r="AH62" s="4"/>
      <c r="AI62" s="4"/>
      <c r="AJ62" s="4"/>
      <c r="AK62" s="4"/>
      <c r="AL62" s="4"/>
      <c r="AM62" s="4"/>
      <c r="AN62" s="4"/>
      <c r="AO62" s="4"/>
      <c r="AQ62" s="1623"/>
      <c r="AR62" s="1623"/>
      <c r="AS62" s="1623"/>
      <c r="AY62" s="1577"/>
      <c r="AZ62" s="1624"/>
      <c r="BA62" s="1625"/>
      <c r="BB62" s="1626"/>
      <c r="BC62" s="1626"/>
      <c r="BD62" s="1626"/>
      <c r="BE62" s="1626"/>
      <c r="BF62" s="1626"/>
      <c r="BG62" s="1626"/>
      <c r="BH62" s="1626"/>
      <c r="BI62" s="1626"/>
      <c r="BJ62" s="1627"/>
      <c r="BK62" s="1627"/>
      <c r="BL62" s="1628"/>
      <c r="BM62" s="1628"/>
      <c r="BN62" s="1628"/>
      <c r="BO62" s="1628"/>
      <c r="BP62" s="1628"/>
      <c r="BQ62" s="1628"/>
      <c r="BR62" s="1628"/>
      <c r="BS62" s="1628"/>
      <c r="BT62" s="1605"/>
      <c r="BU62" s="1604"/>
      <c r="BV62" s="1629"/>
      <c r="BW62" s="1629"/>
      <c r="BX62" s="1583"/>
      <c r="BY62" s="1583"/>
      <c r="BZ62" s="1583"/>
      <c r="CA62" s="1583"/>
      <c r="CB62" s="1583"/>
      <c r="CC62" s="1583"/>
      <c r="CD62" s="1583"/>
      <c r="CE62" s="1583"/>
      <c r="CF62" s="1583"/>
      <c r="CG62" s="1583"/>
      <c r="CH62" s="1626"/>
      <c r="CI62" s="1626"/>
      <c r="CJ62" s="1626"/>
      <c r="CK62" s="1626"/>
      <c r="CL62" s="1626"/>
      <c r="CM62" s="1626"/>
      <c r="CN62" s="1626"/>
      <c r="CO62" s="1626"/>
      <c r="CP62" s="185"/>
    </row>
    <row r="63" spans="2:94" ht="19.5" hidden="1" customHeight="1" thickBot="1" x14ac:dyDescent="0.45">
      <c r="E63" s="102"/>
      <c r="F63" s="102"/>
      <c r="G63" s="102"/>
      <c r="U63" s="108"/>
      <c r="V63" s="4"/>
      <c r="W63" s="4"/>
      <c r="X63" s="4"/>
      <c r="Y63" s="4"/>
      <c r="Z63" s="4"/>
      <c r="AA63" s="4"/>
      <c r="AB63" s="4"/>
      <c r="AC63" s="4"/>
      <c r="AD63" s="4"/>
      <c r="AE63" s="4"/>
      <c r="AF63" s="4"/>
      <c r="AG63" s="4"/>
      <c r="AH63" s="4"/>
      <c r="AI63" s="4"/>
      <c r="AJ63" s="4"/>
      <c r="AK63" s="4"/>
      <c r="AL63" s="4"/>
      <c r="AM63" s="4"/>
      <c r="AN63" s="4"/>
      <c r="AO63" s="4"/>
      <c r="AQ63" s="1623"/>
      <c r="AR63" s="1623"/>
      <c r="AS63" s="1623"/>
      <c r="AY63" s="1577"/>
      <c r="AZ63" s="1624"/>
      <c r="BA63" s="1625"/>
      <c r="BB63" s="1626"/>
      <c r="BC63" s="1626"/>
      <c r="BD63" s="1626"/>
      <c r="BE63" s="1626"/>
      <c r="BF63" s="1626"/>
      <c r="BG63" s="1626"/>
      <c r="BH63" s="1626"/>
      <c r="BI63" s="1626"/>
      <c r="BJ63" s="1627"/>
      <c r="BK63" s="1627"/>
      <c r="BL63" s="1631">
        <v>16</v>
      </c>
      <c r="BM63" s="1628"/>
      <c r="BN63" s="1628"/>
      <c r="BO63" s="1628"/>
      <c r="BP63" s="1628"/>
      <c r="BQ63" s="1628"/>
      <c r="BR63" s="1628"/>
      <c r="BS63" s="1628"/>
      <c r="BT63" s="1605"/>
      <c r="BU63" s="1604"/>
      <c r="BV63" s="1629"/>
      <c r="BW63" s="1629"/>
      <c r="BX63" s="1583"/>
      <c r="BY63" s="1583"/>
      <c r="BZ63" s="1583"/>
      <c r="CA63" s="1632" t="b">
        <f>IF(CB82=27,15)</f>
        <v>0</v>
      </c>
      <c r="CB63" s="1633"/>
      <c r="CC63" s="1634" t="b">
        <f>IF(CB82=27,17)</f>
        <v>0</v>
      </c>
      <c r="CD63" s="1583"/>
      <c r="CE63" s="1583"/>
      <c r="CF63" s="1583"/>
      <c r="CG63" s="1583"/>
      <c r="CH63" s="1626"/>
      <c r="CI63" s="1626"/>
      <c r="CJ63" s="1626"/>
      <c r="CK63" s="1626"/>
      <c r="CL63" s="1626"/>
      <c r="CM63" s="1626"/>
      <c r="CN63" s="1626"/>
      <c r="CO63" s="1626"/>
      <c r="CP63" s="185"/>
    </row>
    <row r="64" spans="2:94" ht="19.5" hidden="1" customHeight="1" thickBot="1" x14ac:dyDescent="0.45">
      <c r="E64" s="103"/>
      <c r="F64" s="103"/>
      <c r="G64" s="103"/>
      <c r="U64" s="10"/>
      <c r="V64" s="4"/>
      <c r="W64" s="4"/>
      <c r="X64" s="4"/>
      <c r="Y64" s="4"/>
      <c r="Z64" s="4"/>
      <c r="AA64" s="4"/>
      <c r="AB64" s="4"/>
      <c r="AC64" s="4"/>
      <c r="AD64" s="4"/>
      <c r="AE64" s="4"/>
      <c r="AF64" s="4"/>
      <c r="AG64" s="4"/>
      <c r="AH64" s="4"/>
      <c r="AI64" s="4"/>
      <c r="AJ64" s="4"/>
      <c r="AK64" s="4"/>
      <c r="AL64" s="4"/>
      <c r="AM64" s="4"/>
      <c r="AN64" s="4"/>
      <c r="AO64" s="4"/>
      <c r="AQ64" s="1623"/>
      <c r="AR64" s="1623"/>
      <c r="AS64" s="1623"/>
      <c r="AY64" s="1577"/>
      <c r="AZ64" s="1624"/>
      <c r="BA64" s="1625"/>
      <c r="BB64" s="1626"/>
      <c r="BC64" s="1626"/>
      <c r="BD64" s="1626"/>
      <c r="BE64" s="1626"/>
      <c r="BF64" s="1626"/>
      <c r="BG64" s="1626"/>
      <c r="BH64" s="1626"/>
      <c r="BI64" s="1626"/>
      <c r="BJ64" s="1627"/>
      <c r="BK64" s="1627"/>
      <c r="BL64" s="1631">
        <v>15</v>
      </c>
      <c r="BM64" s="1628"/>
      <c r="BN64" s="1628"/>
      <c r="BO64" s="1628"/>
      <c r="BP64" s="1628"/>
      <c r="BQ64" s="1628"/>
      <c r="BR64" s="1628"/>
      <c r="BS64" s="1628"/>
      <c r="BT64" s="1605"/>
      <c r="BU64" s="1604"/>
      <c r="BV64" s="1629"/>
      <c r="BW64" s="1629"/>
      <c r="BX64" s="1583"/>
      <c r="BY64" s="1632" t="b">
        <f>IF(CA82=26,13)</f>
        <v>0</v>
      </c>
      <c r="BZ64" s="1633"/>
      <c r="CA64" s="1633"/>
      <c r="CB64" s="1633"/>
      <c r="CC64" s="1634" t="b">
        <f>IF(CA82=26,17)</f>
        <v>0</v>
      </c>
      <c r="CD64" s="1583"/>
      <c r="CE64" s="1583"/>
      <c r="CF64" s="1583"/>
      <c r="CG64" s="1583"/>
      <c r="CH64" s="1626"/>
      <c r="CI64" s="1626"/>
      <c r="CJ64" s="1626"/>
      <c r="CK64" s="1626"/>
      <c r="CL64" s="1626"/>
      <c r="CM64" s="1626"/>
      <c r="CN64" s="1626"/>
      <c r="CO64" s="1626"/>
      <c r="CP64" s="185"/>
    </row>
    <row r="65" spans="2:94" ht="19.5" hidden="1" customHeight="1" thickBot="1" x14ac:dyDescent="0.45">
      <c r="E65" s="103"/>
      <c r="F65" s="103"/>
      <c r="G65" s="103"/>
      <c r="U65" s="108"/>
      <c r="V65" s="4"/>
      <c r="W65" s="4"/>
      <c r="X65" s="4"/>
      <c r="Y65" s="4"/>
      <c r="Z65" s="4"/>
      <c r="AA65" s="4"/>
      <c r="AB65" s="4"/>
      <c r="AC65" s="4"/>
      <c r="AD65" s="4"/>
      <c r="AE65" s="4"/>
      <c r="AF65" s="4"/>
      <c r="AG65" s="4"/>
      <c r="AH65" s="4"/>
      <c r="AI65" s="4"/>
      <c r="AJ65" s="4"/>
      <c r="AK65" s="4"/>
      <c r="AL65" s="4"/>
      <c r="AM65" s="4"/>
      <c r="AN65" s="4"/>
      <c r="AO65" s="4"/>
      <c r="AQ65" s="1623"/>
      <c r="AR65" s="1623"/>
      <c r="AS65" s="1623"/>
      <c r="AY65" s="1577"/>
      <c r="AZ65" s="1624"/>
      <c r="BA65" s="1625"/>
      <c r="BB65" s="1626"/>
      <c r="BC65" s="1626"/>
      <c r="BD65" s="1626"/>
      <c r="BE65" s="1626"/>
      <c r="BF65" s="1626"/>
      <c r="BG65" s="1626"/>
      <c r="BH65" s="1626"/>
      <c r="BI65" s="1626"/>
      <c r="BJ65" s="1627"/>
      <c r="BK65" s="1627"/>
      <c r="BL65" s="1631">
        <v>14</v>
      </c>
      <c r="BM65" s="1628"/>
      <c r="BN65" s="1628"/>
      <c r="BO65" s="1628"/>
      <c r="BP65" s="1628"/>
      <c r="BQ65" s="1628"/>
      <c r="BR65" s="1628"/>
      <c r="BS65" s="1628"/>
      <c r="BT65" s="1605"/>
      <c r="BU65" s="1604"/>
      <c r="BV65" s="1629"/>
      <c r="BW65" s="1632" t="b">
        <f>IF(BZ82=25,11)</f>
        <v>0</v>
      </c>
      <c r="BX65" s="1633"/>
      <c r="BY65" s="1635"/>
      <c r="BZ65" s="1635"/>
      <c r="CA65" s="1635"/>
      <c r="CB65" s="1635"/>
      <c r="CC65" s="1636" t="b">
        <f>IF(BZ82=25,17)</f>
        <v>0</v>
      </c>
      <c r="CD65" s="1583"/>
      <c r="CE65" s="1583"/>
      <c r="CF65" s="1583"/>
      <c r="CG65" s="1583"/>
      <c r="CH65" s="1626"/>
      <c r="CI65" s="1626"/>
      <c r="CJ65" s="1626"/>
      <c r="CK65" s="1626"/>
      <c r="CL65" s="1626"/>
      <c r="CM65" s="1626"/>
      <c r="CN65" s="1626"/>
      <c r="CO65" s="1626"/>
      <c r="CP65" s="185"/>
    </row>
    <row r="66" spans="2:94" ht="19.5" hidden="1" customHeight="1" thickBot="1" x14ac:dyDescent="0.45">
      <c r="T66" s="4"/>
      <c r="U66" s="4"/>
      <c r="V66" s="4"/>
      <c r="W66" s="4"/>
      <c r="X66" s="4"/>
      <c r="Y66" s="4"/>
      <c r="Z66" s="4"/>
      <c r="AA66" s="4"/>
      <c r="AB66" s="4"/>
      <c r="AC66" s="4"/>
      <c r="AD66" s="4"/>
      <c r="AE66" s="4"/>
      <c r="AF66" s="4"/>
      <c r="AG66" s="4"/>
      <c r="AH66" s="4"/>
      <c r="AI66" s="4"/>
      <c r="AJ66" s="4"/>
      <c r="AK66" s="4"/>
      <c r="AL66" s="4"/>
      <c r="AM66" s="4"/>
      <c r="AN66" s="4"/>
      <c r="AO66" s="4"/>
      <c r="AQ66" s="1623"/>
      <c r="AR66" s="1623"/>
      <c r="AS66" s="1623"/>
      <c r="AY66" s="1577"/>
      <c r="AZ66" s="1623"/>
      <c r="BA66" s="1625"/>
      <c r="BB66" s="1626"/>
      <c r="BC66" s="1626"/>
      <c r="BD66" s="1626"/>
      <c r="BE66" s="1626"/>
      <c r="BF66" s="1626"/>
      <c r="BG66" s="1626"/>
      <c r="BH66" s="1626"/>
      <c r="BI66" s="1626"/>
      <c r="BL66" s="1631">
        <v>13</v>
      </c>
      <c r="BM66" s="1626"/>
      <c r="BN66" s="1625"/>
      <c r="BO66" s="1625"/>
      <c r="BP66" s="1625"/>
      <c r="BQ66" s="1625"/>
      <c r="BR66" s="1625"/>
      <c r="BS66" s="1625"/>
      <c r="BT66" s="1625"/>
      <c r="BU66" s="1632" t="b">
        <f>IF(BY82=24,9)</f>
        <v>0</v>
      </c>
      <c r="BV66" s="1637"/>
      <c r="BW66" s="1638"/>
      <c r="BX66" s="1639"/>
      <c r="BY66" s="1638"/>
      <c r="BZ66" s="1639"/>
      <c r="CA66" s="1639"/>
      <c r="CB66" s="1640"/>
      <c r="CC66" s="1636" t="b">
        <f>IF(BY82=24,17)</f>
        <v>0</v>
      </c>
      <c r="CD66" s="1557"/>
      <c r="CE66" s="1557"/>
      <c r="CF66" s="1557"/>
      <c r="CG66" s="1557"/>
      <c r="CH66" s="1557"/>
      <c r="CI66" s="1557"/>
      <c r="CJ66" s="1557"/>
      <c r="CK66" s="1557"/>
      <c r="CL66" s="1557"/>
      <c r="CM66" s="1557"/>
      <c r="CN66" s="1557"/>
      <c r="CO66" s="1557"/>
      <c r="CP66" s="185"/>
    </row>
    <row r="67" spans="2:94" ht="19.5" hidden="1" customHeight="1" thickBot="1" x14ac:dyDescent="0.45">
      <c r="T67" s="4"/>
      <c r="U67" s="4"/>
      <c r="V67" s="4"/>
      <c r="W67" s="4"/>
      <c r="X67" s="4"/>
      <c r="Y67" s="4"/>
      <c r="Z67" s="4"/>
      <c r="AA67" s="4"/>
      <c r="AB67" s="4"/>
      <c r="AC67" s="4"/>
      <c r="AD67" s="4"/>
      <c r="AE67" s="4"/>
      <c r="AF67" s="4"/>
      <c r="AG67" s="4"/>
      <c r="AH67" s="4"/>
      <c r="AI67" s="4"/>
      <c r="AJ67" s="4"/>
      <c r="AK67" s="4"/>
      <c r="AL67" s="4"/>
      <c r="AM67" s="4"/>
      <c r="AN67" s="4"/>
      <c r="AO67" s="4"/>
      <c r="AQ67" s="1623"/>
      <c r="AR67" s="1623"/>
      <c r="AS67" s="1623"/>
      <c r="AY67" s="1577"/>
      <c r="AZ67" s="1623"/>
      <c r="BA67" s="1625"/>
      <c r="BB67" s="1625"/>
      <c r="BC67" s="1626"/>
      <c r="BD67" s="1625"/>
      <c r="BE67" s="1625"/>
      <c r="BF67" s="1625"/>
      <c r="BL67" s="1631">
        <v>12</v>
      </c>
      <c r="BM67" s="1626"/>
      <c r="BN67" s="1625"/>
      <c r="BO67" s="1625"/>
      <c r="BP67" s="1625"/>
      <c r="BQ67" s="1625"/>
      <c r="BR67" s="1625"/>
      <c r="BS67" s="1632" t="b">
        <f>IF(BX82=23,7)</f>
        <v>0</v>
      </c>
      <c r="BT67" s="1637"/>
      <c r="BU67" s="1637"/>
      <c r="BV67" s="1641"/>
      <c r="BW67" s="1637"/>
      <c r="BX67" s="1637"/>
      <c r="BY67" s="1637"/>
      <c r="BZ67" s="1641"/>
      <c r="CA67" s="1641"/>
      <c r="CB67" s="1642"/>
      <c r="CC67" s="1634" t="b">
        <f>IF(BX82=23,17)</f>
        <v>0</v>
      </c>
      <c r="CD67" s="1557"/>
      <c r="CE67" s="1557"/>
      <c r="CF67" s="1557"/>
      <c r="CG67" s="1557"/>
      <c r="CH67" s="1557"/>
      <c r="CI67" s="1557"/>
      <c r="CJ67" s="1557"/>
      <c r="CK67" s="1557"/>
      <c r="CL67" s="1557"/>
      <c r="CM67" s="1557"/>
      <c r="CN67" s="1557"/>
      <c r="CO67" s="1557"/>
      <c r="CP67" s="185"/>
    </row>
    <row r="68" spans="2:94" ht="19.5" hidden="1" customHeight="1" thickBot="1" x14ac:dyDescent="0.45">
      <c r="AQ68" s="1623"/>
      <c r="AR68" s="1623"/>
      <c r="AS68" s="1623"/>
      <c r="AY68" s="1577"/>
      <c r="AZ68" s="1623"/>
      <c r="BA68" s="1625"/>
      <c r="BB68" s="1625"/>
      <c r="BC68" s="1626"/>
      <c r="BD68" s="1625"/>
      <c r="BE68" s="1625"/>
      <c r="BF68" s="1625"/>
      <c r="BL68" s="1631">
        <v>11</v>
      </c>
      <c r="BM68" s="1626"/>
      <c r="BN68" s="1625"/>
      <c r="BO68" s="1625"/>
      <c r="BP68" s="1625"/>
      <c r="BQ68" s="1632" t="b">
        <f>IF(BW82=22,5)</f>
        <v>0</v>
      </c>
      <c r="BR68" s="1637"/>
      <c r="BS68" s="1637"/>
      <c r="BT68" s="1641"/>
      <c r="BU68" s="1637"/>
      <c r="BV68" s="1641"/>
      <c r="BW68" s="1637"/>
      <c r="BX68" s="1641"/>
      <c r="BY68" s="1637"/>
      <c r="BZ68" s="1641"/>
      <c r="CA68" s="1641"/>
      <c r="CB68" s="1642"/>
      <c r="CC68" s="1634" t="b">
        <f>IF(BW82=22,17)</f>
        <v>0</v>
      </c>
      <c r="CD68" s="1557"/>
      <c r="CE68" s="1557"/>
      <c r="CF68" s="1557"/>
      <c r="CG68" s="1557"/>
      <c r="CH68" s="1557"/>
      <c r="CI68" s="1557"/>
      <c r="CJ68" s="1557"/>
      <c r="CK68" s="1557"/>
      <c r="CL68" s="1557"/>
      <c r="CM68" s="1557"/>
      <c r="CN68" s="1557"/>
      <c r="CO68" s="1557"/>
      <c r="CP68" s="185"/>
    </row>
    <row r="69" spans="2:94" ht="19.5" hidden="1" customHeight="1" thickBot="1" x14ac:dyDescent="0.45">
      <c r="AQ69" s="1623"/>
      <c r="AR69" s="1623"/>
      <c r="AS69" s="1623"/>
      <c r="AY69" s="1577"/>
      <c r="AZ69" s="1623"/>
      <c r="BA69" s="1625"/>
      <c r="BB69" s="1625"/>
      <c r="BC69" s="1626"/>
      <c r="BD69" s="1625"/>
      <c r="BE69" s="1625"/>
      <c r="BF69" s="1625"/>
      <c r="BL69" s="1631">
        <v>10</v>
      </c>
      <c r="BM69" s="1626"/>
      <c r="BN69" s="1625"/>
      <c r="BO69" s="1632" t="b">
        <f>IF(BV82=21,3)</f>
        <v>0</v>
      </c>
      <c r="BP69" s="1637"/>
      <c r="BQ69" s="1637"/>
      <c r="BR69" s="1641"/>
      <c r="BS69" s="1641"/>
      <c r="BT69" s="1641"/>
      <c r="BU69" s="1637"/>
      <c r="BV69" s="1637"/>
      <c r="BW69" s="1637"/>
      <c r="BX69" s="1641"/>
      <c r="BY69" s="1637"/>
      <c r="BZ69" s="1641"/>
      <c r="CA69" s="1641"/>
      <c r="CB69" s="1642"/>
      <c r="CC69" s="1634" t="b">
        <f>IF(BV82=21,17)</f>
        <v>0</v>
      </c>
      <c r="CD69" s="1557"/>
      <c r="CE69" s="1557"/>
      <c r="CF69" s="1557"/>
      <c r="CG69" s="1557"/>
      <c r="CH69" s="1557"/>
      <c r="CI69" s="1557"/>
      <c r="CJ69" s="1557"/>
      <c r="CK69" s="1557"/>
      <c r="CL69" s="1557"/>
      <c r="CM69" s="1557"/>
      <c r="CN69" s="1557"/>
      <c r="CO69" s="1557"/>
      <c r="CP69" s="185"/>
    </row>
    <row r="70" spans="2:94" ht="19.5" hidden="1" customHeight="1" thickBot="1" x14ac:dyDescent="0.45">
      <c r="AQ70" s="1623"/>
      <c r="AR70" s="1623"/>
      <c r="AS70" s="1623"/>
      <c r="AY70" s="1577"/>
      <c r="AZ70" s="1623"/>
      <c r="BA70" s="1625"/>
      <c r="BB70" s="1625"/>
      <c r="BC70" s="1626"/>
      <c r="BD70" s="1625"/>
      <c r="BE70" s="1625"/>
      <c r="BF70" s="1625"/>
      <c r="BL70" s="1631">
        <v>9</v>
      </c>
      <c r="BM70" s="1632" t="b">
        <f>IF(BU82=20,1)</f>
        <v>0</v>
      </c>
      <c r="BN70" s="1637"/>
      <c r="BO70" s="1637"/>
      <c r="BP70" s="1641"/>
      <c r="BQ70" s="1637"/>
      <c r="BR70" s="1637"/>
      <c r="BS70" s="1637"/>
      <c r="BT70" s="1637"/>
      <c r="BU70" s="1637"/>
      <c r="BV70" s="1637"/>
      <c r="BW70" s="1637"/>
      <c r="BX70" s="1637"/>
      <c r="BY70" s="1637"/>
      <c r="BZ70" s="1641"/>
      <c r="CA70" s="1641"/>
      <c r="CB70" s="1642"/>
      <c r="CC70" s="1634" t="b">
        <f>IF(BU82=20,17)</f>
        <v>0</v>
      </c>
      <c r="CD70" s="1557"/>
      <c r="CE70" s="1557"/>
      <c r="CF70" s="1557"/>
      <c r="CG70" s="1557"/>
      <c r="CH70" s="1557"/>
      <c r="CI70" s="1557"/>
      <c r="CJ70" s="1557"/>
      <c r="CK70" s="1557"/>
      <c r="CL70" s="1557"/>
      <c r="CM70" s="1557"/>
      <c r="CN70" s="1557"/>
      <c r="CO70" s="1557"/>
      <c r="CP70" s="185"/>
    </row>
    <row r="71" spans="2:94" ht="19.5" hidden="1" customHeight="1" thickBot="1" x14ac:dyDescent="0.45">
      <c r="T71" s="4"/>
      <c r="U71" s="4"/>
      <c r="V71" s="4"/>
      <c r="W71" s="4"/>
      <c r="X71" s="4"/>
      <c r="Y71" s="4"/>
      <c r="Z71" s="4"/>
      <c r="AA71" s="4"/>
      <c r="AB71" s="4"/>
      <c r="AC71" s="4"/>
      <c r="AD71" s="4"/>
      <c r="AE71" s="4"/>
      <c r="AF71" s="4"/>
      <c r="AG71" s="4"/>
      <c r="AH71" s="4"/>
      <c r="AI71" s="4"/>
      <c r="AJ71" s="4"/>
      <c r="AK71" s="4"/>
      <c r="AL71" s="4"/>
      <c r="AM71" s="4"/>
      <c r="AN71" s="4"/>
      <c r="AO71" s="4"/>
      <c r="AQ71" s="1623"/>
      <c r="AR71" s="1623"/>
      <c r="AS71" s="1623"/>
      <c r="AY71" s="1577"/>
      <c r="AZ71" s="1623"/>
      <c r="BA71" s="1625"/>
      <c r="BB71" s="1625"/>
      <c r="BC71" s="1626"/>
      <c r="BD71" s="1625"/>
      <c r="BE71" s="1625"/>
      <c r="BF71" s="1625"/>
      <c r="BL71" s="1631">
        <v>8</v>
      </c>
      <c r="BM71" s="1643" t="b">
        <f>IF(BT82=19,1)</f>
        <v>0</v>
      </c>
      <c r="BN71" s="1639"/>
      <c r="BO71" s="1638"/>
      <c r="BP71" s="1638"/>
      <c r="BQ71" s="1638"/>
      <c r="BR71" s="1638"/>
      <c r="BS71" s="1638"/>
      <c r="BT71" s="1638"/>
      <c r="BU71" s="1638"/>
      <c r="BV71" s="1638"/>
      <c r="BW71" s="1638"/>
      <c r="BX71" s="1638"/>
      <c r="BY71" s="1638"/>
      <c r="BZ71" s="1639"/>
      <c r="CA71" s="1636" t="b">
        <f>IF(BT82=19,15)</f>
        <v>0</v>
      </c>
      <c r="CB71" s="1557"/>
      <c r="CC71" s="1557"/>
      <c r="CD71" s="1557"/>
      <c r="CE71" s="1557"/>
      <c r="CF71" s="1557"/>
      <c r="CG71" s="1557"/>
      <c r="CH71" s="1557"/>
      <c r="CI71" s="1557"/>
      <c r="CJ71" s="1557"/>
      <c r="CK71" s="1557"/>
      <c r="CL71" s="1557"/>
      <c r="CM71" s="1557"/>
      <c r="CN71" s="1557"/>
      <c r="CO71" s="1557"/>
      <c r="CP71" s="185"/>
    </row>
    <row r="72" spans="2:94" ht="19.5" hidden="1" customHeight="1" thickBot="1" x14ac:dyDescent="0.45">
      <c r="T72" s="4"/>
      <c r="U72" s="4"/>
      <c r="V72" s="4"/>
      <c r="W72" s="4"/>
      <c r="X72" s="4"/>
      <c r="Y72" s="4"/>
      <c r="Z72" s="4"/>
      <c r="AA72" s="4"/>
      <c r="AB72" s="4"/>
      <c r="AC72" s="4"/>
      <c r="AD72" s="4"/>
      <c r="AE72" s="4"/>
      <c r="AF72" s="4"/>
      <c r="AG72" s="4"/>
      <c r="AH72" s="4"/>
      <c r="AI72" s="4"/>
      <c r="AJ72" s="4"/>
      <c r="AK72" s="4"/>
      <c r="AL72" s="4"/>
      <c r="AM72" s="4"/>
      <c r="AN72" s="4"/>
      <c r="AO72" s="4"/>
      <c r="AQ72" s="1623"/>
      <c r="AR72" s="1623"/>
      <c r="AS72" s="1623"/>
      <c r="AY72" s="1577"/>
      <c r="AZ72" s="1623"/>
      <c r="BA72" s="1625"/>
      <c r="BB72" s="1625"/>
      <c r="BC72" s="1626"/>
      <c r="BD72" s="1625"/>
      <c r="BE72" s="1625"/>
      <c r="BF72" s="1625"/>
      <c r="BL72" s="1631">
        <v>7</v>
      </c>
      <c r="BM72" s="1643" t="b">
        <f>IF(BS82=18,1)</f>
        <v>0</v>
      </c>
      <c r="BN72" s="1638"/>
      <c r="BO72" s="1638"/>
      <c r="BP72" s="1638"/>
      <c r="BQ72" s="1638"/>
      <c r="BR72" s="1638"/>
      <c r="BS72" s="1638"/>
      <c r="BT72" s="1638"/>
      <c r="BU72" s="1638"/>
      <c r="BV72" s="1638"/>
      <c r="BW72" s="1638"/>
      <c r="BX72" s="1638"/>
      <c r="BY72" s="1636" t="b">
        <f>IF(BS82=18,13)</f>
        <v>0</v>
      </c>
      <c r="BZ72" s="1626"/>
      <c r="CB72" s="1557"/>
      <c r="CC72" s="1557"/>
      <c r="CD72" s="1557"/>
      <c r="CE72" s="1557"/>
      <c r="CF72" s="1557"/>
      <c r="CG72" s="1557"/>
      <c r="CH72" s="1557"/>
      <c r="CI72" s="1557"/>
      <c r="CJ72" s="1557"/>
      <c r="CK72" s="1557"/>
      <c r="CL72" s="1557"/>
      <c r="CM72" s="1557"/>
      <c r="CN72" s="1557"/>
      <c r="CO72" s="1557"/>
      <c r="CP72" s="185"/>
    </row>
    <row r="73" spans="2:94" ht="19.5" hidden="1" customHeight="1" thickBot="1" x14ac:dyDescent="0.45">
      <c r="T73" s="4"/>
      <c r="U73" s="4"/>
      <c r="V73" s="4"/>
      <c r="W73" s="4"/>
      <c r="X73" s="4"/>
      <c r="Y73" s="4"/>
      <c r="Z73" s="4"/>
      <c r="AA73" s="4"/>
      <c r="AB73" s="4"/>
      <c r="AC73" s="4"/>
      <c r="AD73" s="4"/>
      <c r="AE73" s="4"/>
      <c r="AF73" s="4"/>
      <c r="AG73" s="4"/>
      <c r="AH73" s="4"/>
      <c r="AI73" s="4"/>
      <c r="AJ73" s="4"/>
      <c r="AK73" s="4"/>
      <c r="AL73" s="4"/>
      <c r="AM73" s="4"/>
      <c r="AN73" s="4"/>
      <c r="AO73" s="4"/>
      <c r="AQ73" s="1623"/>
      <c r="AR73" s="1623"/>
      <c r="AS73" s="1623"/>
      <c r="AY73" s="1577"/>
      <c r="AZ73" s="1623"/>
      <c r="BA73" s="1625"/>
      <c r="BB73" s="1625"/>
      <c r="BC73" s="1626"/>
      <c r="BD73" s="1625"/>
      <c r="BE73" s="1625"/>
      <c r="BF73" s="1625"/>
      <c r="BL73" s="1631">
        <v>6</v>
      </c>
      <c r="BM73" s="1643" t="b">
        <f>IF(BR82=17,1)</f>
        <v>0</v>
      </c>
      <c r="BN73" s="1638"/>
      <c r="BO73" s="1638"/>
      <c r="BP73" s="1638"/>
      <c r="BQ73" s="1638"/>
      <c r="BR73" s="1638"/>
      <c r="BS73" s="1638"/>
      <c r="BT73" s="1638"/>
      <c r="BU73" s="1638"/>
      <c r="BV73" s="1638"/>
      <c r="BW73" s="1636" t="b">
        <f>IF(BR82=17,11)</f>
        <v>0</v>
      </c>
      <c r="BX73" s="1625"/>
      <c r="BY73" s="1625"/>
      <c r="BZ73" s="1626"/>
      <c r="CB73" s="1557"/>
      <c r="CC73" s="1557"/>
      <c r="CD73" s="1557"/>
      <c r="CE73" s="1557"/>
      <c r="CF73" s="1557"/>
      <c r="CG73" s="1557"/>
      <c r="CH73" s="1557"/>
      <c r="CI73" s="1557"/>
      <c r="CJ73" s="1557"/>
      <c r="CK73" s="1557"/>
      <c r="CL73" s="1557"/>
      <c r="CM73" s="1557"/>
      <c r="CN73" s="1557"/>
      <c r="CO73" s="1557"/>
      <c r="CP73" s="185"/>
    </row>
    <row r="74" spans="2:94" ht="19.5" hidden="1" customHeight="1" thickBot="1" x14ac:dyDescent="0.45">
      <c r="T74" s="4"/>
      <c r="U74" s="4"/>
      <c r="V74" s="4"/>
      <c r="W74" s="4"/>
      <c r="X74" s="4"/>
      <c r="Y74" s="4"/>
      <c r="Z74" s="4"/>
      <c r="AA74" s="4"/>
      <c r="AB74" s="4"/>
      <c r="AC74" s="4"/>
      <c r="AD74" s="4"/>
      <c r="AE74" s="4"/>
      <c r="AF74" s="4"/>
      <c r="AG74" s="4"/>
      <c r="AH74" s="4"/>
      <c r="AI74" s="4"/>
      <c r="AJ74" s="4"/>
      <c r="AK74" s="4"/>
      <c r="AL74" s="4"/>
      <c r="AM74" s="4"/>
      <c r="AN74" s="4"/>
      <c r="AO74" s="4"/>
      <c r="AQ74" s="1623"/>
      <c r="AR74" s="1623"/>
      <c r="AS74" s="1623"/>
      <c r="AY74" s="1577"/>
      <c r="AZ74" s="1623"/>
      <c r="BA74" s="1625"/>
      <c r="BB74" s="1625"/>
      <c r="BC74" s="1626"/>
      <c r="BD74" s="1625"/>
      <c r="BE74" s="1625"/>
      <c r="BF74" s="1625"/>
      <c r="BL74" s="1631">
        <v>5</v>
      </c>
      <c r="BM74" s="1632" t="b">
        <f>IF(BQ82=16,1)</f>
        <v>0</v>
      </c>
      <c r="BN74" s="1637"/>
      <c r="BO74" s="1637"/>
      <c r="BP74" s="1641"/>
      <c r="BQ74" s="1637"/>
      <c r="BR74" s="1641"/>
      <c r="BS74" s="1637"/>
      <c r="BT74" s="1637"/>
      <c r="BU74" s="1634" t="b">
        <f>IF(BQ82=16,9)</f>
        <v>0</v>
      </c>
      <c r="BV74" s="1625"/>
      <c r="BW74" s="1625"/>
      <c r="BX74" s="1625"/>
      <c r="BY74" s="1625"/>
      <c r="BZ74" s="1626"/>
      <c r="CB74" s="1557"/>
      <c r="CC74" s="1557"/>
      <c r="CD74" s="1557"/>
      <c r="CE74" s="1557"/>
      <c r="CF74" s="1557"/>
      <c r="CG74" s="1557"/>
      <c r="CH74" s="1557"/>
      <c r="CI74" s="1557"/>
      <c r="CJ74" s="1557"/>
      <c r="CK74" s="1557"/>
      <c r="CL74" s="1557"/>
      <c r="CM74" s="1557"/>
      <c r="CN74" s="1557"/>
      <c r="CO74" s="1557"/>
      <c r="CP74" s="185"/>
    </row>
    <row r="75" spans="2:94" ht="19.5" hidden="1" customHeight="1" thickBot="1" x14ac:dyDescent="0.45">
      <c r="T75" s="4"/>
      <c r="U75" s="4"/>
      <c r="V75" s="4"/>
      <c r="W75" s="4"/>
      <c r="X75" s="4"/>
      <c r="Y75" s="4"/>
      <c r="Z75" s="4"/>
      <c r="AA75" s="4"/>
      <c r="AB75" s="4"/>
      <c r="AC75" s="4"/>
      <c r="AD75" s="4"/>
      <c r="AE75" s="4"/>
      <c r="AF75" s="4"/>
      <c r="AG75" s="4"/>
      <c r="AH75" s="4"/>
      <c r="AI75" s="4"/>
      <c r="AJ75" s="4"/>
      <c r="AK75" s="4"/>
      <c r="AL75" s="4"/>
      <c r="AM75" s="4"/>
      <c r="AN75" s="4"/>
      <c r="AO75" s="4"/>
      <c r="AQ75" s="1623"/>
      <c r="AR75" s="1623"/>
      <c r="AS75" s="1623"/>
      <c r="AY75" s="1577"/>
      <c r="AZ75" s="1623"/>
      <c r="BA75" s="1625"/>
      <c r="BB75" s="1625"/>
      <c r="BC75" s="1626"/>
      <c r="BD75" s="1625"/>
      <c r="BE75" s="1625"/>
      <c r="BF75" s="1625"/>
      <c r="BL75" s="1631">
        <v>4</v>
      </c>
      <c r="BM75" s="1632" t="b">
        <f>IF(BP82=15,1)</f>
        <v>0</v>
      </c>
      <c r="BN75" s="1641"/>
      <c r="BO75" s="1641"/>
      <c r="BP75" s="1637"/>
      <c r="BQ75" s="1641"/>
      <c r="BR75" s="1641"/>
      <c r="BS75" s="1634" t="b">
        <f>IF(BP82=15,7)</f>
        <v>0</v>
      </c>
      <c r="BT75" s="1625"/>
      <c r="BU75" s="1625"/>
      <c r="BV75" s="1625"/>
      <c r="BW75" s="1625"/>
      <c r="BX75" s="1625"/>
      <c r="BY75" s="1625"/>
      <c r="BZ75" s="1626"/>
      <c r="CB75" s="1557"/>
      <c r="CC75" s="1557"/>
      <c r="CD75" s="1557"/>
      <c r="CE75" s="1557"/>
      <c r="CF75" s="1557"/>
      <c r="CG75" s="1557"/>
      <c r="CH75" s="1557"/>
      <c r="CI75" s="1557"/>
      <c r="CJ75" s="1557"/>
      <c r="CK75" s="1557"/>
      <c r="CL75" s="1557"/>
      <c r="CM75" s="1557"/>
      <c r="CN75" s="1557"/>
      <c r="CO75" s="1557"/>
      <c r="CP75" s="185"/>
    </row>
    <row r="76" spans="2:94" ht="19.5" hidden="1" customHeight="1" thickBot="1" x14ac:dyDescent="0.45">
      <c r="B76" s="24"/>
      <c r="T76" s="4"/>
      <c r="U76" s="4"/>
      <c r="V76" s="4"/>
      <c r="W76" s="4"/>
      <c r="X76" s="4"/>
      <c r="Y76" s="4"/>
      <c r="Z76" s="4"/>
      <c r="AA76" s="4"/>
      <c r="AB76" s="4"/>
      <c r="AC76" s="4"/>
      <c r="AD76" s="4"/>
      <c r="AE76" s="4"/>
      <c r="AF76" s="4"/>
      <c r="AG76" s="4"/>
      <c r="AH76" s="4"/>
      <c r="AI76" s="4"/>
      <c r="AJ76" s="4"/>
      <c r="AK76" s="4"/>
      <c r="AL76" s="4"/>
      <c r="AM76" s="4"/>
      <c r="AN76" s="4"/>
      <c r="AO76" s="4"/>
      <c r="AQ76" s="1623"/>
      <c r="AR76" s="1623"/>
      <c r="AS76" s="1623"/>
      <c r="AY76" s="1577"/>
      <c r="AZ76" s="1623"/>
      <c r="BA76" s="1625"/>
      <c r="BB76" s="1625"/>
      <c r="BC76" s="1626"/>
      <c r="BD76" s="1625"/>
      <c r="BE76" s="1625"/>
      <c r="BF76" s="1625"/>
      <c r="BL76" s="1631">
        <v>3</v>
      </c>
      <c r="BM76" s="1643">
        <f>IF(BO82=14,1)</f>
        <v>1</v>
      </c>
      <c r="BN76" s="1638"/>
      <c r="BO76" s="1638"/>
      <c r="BP76" s="1638"/>
      <c r="BQ76" s="1636">
        <f>IF(BO82=14,5)</f>
        <v>5</v>
      </c>
      <c r="BR76" s="1625"/>
      <c r="BS76" s="1625"/>
      <c r="BT76" s="1625"/>
      <c r="BU76" s="1625"/>
      <c r="BV76" s="1625"/>
      <c r="BW76" s="1625"/>
      <c r="BX76" s="1625"/>
      <c r="BY76" s="1625"/>
      <c r="BZ76" s="1626"/>
      <c r="CB76" s="1557"/>
      <c r="CC76" s="1557"/>
      <c r="CD76" s="1557"/>
      <c r="CE76" s="1557"/>
      <c r="CF76" s="1557"/>
      <c r="CG76" s="1557"/>
      <c r="CH76" s="1557"/>
      <c r="CI76" s="1557"/>
      <c r="CJ76" s="1557"/>
      <c r="CK76" s="1557"/>
      <c r="CL76" s="1557"/>
      <c r="CM76" s="1557"/>
      <c r="CN76" s="1557"/>
      <c r="CO76" s="1557"/>
      <c r="CP76" s="185"/>
    </row>
    <row r="77" spans="2:94" ht="19.5" hidden="1" customHeight="1" thickBot="1" x14ac:dyDescent="0.45">
      <c r="B77" s="166"/>
      <c r="T77" s="4"/>
      <c r="U77" s="4"/>
      <c r="V77" s="4"/>
      <c r="W77" s="4"/>
      <c r="X77" s="4"/>
      <c r="Y77" s="4"/>
      <c r="Z77" s="4"/>
      <c r="AA77" s="4"/>
      <c r="AB77" s="4"/>
      <c r="AC77" s="4"/>
      <c r="AD77" s="4"/>
      <c r="AE77" s="4"/>
      <c r="AF77" s="4"/>
      <c r="AG77" s="4"/>
      <c r="AH77" s="4"/>
      <c r="AI77" s="4"/>
      <c r="AJ77" s="4"/>
      <c r="AK77" s="4"/>
      <c r="AL77" s="4"/>
      <c r="AM77" s="4"/>
      <c r="AN77" s="4"/>
      <c r="AO77" s="4"/>
      <c r="AQ77" s="1623"/>
      <c r="AR77" s="1623"/>
      <c r="AS77" s="1623"/>
      <c r="AY77" s="1577"/>
      <c r="AZ77" s="1623"/>
      <c r="BA77" s="1625"/>
      <c r="BB77" s="1625"/>
      <c r="BC77" s="1626"/>
      <c r="BD77" s="1625"/>
      <c r="BE77" s="1625"/>
      <c r="BF77" s="1625"/>
      <c r="BL77" s="1631">
        <v>2</v>
      </c>
      <c r="BM77" s="1643" t="b">
        <f>IF(BN82=13,1)</f>
        <v>0</v>
      </c>
      <c r="BN77" s="1638"/>
      <c r="BO77" s="1636" t="b">
        <f>IF(BN82=13,3)</f>
        <v>0</v>
      </c>
      <c r="BP77" s="1625"/>
      <c r="BQ77" s="1625"/>
      <c r="BR77" s="1625"/>
      <c r="BS77" s="1625"/>
      <c r="BT77" s="1625"/>
      <c r="BU77" s="1625"/>
      <c r="BV77" s="1625"/>
      <c r="BW77" s="1625"/>
      <c r="BX77" s="1625"/>
      <c r="BY77" s="1625"/>
      <c r="BZ77" s="1626"/>
      <c r="CB77" s="1557"/>
      <c r="CC77" s="1557"/>
      <c r="CD77" s="1557"/>
      <c r="CE77" s="1557"/>
      <c r="CF77" s="1557"/>
      <c r="CG77" s="1557"/>
      <c r="CH77" s="1557"/>
      <c r="CI77" s="1557"/>
      <c r="CJ77" s="1557"/>
      <c r="CK77" s="1557"/>
      <c r="CL77" s="1557"/>
      <c r="CM77" s="1557"/>
      <c r="CN77" s="1557"/>
      <c r="CO77" s="1557"/>
      <c r="CP77" s="185"/>
    </row>
    <row r="78" spans="2:94" ht="19.5" hidden="1" customHeight="1" thickBot="1" x14ac:dyDescent="0.45">
      <c r="T78" s="4"/>
      <c r="U78" s="4"/>
      <c r="V78" s="4"/>
      <c r="W78" s="4"/>
      <c r="X78" s="4"/>
      <c r="Y78" s="4"/>
      <c r="Z78" s="4"/>
      <c r="AA78" s="4"/>
      <c r="AB78" s="4"/>
      <c r="AC78" s="4"/>
      <c r="AD78" s="4"/>
      <c r="AE78" s="4"/>
      <c r="AF78" s="4"/>
      <c r="AG78" s="4"/>
      <c r="AH78" s="4"/>
      <c r="AI78" s="4"/>
      <c r="AJ78" s="4"/>
      <c r="AK78" s="4"/>
      <c r="AL78" s="4"/>
      <c r="AM78" s="4"/>
      <c r="AN78" s="4"/>
      <c r="AO78" s="4"/>
      <c r="AQ78" s="1623"/>
      <c r="AR78" s="1623"/>
      <c r="AS78" s="1623"/>
      <c r="AY78" s="1577"/>
      <c r="AZ78" s="1623"/>
      <c r="BA78" s="1625"/>
      <c r="BB78" s="1625"/>
      <c r="BC78" s="1626"/>
      <c r="BD78" s="1625"/>
      <c r="BE78" s="1625"/>
      <c r="BF78" s="1625"/>
      <c r="BG78" s="1554"/>
      <c r="BH78" s="1625"/>
      <c r="BL78" s="1625"/>
      <c r="BM78" s="1625"/>
      <c r="BN78" s="1625"/>
      <c r="BO78" s="1625"/>
      <c r="BP78" s="1625"/>
      <c r="BQ78" s="1625"/>
      <c r="BR78" s="1625"/>
      <c r="BS78" s="1625"/>
      <c r="BT78" s="1625"/>
      <c r="BU78" s="1625"/>
      <c r="BV78" s="1625"/>
      <c r="BW78" s="1626"/>
      <c r="BX78" s="1644"/>
      <c r="BY78" s="1644"/>
      <c r="BZ78" s="1644"/>
      <c r="CB78" s="1557"/>
      <c r="CC78" s="1557"/>
      <c r="CD78" s="1557"/>
      <c r="CE78" s="1557"/>
      <c r="CF78" s="1557"/>
      <c r="CG78" s="1557"/>
      <c r="CH78" s="1557"/>
      <c r="CI78" s="1557"/>
      <c r="CJ78" s="1557"/>
      <c r="CK78" s="1557"/>
      <c r="CL78" s="1557"/>
      <c r="CM78" s="1557"/>
      <c r="CN78" s="1557"/>
      <c r="CO78" s="1557"/>
      <c r="CP78" s="185"/>
    </row>
    <row r="79" spans="2:94" ht="15" customHeight="1" thickBot="1" x14ac:dyDescent="0.45">
      <c r="T79" s="4"/>
      <c r="U79" s="4"/>
      <c r="V79" s="4"/>
      <c r="W79" s="4"/>
      <c r="X79" s="4"/>
      <c r="Y79" s="4"/>
      <c r="Z79" s="4"/>
      <c r="AA79" s="4"/>
      <c r="AB79" s="4"/>
      <c r="AC79" s="4"/>
      <c r="AD79" s="4"/>
      <c r="AE79" s="4"/>
      <c r="AF79" s="4"/>
      <c r="AG79" s="4"/>
      <c r="AH79" s="4"/>
      <c r="AI79" s="4"/>
      <c r="AJ79" s="4"/>
      <c r="AK79" s="4"/>
      <c r="AL79" s="4"/>
      <c r="AM79" s="4"/>
      <c r="AN79" s="4"/>
      <c r="AO79" s="4"/>
      <c r="AQ79" s="1623"/>
      <c r="AR79" s="1623"/>
      <c r="AS79" s="1623"/>
      <c r="AY79" s="1577"/>
      <c r="AZ79" s="1623"/>
      <c r="BA79" s="1625"/>
      <c r="BB79" s="1625"/>
      <c r="BC79" s="1626"/>
      <c r="BD79" s="1625"/>
      <c r="BE79" s="1625"/>
      <c r="BF79" s="1625"/>
      <c r="BG79" s="1554"/>
      <c r="BH79" s="1625"/>
      <c r="BL79" s="1625"/>
      <c r="BM79" s="1625"/>
      <c r="BN79" s="1625"/>
      <c r="BO79" s="1625"/>
      <c r="BP79" s="1625"/>
      <c r="BQ79" s="1625"/>
      <c r="BR79" s="1625"/>
      <c r="BS79" s="1625"/>
      <c r="BT79" s="1625"/>
      <c r="BU79" s="1625"/>
      <c r="BV79" s="1625"/>
      <c r="BW79" s="1626"/>
      <c r="BX79" s="1644"/>
      <c r="BY79" s="1644"/>
      <c r="BZ79" s="1644"/>
      <c r="CB79" s="1557"/>
      <c r="CC79" s="1557"/>
      <c r="CD79" s="1557"/>
      <c r="CE79" s="1557"/>
      <c r="CF79" s="1557"/>
      <c r="CG79" s="1557"/>
      <c r="CH79" s="1557"/>
      <c r="CI79" s="1557"/>
      <c r="CJ79" s="1557"/>
      <c r="CK79" s="1557"/>
      <c r="CL79" s="1557"/>
      <c r="CM79" s="1557"/>
      <c r="CN79" s="1557"/>
      <c r="CO79" s="1557"/>
      <c r="CP79" s="185"/>
    </row>
    <row r="80" spans="2:94" ht="44.25" customHeight="1" thickBot="1" x14ac:dyDescent="0.45">
      <c r="T80" s="4"/>
      <c r="U80" s="4"/>
      <c r="V80" s="4"/>
      <c r="W80" s="4"/>
      <c r="X80" s="4"/>
      <c r="Y80" s="4"/>
      <c r="Z80" s="4"/>
      <c r="AA80" s="4"/>
      <c r="AB80" s="4"/>
      <c r="AC80" s="4"/>
      <c r="AD80" s="4"/>
      <c r="AE80" s="4"/>
      <c r="AF80" s="4"/>
      <c r="AG80" s="4"/>
      <c r="AH80" s="4"/>
      <c r="AI80" s="4"/>
      <c r="AJ80" s="4"/>
      <c r="AK80" s="4"/>
      <c r="AL80" s="4"/>
      <c r="AM80" s="4"/>
      <c r="AN80" s="4"/>
      <c r="AO80" s="4"/>
      <c r="AQ80" s="1623"/>
      <c r="AR80" s="1623"/>
      <c r="AS80" s="1623"/>
      <c r="AT80" s="1623"/>
      <c r="AV80" s="1623"/>
      <c r="AW80" s="1623"/>
      <c r="AX80" s="1623"/>
      <c r="AY80" s="1645"/>
      <c r="AZ80" s="1561" t="s">
        <v>227</v>
      </c>
      <c r="BA80" s="1646" t="s">
        <v>231</v>
      </c>
      <c r="BB80" s="1647"/>
      <c r="BC80" s="1648"/>
      <c r="BD80" s="1648"/>
      <c r="BE80" s="1648"/>
      <c r="BF80" s="1648"/>
      <c r="BG80" s="1648"/>
      <c r="BH80" s="1648"/>
      <c r="BI80" s="1648"/>
      <c r="BJ80" s="1648"/>
      <c r="BK80" s="1648"/>
      <c r="BL80" s="1648"/>
      <c r="BM80" s="1649">
        <f>SUM(BM63:BM78)</f>
        <v>1</v>
      </c>
      <c r="BN80" s="1650">
        <f t="shared" ref="BN80:CC80" si="0">SUM(BN63:BN78)</f>
        <v>0</v>
      </c>
      <c r="BO80" s="1650">
        <f t="shared" si="0"/>
        <v>0</v>
      </c>
      <c r="BP80" s="1650">
        <f t="shared" si="0"/>
        <v>0</v>
      </c>
      <c r="BQ80" s="1650">
        <f t="shared" si="0"/>
        <v>5</v>
      </c>
      <c r="BR80" s="1650">
        <f t="shared" si="0"/>
        <v>0</v>
      </c>
      <c r="BS80" s="1650">
        <f t="shared" si="0"/>
        <v>0</v>
      </c>
      <c r="BT80" s="1650">
        <f t="shared" si="0"/>
        <v>0</v>
      </c>
      <c r="BU80" s="1650">
        <f t="shared" si="0"/>
        <v>0</v>
      </c>
      <c r="BV80" s="1650">
        <f t="shared" si="0"/>
        <v>0</v>
      </c>
      <c r="BW80" s="1650">
        <f t="shared" si="0"/>
        <v>0</v>
      </c>
      <c r="BX80" s="1650">
        <f t="shared" si="0"/>
        <v>0</v>
      </c>
      <c r="BY80" s="1650">
        <f t="shared" si="0"/>
        <v>0</v>
      </c>
      <c r="BZ80" s="1650">
        <f t="shared" si="0"/>
        <v>0</v>
      </c>
      <c r="CA80" s="1650">
        <f t="shared" si="0"/>
        <v>0</v>
      </c>
      <c r="CB80" s="1650">
        <f t="shared" si="0"/>
        <v>0</v>
      </c>
      <c r="CC80" s="1651">
        <f t="shared" si="0"/>
        <v>0</v>
      </c>
      <c r="CD80" s="1648"/>
      <c r="CE80" s="1648"/>
      <c r="CF80" s="1652"/>
      <c r="CG80" s="1652"/>
      <c r="CH80" s="1652"/>
      <c r="CI80" s="1652"/>
      <c r="CJ80" s="1652"/>
      <c r="CK80" s="1652"/>
      <c r="CL80" s="1653"/>
      <c r="CM80" s="1583"/>
      <c r="CN80" s="1557"/>
      <c r="CO80" s="1557"/>
      <c r="CP80" s="185"/>
    </row>
    <row r="81" spans="2:94" ht="38.25" customHeight="1" thickBot="1" x14ac:dyDescent="0.45">
      <c r="T81" s="4"/>
      <c r="U81" s="4"/>
      <c r="V81" s="4"/>
      <c r="W81" s="4"/>
      <c r="X81" s="4"/>
      <c r="Y81" s="4"/>
      <c r="Z81" s="4"/>
      <c r="AA81" s="4"/>
      <c r="AB81" s="4"/>
      <c r="AC81" s="4"/>
      <c r="AD81" s="4"/>
      <c r="AE81" s="4"/>
      <c r="AF81" s="4"/>
      <c r="AG81" s="4"/>
      <c r="AH81" s="4"/>
      <c r="AI81" s="4"/>
      <c r="AJ81" s="4"/>
      <c r="AK81" s="4"/>
      <c r="AL81" s="4"/>
      <c r="AM81" s="4"/>
      <c r="AN81" s="4"/>
      <c r="AO81" s="4"/>
      <c r="AQ81" s="1623"/>
      <c r="AR81" s="1623"/>
      <c r="AS81" s="1623"/>
      <c r="AT81" s="1623"/>
      <c r="AU81" s="1623"/>
      <c r="AV81" s="1623"/>
      <c r="AW81" s="1623"/>
      <c r="AX81" s="1550" t="b">
        <f>AND(AZ81&gt;=10,$AN$138&gt;=10,$AO$138&gt;=10)</f>
        <v>1</v>
      </c>
      <c r="AY81" s="1570" t="str">
        <f>IF(AX81=TRUE,"O K","OVERLOAD")</f>
        <v>O K</v>
      </c>
      <c r="AZ81" s="1571">
        <f>+$D$8/(BB49/2)</f>
        <v>174.86338797814207</v>
      </c>
      <c r="BA81" s="1654"/>
      <c r="BB81" s="1644"/>
      <c r="BC81" s="1655"/>
      <c r="BD81" s="1644"/>
      <c r="BE81" s="1644"/>
      <c r="BF81" s="1644"/>
      <c r="BG81" s="1655"/>
      <c r="BH81" s="1644"/>
      <c r="BI81" s="1644"/>
      <c r="BJ81" s="1644"/>
      <c r="BK81" s="1644"/>
      <c r="BL81" s="1644"/>
      <c r="BM81" s="1644"/>
      <c r="BN81" s="1644"/>
      <c r="BO81" s="1644"/>
      <c r="BP81" s="1644"/>
      <c r="BQ81" s="1644"/>
      <c r="BR81" s="1644"/>
      <c r="BS81" s="1644"/>
      <c r="BT81" s="1644"/>
      <c r="BU81" s="1644"/>
      <c r="BV81" s="1644"/>
      <c r="BW81" s="1644"/>
      <c r="BX81" s="1644"/>
      <c r="BY81" s="1644"/>
      <c r="BZ81" s="1644"/>
      <c r="CA81" s="1644"/>
      <c r="CB81" s="1644"/>
      <c r="CC81" s="1644"/>
      <c r="CD81" s="1557"/>
      <c r="CE81" s="1557"/>
      <c r="CF81" s="1557"/>
      <c r="CG81" s="1557"/>
      <c r="CH81" s="1557"/>
      <c r="CI81" s="1557"/>
      <c r="CJ81" s="1557"/>
      <c r="CK81" s="1557"/>
      <c r="CL81" s="1557"/>
      <c r="CM81" s="1557"/>
      <c r="CN81" s="1557"/>
      <c r="CO81" s="1557"/>
      <c r="CP81" s="185"/>
    </row>
    <row r="82" spans="2:94" ht="19.5" hidden="1" customHeight="1" x14ac:dyDescent="0.4">
      <c r="T82" s="4"/>
      <c r="U82" s="4"/>
      <c r="V82" s="4"/>
      <c r="W82" s="4"/>
      <c r="X82" s="4"/>
      <c r="Y82" s="4"/>
      <c r="Z82" s="4"/>
      <c r="AA82" s="4"/>
      <c r="AB82" s="4"/>
      <c r="AC82" s="4"/>
      <c r="AD82" s="4"/>
      <c r="AE82" s="4"/>
      <c r="AF82" s="4"/>
      <c r="AG82" s="4"/>
      <c r="AH82" s="4"/>
      <c r="AI82" s="4"/>
      <c r="AJ82" s="4"/>
      <c r="AK82" s="4"/>
      <c r="AL82" s="4"/>
      <c r="AM82" s="4"/>
      <c r="AN82" s="4"/>
      <c r="AO82" s="4"/>
      <c r="AQ82" s="1623"/>
      <c r="AR82" s="1623"/>
      <c r="AS82" s="1623"/>
      <c r="AT82" s="1623"/>
      <c r="AU82" s="1623"/>
      <c r="AV82" s="1623"/>
      <c r="AW82" s="1623"/>
      <c r="AX82" s="1623"/>
      <c r="AY82" s="1645"/>
      <c r="AZ82" s="1623"/>
      <c r="BA82" s="1554"/>
      <c r="BB82" s="1656" t="b">
        <f>+AO187</f>
        <v>0</v>
      </c>
      <c r="BC82" s="1656" t="b">
        <f>+AO188</f>
        <v>0</v>
      </c>
      <c r="BD82" s="1656" t="b">
        <f>+AO189</f>
        <v>0</v>
      </c>
      <c r="BE82" s="1656" t="b">
        <f>+AO190</f>
        <v>0</v>
      </c>
      <c r="BF82" s="1656" t="b">
        <f>+AO191</f>
        <v>0</v>
      </c>
      <c r="BG82" s="1656" t="b">
        <f>+AO192</f>
        <v>0</v>
      </c>
      <c r="BH82" s="1656" t="b">
        <f>+AO193</f>
        <v>0</v>
      </c>
      <c r="BI82" s="1656" t="b">
        <f>+AO194</f>
        <v>0</v>
      </c>
      <c r="BJ82" s="1656" t="b">
        <f>+AO195</f>
        <v>0</v>
      </c>
      <c r="BK82" s="1656" t="b">
        <f>+AO196</f>
        <v>0</v>
      </c>
      <c r="BL82" s="1656" t="b">
        <f>+AO197</f>
        <v>0</v>
      </c>
      <c r="BM82" s="1656" t="b">
        <f>+AO198</f>
        <v>0</v>
      </c>
      <c r="BN82" s="1656" t="b">
        <f>+AO199</f>
        <v>0</v>
      </c>
      <c r="BO82" s="1656">
        <f>+AO200</f>
        <v>14</v>
      </c>
      <c r="BP82" s="1656" t="b">
        <f>+AO201</f>
        <v>0</v>
      </c>
      <c r="BQ82" s="1656" t="b">
        <f>+AO202</f>
        <v>0</v>
      </c>
      <c r="BR82" s="1656" t="b">
        <f>+AO203</f>
        <v>0</v>
      </c>
      <c r="BS82" s="1656" t="b">
        <f>+AO204</f>
        <v>0</v>
      </c>
      <c r="BT82" s="1656" t="b">
        <f>+AO205</f>
        <v>0</v>
      </c>
      <c r="BU82" s="1656" t="b">
        <f>+AO206</f>
        <v>0</v>
      </c>
      <c r="BV82" s="1656" t="b">
        <f>+AO207</f>
        <v>0</v>
      </c>
      <c r="BW82" s="1656" t="b">
        <f>+AO208</f>
        <v>0</v>
      </c>
      <c r="BX82" s="1656" t="b">
        <f>+AO209</f>
        <v>0</v>
      </c>
      <c r="BY82" s="1656" t="b">
        <f>+AO210</f>
        <v>0</v>
      </c>
      <c r="BZ82" s="1656" t="b">
        <f>+AO211</f>
        <v>0</v>
      </c>
      <c r="CA82" s="1656" t="b">
        <f>+AO212</f>
        <v>0</v>
      </c>
      <c r="CB82" s="1656" t="b">
        <f>+AO213</f>
        <v>0</v>
      </c>
      <c r="CC82" s="1656" t="b">
        <f>+AO214</f>
        <v>0</v>
      </c>
      <c r="CD82" s="1656" t="b">
        <f>+AO215</f>
        <v>0</v>
      </c>
      <c r="CE82" s="1656" t="b">
        <f>+AO216</f>
        <v>0</v>
      </c>
      <c r="CF82" s="1656" t="b">
        <f>+AO217</f>
        <v>0</v>
      </c>
      <c r="CG82" s="1656" t="b">
        <f>+AO218</f>
        <v>0</v>
      </c>
      <c r="CH82" s="1656" t="b">
        <f>+AO219</f>
        <v>0</v>
      </c>
      <c r="CI82" s="1656" t="b">
        <f>+AO220</f>
        <v>0</v>
      </c>
      <c r="CJ82" s="1656" t="b">
        <f>+AO221</f>
        <v>0</v>
      </c>
      <c r="CK82" s="1656" t="b">
        <f>+AO222</f>
        <v>0</v>
      </c>
      <c r="CL82" s="1656" t="b">
        <f>+AO223</f>
        <v>0</v>
      </c>
      <c r="CM82" s="1657"/>
      <c r="CN82" s="1557"/>
      <c r="CO82" s="1557"/>
      <c r="CP82" s="185"/>
    </row>
    <row r="83" spans="2:94" ht="11.25" hidden="1" customHeight="1" x14ac:dyDescent="0.4">
      <c r="T83" s="4"/>
      <c r="U83" s="4"/>
      <c r="V83" s="4"/>
      <c r="W83" s="4"/>
      <c r="X83" s="4"/>
      <c r="Y83" s="4"/>
      <c r="Z83" s="4"/>
      <c r="AA83" s="4"/>
      <c r="AB83" s="4"/>
      <c r="AC83" s="4"/>
      <c r="AD83" s="4"/>
      <c r="AE83" s="4"/>
      <c r="AF83" s="4"/>
      <c r="AG83" s="4"/>
      <c r="AH83" s="4"/>
      <c r="AI83" s="4"/>
      <c r="AJ83" s="4"/>
      <c r="AK83" s="4"/>
      <c r="AL83" s="4"/>
      <c r="AM83" s="4"/>
      <c r="AN83" s="4"/>
      <c r="AO83" s="4"/>
      <c r="AQ83" s="1623"/>
      <c r="AR83" s="1623"/>
      <c r="AS83" s="1623"/>
      <c r="AT83" s="1623"/>
      <c r="AU83" s="1623"/>
      <c r="AV83" s="1623"/>
      <c r="AW83" s="1623"/>
      <c r="AX83" s="1623"/>
      <c r="AY83" s="1645"/>
      <c r="AZ83" s="1623"/>
      <c r="BA83" s="1556"/>
      <c r="BB83" s="1657" t="b">
        <f>+BB82</f>
        <v>0</v>
      </c>
      <c r="BC83" s="1657" t="b">
        <f t="shared" ref="BC83:BT83" si="1">+BC82</f>
        <v>0</v>
      </c>
      <c r="BD83" s="1657" t="b">
        <f t="shared" si="1"/>
        <v>0</v>
      </c>
      <c r="BE83" s="1657" t="b">
        <f t="shared" si="1"/>
        <v>0</v>
      </c>
      <c r="BF83" s="1657" t="b">
        <f t="shared" si="1"/>
        <v>0</v>
      </c>
      <c r="BG83" s="1657" t="b">
        <f t="shared" si="1"/>
        <v>0</v>
      </c>
      <c r="BH83" s="1657" t="b">
        <f>+BH82</f>
        <v>0</v>
      </c>
      <c r="BI83" s="1657" t="b">
        <f t="shared" si="1"/>
        <v>0</v>
      </c>
      <c r="BJ83" s="1657" t="b">
        <f t="shared" si="1"/>
        <v>0</v>
      </c>
      <c r="BK83" s="1657" t="b">
        <f t="shared" si="1"/>
        <v>0</v>
      </c>
      <c r="BL83" s="1657" t="b">
        <f t="shared" si="1"/>
        <v>0</v>
      </c>
      <c r="BM83" s="1657" t="b">
        <f>+BM82</f>
        <v>0</v>
      </c>
      <c r="BN83" s="1657" t="b">
        <f>+BN82</f>
        <v>0</v>
      </c>
      <c r="BO83" s="1657">
        <f>+BO82</f>
        <v>14</v>
      </c>
      <c r="BP83" s="1657" t="b">
        <f>+BP82</f>
        <v>0</v>
      </c>
      <c r="BQ83" s="1657" t="b">
        <f>+BQ82</f>
        <v>0</v>
      </c>
      <c r="BR83" s="1657" t="b">
        <f t="shared" si="1"/>
        <v>0</v>
      </c>
      <c r="BS83" s="1657" t="b">
        <f t="shared" si="1"/>
        <v>0</v>
      </c>
      <c r="BT83" s="1657" t="b">
        <f t="shared" si="1"/>
        <v>0</v>
      </c>
      <c r="BU83" s="1657" t="b">
        <f>+BU82</f>
        <v>0</v>
      </c>
      <c r="BV83" s="1657" t="b">
        <f>+BV82</f>
        <v>0</v>
      </c>
      <c r="BW83" s="1657" t="b">
        <f t="shared" ref="BW83:CL83" si="2">+BW82</f>
        <v>0</v>
      </c>
      <c r="BX83" s="1657" t="b">
        <f t="shared" si="2"/>
        <v>0</v>
      </c>
      <c r="BY83" s="1657" t="b">
        <f t="shared" si="2"/>
        <v>0</v>
      </c>
      <c r="BZ83" s="1657" t="b">
        <f t="shared" si="2"/>
        <v>0</v>
      </c>
      <c r="CA83" s="1657" t="b">
        <f t="shared" si="2"/>
        <v>0</v>
      </c>
      <c r="CB83" s="1657" t="b">
        <f t="shared" si="2"/>
        <v>0</v>
      </c>
      <c r="CC83" s="1657" t="b">
        <f t="shared" si="2"/>
        <v>0</v>
      </c>
      <c r="CD83" s="1657" t="b">
        <f t="shared" si="2"/>
        <v>0</v>
      </c>
      <c r="CE83" s="1657" t="b">
        <f t="shared" si="2"/>
        <v>0</v>
      </c>
      <c r="CF83" s="1657" t="b">
        <f t="shared" si="2"/>
        <v>0</v>
      </c>
      <c r="CG83" s="1657" t="b">
        <f t="shared" si="2"/>
        <v>0</v>
      </c>
      <c r="CH83" s="1657" t="b">
        <f t="shared" si="2"/>
        <v>0</v>
      </c>
      <c r="CI83" s="1657" t="b">
        <f t="shared" si="2"/>
        <v>0</v>
      </c>
      <c r="CJ83" s="1657" t="b">
        <f t="shared" si="2"/>
        <v>0</v>
      </c>
      <c r="CK83" s="1657" t="b">
        <f t="shared" si="2"/>
        <v>0</v>
      </c>
      <c r="CL83" s="1657" t="b">
        <f t="shared" si="2"/>
        <v>0</v>
      </c>
      <c r="CM83" s="1657"/>
      <c r="CN83" s="1557"/>
      <c r="CO83" s="1557"/>
      <c r="CP83" s="185"/>
    </row>
    <row r="84" spans="2:94" ht="15" customHeight="1" thickBot="1" x14ac:dyDescent="0.45">
      <c r="T84" s="4"/>
      <c r="U84" s="4"/>
      <c r="V84" s="4"/>
      <c r="W84" s="4"/>
      <c r="X84" s="4"/>
      <c r="Y84" s="4"/>
      <c r="Z84" s="4"/>
      <c r="AA84" s="4"/>
      <c r="AB84" s="4"/>
      <c r="AC84" s="4"/>
      <c r="AD84" s="4"/>
      <c r="AE84" s="4"/>
      <c r="AF84" s="4"/>
      <c r="AG84" s="4"/>
      <c r="AH84" s="4"/>
      <c r="AI84" s="4"/>
      <c r="AJ84" s="4"/>
      <c r="AK84" s="4"/>
      <c r="AL84" s="4"/>
      <c r="AM84" s="4"/>
      <c r="AN84" s="4"/>
      <c r="AO84" s="4"/>
      <c r="AQ84" s="1623"/>
      <c r="AR84" s="1623"/>
      <c r="AS84" s="1623"/>
      <c r="AT84" s="1623"/>
      <c r="AU84" s="1623"/>
      <c r="AV84" s="1623"/>
      <c r="AW84" s="1623"/>
      <c r="AX84" s="1623"/>
      <c r="AY84" s="1645"/>
      <c r="AZ84" s="1623"/>
      <c r="BA84" s="1556"/>
      <c r="BB84" s="1657"/>
      <c r="BC84" s="1657"/>
      <c r="BD84" s="1657"/>
      <c r="BE84" s="1657"/>
      <c r="BF84" s="1657"/>
      <c r="BG84" s="1657"/>
      <c r="BH84" s="1657"/>
      <c r="BI84" s="1657"/>
      <c r="BJ84" s="1657"/>
      <c r="BK84" s="1657"/>
      <c r="BL84" s="1657"/>
      <c r="BM84" s="1657"/>
      <c r="BN84" s="1657"/>
      <c r="BO84" s="1657"/>
      <c r="BP84" s="1657"/>
      <c r="BQ84" s="1657"/>
      <c r="BR84" s="1657"/>
      <c r="BS84" s="1657"/>
      <c r="BT84" s="1657"/>
      <c r="BU84" s="1657"/>
      <c r="BV84" s="1657"/>
      <c r="BW84" s="1657"/>
      <c r="BX84" s="1657"/>
      <c r="BY84" s="1657"/>
      <c r="BZ84" s="1657"/>
      <c r="CA84" s="1657"/>
      <c r="CB84" s="1657"/>
      <c r="CC84" s="1657"/>
      <c r="CD84" s="1657"/>
      <c r="CE84" s="1657"/>
      <c r="CF84" s="1657"/>
      <c r="CG84" s="1657"/>
      <c r="CH84" s="1657"/>
      <c r="CI84" s="1657"/>
      <c r="CJ84" s="1657"/>
      <c r="CK84" s="1657"/>
      <c r="CL84" s="1657"/>
      <c r="CM84" s="1657"/>
      <c r="CN84" s="1557"/>
      <c r="CO84" s="1557"/>
      <c r="CP84" s="185"/>
    </row>
    <row r="85" spans="2:94" ht="33" customHeight="1" thickBot="1" x14ac:dyDescent="0.45">
      <c r="T85" s="4"/>
      <c r="U85" s="4"/>
      <c r="V85" s="4"/>
      <c r="W85" s="4"/>
      <c r="X85" s="4"/>
      <c r="Y85" s="4"/>
      <c r="Z85" s="4"/>
      <c r="AA85" s="4"/>
      <c r="AB85" s="4"/>
      <c r="AC85" s="4"/>
      <c r="AD85" s="4"/>
      <c r="AE85" s="4"/>
      <c r="AF85" s="4"/>
      <c r="AG85" s="4"/>
      <c r="AH85" s="4"/>
      <c r="AI85" s="4"/>
      <c r="AJ85" s="4"/>
      <c r="AK85" s="4"/>
      <c r="AL85" s="4"/>
      <c r="AM85" s="4"/>
      <c r="AN85" s="4"/>
      <c r="AO85" s="4"/>
      <c r="AQ85" s="1623"/>
      <c r="AR85" s="1623"/>
      <c r="AS85" s="1623"/>
      <c r="AT85" s="1623"/>
      <c r="AU85" s="1623"/>
      <c r="AV85" s="1623"/>
      <c r="AW85" s="1623"/>
      <c r="AX85" s="1623"/>
      <c r="AY85" s="1645"/>
      <c r="AZ85" s="1561" t="s">
        <v>227</v>
      </c>
      <c r="BA85" s="1658" t="s">
        <v>232</v>
      </c>
      <c r="BB85" s="1659" t="str">
        <f>IF(BB83=1,"17","")</f>
        <v/>
      </c>
      <c r="BC85" s="1660" t="str">
        <f>IF(BC83=2,"16","")</f>
        <v/>
      </c>
      <c r="BD85" s="1660" t="str">
        <f>IF(BD83=3,"15","")</f>
        <v/>
      </c>
      <c r="BE85" s="1660" t="str">
        <f>IF(BE83=4,"14","")</f>
        <v/>
      </c>
      <c r="BF85" s="1660" t="str">
        <f>IF(BF83=5,"13","")</f>
        <v/>
      </c>
      <c r="BG85" s="1660" t="str">
        <f>IF(BG83=6,"12","")</f>
        <v/>
      </c>
      <c r="BH85" s="1660" t="str">
        <f>IF(BH83=7,"11","")</f>
        <v/>
      </c>
      <c r="BI85" s="1660" t="str">
        <f>IF(BI83=8,"10","")</f>
        <v/>
      </c>
      <c r="BJ85" s="1660" t="str">
        <f>IF(BJ83=9,"9","")</f>
        <v/>
      </c>
      <c r="BK85" s="1660" t="str">
        <f>IF(BK83=10,"8","")</f>
        <v/>
      </c>
      <c r="BL85" s="1660" t="str">
        <f>IF(BL83=11,"7","")</f>
        <v/>
      </c>
      <c r="BM85" s="1661" t="str">
        <f>IF(BM83=12,"1","")</f>
        <v/>
      </c>
      <c r="BN85" s="1662" t="str">
        <f>IF(BN83=13,"2","")</f>
        <v/>
      </c>
      <c r="BO85" s="1662" t="str">
        <f>IF(BO83=14,"3","")</f>
        <v>3</v>
      </c>
      <c r="BP85" s="1662" t="str">
        <f>IF(BP83=15,"4","")</f>
        <v/>
      </c>
      <c r="BQ85" s="1662" t="str">
        <f>IF(BQ83=16,"5","")</f>
        <v/>
      </c>
      <c r="BR85" s="1662" t="str">
        <f>IF(BR83=17,"6","")</f>
        <v/>
      </c>
      <c r="BS85" s="1662" t="str">
        <f>IF(BS83=18,"7","")</f>
        <v/>
      </c>
      <c r="BT85" s="1662" t="str">
        <f>IF(BT83=19,"8","")</f>
        <v/>
      </c>
      <c r="BU85" s="1662" t="str">
        <f>IF(BU83=20,"9","")</f>
        <v/>
      </c>
      <c r="BV85" s="1662" t="str">
        <f>IF(BV83=21,"10","")</f>
        <v/>
      </c>
      <c r="BW85" s="1662" t="str">
        <f>IF(BW83=22,"11","")</f>
        <v/>
      </c>
      <c r="BX85" s="1662" t="str">
        <f>IF(BX83=23,"12","")</f>
        <v/>
      </c>
      <c r="BY85" s="1662" t="str">
        <f>IF(BY83=24,"13","")</f>
        <v/>
      </c>
      <c r="BZ85" s="1662" t="str">
        <f>IF(BZ83=25,"14","")</f>
        <v/>
      </c>
      <c r="CA85" s="1662" t="str">
        <f>IF(CA83=26,"15","")</f>
        <v/>
      </c>
      <c r="CB85" s="1662" t="str">
        <f>IF(CB83=27,"16","")</f>
        <v/>
      </c>
      <c r="CC85" s="1663" t="str">
        <f>IF(CC83=28,"17","")</f>
        <v/>
      </c>
      <c r="CD85" s="1664" t="str">
        <f>IF(CD83=29,"9","")</f>
        <v/>
      </c>
      <c r="CE85" s="1664" t="str">
        <f>IF(CE83=30,"10","")</f>
        <v/>
      </c>
      <c r="CF85" s="1664" t="str">
        <f>IF(CF83=31,"11","")</f>
        <v/>
      </c>
      <c r="CG85" s="1664" t="str">
        <f>IF(CG83=32,"12","")</f>
        <v/>
      </c>
      <c r="CH85" s="1664" t="str">
        <f>IF(CH83=33,"13","")</f>
        <v/>
      </c>
      <c r="CI85" s="1664" t="str">
        <f>IF(CI83=34,"14","")</f>
        <v/>
      </c>
      <c r="CJ85" s="1664" t="str">
        <f>IF(CJ83=35,"15","")</f>
        <v/>
      </c>
      <c r="CK85" s="1664" t="str">
        <f>IF(CK83=36,"16","")</f>
        <v/>
      </c>
      <c r="CL85" s="1665" t="str">
        <f>IF(CL83=37,"17","")</f>
        <v/>
      </c>
      <c r="CM85" s="1666"/>
      <c r="CN85" s="1557"/>
      <c r="CO85" s="1557"/>
      <c r="CP85" s="185"/>
    </row>
    <row r="86" spans="2:94" ht="45" customHeight="1" thickBot="1" x14ac:dyDescent="0.45">
      <c r="T86" s="4"/>
      <c r="U86" s="4"/>
      <c r="V86" s="4"/>
      <c r="W86" s="4"/>
      <c r="X86" s="4"/>
      <c r="Y86" s="4"/>
      <c r="Z86" s="4"/>
      <c r="AA86" s="4"/>
      <c r="AB86" s="4"/>
      <c r="AC86" s="4"/>
      <c r="AD86" s="4"/>
      <c r="AE86" s="4"/>
      <c r="AF86" s="4"/>
      <c r="AG86" s="4"/>
      <c r="AH86" s="4"/>
      <c r="AI86" s="4"/>
      <c r="AJ86" s="4"/>
      <c r="AK86" s="4"/>
      <c r="AL86" s="4"/>
      <c r="AM86" s="4"/>
      <c r="AN86" s="4"/>
      <c r="AO86" s="4"/>
      <c r="AQ86" s="1623"/>
      <c r="AR86" s="1623"/>
      <c r="AS86" s="1623"/>
      <c r="AT86" s="1623"/>
      <c r="AU86" s="1623"/>
      <c r="AV86" s="1623"/>
      <c r="AW86" s="1623"/>
      <c r="AX86" s="1550" t="b">
        <f>AND(AZ86&gt;=10,$AN$138&gt;=10,$AO$138&gt;=10)</f>
        <v>1</v>
      </c>
      <c r="AY86" s="1570" t="str">
        <f>IF(AX86=TRUE,"O K","OVERLOAD")</f>
        <v>O K</v>
      </c>
      <c r="AZ86" s="1571">
        <f>+$D$8/(BB49)</f>
        <v>87.431693989071036</v>
      </c>
      <c r="BA86" s="1667" t="s">
        <v>233</v>
      </c>
      <c r="BB86" s="1668">
        <v>-10</v>
      </c>
      <c r="BC86" s="1668">
        <v>-9</v>
      </c>
      <c r="BD86" s="1668">
        <v>-8</v>
      </c>
      <c r="BE86" s="1668">
        <v>-7</v>
      </c>
      <c r="BF86" s="1668">
        <v>-6</v>
      </c>
      <c r="BG86" s="1668">
        <v>-5</v>
      </c>
      <c r="BH86" s="1668">
        <v>-4</v>
      </c>
      <c r="BI86" s="1668">
        <v>-3</v>
      </c>
      <c r="BJ86" s="1668">
        <v>-2</v>
      </c>
      <c r="BK86" s="1668">
        <v>-1</v>
      </c>
      <c r="BL86" s="1668">
        <v>0</v>
      </c>
      <c r="BM86" s="1668">
        <v>1</v>
      </c>
      <c r="BN86" s="1668">
        <v>2</v>
      </c>
      <c r="BO86" s="1668">
        <v>3</v>
      </c>
      <c r="BP86" s="1668">
        <v>4</v>
      </c>
      <c r="BQ86" s="1668">
        <v>5</v>
      </c>
      <c r="BR86" s="1668">
        <v>6</v>
      </c>
      <c r="BS86" s="1668">
        <v>7</v>
      </c>
      <c r="BT86" s="1668">
        <v>8</v>
      </c>
      <c r="BU86" s="1668">
        <v>9</v>
      </c>
      <c r="BV86" s="1669">
        <v>10</v>
      </c>
      <c r="BW86" s="1668">
        <v>11</v>
      </c>
      <c r="BX86" s="1668">
        <v>12</v>
      </c>
      <c r="BY86" s="1668">
        <v>13</v>
      </c>
      <c r="BZ86" s="1668">
        <v>14</v>
      </c>
      <c r="CA86" s="1668">
        <v>15</v>
      </c>
      <c r="CB86" s="1668">
        <v>16</v>
      </c>
      <c r="CC86" s="1668">
        <v>17</v>
      </c>
      <c r="CD86" s="1668">
        <v>18</v>
      </c>
      <c r="CE86" s="1668">
        <v>19</v>
      </c>
      <c r="CF86" s="1668">
        <v>20</v>
      </c>
      <c r="CG86" s="1668">
        <v>21</v>
      </c>
      <c r="CH86" s="1668">
        <v>22</v>
      </c>
      <c r="CI86" s="1668">
        <v>23</v>
      </c>
      <c r="CJ86" s="1668">
        <v>24</v>
      </c>
      <c r="CK86" s="1668">
        <v>25</v>
      </c>
      <c r="CL86" s="1670">
        <v>26</v>
      </c>
      <c r="CM86" s="1557"/>
      <c r="CN86" s="1557"/>
      <c r="CO86" s="1557"/>
      <c r="CP86" s="185"/>
    </row>
    <row r="87" spans="2:94" ht="48" hidden="1" customHeight="1" x14ac:dyDescent="0.4">
      <c r="T87" s="4"/>
      <c r="U87" s="4"/>
      <c r="V87" s="4"/>
      <c r="W87" s="4"/>
      <c r="X87" s="4"/>
      <c r="Y87" s="4"/>
      <c r="Z87" s="4"/>
      <c r="AA87" s="4"/>
      <c r="AB87" s="4"/>
      <c r="AC87" s="4"/>
      <c r="AD87" s="4"/>
      <c r="AE87" s="4"/>
      <c r="AF87" s="4"/>
      <c r="AG87" s="4"/>
      <c r="AH87" s="4"/>
      <c r="AI87" s="4"/>
      <c r="AJ87" s="4"/>
      <c r="AK87" s="4"/>
      <c r="AL87" s="4"/>
      <c r="AM87" s="4"/>
      <c r="AN87" s="4"/>
      <c r="AO87" s="4"/>
      <c r="AQ87" s="1623"/>
      <c r="AR87" s="1623"/>
      <c r="AS87" s="1623"/>
      <c r="AT87" s="1623"/>
      <c r="AU87" s="1623"/>
      <c r="AV87" s="1623"/>
      <c r="AW87" s="1623"/>
      <c r="AX87" s="1623"/>
      <c r="AY87" s="1623"/>
      <c r="BA87" s="1557"/>
      <c r="BB87" s="1671">
        <v>1</v>
      </c>
      <c r="BC87" s="1671">
        <v>2</v>
      </c>
      <c r="BD87" s="1671">
        <v>3</v>
      </c>
      <c r="BE87" s="1671">
        <v>4</v>
      </c>
      <c r="BF87" s="1671">
        <v>5</v>
      </c>
      <c r="BG87" s="1671">
        <v>6</v>
      </c>
      <c r="BH87" s="1671">
        <v>7</v>
      </c>
      <c r="BI87" s="1671">
        <v>8</v>
      </c>
      <c r="BJ87" s="1671">
        <v>9</v>
      </c>
      <c r="BK87" s="1671">
        <v>10</v>
      </c>
      <c r="BL87" s="1671">
        <v>11</v>
      </c>
      <c r="BM87" s="1671">
        <v>12</v>
      </c>
      <c r="BN87" s="1671">
        <v>13</v>
      </c>
      <c r="BO87" s="1671">
        <v>14</v>
      </c>
      <c r="BP87" s="1671">
        <v>15</v>
      </c>
      <c r="BQ87" s="1671">
        <v>16</v>
      </c>
      <c r="BR87" s="1671">
        <v>17</v>
      </c>
      <c r="BS87" s="1671">
        <v>18</v>
      </c>
      <c r="BT87" s="1671">
        <v>19</v>
      </c>
      <c r="BU87" s="1671">
        <v>20</v>
      </c>
      <c r="BV87" s="1671">
        <v>21</v>
      </c>
      <c r="BW87" s="1671">
        <v>22</v>
      </c>
      <c r="BX87" s="1671">
        <v>23</v>
      </c>
      <c r="BY87" s="1671">
        <v>24</v>
      </c>
      <c r="BZ87" s="1671">
        <v>25</v>
      </c>
      <c r="CA87" s="1671">
        <v>26</v>
      </c>
      <c r="CB87" s="1671">
        <v>27</v>
      </c>
      <c r="CC87" s="1671">
        <v>28</v>
      </c>
      <c r="CD87" s="1671">
        <v>29</v>
      </c>
      <c r="CE87" s="1671">
        <v>30</v>
      </c>
      <c r="CF87" s="1671">
        <v>31</v>
      </c>
      <c r="CG87" s="1671">
        <v>32</v>
      </c>
      <c r="CH87" s="1671">
        <v>33</v>
      </c>
      <c r="CI87" s="1671">
        <v>34</v>
      </c>
      <c r="CJ87" s="1671">
        <v>35</v>
      </c>
      <c r="CK87" s="1671">
        <v>36</v>
      </c>
      <c r="CL87" s="1671">
        <v>37</v>
      </c>
      <c r="CM87" s="1671"/>
      <c r="CN87" s="1557"/>
      <c r="CO87" s="1557"/>
      <c r="CP87" s="185"/>
    </row>
    <row r="88" spans="2:94" ht="46.5" hidden="1" customHeight="1" thickBot="1" x14ac:dyDescent="0.45">
      <c r="T88" s="4"/>
      <c r="U88" s="4"/>
      <c r="V88" s="4"/>
      <c r="W88" s="4"/>
      <c r="X88" s="4"/>
      <c r="Y88" s="4"/>
      <c r="Z88" s="4"/>
      <c r="AA88" s="4"/>
      <c r="AB88" s="4"/>
      <c r="AC88" s="4"/>
      <c r="AD88" s="4"/>
      <c r="AE88" s="4"/>
      <c r="AF88" s="4"/>
      <c r="AG88" s="4"/>
      <c r="AH88" s="4"/>
      <c r="AI88" s="4"/>
      <c r="AJ88" s="4"/>
      <c r="AK88" s="4"/>
      <c r="AL88" s="4"/>
      <c r="AM88" s="4"/>
      <c r="AN88" s="4"/>
      <c r="AO88" s="4"/>
      <c r="AY88" s="1577"/>
      <c r="AZ88" s="1601"/>
      <c r="BA88" s="1672"/>
      <c r="BB88" s="1673"/>
      <c r="BC88" s="1673"/>
      <c r="BD88" s="1673"/>
      <c r="BE88" s="1673"/>
      <c r="BF88" s="1673"/>
      <c r="BG88" s="1673"/>
      <c r="BH88" s="1673"/>
      <c r="BI88" s="1673"/>
      <c r="BJ88" s="1603"/>
      <c r="BK88" s="1603"/>
      <c r="BL88" s="1604"/>
      <c r="BM88" s="1604"/>
      <c r="BN88" s="1604"/>
      <c r="BO88" s="1604"/>
      <c r="BP88" s="1604"/>
      <c r="BQ88" s="1604"/>
      <c r="BR88" s="1604"/>
      <c r="BS88" s="1604"/>
      <c r="BT88" s="1604"/>
      <c r="BU88" s="1604"/>
      <c r="BV88" s="1604"/>
      <c r="BW88" s="1604"/>
      <c r="BX88" s="1604"/>
      <c r="BY88" s="1605"/>
      <c r="BZ88" s="1606"/>
      <c r="CA88" s="1606"/>
      <c r="CB88" s="1606"/>
      <c r="CC88" s="1606"/>
      <c r="CD88" s="1600"/>
      <c r="CE88" s="1600"/>
      <c r="CF88" s="1600"/>
      <c r="CG88" s="1600"/>
      <c r="CH88" s="1600"/>
      <c r="CI88" s="1600"/>
      <c r="CJ88" s="1600"/>
      <c r="CK88" s="1600"/>
      <c r="CL88" s="1600"/>
      <c r="CM88" s="1600"/>
      <c r="CN88" s="1624"/>
      <c r="CO88" s="1557"/>
      <c r="CP88" s="185"/>
    </row>
    <row r="89" spans="2:94" ht="24.75" hidden="1" customHeight="1" thickBot="1" x14ac:dyDescent="0.45">
      <c r="T89" s="4"/>
      <c r="U89" s="4"/>
      <c r="V89" s="4"/>
      <c r="W89" s="4"/>
      <c r="X89" s="4"/>
      <c r="Y89" s="4"/>
      <c r="Z89" s="4"/>
      <c r="AA89" s="4"/>
      <c r="AB89" s="4"/>
      <c r="AC89" s="4"/>
      <c r="AD89" s="4"/>
      <c r="AE89" s="4"/>
      <c r="AF89" s="4"/>
      <c r="AG89" s="4"/>
      <c r="AH89" s="4"/>
      <c r="AI89" s="4"/>
      <c r="AJ89" s="4"/>
      <c r="AK89" s="4"/>
      <c r="AL89" s="4"/>
      <c r="AM89" s="4"/>
      <c r="AN89" s="4"/>
      <c r="AO89" s="4"/>
      <c r="AY89" s="1577"/>
      <c r="AZ89" s="1601"/>
      <c r="BA89" s="1672">
        <v>36</v>
      </c>
      <c r="BB89" s="1673"/>
      <c r="BC89" s="1673"/>
      <c r="BD89" s="1673"/>
      <c r="BE89" s="1673"/>
      <c r="BF89" s="1673"/>
      <c r="BG89" s="1673"/>
      <c r="BH89" s="1673"/>
      <c r="BI89" s="1673"/>
      <c r="BJ89" s="1603"/>
      <c r="BK89" s="1603"/>
      <c r="BL89" s="1604"/>
      <c r="BM89" s="1604"/>
      <c r="BN89" s="1604"/>
      <c r="BO89" s="1604"/>
      <c r="BP89" s="1604"/>
      <c r="BQ89" s="1604"/>
      <c r="BR89" s="1604"/>
      <c r="BS89" s="1674"/>
      <c r="BT89" s="1675"/>
      <c r="BU89" s="1676"/>
      <c r="BV89" s="1604"/>
      <c r="BW89" s="1604"/>
      <c r="BX89" s="1604"/>
      <c r="BY89" s="1605"/>
      <c r="BZ89" s="1606"/>
      <c r="CA89" s="1606"/>
      <c r="CB89" s="1606"/>
      <c r="CC89" s="1606"/>
      <c r="CD89" s="1600"/>
      <c r="CE89" s="1600"/>
      <c r="CF89" s="1600"/>
      <c r="CG89" s="1600"/>
      <c r="CH89" s="1600"/>
      <c r="CI89" s="1600"/>
      <c r="CJ89" s="1677" t="b">
        <f>IF(CK82=36,35)</f>
        <v>0</v>
      </c>
      <c r="CK89" s="1678"/>
      <c r="CL89" s="1634" t="b">
        <f>IF(CK82=36,37)</f>
        <v>0</v>
      </c>
      <c r="CM89" s="1600"/>
      <c r="CN89" s="1624"/>
      <c r="CO89" s="1557"/>
      <c r="CP89" s="185"/>
    </row>
    <row r="90" spans="2:94" ht="23.4" hidden="1" thickBot="1" x14ac:dyDescent="0.45">
      <c r="T90" s="4"/>
      <c r="U90" s="4"/>
      <c r="V90" s="4"/>
      <c r="W90" s="4"/>
      <c r="X90" s="4"/>
      <c r="Y90" s="4"/>
      <c r="Z90" s="4"/>
      <c r="AA90" s="4"/>
      <c r="AB90" s="4"/>
      <c r="AC90" s="4"/>
      <c r="AD90" s="4"/>
      <c r="AE90" s="4"/>
      <c r="AF90" s="4"/>
      <c r="AG90" s="4"/>
      <c r="AH90" s="4"/>
      <c r="AI90" s="4"/>
      <c r="AJ90" s="4"/>
      <c r="AK90" s="4"/>
      <c r="AL90" s="4"/>
      <c r="AM90" s="4"/>
      <c r="AN90" s="4"/>
      <c r="AO90" s="4"/>
      <c r="AY90" s="1577"/>
      <c r="AZ90" s="1601"/>
      <c r="BA90" s="1672">
        <v>35</v>
      </c>
      <c r="BB90" s="1673"/>
      <c r="BC90" s="1673"/>
      <c r="BD90" s="1673"/>
      <c r="BE90" s="1673"/>
      <c r="BF90" s="1673"/>
      <c r="BG90" s="1673"/>
      <c r="BH90" s="1673"/>
      <c r="BI90" s="1673"/>
      <c r="BJ90" s="1603"/>
      <c r="BK90" s="1603"/>
      <c r="BL90" s="1604"/>
      <c r="BM90" s="1604"/>
      <c r="BN90" s="1604"/>
      <c r="BO90" s="1604"/>
      <c r="BP90" s="1604"/>
      <c r="BQ90" s="1604"/>
      <c r="BR90" s="1604"/>
      <c r="BS90" s="1679"/>
      <c r="BT90" s="1604"/>
      <c r="BU90" s="1680"/>
      <c r="BV90" s="1604"/>
      <c r="BW90" s="1604"/>
      <c r="BX90" s="1604"/>
      <c r="BY90" s="1605"/>
      <c r="BZ90" s="1606"/>
      <c r="CA90" s="1606"/>
      <c r="CB90" s="1606"/>
      <c r="CC90" s="1606"/>
      <c r="CD90" s="1600"/>
      <c r="CE90" s="1600"/>
      <c r="CF90" s="1600"/>
      <c r="CG90" s="1600"/>
      <c r="CH90" s="1677" t="b">
        <f>IF(CJ82=35,33)</f>
        <v>0</v>
      </c>
      <c r="CI90" s="1678"/>
      <c r="CJ90" s="1678"/>
      <c r="CK90" s="1678"/>
      <c r="CL90" s="1634" t="b">
        <f>IF(CJ82=35,37)</f>
        <v>0</v>
      </c>
      <c r="CM90" s="1600"/>
      <c r="CN90" s="1624"/>
      <c r="CO90" s="1557"/>
      <c r="CP90" s="185"/>
    </row>
    <row r="91" spans="2:94" ht="27" hidden="1" customHeight="1" thickBot="1" x14ac:dyDescent="0.45">
      <c r="B91" s="19"/>
      <c r="C91" s="19"/>
      <c r="T91" s="4"/>
      <c r="U91" s="4"/>
      <c r="V91" s="4"/>
      <c r="W91" s="4"/>
      <c r="X91" s="4"/>
      <c r="Y91" s="4"/>
      <c r="Z91" s="4"/>
      <c r="AA91" s="4"/>
      <c r="AB91" s="4"/>
      <c r="AC91" s="4"/>
      <c r="AD91" s="4"/>
      <c r="AE91" s="4"/>
      <c r="AF91" s="4"/>
      <c r="AG91" s="4"/>
      <c r="AH91" s="4"/>
      <c r="AI91" s="4"/>
      <c r="AJ91" s="4"/>
      <c r="AK91" s="4"/>
      <c r="AL91" s="4"/>
      <c r="AM91" s="4"/>
      <c r="AN91" s="4"/>
      <c r="AO91" s="4"/>
      <c r="AY91" s="1577"/>
      <c r="AZ91" s="1601"/>
      <c r="BA91" s="1672">
        <v>34</v>
      </c>
      <c r="BB91" s="1673"/>
      <c r="BC91" s="1673"/>
      <c r="BD91" s="1673"/>
      <c r="BE91" s="1673"/>
      <c r="BF91" s="1673"/>
      <c r="BG91" s="1673"/>
      <c r="BH91" s="1673"/>
      <c r="BI91" s="1673"/>
      <c r="BJ91" s="1603"/>
      <c r="BK91" s="1603"/>
      <c r="BL91" s="1604"/>
      <c r="BM91" s="1604"/>
      <c r="BN91" s="1604"/>
      <c r="BO91" s="1604"/>
      <c r="BP91" s="1604"/>
      <c r="BQ91" s="1604"/>
      <c r="BR91" s="1604"/>
      <c r="BS91" s="1679"/>
      <c r="BT91" s="1604"/>
      <c r="BU91" s="1680"/>
      <c r="BV91" s="1604"/>
      <c r="BW91" s="1604"/>
      <c r="BX91" s="1604"/>
      <c r="BY91" s="1605"/>
      <c r="BZ91" s="1606"/>
      <c r="CA91" s="1606"/>
      <c r="CB91" s="1606"/>
      <c r="CC91" s="1606"/>
      <c r="CD91" s="1600"/>
      <c r="CE91" s="1600"/>
      <c r="CF91" s="1677" t="b">
        <f>IF(CI82=34,31)</f>
        <v>0</v>
      </c>
      <c r="CG91" s="1678"/>
      <c r="CH91" s="1678"/>
      <c r="CI91" s="1678"/>
      <c r="CJ91" s="1678"/>
      <c r="CK91" s="1678"/>
      <c r="CL91" s="1634" t="b">
        <f>IF(CI82=34,37)</f>
        <v>0</v>
      </c>
      <c r="CM91" s="1600"/>
      <c r="CN91" s="1624"/>
      <c r="CO91" s="1557"/>
      <c r="CP91" s="185"/>
    </row>
    <row r="92" spans="2:94" ht="23.4" hidden="1" thickBot="1" x14ac:dyDescent="0.45">
      <c r="B92" s="19"/>
      <c r="C92" s="19"/>
      <c r="T92" s="4"/>
      <c r="U92" s="4"/>
      <c r="V92" s="4"/>
      <c r="W92" s="4"/>
      <c r="X92" s="4"/>
      <c r="Y92" s="4"/>
      <c r="Z92" s="4"/>
      <c r="AA92" s="4"/>
      <c r="AB92" s="4"/>
      <c r="AC92" s="4"/>
      <c r="AD92" s="4"/>
      <c r="AE92" s="4"/>
      <c r="AF92" s="4"/>
      <c r="AG92" s="4"/>
      <c r="AH92" s="4"/>
      <c r="AI92" s="4"/>
      <c r="AJ92" s="4"/>
      <c r="AK92" s="4"/>
      <c r="AL92" s="4"/>
      <c r="AM92" s="4"/>
      <c r="AN92" s="4"/>
      <c r="AO92" s="4"/>
      <c r="AY92" s="1577"/>
      <c r="AZ92" s="1601"/>
      <c r="BA92" s="1672">
        <v>33</v>
      </c>
      <c r="BB92" s="1673"/>
      <c r="BC92" s="1673"/>
      <c r="BD92" s="1673"/>
      <c r="BE92" s="1673"/>
      <c r="BF92" s="1673"/>
      <c r="BG92" s="1673"/>
      <c r="BH92" s="1673"/>
      <c r="BI92" s="1673"/>
      <c r="BJ92" s="1603"/>
      <c r="BK92" s="1603"/>
      <c r="BL92" s="1604"/>
      <c r="BM92" s="1604"/>
      <c r="BN92" s="1604"/>
      <c r="BO92" s="1604"/>
      <c r="BP92" s="1604"/>
      <c r="BQ92" s="1604"/>
      <c r="BR92" s="1604"/>
      <c r="BS92" s="1679"/>
      <c r="BT92" s="1604"/>
      <c r="BU92" s="1680"/>
      <c r="BV92" s="1604"/>
      <c r="BW92" s="1604"/>
      <c r="BX92" s="1604"/>
      <c r="BY92" s="1605"/>
      <c r="BZ92" s="1606"/>
      <c r="CA92" s="1606"/>
      <c r="CB92" s="1606"/>
      <c r="CC92" s="1606"/>
      <c r="CD92" s="1677" t="b">
        <f>IF(CH82=33,29)</f>
        <v>0</v>
      </c>
      <c r="CE92" s="1678"/>
      <c r="CF92" s="1678"/>
      <c r="CG92" s="1678"/>
      <c r="CH92" s="1678"/>
      <c r="CI92" s="1678"/>
      <c r="CJ92" s="1678"/>
      <c r="CK92" s="1678"/>
      <c r="CL92" s="1634" t="b">
        <f>IF(CH82=33,37)</f>
        <v>0</v>
      </c>
      <c r="CM92" s="1600"/>
      <c r="CN92" s="1624"/>
      <c r="CO92" s="1557"/>
      <c r="CP92" s="185"/>
    </row>
    <row r="93" spans="2:94" ht="21.6" hidden="1" thickBot="1" x14ac:dyDescent="0.45">
      <c r="B93" s="19"/>
      <c r="C93" s="19"/>
      <c r="T93" s="4"/>
      <c r="U93" s="4"/>
      <c r="V93" s="4"/>
      <c r="W93" s="4"/>
      <c r="X93" s="4"/>
      <c r="Y93" s="4"/>
      <c r="Z93" s="4"/>
      <c r="AA93" s="4"/>
      <c r="AB93" s="4"/>
      <c r="AC93" s="4"/>
      <c r="AD93" s="4"/>
      <c r="AE93" s="4"/>
      <c r="AF93" s="4"/>
      <c r="AG93" s="4"/>
      <c r="AH93" s="4"/>
      <c r="AI93" s="4"/>
      <c r="AJ93" s="4"/>
      <c r="AK93" s="4"/>
      <c r="AL93" s="4"/>
      <c r="AM93" s="4"/>
      <c r="AN93" s="4"/>
      <c r="AO93" s="4"/>
      <c r="AY93" s="1577"/>
      <c r="AZ93" s="1551"/>
      <c r="BA93" s="1672">
        <v>32</v>
      </c>
      <c r="BB93" s="1644"/>
      <c r="BC93" s="1644"/>
      <c r="BD93" s="1644"/>
      <c r="BE93" s="1644"/>
      <c r="BF93" s="1644"/>
      <c r="BG93" s="1655"/>
      <c r="BH93" s="1644"/>
      <c r="BI93" s="1644"/>
      <c r="BJ93" s="1644"/>
      <c r="BK93" s="1644"/>
      <c r="BL93" s="1644"/>
      <c r="BM93" s="1644"/>
      <c r="BN93" s="1644"/>
      <c r="BO93" s="1644"/>
      <c r="BP93" s="1644"/>
      <c r="BQ93" s="1644"/>
      <c r="BR93" s="1644"/>
      <c r="BS93" s="1681"/>
      <c r="BT93" s="1644"/>
      <c r="BU93" s="1682"/>
      <c r="BV93" s="1644"/>
      <c r="BW93" s="1644"/>
      <c r="BX93" s="1644"/>
      <c r="BY93" s="1655"/>
      <c r="BZ93" s="1557"/>
      <c r="CA93" s="1557"/>
      <c r="CB93" s="1677" t="b">
        <f>IF(CG82=32,27)</f>
        <v>0</v>
      </c>
      <c r="CC93" s="1642"/>
      <c r="CD93" s="1642"/>
      <c r="CE93" s="1642"/>
      <c r="CF93" s="1642"/>
      <c r="CG93" s="1642"/>
      <c r="CH93" s="1642"/>
      <c r="CI93" s="1642"/>
      <c r="CJ93" s="1642"/>
      <c r="CK93" s="1642"/>
      <c r="CL93" s="1634" t="b">
        <f>IF(CG82=32,37)</f>
        <v>0</v>
      </c>
      <c r="CM93" s="1557"/>
      <c r="CN93" s="1557"/>
      <c r="CO93" s="1557"/>
      <c r="CP93" s="185"/>
    </row>
    <row r="94" spans="2:94" ht="21.6" hidden="1" thickBot="1" x14ac:dyDescent="0.45">
      <c r="B94" s="19"/>
      <c r="C94" s="19"/>
      <c r="T94" s="4"/>
      <c r="U94" s="4"/>
      <c r="V94" s="4"/>
      <c r="W94" s="4"/>
      <c r="X94" s="4"/>
      <c r="Y94" s="4"/>
      <c r="Z94" s="4"/>
      <c r="AA94" s="4"/>
      <c r="AB94" s="4"/>
      <c r="AC94" s="4"/>
      <c r="AD94" s="4"/>
      <c r="AE94" s="4"/>
      <c r="AF94" s="4"/>
      <c r="AG94" s="4"/>
      <c r="AH94" s="4"/>
      <c r="AI94" s="4"/>
      <c r="AJ94" s="4"/>
      <c r="AK94" s="4"/>
      <c r="AL94" s="4"/>
      <c r="AM94" s="4"/>
      <c r="AN94" s="4"/>
      <c r="AO94" s="4"/>
      <c r="AY94" s="1577"/>
      <c r="AZ94" s="1551"/>
      <c r="BA94" s="1672">
        <v>31</v>
      </c>
      <c r="BB94" s="1644"/>
      <c r="BC94" s="1644"/>
      <c r="BD94" s="1644"/>
      <c r="BE94" s="1644"/>
      <c r="BF94" s="1644"/>
      <c r="BG94" s="1655"/>
      <c r="BH94" s="1644"/>
      <c r="BI94" s="1644"/>
      <c r="BJ94" s="1644"/>
      <c r="BK94" s="1644"/>
      <c r="BL94" s="1644"/>
      <c r="BM94" s="1644"/>
      <c r="BN94" s="1644"/>
      <c r="BO94" s="1644"/>
      <c r="BP94" s="1644"/>
      <c r="BQ94" s="1644"/>
      <c r="BR94" s="1644"/>
      <c r="BS94" s="1681"/>
      <c r="BT94" s="1644"/>
      <c r="BU94" s="1682"/>
      <c r="BV94" s="1644"/>
      <c r="BW94" s="1644"/>
      <c r="BX94" s="1644"/>
      <c r="BY94" s="1655"/>
      <c r="BZ94" s="1677" t="b">
        <f>IF(CF82=31,25)</f>
        <v>0</v>
      </c>
      <c r="CA94" s="1642"/>
      <c r="CB94" s="1642"/>
      <c r="CC94" s="1642"/>
      <c r="CD94" s="1642"/>
      <c r="CE94" s="1642"/>
      <c r="CF94" s="1642"/>
      <c r="CG94" s="1642"/>
      <c r="CH94" s="1642"/>
      <c r="CI94" s="1642"/>
      <c r="CJ94" s="1642"/>
      <c r="CK94" s="1642"/>
      <c r="CL94" s="1634" t="b">
        <f>IF(CF82=31,37)</f>
        <v>0</v>
      </c>
      <c r="CM94" s="1557"/>
      <c r="CN94" s="1557"/>
      <c r="CO94" s="1557"/>
      <c r="CP94" s="185"/>
    </row>
    <row r="95" spans="2:94" ht="21.6" hidden="1" thickBot="1" x14ac:dyDescent="0.45">
      <c r="B95" s="19"/>
      <c r="C95" s="19"/>
      <c r="T95" s="4"/>
      <c r="U95" s="4"/>
      <c r="V95" s="4"/>
      <c r="W95" s="4"/>
      <c r="X95" s="4"/>
      <c r="Y95" s="4"/>
      <c r="Z95" s="4"/>
      <c r="AA95" s="4"/>
      <c r="AB95" s="4"/>
      <c r="AC95" s="4"/>
      <c r="AD95" s="4"/>
      <c r="AE95" s="4"/>
      <c r="AF95" s="4"/>
      <c r="AG95" s="4"/>
      <c r="AH95" s="4"/>
      <c r="AI95" s="4"/>
      <c r="AJ95" s="4"/>
      <c r="AK95" s="4"/>
      <c r="AL95" s="4"/>
      <c r="AM95" s="4"/>
      <c r="AN95" s="4"/>
      <c r="AO95" s="4"/>
      <c r="AY95" s="1577"/>
      <c r="AZ95" s="1551"/>
      <c r="BA95" s="1672">
        <v>30</v>
      </c>
      <c r="BB95" s="1644"/>
      <c r="BC95" s="1644"/>
      <c r="BD95" s="1644"/>
      <c r="BE95" s="1644"/>
      <c r="BF95" s="1644"/>
      <c r="BG95" s="1655"/>
      <c r="BH95" s="1644"/>
      <c r="BI95" s="1644"/>
      <c r="BJ95" s="1644"/>
      <c r="BK95" s="1644"/>
      <c r="BL95" s="1644"/>
      <c r="BM95" s="1644"/>
      <c r="BN95" s="1644"/>
      <c r="BO95" s="1644"/>
      <c r="BP95" s="1644"/>
      <c r="BQ95" s="1644"/>
      <c r="BR95" s="1644"/>
      <c r="BS95" s="1681"/>
      <c r="BT95" s="1644"/>
      <c r="BU95" s="1682"/>
      <c r="BV95" s="1644"/>
      <c r="BW95" s="1644"/>
      <c r="BX95" s="1677" t="b">
        <f>IF(CE82=30,23)</f>
        <v>0</v>
      </c>
      <c r="BY95" s="1683"/>
      <c r="BZ95" s="1642"/>
      <c r="CA95" s="1642"/>
      <c r="CB95" s="1642"/>
      <c r="CC95" s="1642"/>
      <c r="CD95" s="1642"/>
      <c r="CE95" s="1642"/>
      <c r="CF95" s="1642"/>
      <c r="CG95" s="1642"/>
      <c r="CH95" s="1642"/>
      <c r="CI95" s="1642"/>
      <c r="CJ95" s="1642"/>
      <c r="CK95" s="1642"/>
      <c r="CL95" s="1634" t="b">
        <f>IF(CE82=30,37)</f>
        <v>0</v>
      </c>
      <c r="CM95" s="1557"/>
      <c r="CN95" s="1557"/>
      <c r="CO95" s="1557"/>
      <c r="CP95" s="185"/>
    </row>
    <row r="96" spans="2:94" ht="21.6" hidden="1" thickBot="1" x14ac:dyDescent="0.45">
      <c r="B96" s="19"/>
      <c r="C96" s="19"/>
      <c r="T96" s="4"/>
      <c r="U96" s="4"/>
      <c r="V96" s="4"/>
      <c r="W96" s="4"/>
      <c r="X96" s="4"/>
      <c r="Y96" s="4"/>
      <c r="Z96" s="4"/>
      <c r="AA96" s="4"/>
      <c r="AB96" s="4"/>
      <c r="AC96" s="4"/>
      <c r="AD96" s="4"/>
      <c r="AE96" s="4"/>
      <c r="AF96" s="4"/>
      <c r="AG96" s="4"/>
      <c r="AH96" s="4"/>
      <c r="AI96" s="4"/>
      <c r="AJ96" s="4"/>
      <c r="AK96" s="4"/>
      <c r="AL96" s="4"/>
      <c r="AM96" s="4"/>
      <c r="AN96" s="4"/>
      <c r="AO96" s="4"/>
      <c r="AQ96" s="1684"/>
      <c r="AR96" s="1684"/>
      <c r="AS96" s="1684"/>
      <c r="AY96" s="1577"/>
      <c r="AZ96" s="1685"/>
      <c r="BA96" s="1672">
        <v>29</v>
      </c>
      <c r="BB96" s="1557"/>
      <c r="BC96" s="1557"/>
      <c r="BD96" s="1557"/>
      <c r="BE96" s="1557"/>
      <c r="BF96" s="1557"/>
      <c r="BG96" s="1557"/>
      <c r="BH96" s="1557"/>
      <c r="BI96" s="1557"/>
      <c r="BJ96" s="1557"/>
      <c r="BK96" s="1557"/>
      <c r="BL96" s="1557"/>
      <c r="BM96" s="1557"/>
      <c r="BN96" s="1557"/>
      <c r="BO96" s="1557"/>
      <c r="BP96" s="1557"/>
      <c r="BQ96" s="1557"/>
      <c r="BR96" s="1557"/>
      <c r="BS96" s="1686"/>
      <c r="BT96" s="1556"/>
      <c r="BU96" s="1687"/>
      <c r="BV96" s="1632" t="b">
        <f>IF(CD82=29,21)</f>
        <v>0</v>
      </c>
      <c r="BW96" s="1642"/>
      <c r="BX96" s="1642"/>
      <c r="BY96" s="1642"/>
      <c r="BZ96" s="1642"/>
      <c r="CA96" s="1642"/>
      <c r="CB96" s="1642"/>
      <c r="CC96" s="1641"/>
      <c r="CD96" s="1642"/>
      <c r="CE96" s="1641"/>
      <c r="CF96" s="1688"/>
      <c r="CG96" s="1688"/>
      <c r="CH96" s="1688"/>
      <c r="CI96" s="1688"/>
      <c r="CJ96" s="1688"/>
      <c r="CK96" s="1688"/>
      <c r="CL96" s="1634" t="b">
        <f>IF(CD82=29,37)</f>
        <v>0</v>
      </c>
      <c r="CM96" s="1554"/>
      <c r="CN96" s="1557"/>
      <c r="CO96" s="1557"/>
      <c r="CP96" s="185"/>
    </row>
    <row r="97" spans="2:94" ht="21.6" hidden="1" thickBot="1" x14ac:dyDescent="0.45">
      <c r="B97" s="19"/>
      <c r="C97" s="19"/>
      <c r="T97" s="4"/>
      <c r="U97" s="4"/>
      <c r="V97" s="4"/>
      <c r="W97" s="4"/>
      <c r="X97" s="4"/>
      <c r="Y97" s="4"/>
      <c r="Z97" s="4"/>
      <c r="AA97" s="4"/>
      <c r="AB97" s="4"/>
      <c r="AC97" s="4"/>
      <c r="AD97" s="4"/>
      <c r="AE97" s="4"/>
      <c r="AF97" s="4"/>
      <c r="AG97" s="4"/>
      <c r="AH97" s="4"/>
      <c r="AI97" s="4"/>
      <c r="AJ97" s="4"/>
      <c r="AK97" s="4"/>
      <c r="AL97" s="4"/>
      <c r="AM97" s="4"/>
      <c r="AN97" s="4"/>
      <c r="AO97" s="4"/>
      <c r="AQ97" s="1684"/>
      <c r="AR97" s="1684"/>
      <c r="AS97" s="1684"/>
      <c r="AY97" s="1577"/>
      <c r="AZ97" s="1685"/>
      <c r="BA97" s="1672">
        <v>28</v>
      </c>
      <c r="BB97" s="1557"/>
      <c r="BC97" s="1557"/>
      <c r="BD97" s="1557"/>
      <c r="BE97" s="1557"/>
      <c r="BF97" s="1557"/>
      <c r="BG97" s="1557"/>
      <c r="BH97" s="1557"/>
      <c r="BI97" s="1557"/>
      <c r="BJ97" s="1557"/>
      <c r="BK97" s="1557"/>
      <c r="BL97" s="1557"/>
      <c r="BM97" s="1557"/>
      <c r="BN97" s="1557"/>
      <c r="BO97" s="1557"/>
      <c r="BP97" s="1557"/>
      <c r="BQ97" s="1557"/>
      <c r="BR97" s="1557"/>
      <c r="BS97" s="1686"/>
      <c r="BT97" s="1556"/>
      <c r="BU97" s="1687"/>
      <c r="BV97" s="1643" t="b">
        <f>IF(CC82=28,21)</f>
        <v>0</v>
      </c>
      <c r="BW97" s="1640"/>
      <c r="BX97" s="1640"/>
      <c r="BY97" s="1640"/>
      <c r="BZ97" s="1640"/>
      <c r="CA97" s="1639"/>
      <c r="CB97" s="1640"/>
      <c r="CC97" s="1640"/>
      <c r="CD97" s="1640"/>
      <c r="CE97" s="1639"/>
      <c r="CF97" s="1689"/>
      <c r="CG97" s="1689"/>
      <c r="CH97" s="1689"/>
      <c r="CI97" s="1689"/>
      <c r="CJ97" s="1636" t="b">
        <f>IF(CC82=28,35)</f>
        <v>0</v>
      </c>
      <c r="CK97" s="1554"/>
      <c r="CL97" s="1554"/>
      <c r="CM97" s="1554"/>
      <c r="CN97" s="1557"/>
      <c r="CO97" s="1557"/>
      <c r="CP97" s="185"/>
    </row>
    <row r="98" spans="2:94" ht="21.6" hidden="1" thickBot="1" x14ac:dyDescent="0.45">
      <c r="B98" s="19"/>
      <c r="C98" s="19"/>
      <c r="T98" s="4"/>
      <c r="U98" s="4"/>
      <c r="V98" s="4"/>
      <c r="W98" s="4"/>
      <c r="X98" s="4"/>
      <c r="Y98" s="4"/>
      <c r="Z98" s="4"/>
      <c r="AA98" s="4"/>
      <c r="AB98" s="4"/>
      <c r="AC98" s="4"/>
      <c r="AD98" s="4"/>
      <c r="AE98" s="4"/>
      <c r="AF98" s="4"/>
      <c r="AG98" s="4"/>
      <c r="AH98" s="4"/>
      <c r="AI98" s="4"/>
      <c r="AJ98" s="4"/>
      <c r="AK98" s="4"/>
      <c r="AL98" s="4"/>
      <c r="AM98" s="4"/>
      <c r="AN98" s="4"/>
      <c r="AO98" s="4"/>
      <c r="AQ98" s="1684"/>
      <c r="AR98" s="1684"/>
      <c r="AS98" s="1684"/>
      <c r="AY98" s="1577"/>
      <c r="AZ98" s="1685"/>
      <c r="BA98" s="1672">
        <v>27</v>
      </c>
      <c r="BB98" s="1557"/>
      <c r="BC98" s="1557"/>
      <c r="BD98" s="1557"/>
      <c r="BE98" s="1557"/>
      <c r="BF98" s="1557"/>
      <c r="BG98" s="1557"/>
      <c r="BH98" s="1557"/>
      <c r="BI98" s="1557"/>
      <c r="BJ98" s="1557"/>
      <c r="BK98" s="1557"/>
      <c r="BL98" s="1557"/>
      <c r="BM98" s="1557"/>
      <c r="BN98" s="1557"/>
      <c r="BO98" s="1557"/>
      <c r="BP98" s="1557"/>
      <c r="BQ98" s="1557"/>
      <c r="BR98" s="1557"/>
      <c r="BS98" s="1686"/>
      <c r="BT98" s="1556"/>
      <c r="BU98" s="1687"/>
      <c r="BV98" s="1643" t="b">
        <f>IF(CB82=27,21)</f>
        <v>0</v>
      </c>
      <c r="BW98" s="1640"/>
      <c r="BX98" s="1640"/>
      <c r="BY98" s="1639"/>
      <c r="BZ98" s="1640"/>
      <c r="CA98" s="1640"/>
      <c r="CB98" s="1640"/>
      <c r="CC98" s="1640"/>
      <c r="CD98" s="1640"/>
      <c r="CE98" s="1639"/>
      <c r="CF98" s="1689"/>
      <c r="CG98" s="1689"/>
      <c r="CH98" s="1636" t="b">
        <f>IF(CB82=27,33)</f>
        <v>0</v>
      </c>
      <c r="CI98" s="1554"/>
      <c r="CJ98" s="1554"/>
      <c r="CK98" s="1554"/>
      <c r="CL98" s="1554"/>
      <c r="CM98" s="1554"/>
      <c r="CN98" s="1557"/>
      <c r="CO98" s="1557"/>
      <c r="CP98" s="185"/>
    </row>
    <row r="99" spans="2:94" ht="21.6" hidden="1" thickBot="1" x14ac:dyDescent="0.45">
      <c r="B99" s="19"/>
      <c r="C99" s="19"/>
      <c r="T99" s="4"/>
      <c r="U99" s="4"/>
      <c r="V99" s="4"/>
      <c r="W99" s="4"/>
      <c r="X99" s="4"/>
      <c r="Y99" s="4"/>
      <c r="Z99" s="4"/>
      <c r="AA99" s="4"/>
      <c r="AB99" s="4"/>
      <c r="AC99" s="4"/>
      <c r="AD99" s="4"/>
      <c r="AE99" s="4"/>
      <c r="AF99" s="4"/>
      <c r="AG99" s="4"/>
      <c r="AH99" s="4"/>
      <c r="AI99" s="4"/>
      <c r="AJ99" s="4"/>
      <c r="AK99" s="4"/>
      <c r="AL99" s="4"/>
      <c r="AM99" s="4"/>
      <c r="AN99" s="4"/>
      <c r="AO99" s="4"/>
      <c r="AY99" s="1577"/>
      <c r="AZ99" s="1551"/>
      <c r="BA99" s="1672">
        <v>26</v>
      </c>
      <c r="BB99" s="1557"/>
      <c r="BC99" s="1557"/>
      <c r="BD99" s="1557"/>
      <c r="BE99" s="1557"/>
      <c r="BF99" s="1557"/>
      <c r="BG99" s="1557"/>
      <c r="BH99" s="1557"/>
      <c r="BI99" s="1557"/>
      <c r="BJ99" s="1557"/>
      <c r="BK99" s="1557"/>
      <c r="BL99" s="1557"/>
      <c r="BM99" s="1557"/>
      <c r="BN99" s="1557"/>
      <c r="BO99" s="1557"/>
      <c r="BP99" s="1557"/>
      <c r="BQ99" s="1557"/>
      <c r="BR99" s="1557"/>
      <c r="BS99" s="1686"/>
      <c r="BT99" s="1556"/>
      <c r="BU99" s="1687"/>
      <c r="BV99" s="1643" t="b">
        <f>IF(CA82=26,21)</f>
        <v>0</v>
      </c>
      <c r="BW99" s="1639"/>
      <c r="BX99" s="1640"/>
      <c r="BY99" s="1640"/>
      <c r="BZ99" s="1640"/>
      <c r="CA99" s="1640"/>
      <c r="CB99" s="1640"/>
      <c r="CC99" s="1640"/>
      <c r="CD99" s="1640"/>
      <c r="CE99" s="1639"/>
      <c r="CF99" s="1636" t="b">
        <f>IF(CA82=26,31)</f>
        <v>0</v>
      </c>
      <c r="CG99" s="1554"/>
      <c r="CH99" s="1554"/>
      <c r="CI99" s="1554"/>
      <c r="CJ99" s="1554"/>
      <c r="CK99" s="1554"/>
      <c r="CL99" s="1554"/>
      <c r="CM99" s="1554"/>
      <c r="CN99" s="1557"/>
      <c r="CO99" s="1557"/>
      <c r="CP99" s="185"/>
    </row>
    <row r="100" spans="2:94" ht="21.6" hidden="1" thickBot="1" x14ac:dyDescent="0.45">
      <c r="B100" s="19"/>
      <c r="C100" s="19"/>
      <c r="T100" s="4"/>
      <c r="U100" s="4"/>
      <c r="V100" s="4"/>
      <c r="W100" s="4"/>
      <c r="X100" s="4"/>
      <c r="Y100" s="4"/>
      <c r="Z100" s="4"/>
      <c r="AA100" s="4"/>
      <c r="AB100" s="4"/>
      <c r="AC100" s="4"/>
      <c r="AD100" s="4"/>
      <c r="AE100" s="4"/>
      <c r="AF100" s="4"/>
      <c r="AG100" s="4"/>
      <c r="AH100" s="4"/>
      <c r="AI100" s="4"/>
      <c r="AJ100" s="4"/>
      <c r="AK100" s="4"/>
      <c r="AL100" s="4"/>
      <c r="AM100" s="4"/>
      <c r="AN100" s="4"/>
      <c r="AO100" s="4"/>
      <c r="AQ100" s="1690"/>
      <c r="AR100" s="1690"/>
      <c r="AS100" s="1690"/>
      <c r="AY100" s="1577"/>
      <c r="AZ100" s="1691"/>
      <c r="BA100" s="1672">
        <v>25</v>
      </c>
      <c r="BB100" s="1557"/>
      <c r="BC100" s="1557"/>
      <c r="BD100" s="1557"/>
      <c r="BE100" s="1557"/>
      <c r="BF100" s="1557"/>
      <c r="BG100" s="1557"/>
      <c r="BH100" s="1557"/>
      <c r="BI100" s="1557"/>
      <c r="BJ100" s="1557"/>
      <c r="BK100" s="1557"/>
      <c r="BL100" s="1557"/>
      <c r="BN100" s="1557"/>
      <c r="BO100" s="1557"/>
      <c r="BP100" s="1557"/>
      <c r="BQ100" s="1557"/>
      <c r="BR100" s="1557"/>
      <c r="BS100" s="1686"/>
      <c r="BT100" s="1556"/>
      <c r="BV100" s="1692" t="b">
        <f>IF(BZ82=25,21)</f>
        <v>0</v>
      </c>
      <c r="BW100" s="1640"/>
      <c r="BX100" s="1640"/>
      <c r="BY100" s="1640"/>
      <c r="BZ100" s="1640"/>
      <c r="CA100" s="1640"/>
      <c r="CB100" s="1640"/>
      <c r="CC100" s="1640"/>
      <c r="CD100" s="1636" t="b">
        <f>IF(BZ82=25,29)</f>
        <v>0</v>
      </c>
      <c r="CF100" s="1554"/>
      <c r="CG100" s="1554"/>
      <c r="CH100" s="1554"/>
      <c r="CI100" s="1554"/>
      <c r="CJ100" s="1554"/>
      <c r="CK100" s="1554"/>
      <c r="CL100" s="1554"/>
      <c r="CM100" s="1554"/>
      <c r="CN100" s="1557"/>
      <c r="CO100" s="1557"/>
      <c r="CP100" s="185"/>
    </row>
    <row r="101" spans="2:94" ht="21.6" hidden="1" thickBot="1" x14ac:dyDescent="0.45">
      <c r="B101" s="19"/>
      <c r="C101" s="19"/>
      <c r="T101" s="4"/>
      <c r="U101" s="4"/>
      <c r="V101" s="4"/>
      <c r="W101" s="4"/>
      <c r="X101" s="4"/>
      <c r="Y101" s="4"/>
      <c r="Z101" s="4"/>
      <c r="AA101" s="4"/>
      <c r="AB101" s="4"/>
      <c r="AC101" s="4"/>
      <c r="AD101" s="4"/>
      <c r="AE101" s="4"/>
      <c r="AF101" s="4"/>
      <c r="AG101" s="4"/>
      <c r="AH101" s="4"/>
      <c r="AI101" s="4"/>
      <c r="AJ101" s="4"/>
      <c r="AK101" s="4"/>
      <c r="AL101" s="4"/>
      <c r="AM101" s="4"/>
      <c r="AN101" s="4"/>
      <c r="AO101" s="4"/>
      <c r="AQ101" s="1690"/>
      <c r="AR101" s="1690"/>
      <c r="AS101" s="1690"/>
      <c r="AY101" s="1577"/>
      <c r="AZ101" s="1691"/>
      <c r="BA101" s="1693">
        <v>24</v>
      </c>
      <c r="BB101" s="1557"/>
      <c r="BC101" s="1557"/>
      <c r="BD101" s="1557"/>
      <c r="BE101" s="1557"/>
      <c r="BF101" s="1557"/>
      <c r="BG101" s="1557"/>
      <c r="BH101" s="1557"/>
      <c r="BI101" s="1557"/>
      <c r="BJ101" s="1557"/>
      <c r="BK101" s="1557"/>
      <c r="BL101" s="1557"/>
      <c r="BM101" s="1632" t="b">
        <f>IF(BY82=24,12)</f>
        <v>0</v>
      </c>
      <c r="BN101" s="1642"/>
      <c r="BO101" s="1642"/>
      <c r="BP101" s="1642"/>
      <c r="BQ101" s="1642"/>
      <c r="BR101" s="1642"/>
      <c r="BS101" s="1641"/>
      <c r="BT101" s="1642"/>
      <c r="BU101" s="1694"/>
      <c r="BV101" s="1642"/>
      <c r="BW101" s="1642"/>
      <c r="BX101" s="1642"/>
      <c r="BY101" s="1642"/>
      <c r="BZ101" s="1642"/>
      <c r="CA101" s="1642"/>
      <c r="CB101" s="1642"/>
      <c r="CC101" s="1642"/>
      <c r="CD101" s="1642"/>
      <c r="CE101" s="1641"/>
      <c r="CF101" s="1688"/>
      <c r="CG101" s="1688"/>
      <c r="CH101" s="1688"/>
      <c r="CI101" s="1688"/>
      <c r="CJ101" s="1688"/>
      <c r="CK101" s="1634" t="b">
        <f>IF(BY82=24,36)</f>
        <v>0</v>
      </c>
      <c r="CL101" s="1554"/>
      <c r="CM101" s="1554"/>
      <c r="CN101" s="1557"/>
      <c r="CO101" s="1557"/>
      <c r="CP101" s="185"/>
    </row>
    <row r="102" spans="2:94" ht="21.6" hidden="1" thickBot="1" x14ac:dyDescent="0.45">
      <c r="B102" s="19"/>
      <c r="C102" s="19"/>
      <c r="T102" s="4"/>
      <c r="U102" s="4"/>
      <c r="V102" s="4"/>
      <c r="W102" s="4"/>
      <c r="X102" s="4"/>
      <c r="Y102" s="4"/>
      <c r="Z102" s="4"/>
      <c r="AA102" s="4"/>
      <c r="AB102" s="4"/>
      <c r="AC102" s="4"/>
      <c r="AD102" s="4"/>
      <c r="AE102" s="4"/>
      <c r="AF102" s="4"/>
      <c r="AG102" s="4"/>
      <c r="AH102" s="4"/>
      <c r="AI102" s="4"/>
      <c r="AJ102" s="4"/>
      <c r="AK102" s="4"/>
      <c r="AL102" s="4"/>
      <c r="AM102" s="4"/>
      <c r="AN102" s="4"/>
      <c r="AO102" s="4"/>
      <c r="AQ102" s="1690"/>
      <c r="AR102" s="1690"/>
      <c r="AS102" s="1690"/>
      <c r="AY102" s="1577"/>
      <c r="AZ102" s="1691"/>
      <c r="BA102" s="1693">
        <v>23</v>
      </c>
      <c r="BB102" s="1557"/>
      <c r="BC102" s="1557"/>
      <c r="BD102" s="1557"/>
      <c r="BE102" s="1557"/>
      <c r="BF102" s="1557"/>
      <c r="BG102" s="1557"/>
      <c r="BH102" s="1557"/>
      <c r="BI102" s="1557"/>
      <c r="BJ102" s="1557"/>
      <c r="BK102" s="1557"/>
      <c r="BL102" s="1557"/>
      <c r="BM102" s="1643" t="b">
        <f>IF(BX82=23,12)</f>
        <v>0</v>
      </c>
      <c r="BN102" s="1640"/>
      <c r="BO102" s="1640"/>
      <c r="BP102" s="1640"/>
      <c r="BQ102" s="1639"/>
      <c r="BR102" s="1640"/>
      <c r="BS102" s="1695"/>
      <c r="BT102" s="1640"/>
      <c r="BU102" s="1696"/>
      <c r="BV102" s="1640"/>
      <c r="BW102" s="1640"/>
      <c r="BX102" s="1640"/>
      <c r="BY102" s="1640"/>
      <c r="BZ102" s="1640"/>
      <c r="CA102" s="1640"/>
      <c r="CB102" s="1640"/>
      <c r="CC102" s="1640"/>
      <c r="CD102" s="1640"/>
      <c r="CE102" s="1639"/>
      <c r="CF102" s="1689"/>
      <c r="CG102" s="1689"/>
      <c r="CH102" s="1689"/>
      <c r="CI102" s="1636" t="b">
        <f>IF(BX82=23,34)</f>
        <v>0</v>
      </c>
      <c r="CJ102" s="1554"/>
      <c r="CK102" s="1554"/>
      <c r="CL102" s="1554"/>
      <c r="CM102" s="1554"/>
      <c r="CN102" s="1557"/>
      <c r="CO102" s="1557"/>
      <c r="CP102" s="185"/>
    </row>
    <row r="103" spans="2:94" ht="21.6" hidden="1" thickBot="1" x14ac:dyDescent="0.45">
      <c r="B103" s="19"/>
      <c r="C103" s="19"/>
      <c r="F103" s="690"/>
      <c r="T103" s="4"/>
      <c r="U103" s="4"/>
      <c r="V103" s="4"/>
      <c r="W103" s="4"/>
      <c r="X103" s="4"/>
      <c r="Y103" s="4"/>
      <c r="Z103" s="4"/>
      <c r="AA103" s="4"/>
      <c r="AB103" s="4"/>
      <c r="AC103" s="4"/>
      <c r="AD103" s="4"/>
      <c r="AE103" s="4"/>
      <c r="AF103" s="4"/>
      <c r="AG103" s="4"/>
      <c r="AH103" s="4"/>
      <c r="AI103" s="4"/>
      <c r="AJ103" s="4"/>
      <c r="AK103" s="4"/>
      <c r="AL103" s="4"/>
      <c r="AM103" s="4"/>
      <c r="AN103" s="4"/>
      <c r="AO103" s="4"/>
      <c r="AQ103" s="1690"/>
      <c r="AR103" s="1690"/>
      <c r="AS103" s="1690"/>
      <c r="AY103" s="1577"/>
      <c r="AZ103" s="1691"/>
      <c r="BA103" s="1693">
        <v>22</v>
      </c>
      <c r="BB103" s="1554"/>
      <c r="BC103" s="1554"/>
      <c r="BD103" s="1554"/>
      <c r="BE103" s="1554"/>
      <c r="BF103" s="1554"/>
      <c r="BG103" s="1554"/>
      <c r="BH103" s="1554"/>
      <c r="BI103" s="1554"/>
      <c r="BJ103" s="1554"/>
      <c r="BK103" s="1554"/>
      <c r="BL103" s="1554"/>
      <c r="BM103" s="1643" t="b">
        <f>IF(BW82=22,12)</f>
        <v>0</v>
      </c>
      <c r="BN103" s="1689"/>
      <c r="BO103" s="1689"/>
      <c r="BP103" s="1689"/>
      <c r="BQ103" s="1639"/>
      <c r="BR103" s="1689"/>
      <c r="BS103" s="1697"/>
      <c r="BT103" s="1689"/>
      <c r="BU103" s="1698"/>
      <c r="BV103" s="1689"/>
      <c r="BW103" s="1689"/>
      <c r="BX103" s="1689"/>
      <c r="BY103" s="1689"/>
      <c r="BZ103" s="1640"/>
      <c r="CA103" s="1640"/>
      <c r="CB103" s="1639"/>
      <c r="CC103" s="1640"/>
      <c r="CD103" s="1640"/>
      <c r="CE103" s="1640"/>
      <c r="CF103" s="1640"/>
      <c r="CG103" s="1636" t="b">
        <f>IF(BW82=22,32)</f>
        <v>0</v>
      </c>
      <c r="CH103" s="1557"/>
      <c r="CI103" s="1557"/>
      <c r="CJ103" s="1557"/>
      <c r="CK103" s="1557"/>
      <c r="CL103" s="1557"/>
      <c r="CM103" s="1557"/>
      <c r="CN103" s="1557"/>
      <c r="CO103" s="1557"/>
      <c r="CP103" s="185"/>
    </row>
    <row r="104" spans="2:94" ht="21.6" hidden="1" thickBot="1" x14ac:dyDescent="0.45">
      <c r="B104" s="19"/>
      <c r="C104" s="19"/>
      <c r="T104" s="4"/>
      <c r="U104" s="4"/>
      <c r="V104" s="4"/>
      <c r="W104" s="4"/>
      <c r="X104" s="4"/>
      <c r="Y104" s="4"/>
      <c r="Z104" s="4"/>
      <c r="AA104" s="4"/>
      <c r="AB104" s="4"/>
      <c r="AC104" s="4"/>
      <c r="AD104" s="4"/>
      <c r="AE104" s="4"/>
      <c r="AF104" s="4"/>
      <c r="AG104" s="4"/>
      <c r="AH104" s="4"/>
      <c r="AI104" s="4"/>
      <c r="AJ104" s="4"/>
      <c r="AK104" s="4"/>
      <c r="AL104" s="4"/>
      <c r="AM104" s="4"/>
      <c r="AN104" s="4"/>
      <c r="AO104" s="4"/>
      <c r="AQ104" s="1690"/>
      <c r="AR104" s="1690"/>
      <c r="AS104" s="1690"/>
      <c r="AY104" s="1577"/>
      <c r="AZ104" s="1691"/>
      <c r="BA104" s="1693">
        <v>21</v>
      </c>
      <c r="BB104" s="1557"/>
      <c r="BC104" s="1557"/>
      <c r="BD104" s="1557"/>
      <c r="BE104" s="1557"/>
      <c r="BF104" s="1557"/>
      <c r="BG104" s="1557"/>
      <c r="BH104" s="1557"/>
      <c r="BI104" s="1557"/>
      <c r="BJ104" s="1557"/>
      <c r="BK104" s="1557"/>
      <c r="BL104" s="1557"/>
      <c r="BM104" s="1643" t="b">
        <f>IF(BV82=21,12)</f>
        <v>0</v>
      </c>
      <c r="BN104" s="1640"/>
      <c r="BO104" s="1640"/>
      <c r="BP104" s="1640"/>
      <c r="BQ104" s="1640"/>
      <c r="BR104" s="1640"/>
      <c r="BS104" s="1695"/>
      <c r="BT104" s="1640"/>
      <c r="BU104" s="1696"/>
      <c r="BV104" s="1640"/>
      <c r="BW104" s="1640"/>
      <c r="BX104" s="1640"/>
      <c r="BY104" s="1640"/>
      <c r="BZ104" s="1640"/>
      <c r="CA104" s="1640"/>
      <c r="CB104" s="1640"/>
      <c r="CC104" s="1640"/>
      <c r="CD104" s="1640"/>
      <c r="CE104" s="1636" t="b">
        <f>IF(BV82=21,30)</f>
        <v>0</v>
      </c>
      <c r="CF104" s="1554"/>
      <c r="CG104" s="1554"/>
      <c r="CH104" s="1554"/>
      <c r="CI104" s="1554"/>
      <c r="CJ104" s="1554"/>
      <c r="CK104" s="1554"/>
      <c r="CL104" s="1554"/>
      <c r="CM104" s="1554"/>
      <c r="CN104" s="1557"/>
      <c r="CO104" s="1557"/>
      <c r="CP104" s="185"/>
    </row>
    <row r="105" spans="2:94" ht="42.75" hidden="1" customHeight="1" thickBot="1" x14ac:dyDescent="0.45">
      <c r="B105" s="19"/>
      <c r="C105" s="19"/>
      <c r="T105" s="4"/>
      <c r="U105" s="4"/>
      <c r="V105" s="4"/>
      <c r="W105" s="700"/>
      <c r="X105" s="4"/>
      <c r="Y105" s="4"/>
      <c r="Z105" s="4"/>
      <c r="AA105" s="4"/>
      <c r="AB105" s="4"/>
      <c r="AC105" s="4"/>
      <c r="AD105" s="4"/>
      <c r="AE105" s="4"/>
      <c r="AF105" s="4"/>
      <c r="AG105" s="4"/>
      <c r="AH105" s="4"/>
      <c r="AI105" s="4"/>
      <c r="AJ105" s="4"/>
      <c r="AK105" s="4"/>
      <c r="AL105" s="4"/>
      <c r="AM105" s="4"/>
      <c r="AN105" s="4"/>
      <c r="AO105" s="4"/>
      <c r="AQ105" s="1623"/>
      <c r="AR105" s="1623"/>
      <c r="AS105" s="1623"/>
      <c r="AY105" s="1577"/>
      <c r="AZ105" s="1699"/>
      <c r="BA105" s="1693">
        <v>20</v>
      </c>
      <c r="BB105" s="1557"/>
      <c r="BC105" s="1557"/>
      <c r="BD105" s="1557"/>
      <c r="BE105" s="1557"/>
      <c r="BF105" s="1557"/>
      <c r="BG105" s="1557"/>
      <c r="BH105" s="1557"/>
      <c r="BI105" s="1557"/>
      <c r="BL105" s="1700"/>
      <c r="BM105" s="1632" t="b">
        <f>IF(BU82=20,12)</f>
        <v>0</v>
      </c>
      <c r="BN105" s="1642"/>
      <c r="BO105" s="1642"/>
      <c r="BP105" s="1642"/>
      <c r="BQ105" s="1642"/>
      <c r="BR105" s="1642"/>
      <c r="BS105" s="1701"/>
      <c r="BT105" s="1642"/>
      <c r="BU105" s="1694"/>
      <c r="BV105" s="1642"/>
      <c r="BW105" s="1642"/>
      <c r="BX105" s="1642"/>
      <c r="BY105" s="1642"/>
      <c r="BZ105" s="1642"/>
      <c r="CA105" s="1642"/>
      <c r="CB105" s="1642"/>
      <c r="CC105" s="1634" t="b">
        <f>IF(BU82=20,28)</f>
        <v>0</v>
      </c>
      <c r="CD105" s="1700"/>
      <c r="CF105" s="1554"/>
      <c r="CG105" s="1554"/>
      <c r="CH105" s="1554"/>
      <c r="CI105" s="1554"/>
      <c r="CJ105" s="1554"/>
      <c r="CK105" s="1554"/>
      <c r="CL105" s="1554"/>
      <c r="CM105" s="1554"/>
      <c r="CN105" s="1557"/>
      <c r="CO105" s="1557"/>
      <c r="CP105" s="185"/>
    </row>
    <row r="106" spans="2:94" ht="26.25" hidden="1" customHeight="1" thickBot="1" x14ac:dyDescent="0.45">
      <c r="B106" s="19"/>
      <c r="C106" s="19"/>
      <c r="T106" s="4"/>
      <c r="U106" s="4"/>
      <c r="V106" s="4"/>
      <c r="W106" s="4"/>
      <c r="X106" s="4"/>
      <c r="Y106" s="4"/>
      <c r="Z106" s="4"/>
      <c r="AA106" s="4"/>
      <c r="AB106" s="4"/>
      <c r="AC106" s="4"/>
      <c r="AD106" s="4"/>
      <c r="AE106" s="4"/>
      <c r="AF106" s="4"/>
      <c r="AG106" s="4"/>
      <c r="AH106" s="4"/>
      <c r="AI106" s="4"/>
      <c r="AJ106" s="4"/>
      <c r="AK106" s="4"/>
      <c r="AL106" s="4"/>
      <c r="AM106" s="4"/>
      <c r="AN106" s="4"/>
      <c r="AO106" s="4"/>
      <c r="AQ106" s="1623"/>
      <c r="AR106" s="1623"/>
      <c r="AS106" s="1623"/>
      <c r="AY106" s="1577"/>
      <c r="AZ106" s="1699"/>
      <c r="BA106" s="1693">
        <v>19</v>
      </c>
      <c r="BB106" s="1557"/>
      <c r="BC106" s="1557"/>
      <c r="BD106" s="1557"/>
      <c r="BE106" s="1557"/>
      <c r="BF106" s="1557"/>
      <c r="BG106" s="1557"/>
      <c r="BH106" s="1557"/>
      <c r="BI106" s="1557"/>
      <c r="BK106" s="1702"/>
      <c r="BL106" s="1702"/>
      <c r="BM106" s="1632" t="b">
        <f>IF(BT82=19,12)</f>
        <v>0</v>
      </c>
      <c r="BN106" s="1688"/>
      <c r="BO106" s="1688"/>
      <c r="BP106" s="1641"/>
      <c r="BQ106" s="1688"/>
      <c r="BR106" s="1688"/>
      <c r="BS106" s="1703"/>
      <c r="BT106" s="1688"/>
      <c r="BU106" s="1704"/>
      <c r="BV106" s="1641"/>
      <c r="BW106" s="1688"/>
      <c r="BX106" s="1688"/>
      <c r="BY106" s="1688"/>
      <c r="BZ106" s="1642"/>
      <c r="CA106" s="1634" t="b">
        <f>IF(BT82=19,26)</f>
        <v>0</v>
      </c>
      <c r="CB106" s="1705"/>
      <c r="CC106" s="1700"/>
      <c r="CE106" s="1557"/>
      <c r="CF106" s="1557"/>
      <c r="CG106" s="1557"/>
      <c r="CH106" s="1557"/>
      <c r="CI106" s="1557"/>
      <c r="CJ106" s="1557"/>
      <c r="CK106" s="1557"/>
      <c r="CL106" s="1557"/>
      <c r="CM106" s="1557"/>
      <c r="CN106" s="1557"/>
      <c r="CO106" s="1557"/>
      <c r="CP106" s="185"/>
    </row>
    <row r="107" spans="2:94" ht="21.6" hidden="1" thickBot="1" x14ac:dyDescent="0.45">
      <c r="B107" s="19"/>
      <c r="C107" s="19"/>
      <c r="T107" s="4"/>
      <c r="U107" s="4"/>
      <c r="V107" s="4"/>
      <c r="W107" s="4"/>
      <c r="X107" s="4"/>
      <c r="Y107" s="4"/>
      <c r="Z107" s="4"/>
      <c r="AA107" s="4"/>
      <c r="AB107" s="4"/>
      <c r="AC107" s="4"/>
      <c r="AD107" s="4"/>
      <c r="AE107" s="4"/>
      <c r="AF107" s="4"/>
      <c r="AG107" s="4"/>
      <c r="AH107" s="4"/>
      <c r="AI107" s="4"/>
      <c r="AJ107" s="4"/>
      <c r="AK107" s="4"/>
      <c r="AL107" s="4"/>
      <c r="AM107" s="4"/>
      <c r="AN107" s="4"/>
      <c r="AO107" s="4"/>
      <c r="AQ107" s="1623"/>
      <c r="AR107" s="1623"/>
      <c r="AS107" s="1623"/>
      <c r="AY107" s="1577"/>
      <c r="AZ107" s="1699"/>
      <c r="BA107" s="1693">
        <v>18</v>
      </c>
      <c r="BB107" s="1554"/>
      <c r="BC107" s="1554"/>
      <c r="BD107" s="1554"/>
      <c r="BE107" s="1554"/>
      <c r="BF107" s="1554"/>
      <c r="BG107" s="1554"/>
      <c r="BH107" s="1554"/>
      <c r="BI107" s="1554"/>
      <c r="BK107" s="1632" t="b">
        <f>IF(BS82=18,10)</f>
        <v>0</v>
      </c>
      <c r="BL107" s="1688"/>
      <c r="BM107" s="1688"/>
      <c r="BN107" s="1688"/>
      <c r="BO107" s="1688"/>
      <c r="BP107" s="1641"/>
      <c r="BQ107" s="1688"/>
      <c r="BR107" s="1688"/>
      <c r="BS107" s="1703"/>
      <c r="BT107" s="1688"/>
      <c r="BU107" s="1704"/>
      <c r="BV107" s="1641"/>
      <c r="BW107" s="1688"/>
      <c r="BX107" s="1688"/>
      <c r="BY107" s="1688"/>
      <c r="BZ107" s="1642"/>
      <c r="CA107" s="1634" t="b">
        <f>IF(BS82=18,26)</f>
        <v>0</v>
      </c>
      <c r="CC107" s="1557"/>
      <c r="CD107" s="1557"/>
      <c r="CE107" s="1557"/>
      <c r="CF107" s="1557"/>
      <c r="CG107" s="1557"/>
      <c r="CH107" s="1557"/>
      <c r="CI107" s="1557"/>
      <c r="CJ107" s="1557"/>
      <c r="CK107" s="1557"/>
      <c r="CL107" s="1557"/>
      <c r="CM107" s="1557"/>
      <c r="CN107" s="1557"/>
      <c r="CO107" s="1557"/>
      <c r="CP107" s="185"/>
    </row>
    <row r="108" spans="2:94" ht="21.6" hidden="1" thickBot="1" x14ac:dyDescent="0.45">
      <c r="B108" s="19"/>
      <c r="C108" s="19"/>
      <c r="T108" s="4"/>
      <c r="U108" s="4"/>
      <c r="V108" s="4"/>
      <c r="W108" s="4"/>
      <c r="X108" s="4"/>
      <c r="Y108" s="4"/>
      <c r="Z108" s="4"/>
      <c r="AA108" s="4"/>
      <c r="AB108" s="4"/>
      <c r="AC108" s="4"/>
      <c r="AD108" s="4"/>
      <c r="AE108" s="4"/>
      <c r="AF108" s="4"/>
      <c r="AG108" s="4"/>
      <c r="AH108" s="4"/>
      <c r="AI108" s="4"/>
      <c r="AJ108" s="4"/>
      <c r="AK108" s="4"/>
      <c r="AL108" s="4"/>
      <c r="AM108" s="4"/>
      <c r="AN108" s="4"/>
      <c r="AO108" s="4"/>
      <c r="AQ108" s="1623"/>
      <c r="AR108" s="1623"/>
      <c r="AS108" s="1623"/>
      <c r="AY108" s="1577"/>
      <c r="AZ108" s="1699"/>
      <c r="BA108" s="1706">
        <v>17</v>
      </c>
      <c r="BB108" s="1554"/>
      <c r="BC108" s="1554"/>
      <c r="BD108" s="1554"/>
      <c r="BE108" s="1554"/>
      <c r="BF108" s="1554"/>
      <c r="BG108" s="1554"/>
      <c r="BH108" s="1554"/>
      <c r="BI108" s="1632" t="b">
        <f>IF(BR82=17,8)</f>
        <v>0</v>
      </c>
      <c r="BJ108" s="1641"/>
      <c r="BK108" s="1641"/>
      <c r="BL108" s="1688"/>
      <c r="BM108" s="1688"/>
      <c r="BN108" s="1688"/>
      <c r="BO108" s="1688"/>
      <c r="BP108" s="1688"/>
      <c r="BQ108" s="1688"/>
      <c r="BR108" s="1688"/>
      <c r="BS108" s="1703"/>
      <c r="BT108" s="1688"/>
      <c r="BU108" s="1704"/>
      <c r="BV108" s="1688"/>
      <c r="BW108" s="1688"/>
      <c r="BX108" s="1688"/>
      <c r="BY108" s="1641"/>
      <c r="BZ108" s="1641"/>
      <c r="CA108" s="1634" t="b">
        <f>IF(BR82=17,26)</f>
        <v>0</v>
      </c>
      <c r="CB108" s="1557"/>
      <c r="CC108" s="1557"/>
      <c r="CD108" s="1557"/>
      <c r="CE108" s="1557"/>
      <c r="CF108" s="1557"/>
      <c r="CG108" s="1557"/>
      <c r="CH108" s="1557"/>
      <c r="CI108" s="1557"/>
      <c r="CJ108" s="1557"/>
      <c r="CK108" s="1557"/>
      <c r="CL108" s="1557"/>
      <c r="CM108" s="1557"/>
      <c r="CN108" s="1557"/>
      <c r="CO108" s="1557"/>
      <c r="CP108" s="185"/>
    </row>
    <row r="109" spans="2:94" ht="34.5" hidden="1" customHeight="1" thickBot="1" x14ac:dyDescent="0.45">
      <c r="B109" s="19"/>
      <c r="C109" s="19"/>
      <c r="T109" s="4"/>
      <c r="U109" s="4"/>
      <c r="V109" s="4"/>
      <c r="W109" s="4"/>
      <c r="X109" s="4"/>
      <c r="Y109" s="4"/>
      <c r="Z109" s="4"/>
      <c r="AA109" s="4"/>
      <c r="AB109" s="4"/>
      <c r="AC109" s="4"/>
      <c r="AD109" s="4"/>
      <c r="AE109" s="4"/>
      <c r="AF109" s="4"/>
      <c r="AG109" s="4"/>
      <c r="AH109" s="4"/>
      <c r="AI109" s="4"/>
      <c r="AJ109" s="4"/>
      <c r="AK109" s="4"/>
      <c r="AL109" s="4"/>
      <c r="AM109" s="4"/>
      <c r="AN109" s="4"/>
      <c r="AO109" s="4"/>
      <c r="AQ109" s="1623"/>
      <c r="AR109" s="1623"/>
      <c r="AS109" s="1623"/>
      <c r="AY109" s="1577"/>
      <c r="AZ109" s="1699"/>
      <c r="BA109" s="1706">
        <v>16</v>
      </c>
      <c r="BB109" s="1554"/>
      <c r="BC109" s="1554"/>
      <c r="BD109" s="1554"/>
      <c r="BE109" s="1554"/>
      <c r="BF109" s="1554"/>
      <c r="BG109" s="1707" t="b">
        <f>IF(BQ82=16,6)</f>
        <v>0</v>
      </c>
      <c r="BH109" s="1708"/>
      <c r="BI109" s="1709"/>
      <c r="BJ109" s="1709"/>
      <c r="BK109" s="1708"/>
      <c r="BL109" s="1708"/>
      <c r="BM109" s="1708"/>
      <c r="BN109" s="1708"/>
      <c r="BO109" s="1708"/>
      <c r="BP109" s="1708"/>
      <c r="BQ109" s="1708"/>
      <c r="BR109" s="1708"/>
      <c r="BS109" s="1710"/>
      <c r="BT109" s="1708"/>
      <c r="BU109" s="1711"/>
      <c r="BV109" s="1708"/>
      <c r="BW109" s="1708"/>
      <c r="BX109" s="1709"/>
      <c r="BY109" s="1709"/>
      <c r="BZ109" s="1712"/>
      <c r="CA109" s="1713" t="b">
        <f>IF(BQ82=16,26)</f>
        <v>0</v>
      </c>
      <c r="CB109" s="1557"/>
      <c r="CC109" s="1557"/>
      <c r="CD109" s="1557"/>
      <c r="CE109" s="1557"/>
      <c r="CF109" s="1557"/>
      <c r="CG109" s="1557"/>
      <c r="CH109" s="1557"/>
      <c r="CI109" s="1557"/>
      <c r="CJ109" s="1557"/>
      <c r="CK109" s="1557"/>
      <c r="CL109" s="1557"/>
      <c r="CM109" s="1557"/>
      <c r="CN109" s="1557"/>
      <c r="CO109" s="1557"/>
      <c r="CP109" s="185"/>
    </row>
    <row r="110" spans="2:94" ht="21.6" hidden="1" thickBot="1" x14ac:dyDescent="0.45">
      <c r="B110" s="324"/>
      <c r="C110" s="141"/>
      <c r="T110" s="4"/>
      <c r="U110" s="4"/>
      <c r="V110" s="4"/>
      <c r="W110" s="4"/>
      <c r="X110" s="4"/>
      <c r="Y110" s="4"/>
      <c r="Z110" s="4"/>
      <c r="AA110" s="4"/>
      <c r="AB110" s="4"/>
      <c r="AC110" s="4"/>
      <c r="AD110" s="4"/>
      <c r="AE110" s="4"/>
      <c r="AF110" s="4"/>
      <c r="AG110" s="4"/>
      <c r="AH110" s="4"/>
      <c r="AI110" s="4"/>
      <c r="AJ110" s="4"/>
      <c r="AK110" s="4"/>
      <c r="AL110" s="4"/>
      <c r="AM110" s="4"/>
      <c r="AN110" s="4"/>
      <c r="AO110" s="4"/>
      <c r="AQ110" s="1623"/>
      <c r="AR110" s="1623"/>
      <c r="AS110" s="1623"/>
      <c r="AY110" s="1577"/>
      <c r="AZ110" s="1699"/>
      <c r="BA110" s="1693">
        <v>15</v>
      </c>
      <c r="BB110" s="1554"/>
      <c r="BC110" s="1554"/>
      <c r="BD110" s="1554"/>
      <c r="BE110" s="1632" t="b">
        <f>IF(BP82=15,4)</f>
        <v>0</v>
      </c>
      <c r="BF110" s="1688"/>
      <c r="BG110" s="1688"/>
      <c r="BH110" s="1688"/>
      <c r="BI110" s="1641"/>
      <c r="BJ110" s="1688"/>
      <c r="BK110" s="1688"/>
      <c r="BL110" s="1641"/>
      <c r="BM110" s="1688"/>
      <c r="BN110" s="1688"/>
      <c r="BO110" s="1688"/>
      <c r="BP110" s="1688"/>
      <c r="BQ110" s="1688"/>
      <c r="BR110" s="1688"/>
      <c r="BS110" s="1703"/>
      <c r="BT110" s="1641"/>
      <c r="BU110" s="1704"/>
      <c r="BV110" s="1688"/>
      <c r="BW110" s="1641"/>
      <c r="BX110" s="1688"/>
      <c r="BY110" s="1688"/>
      <c r="BZ110" s="1642"/>
      <c r="CA110" s="1634" t="b">
        <f>IF(BP82=15,26)</f>
        <v>0</v>
      </c>
      <c r="CB110" s="1557"/>
      <c r="CC110" s="1557"/>
      <c r="CD110" s="1557"/>
      <c r="CE110" s="1557"/>
      <c r="CF110" s="1557"/>
      <c r="CG110" s="1557"/>
      <c r="CH110" s="1557"/>
      <c r="CI110" s="1557"/>
      <c r="CJ110" s="1557"/>
      <c r="CK110" s="1557"/>
      <c r="CL110" s="1557"/>
      <c r="CM110" s="1557"/>
      <c r="CN110" s="1557"/>
      <c r="CO110" s="1557"/>
      <c r="CP110" s="185"/>
    </row>
    <row r="111" spans="2:94" ht="21.6" hidden="1" thickBot="1" x14ac:dyDescent="0.45">
      <c r="B111" s="701"/>
      <c r="C111" s="325"/>
      <c r="G111" s="438"/>
      <c r="H111" s="438"/>
      <c r="I111" s="438"/>
      <c r="J111" s="438"/>
      <c r="K111" s="438"/>
      <c r="L111" s="438"/>
      <c r="M111" s="438"/>
      <c r="N111" s="438"/>
      <c r="O111" s="438"/>
      <c r="P111" s="438"/>
      <c r="Q111" s="438"/>
      <c r="R111" s="438"/>
      <c r="S111" s="438"/>
      <c r="T111" s="438"/>
      <c r="U111" s="438"/>
      <c r="V111" s="438"/>
      <c r="W111" s="438"/>
      <c r="X111" s="438"/>
      <c r="Y111" s="438"/>
      <c r="Z111" s="438"/>
      <c r="AA111" s="438"/>
      <c r="AB111" s="438"/>
      <c r="AC111" s="438"/>
      <c r="AD111" s="438"/>
      <c r="AE111" s="438"/>
      <c r="AF111" s="438"/>
      <c r="AG111" s="438"/>
      <c r="AH111" s="438"/>
      <c r="AI111" s="438"/>
      <c r="AJ111" s="438"/>
      <c r="AK111" s="438"/>
      <c r="AL111" s="438"/>
      <c r="AM111" s="438"/>
      <c r="AN111" s="438"/>
      <c r="AO111" s="438"/>
      <c r="AP111" s="438"/>
      <c r="AQ111" s="1623"/>
      <c r="AR111" s="1623"/>
      <c r="AS111" s="1623"/>
      <c r="AY111" s="1577"/>
      <c r="AZ111" s="1699"/>
      <c r="BA111" s="1693">
        <v>14</v>
      </c>
      <c r="BB111" s="1554"/>
      <c r="BC111" s="1632">
        <f>IF(BO82=14,2)</f>
        <v>2</v>
      </c>
      <c r="BD111" s="1688"/>
      <c r="BE111" s="1688"/>
      <c r="BF111" s="1688"/>
      <c r="BG111" s="1641"/>
      <c r="BH111" s="1688"/>
      <c r="BI111" s="1688"/>
      <c r="BJ111" s="1641"/>
      <c r="BK111" s="1688"/>
      <c r="BL111" s="1688"/>
      <c r="BM111" s="1688"/>
      <c r="BN111" s="1688"/>
      <c r="BO111" s="1688"/>
      <c r="BP111" s="1688"/>
      <c r="BQ111" s="1688"/>
      <c r="BR111" s="1688"/>
      <c r="BS111" s="1703"/>
      <c r="BT111" s="1641"/>
      <c r="BU111" s="1704"/>
      <c r="BV111" s="1688"/>
      <c r="BW111" s="1641"/>
      <c r="BX111" s="1688"/>
      <c r="BY111" s="1688"/>
      <c r="BZ111" s="1642"/>
      <c r="CA111" s="1634">
        <f>IF(BO82=14,26)</f>
        <v>26</v>
      </c>
      <c r="CB111" s="1557"/>
      <c r="CC111" s="1557"/>
      <c r="CD111" s="1557"/>
      <c r="CE111" s="1557"/>
      <c r="CF111" s="1557"/>
      <c r="CG111" s="1557"/>
      <c r="CH111" s="1557"/>
      <c r="CI111" s="1557"/>
      <c r="CJ111" s="1557"/>
      <c r="CK111" s="1557"/>
      <c r="CL111" s="1557"/>
      <c r="CM111" s="1557"/>
      <c r="CN111" s="1557"/>
      <c r="CO111" s="1557"/>
    </row>
    <row r="112" spans="2:94" ht="30.6" hidden="1" thickBot="1" x14ac:dyDescent="0.45">
      <c r="D112" s="74"/>
      <c r="E112" s="74"/>
      <c r="F112" s="74"/>
      <c r="G112" s="74"/>
      <c r="H112" s="78"/>
      <c r="I112" s="78"/>
      <c r="J112" s="78"/>
      <c r="K112" s="78"/>
      <c r="L112" s="78"/>
      <c r="M112" s="78"/>
      <c r="N112" s="78"/>
      <c r="O112" s="78"/>
      <c r="P112" s="78"/>
      <c r="Q112" s="78"/>
      <c r="R112" s="78"/>
      <c r="S112" s="78"/>
      <c r="T112" s="78"/>
      <c r="U112" s="78"/>
      <c r="V112" s="78"/>
      <c r="W112" s="78"/>
      <c r="X112" s="78"/>
      <c r="Y112" s="78"/>
      <c r="Z112" s="78"/>
      <c r="AA112" s="78"/>
      <c r="AB112" s="78"/>
      <c r="AC112" s="78"/>
      <c r="AD112" s="78"/>
      <c r="AE112" s="78"/>
      <c r="AF112" s="78"/>
      <c r="AG112" s="78"/>
      <c r="AH112" s="78"/>
      <c r="AI112" s="78"/>
      <c r="AJ112" s="78"/>
      <c r="AK112" s="78"/>
      <c r="AL112" s="78"/>
      <c r="AM112" s="78"/>
      <c r="AN112" s="78"/>
      <c r="AO112" s="78"/>
      <c r="AP112" s="78"/>
      <c r="AQ112" s="1623"/>
      <c r="AR112" s="1623"/>
      <c r="AS112" s="1623"/>
      <c r="AY112" s="1577"/>
      <c r="AZ112" s="1699"/>
      <c r="BA112" s="1693">
        <v>13</v>
      </c>
      <c r="BB112" s="1554"/>
      <c r="BC112" s="1554"/>
      <c r="BD112" s="1554"/>
      <c r="BF112" s="1714"/>
      <c r="BG112" s="1714"/>
      <c r="BH112" s="1715"/>
      <c r="BI112" s="1714"/>
      <c r="BJ112" s="1643" t="b">
        <f>IF(BN82=13,9)</f>
        <v>0</v>
      </c>
      <c r="BK112" s="1689"/>
      <c r="BL112" s="1689"/>
      <c r="BM112" s="1689"/>
      <c r="BN112" s="1689"/>
      <c r="BO112" s="1689"/>
      <c r="BP112" s="1689"/>
      <c r="BQ112" s="1689"/>
      <c r="BR112" s="1636" t="b">
        <f>IF(BN82=13,17)</f>
        <v>0</v>
      </c>
      <c r="BS112" s="1716"/>
      <c r="BT112" s="1715"/>
      <c r="BU112" s="1717"/>
      <c r="BV112" s="1714"/>
      <c r="BX112" s="1554"/>
      <c r="BY112" s="1554"/>
      <c r="BZ112" s="1557"/>
      <c r="CA112" s="1557"/>
      <c r="CB112" s="1557"/>
      <c r="CC112" s="1557"/>
      <c r="CD112" s="1557"/>
      <c r="CE112" s="1557"/>
      <c r="CF112" s="1557"/>
      <c r="CG112" s="1557"/>
      <c r="CH112" s="1557"/>
      <c r="CI112" s="1557"/>
      <c r="CJ112" s="1557"/>
      <c r="CK112" s="1557"/>
      <c r="CL112" s="1557"/>
      <c r="CM112" s="1557"/>
      <c r="CN112" s="1557"/>
      <c r="CO112" s="1557"/>
      <c r="CP112" s="185"/>
    </row>
    <row r="113" spans="4:93" ht="40.5" hidden="1" customHeight="1" thickBot="1" x14ac:dyDescent="0.45">
      <c r="D113" s="74"/>
      <c r="E113" s="74"/>
      <c r="F113" s="74"/>
      <c r="G113" s="74"/>
      <c r="H113" s="7"/>
      <c r="I113" s="7"/>
      <c r="J113" s="7"/>
      <c r="K113" s="7"/>
      <c r="L113" s="7"/>
      <c r="M113" s="7"/>
      <c r="N113" s="7"/>
      <c r="O113" s="7"/>
      <c r="P113" s="7"/>
      <c r="Q113" s="7"/>
      <c r="R113" s="7"/>
      <c r="S113" s="7"/>
      <c r="T113" s="10"/>
      <c r="U113" s="10"/>
      <c r="V113" s="10"/>
      <c r="W113" s="10"/>
      <c r="X113" s="10"/>
      <c r="Y113" s="10"/>
      <c r="Z113" s="10"/>
      <c r="AA113" s="10"/>
      <c r="AB113" s="10"/>
      <c r="AC113" s="10"/>
      <c r="AD113" s="10"/>
      <c r="AE113" s="10"/>
      <c r="AF113" s="10"/>
      <c r="AG113" s="10"/>
      <c r="AH113" s="10"/>
      <c r="AI113" s="10"/>
      <c r="AJ113" s="10"/>
      <c r="AK113" s="10"/>
      <c r="AL113" s="10"/>
      <c r="AM113" s="10"/>
      <c r="AN113" s="10"/>
      <c r="AO113" s="10"/>
      <c r="AP113" s="7"/>
      <c r="AQ113" s="1623"/>
      <c r="AR113" s="1623"/>
      <c r="AS113" s="1623"/>
      <c r="AY113" s="1577"/>
      <c r="AZ113" s="1699"/>
      <c r="BA113" s="1693">
        <v>12</v>
      </c>
      <c r="BB113" s="1554"/>
      <c r="BD113" s="1702"/>
      <c r="BE113" s="1702"/>
      <c r="BF113" s="1705"/>
      <c r="BG113" s="1702"/>
      <c r="BH113" s="1632" t="b">
        <f>IF(BM82=12,7)</f>
        <v>0</v>
      </c>
      <c r="BI113" s="1688"/>
      <c r="BJ113" s="1688"/>
      <c r="BK113" s="1688"/>
      <c r="BL113" s="1688"/>
      <c r="BM113" s="1688"/>
      <c r="BN113" s="1688"/>
      <c r="BO113" s="1688"/>
      <c r="BP113" s="1688"/>
      <c r="BQ113" s="1688"/>
      <c r="BR113" s="1634" t="b">
        <f>IF(BM82=12,17)</f>
        <v>0</v>
      </c>
      <c r="BS113" s="1718"/>
      <c r="BT113" s="1705"/>
      <c r="BU113" s="1719"/>
      <c r="BV113" s="1702"/>
      <c r="BX113" s="1554"/>
      <c r="BY113" s="1554"/>
      <c r="BZ113" s="1557"/>
      <c r="CA113" s="1557"/>
      <c r="CB113" s="1557"/>
      <c r="CC113" s="1557"/>
      <c r="CD113" s="1557"/>
      <c r="CE113" s="1557"/>
      <c r="CF113" s="1557"/>
      <c r="CG113" s="1557"/>
      <c r="CH113" s="1557"/>
      <c r="CI113" s="1557"/>
      <c r="CJ113" s="1557"/>
      <c r="CK113" s="1557"/>
      <c r="CL113" s="1557"/>
      <c r="CM113" s="1557"/>
      <c r="CN113" s="1557"/>
      <c r="CO113" s="1557"/>
    </row>
    <row r="114" spans="4:93" ht="40.5" hidden="1" customHeight="1" thickBot="1" x14ac:dyDescent="0.45">
      <c r="D114" s="74"/>
      <c r="E114" s="74"/>
      <c r="F114" s="74"/>
      <c r="G114" s="74"/>
      <c r="H114" s="7"/>
      <c r="I114" s="7"/>
      <c r="J114" s="7"/>
      <c r="K114" s="7"/>
      <c r="L114" s="7"/>
      <c r="M114" s="7"/>
      <c r="N114" s="7"/>
      <c r="O114" s="7"/>
      <c r="P114" s="7"/>
      <c r="Q114" s="7"/>
      <c r="R114" s="7"/>
      <c r="S114" s="7"/>
      <c r="T114" s="10"/>
      <c r="U114" s="10"/>
      <c r="V114" s="10"/>
      <c r="W114" s="10"/>
      <c r="X114" s="10"/>
      <c r="Y114" s="10"/>
      <c r="Z114" s="10"/>
      <c r="AA114" s="10"/>
      <c r="AB114" s="10"/>
      <c r="AC114" s="10"/>
      <c r="AD114" s="10"/>
      <c r="AE114" s="10"/>
      <c r="AF114" s="10"/>
      <c r="AG114" s="10"/>
      <c r="AH114" s="10"/>
      <c r="AI114" s="10"/>
      <c r="AJ114" s="10"/>
      <c r="AK114" s="10"/>
      <c r="AL114" s="10"/>
      <c r="AM114" s="10"/>
      <c r="AN114" s="10"/>
      <c r="AO114" s="10"/>
      <c r="AP114" s="7"/>
      <c r="AQ114" s="1623"/>
      <c r="AR114" s="1623"/>
      <c r="AS114" s="1623"/>
      <c r="AY114" s="1577"/>
      <c r="AZ114" s="1699"/>
      <c r="BA114" s="1693">
        <v>11</v>
      </c>
      <c r="BC114" s="1714"/>
      <c r="BD114" s="1715"/>
      <c r="BE114" s="1714"/>
      <c r="BF114" s="1632" t="b">
        <f>IF(BL82=11,5)</f>
        <v>0</v>
      </c>
      <c r="BG114" s="1688"/>
      <c r="BH114" s="1688"/>
      <c r="BI114" s="1688"/>
      <c r="BJ114" s="1688"/>
      <c r="BK114" s="1688"/>
      <c r="BL114" s="1688"/>
      <c r="BM114" s="1688"/>
      <c r="BN114" s="1688"/>
      <c r="BO114" s="1688"/>
      <c r="BP114" s="1688"/>
      <c r="BQ114" s="1688"/>
      <c r="BR114" s="1634" t="b">
        <f>IF(BL82=11,17)</f>
        <v>0</v>
      </c>
      <c r="BS114" s="1716"/>
      <c r="BT114" s="1715"/>
      <c r="BU114" s="1717"/>
      <c r="BW114" s="1554"/>
      <c r="BX114" s="1554"/>
      <c r="BY114" s="1554"/>
      <c r="BZ114" s="1557"/>
      <c r="CA114" s="1557"/>
      <c r="CB114" s="1557"/>
      <c r="CC114" s="1557"/>
      <c r="CD114" s="1557"/>
      <c r="CE114" s="1557"/>
      <c r="CF114" s="1557"/>
      <c r="CG114" s="1557"/>
      <c r="CH114" s="1557"/>
      <c r="CI114" s="1557"/>
      <c r="CJ114" s="1557"/>
      <c r="CK114" s="1557"/>
      <c r="CL114" s="1557"/>
      <c r="CM114" s="1557"/>
      <c r="CN114" s="1557"/>
      <c r="CO114" s="1557"/>
    </row>
    <row r="115" spans="4:93" ht="40.5" hidden="1" customHeight="1" thickBot="1" x14ac:dyDescent="0.45">
      <c r="D115" s="74"/>
      <c r="E115" s="74"/>
      <c r="F115" s="74"/>
      <c r="G115" s="74"/>
      <c r="H115" s="7"/>
      <c r="I115" s="7"/>
      <c r="J115" s="7"/>
      <c r="K115" s="7"/>
      <c r="L115" s="7"/>
      <c r="M115" s="7"/>
      <c r="N115" s="7"/>
      <c r="O115" s="7"/>
      <c r="P115" s="7"/>
      <c r="Q115" s="7"/>
      <c r="R115" s="7"/>
      <c r="S115" s="7"/>
      <c r="T115" s="10"/>
      <c r="U115" s="10"/>
      <c r="V115" s="10"/>
      <c r="W115" s="10"/>
      <c r="X115" s="10"/>
      <c r="Y115" s="10"/>
      <c r="Z115" s="10"/>
      <c r="AA115" s="10"/>
      <c r="AB115" s="10"/>
      <c r="AC115" s="10"/>
      <c r="AD115" s="10"/>
      <c r="AE115" s="10"/>
      <c r="AF115" s="10"/>
      <c r="AG115" s="10"/>
      <c r="AH115" s="10"/>
      <c r="AI115" s="10"/>
      <c r="AJ115" s="10"/>
      <c r="AK115" s="10"/>
      <c r="AL115" s="10"/>
      <c r="AM115" s="10"/>
      <c r="AN115" s="10"/>
      <c r="AO115" s="10"/>
      <c r="AP115" s="7"/>
      <c r="AQ115" s="1623"/>
      <c r="AR115" s="1623"/>
      <c r="AS115" s="1623"/>
      <c r="AY115" s="1577"/>
      <c r="AZ115" s="1699"/>
      <c r="BA115" s="1693">
        <v>10</v>
      </c>
      <c r="BC115" s="1714"/>
      <c r="BD115" s="1632" t="b">
        <f>IF(BK82=10,3)</f>
        <v>0</v>
      </c>
      <c r="BE115" s="1688"/>
      <c r="BF115" s="1688"/>
      <c r="BG115" s="1688"/>
      <c r="BH115" s="1688"/>
      <c r="BI115" s="1688"/>
      <c r="BJ115" s="1688"/>
      <c r="BK115" s="1688"/>
      <c r="BL115" s="1688"/>
      <c r="BM115" s="1688"/>
      <c r="BN115" s="1688"/>
      <c r="BO115" s="1688"/>
      <c r="BP115" s="1688"/>
      <c r="BQ115" s="1688"/>
      <c r="BR115" s="1634" t="b">
        <f>IF(BK82=10,17)</f>
        <v>0</v>
      </c>
      <c r="BS115" s="1716"/>
      <c r="BU115" s="1720"/>
      <c r="BV115" s="1554"/>
      <c r="BW115" s="1554"/>
      <c r="BX115" s="1554"/>
      <c r="BY115" s="1554"/>
      <c r="BZ115" s="1557"/>
      <c r="CA115" s="1557"/>
      <c r="CB115" s="1557"/>
      <c r="CC115" s="1557"/>
      <c r="CD115" s="1557"/>
      <c r="CE115" s="1557"/>
      <c r="CF115" s="1557"/>
      <c r="CG115" s="1557"/>
      <c r="CH115" s="1557"/>
      <c r="CI115" s="1557"/>
      <c r="CJ115" s="1557"/>
      <c r="CK115" s="1557"/>
      <c r="CL115" s="1557"/>
      <c r="CM115" s="1557"/>
      <c r="CN115" s="1557"/>
      <c r="CO115" s="1557"/>
    </row>
    <row r="116" spans="4:93" ht="40.5" hidden="1" customHeight="1" thickBot="1" x14ac:dyDescent="0.45">
      <c r="D116" s="74"/>
      <c r="E116" s="74"/>
      <c r="F116" s="74"/>
      <c r="G116" s="74"/>
      <c r="H116" s="7"/>
      <c r="I116" s="7"/>
      <c r="J116" s="7"/>
      <c r="K116" s="7"/>
      <c r="L116" s="7"/>
      <c r="M116" s="7"/>
      <c r="N116" s="7"/>
      <c r="O116" s="7"/>
      <c r="P116" s="7"/>
      <c r="Q116" s="7"/>
      <c r="R116" s="7"/>
      <c r="S116" s="7"/>
      <c r="T116" s="10"/>
      <c r="U116" s="10"/>
      <c r="V116" s="10"/>
      <c r="W116" s="10"/>
      <c r="X116" s="10"/>
      <c r="Y116" s="10"/>
      <c r="Z116" s="10"/>
      <c r="AA116" s="10"/>
      <c r="AB116" s="10"/>
      <c r="AC116" s="10"/>
      <c r="AD116" s="10"/>
      <c r="AE116" s="10"/>
      <c r="AF116" s="10"/>
      <c r="AG116" s="10"/>
      <c r="AH116" s="10"/>
      <c r="AI116" s="10"/>
      <c r="AJ116" s="10"/>
      <c r="AK116" s="10"/>
      <c r="AL116" s="10"/>
      <c r="AM116" s="10"/>
      <c r="AN116" s="10"/>
      <c r="AO116" s="10"/>
      <c r="AP116" s="7"/>
      <c r="AQ116" s="1623"/>
      <c r="AR116" s="1623"/>
      <c r="AS116" s="1623"/>
      <c r="AY116" s="1577"/>
      <c r="AZ116" s="1699"/>
      <c r="BA116" s="1693">
        <v>9</v>
      </c>
      <c r="BB116" s="1632" t="b">
        <f>IF(BJ82=9,1)</f>
        <v>0</v>
      </c>
      <c r="BC116" s="1688"/>
      <c r="BD116" s="1688"/>
      <c r="BE116" s="1688"/>
      <c r="BF116" s="1688"/>
      <c r="BG116" s="1688"/>
      <c r="BH116" s="1688"/>
      <c r="BI116" s="1688"/>
      <c r="BJ116" s="1688"/>
      <c r="BK116" s="1688"/>
      <c r="BL116" s="1688"/>
      <c r="BM116" s="1688"/>
      <c r="BN116" s="1688"/>
      <c r="BO116" s="1688"/>
      <c r="BP116" s="1688"/>
      <c r="BQ116" s="1688"/>
      <c r="BR116" s="1634" t="b">
        <f>IF(BJ82=9,17)</f>
        <v>0</v>
      </c>
      <c r="BS116" s="1554"/>
      <c r="BT116" s="1554"/>
      <c r="BU116" s="1720"/>
      <c r="BV116" s="1554"/>
      <c r="BW116" s="1554"/>
      <c r="BX116" s="1554"/>
      <c r="BY116" s="1554"/>
      <c r="BZ116" s="1557"/>
      <c r="CA116" s="1557"/>
      <c r="CB116" s="1557"/>
      <c r="CC116" s="1557"/>
      <c r="CD116" s="1557"/>
      <c r="CE116" s="1557"/>
      <c r="CF116" s="1557"/>
      <c r="CG116" s="1557"/>
      <c r="CH116" s="1557"/>
      <c r="CI116" s="1557"/>
      <c r="CJ116" s="1557"/>
      <c r="CK116" s="1557"/>
      <c r="CL116" s="1557"/>
      <c r="CM116" s="1557"/>
      <c r="CN116" s="1557"/>
      <c r="CO116" s="1557"/>
    </row>
    <row r="117" spans="4:93" ht="40.5" hidden="1" customHeight="1" thickBot="1" x14ac:dyDescent="0.45">
      <c r="D117" s="74"/>
      <c r="E117" s="74"/>
      <c r="F117" s="74"/>
      <c r="G117" s="74"/>
      <c r="H117" s="7"/>
      <c r="I117" s="7"/>
      <c r="J117" s="7"/>
      <c r="K117" s="7"/>
      <c r="L117" s="7"/>
      <c r="M117" s="7"/>
      <c r="N117" s="7"/>
      <c r="O117" s="7"/>
      <c r="P117" s="7"/>
      <c r="Q117" s="7"/>
      <c r="R117" s="7"/>
      <c r="S117" s="7"/>
      <c r="T117" s="10"/>
      <c r="U117" s="10"/>
      <c r="V117" s="10"/>
      <c r="W117" s="10"/>
      <c r="X117" s="10"/>
      <c r="Y117" s="10"/>
      <c r="Z117" s="10"/>
      <c r="AA117" s="10"/>
      <c r="AB117" s="10"/>
      <c r="AC117" s="10"/>
      <c r="AD117" s="10"/>
      <c r="AE117" s="10"/>
      <c r="AF117" s="10"/>
      <c r="AG117" s="10"/>
      <c r="AH117" s="10"/>
      <c r="AI117" s="10"/>
      <c r="AJ117" s="10"/>
      <c r="AK117" s="10"/>
      <c r="AL117" s="10"/>
      <c r="AM117" s="10"/>
      <c r="AN117" s="10"/>
      <c r="AO117" s="10"/>
      <c r="AP117" s="7"/>
      <c r="AQ117" s="1623"/>
      <c r="AR117" s="1623"/>
      <c r="AS117" s="1623"/>
      <c r="AY117" s="1577"/>
      <c r="AZ117" s="1699"/>
      <c r="BA117" s="1693">
        <v>8</v>
      </c>
      <c r="BB117" s="1632" t="b">
        <f>IF(BI82=8,1)</f>
        <v>0</v>
      </c>
      <c r="BC117" s="1688"/>
      <c r="BD117" s="1641"/>
      <c r="BE117" s="1688"/>
      <c r="BF117" s="1688"/>
      <c r="BG117" s="1688"/>
      <c r="BH117" s="1688"/>
      <c r="BI117" s="1688"/>
      <c r="BJ117" s="1688"/>
      <c r="BK117" s="1688"/>
      <c r="BL117" s="1688"/>
      <c r="BM117" s="1688"/>
      <c r="BN117" s="1641"/>
      <c r="BO117" s="1688"/>
      <c r="BP117" s="1634" t="b">
        <f>IF(BI82=8,15)</f>
        <v>0</v>
      </c>
      <c r="BQ117" s="1554"/>
      <c r="BR117" s="1554"/>
      <c r="BS117" s="1721"/>
      <c r="BT117" s="1554"/>
      <c r="BU117" s="1720"/>
      <c r="BV117" s="1554"/>
      <c r="BW117" s="1554"/>
      <c r="BX117" s="1554"/>
      <c r="BY117" s="1554"/>
      <c r="BZ117" s="1557"/>
      <c r="CA117" s="1557"/>
      <c r="CB117" s="1557"/>
      <c r="CC117" s="1557"/>
      <c r="CD117" s="1557"/>
      <c r="CE117" s="1557"/>
      <c r="CF117" s="1557"/>
      <c r="CG117" s="1557"/>
      <c r="CH117" s="1557"/>
      <c r="CI117" s="1557"/>
      <c r="CJ117" s="1557"/>
      <c r="CK117" s="1557"/>
      <c r="CL117" s="1557"/>
      <c r="CM117" s="1557"/>
      <c r="CN117" s="1557"/>
      <c r="CO117" s="1557"/>
    </row>
    <row r="118" spans="4:93" ht="40.5" hidden="1" customHeight="1" thickBot="1" x14ac:dyDescent="0.45">
      <c r="D118" s="74"/>
      <c r="E118" s="74"/>
      <c r="F118" s="74"/>
      <c r="G118" s="74"/>
      <c r="H118" s="7"/>
      <c r="I118" s="7"/>
      <c r="J118" s="7"/>
      <c r="K118" s="7"/>
      <c r="L118" s="7"/>
      <c r="M118" s="7"/>
      <c r="N118" s="7"/>
      <c r="O118" s="7"/>
      <c r="P118" s="7"/>
      <c r="Q118" s="7"/>
      <c r="R118" s="7"/>
      <c r="S118" s="7"/>
      <c r="T118" s="10"/>
      <c r="U118" s="10"/>
      <c r="V118" s="10"/>
      <c r="W118" s="10"/>
      <c r="X118" s="10"/>
      <c r="Y118" s="10"/>
      <c r="Z118" s="10"/>
      <c r="AA118" s="10"/>
      <c r="AB118" s="10"/>
      <c r="AC118" s="10"/>
      <c r="AD118" s="10"/>
      <c r="AE118" s="10"/>
      <c r="AF118" s="10"/>
      <c r="AG118" s="10"/>
      <c r="AH118" s="10"/>
      <c r="AI118" s="10"/>
      <c r="AJ118" s="10"/>
      <c r="AK118" s="10"/>
      <c r="AL118" s="10"/>
      <c r="AM118" s="10"/>
      <c r="AN118" s="10"/>
      <c r="AO118" s="10"/>
      <c r="AP118" s="7"/>
      <c r="AQ118" s="1623"/>
      <c r="AR118" s="1623"/>
      <c r="AS118" s="1623"/>
      <c r="AY118" s="1577"/>
      <c r="AZ118" s="1699"/>
      <c r="BA118" s="1693">
        <v>7</v>
      </c>
      <c r="BB118" s="1632" t="b">
        <f>IF(BH82=7,1)</f>
        <v>0</v>
      </c>
      <c r="BC118" s="1641"/>
      <c r="BD118" s="1688"/>
      <c r="BE118" s="1688"/>
      <c r="BF118" s="1688"/>
      <c r="BG118" s="1688"/>
      <c r="BH118" s="1688"/>
      <c r="BI118" s="1688"/>
      <c r="BJ118" s="1688"/>
      <c r="BK118" s="1688"/>
      <c r="BL118" s="1641"/>
      <c r="BM118" s="1641"/>
      <c r="BN118" s="1634" t="b">
        <f>IF(BH82=7,13)</f>
        <v>0</v>
      </c>
      <c r="BO118" s="1554"/>
      <c r="BP118" s="1554"/>
      <c r="BQ118" s="1554"/>
      <c r="BR118" s="1554"/>
      <c r="BS118" s="1721"/>
      <c r="BT118" s="1554"/>
      <c r="BU118" s="1720"/>
      <c r="BV118" s="1554"/>
      <c r="BW118" s="1554"/>
      <c r="BX118" s="1554"/>
      <c r="BY118" s="1554"/>
      <c r="BZ118" s="1557"/>
      <c r="CA118" s="1557"/>
      <c r="CB118" s="1557"/>
      <c r="CC118" s="1557"/>
      <c r="CD118" s="1557"/>
      <c r="CE118" s="1557"/>
      <c r="CF118" s="1557"/>
      <c r="CG118" s="1557"/>
      <c r="CH118" s="1557"/>
      <c r="CI118" s="1557"/>
      <c r="CJ118" s="1557"/>
      <c r="CK118" s="1557"/>
      <c r="CL118" s="1557"/>
      <c r="CM118" s="1557"/>
      <c r="CN118" s="1557"/>
      <c r="CO118" s="1557"/>
    </row>
    <row r="119" spans="4:93" ht="40.5" hidden="1" customHeight="1" thickBot="1" x14ac:dyDescent="0.45">
      <c r="D119" s="74"/>
      <c r="E119" s="74"/>
      <c r="F119" s="74"/>
      <c r="G119" s="74"/>
      <c r="H119" s="7"/>
      <c r="I119" s="7"/>
      <c r="J119" s="7"/>
      <c r="K119" s="7"/>
      <c r="L119" s="7"/>
      <c r="M119" s="7"/>
      <c r="N119" s="7"/>
      <c r="O119" s="7"/>
      <c r="P119" s="7"/>
      <c r="Q119" s="7"/>
      <c r="R119" s="7"/>
      <c r="S119" s="7"/>
      <c r="T119" s="10"/>
      <c r="U119" s="10"/>
      <c r="V119" s="10"/>
      <c r="W119" s="10"/>
      <c r="X119" s="10"/>
      <c r="Y119" s="10"/>
      <c r="Z119" s="10"/>
      <c r="AA119" s="10"/>
      <c r="AB119" s="10"/>
      <c r="AC119" s="10"/>
      <c r="AD119" s="10"/>
      <c r="AE119" s="10"/>
      <c r="AF119" s="10"/>
      <c r="AG119" s="10"/>
      <c r="AH119" s="10"/>
      <c r="AI119" s="10"/>
      <c r="AJ119" s="10"/>
      <c r="AK119" s="10"/>
      <c r="AL119" s="10"/>
      <c r="AM119" s="10"/>
      <c r="AN119" s="10"/>
      <c r="AO119" s="10"/>
      <c r="AP119" s="7"/>
      <c r="AQ119" s="1623"/>
      <c r="AR119" s="1623"/>
      <c r="AS119" s="1623"/>
      <c r="AY119" s="1577"/>
      <c r="AZ119" s="1699"/>
      <c r="BA119" s="1693">
        <v>6</v>
      </c>
      <c r="BB119" s="1643" t="b">
        <f>IF(BG82=6,1)</f>
        <v>0</v>
      </c>
      <c r="BC119" s="1689"/>
      <c r="BD119" s="1689"/>
      <c r="BE119" s="1689"/>
      <c r="BF119" s="1689"/>
      <c r="BG119" s="1689"/>
      <c r="BH119" s="1689"/>
      <c r="BI119" s="1689"/>
      <c r="BJ119" s="1689"/>
      <c r="BK119" s="1689"/>
      <c r="BL119" s="1636" t="b">
        <f>IF(BG82=6,11)</f>
        <v>0</v>
      </c>
      <c r="BM119" s="1554"/>
      <c r="BN119" s="1554"/>
      <c r="BO119" s="1554"/>
      <c r="BP119" s="1554"/>
      <c r="BQ119" s="1554"/>
      <c r="BR119" s="1554"/>
      <c r="BS119" s="1721"/>
      <c r="BT119" s="1554"/>
      <c r="BU119" s="1720"/>
      <c r="BV119" s="1554"/>
      <c r="BW119" s="1554"/>
      <c r="BX119" s="1554"/>
      <c r="BY119" s="1554"/>
      <c r="BZ119" s="1557"/>
      <c r="CA119" s="1557"/>
      <c r="CB119" s="1557"/>
      <c r="CC119" s="1557"/>
      <c r="CD119" s="1557"/>
      <c r="CE119" s="1557"/>
      <c r="CF119" s="1557"/>
      <c r="CG119" s="1557"/>
      <c r="CH119" s="1557"/>
      <c r="CI119" s="1557"/>
      <c r="CJ119" s="1557"/>
      <c r="CK119" s="1557"/>
      <c r="CL119" s="1557"/>
      <c r="CM119" s="1557"/>
      <c r="CN119" s="1557"/>
      <c r="CO119" s="1557"/>
    </row>
    <row r="120" spans="4:93" ht="40.5" hidden="1" customHeight="1" thickBot="1" x14ac:dyDescent="0.45">
      <c r="D120" s="74"/>
      <c r="E120" s="74"/>
      <c r="F120" s="74"/>
      <c r="G120" s="74"/>
      <c r="H120" s="7"/>
      <c r="I120" s="7"/>
      <c r="J120" s="7"/>
      <c r="K120" s="7"/>
      <c r="L120" s="7"/>
      <c r="M120" s="7"/>
      <c r="N120" s="7"/>
      <c r="O120" s="7"/>
      <c r="P120" s="7"/>
      <c r="Q120" s="7"/>
      <c r="R120" s="7"/>
      <c r="S120" s="7"/>
      <c r="T120" s="10"/>
      <c r="U120" s="10"/>
      <c r="V120" s="10"/>
      <c r="W120" s="10"/>
      <c r="X120" s="10"/>
      <c r="Y120" s="10"/>
      <c r="Z120" s="10"/>
      <c r="AA120" s="10"/>
      <c r="AB120" s="10"/>
      <c r="AC120" s="10"/>
      <c r="AD120" s="10"/>
      <c r="AE120" s="10"/>
      <c r="AF120" s="10"/>
      <c r="AG120" s="10"/>
      <c r="AH120" s="10"/>
      <c r="AI120" s="10"/>
      <c r="AJ120" s="10"/>
      <c r="AK120" s="10"/>
      <c r="AL120" s="10"/>
      <c r="AM120" s="10"/>
      <c r="AN120" s="10"/>
      <c r="AO120" s="10"/>
      <c r="AP120" s="7"/>
      <c r="AQ120" s="1623"/>
      <c r="AR120" s="1623"/>
      <c r="AS120" s="1623"/>
      <c r="AY120" s="1577"/>
      <c r="AZ120" s="1699"/>
      <c r="BA120" s="1693">
        <v>5</v>
      </c>
      <c r="BB120" s="1643" t="b">
        <f>IF(BF82=5,1)</f>
        <v>0</v>
      </c>
      <c r="BC120" s="1639"/>
      <c r="BD120" s="1689"/>
      <c r="BE120" s="1689"/>
      <c r="BF120" s="1689"/>
      <c r="BG120" s="1689"/>
      <c r="BH120" s="1689"/>
      <c r="BI120" s="1639"/>
      <c r="BJ120" s="1636" t="b">
        <f>IF(BF82=5,9)</f>
        <v>0</v>
      </c>
      <c r="BK120" s="1554"/>
      <c r="BL120" s="1554"/>
      <c r="BM120" s="1554"/>
      <c r="BN120" s="1554"/>
      <c r="BO120" s="1554"/>
      <c r="BP120" s="1554"/>
      <c r="BQ120" s="1554"/>
      <c r="BR120" s="1554"/>
      <c r="BS120" s="1721"/>
      <c r="BT120" s="1554"/>
      <c r="BU120" s="1720"/>
      <c r="BV120" s="1554"/>
      <c r="BW120" s="1554"/>
      <c r="BX120" s="1554"/>
      <c r="BY120" s="1554"/>
      <c r="BZ120" s="1557"/>
      <c r="CA120" s="1557"/>
      <c r="CB120" s="1557"/>
      <c r="CC120" s="1557"/>
      <c r="CD120" s="1557"/>
      <c r="CE120" s="1557"/>
      <c r="CF120" s="1557"/>
      <c r="CG120" s="1557"/>
      <c r="CH120" s="1557"/>
      <c r="CI120" s="1557"/>
      <c r="CJ120" s="1557"/>
      <c r="CK120" s="1557"/>
      <c r="CL120" s="1557"/>
      <c r="CM120" s="1557"/>
      <c r="CN120" s="1557"/>
      <c r="CO120" s="1557"/>
    </row>
    <row r="121" spans="4:93" ht="40.5" hidden="1" customHeight="1" thickBot="1" x14ac:dyDescent="0.45">
      <c r="D121" s="74"/>
      <c r="E121" s="74"/>
      <c r="F121" s="74"/>
      <c r="G121" s="74"/>
      <c r="H121" s="7"/>
      <c r="I121" s="7"/>
      <c r="J121" s="7"/>
      <c r="K121" s="7"/>
      <c r="L121" s="7"/>
      <c r="M121" s="7"/>
      <c r="N121" s="7"/>
      <c r="O121" s="7"/>
      <c r="P121" s="7"/>
      <c r="Q121" s="7"/>
      <c r="R121" s="7"/>
      <c r="S121" s="7"/>
      <c r="T121" s="10"/>
      <c r="U121" s="10"/>
      <c r="V121" s="10"/>
      <c r="W121" s="10"/>
      <c r="X121" s="10"/>
      <c r="Y121" s="10"/>
      <c r="Z121" s="10"/>
      <c r="AA121" s="10"/>
      <c r="AB121" s="10"/>
      <c r="AC121" s="10"/>
      <c r="AD121" s="10"/>
      <c r="AE121" s="10"/>
      <c r="AF121" s="10"/>
      <c r="AG121" s="10"/>
      <c r="AH121" s="10"/>
      <c r="AI121" s="10"/>
      <c r="AJ121" s="10"/>
      <c r="AK121" s="10"/>
      <c r="AL121" s="10"/>
      <c r="AM121" s="10"/>
      <c r="AN121" s="10"/>
      <c r="AO121" s="10"/>
      <c r="AP121" s="7"/>
      <c r="AQ121" s="1623"/>
      <c r="AR121" s="1623"/>
      <c r="AS121" s="1623"/>
      <c r="AY121" s="1577"/>
      <c r="AZ121" s="1699"/>
      <c r="BA121" s="1693">
        <v>4</v>
      </c>
      <c r="BB121" s="1643" t="b">
        <f>IF(BE82=4,1)</f>
        <v>0</v>
      </c>
      <c r="BC121" s="1689"/>
      <c r="BD121" s="1689"/>
      <c r="BE121" s="1689"/>
      <c r="BF121" s="1689"/>
      <c r="BG121" s="1689"/>
      <c r="BH121" s="1636" t="b">
        <f>IF(BE82=4,7)</f>
        <v>0</v>
      </c>
      <c r="BI121" s="1554"/>
      <c r="BJ121" s="1722"/>
      <c r="BK121" s="1722"/>
      <c r="BL121" s="1554"/>
      <c r="BM121" s="1722"/>
      <c r="BN121" s="1554"/>
      <c r="BO121" s="1554"/>
      <c r="BP121" s="1554"/>
      <c r="BQ121" s="1554"/>
      <c r="BR121" s="1554"/>
      <c r="BS121" s="1721"/>
      <c r="BT121" s="1554"/>
      <c r="BU121" s="1720"/>
      <c r="BV121" s="1554"/>
      <c r="BW121" s="1554"/>
      <c r="BX121" s="1554"/>
      <c r="BY121" s="1554"/>
      <c r="BZ121" s="1557"/>
      <c r="CA121" s="1557"/>
      <c r="CB121" s="1557"/>
      <c r="CC121" s="1557"/>
      <c r="CD121" s="1557"/>
      <c r="CE121" s="1557"/>
      <c r="CF121" s="1557"/>
      <c r="CG121" s="1557"/>
      <c r="CH121" s="1557"/>
      <c r="CI121" s="1557"/>
      <c r="CJ121" s="1557"/>
      <c r="CK121" s="1557"/>
      <c r="CL121" s="1557"/>
      <c r="CM121" s="1557"/>
      <c r="CN121" s="1557"/>
      <c r="CO121" s="1557"/>
    </row>
    <row r="122" spans="4:93" ht="40.5" hidden="1" customHeight="1" thickBot="1" x14ac:dyDescent="0.45">
      <c r="D122" s="74"/>
      <c r="E122" s="74"/>
      <c r="F122" s="74"/>
      <c r="G122" s="74"/>
      <c r="H122" s="7"/>
      <c r="I122" s="7"/>
      <c r="J122" s="7"/>
      <c r="K122" s="7"/>
      <c r="L122" s="7"/>
      <c r="M122" s="7"/>
      <c r="N122" s="7"/>
      <c r="O122" s="7"/>
      <c r="P122" s="7"/>
      <c r="Q122" s="7"/>
      <c r="R122" s="7"/>
      <c r="S122" s="7"/>
      <c r="T122" s="10"/>
      <c r="U122" s="10"/>
      <c r="V122" s="10"/>
      <c r="W122" s="10"/>
      <c r="X122" s="10"/>
      <c r="Y122" s="10"/>
      <c r="Z122" s="10"/>
      <c r="AA122" s="10"/>
      <c r="AB122" s="10"/>
      <c r="AC122" s="10"/>
      <c r="AD122" s="10"/>
      <c r="AE122" s="10"/>
      <c r="AF122" s="10"/>
      <c r="AG122" s="10"/>
      <c r="AH122" s="10"/>
      <c r="AI122" s="10"/>
      <c r="AJ122" s="10"/>
      <c r="AK122" s="10"/>
      <c r="AL122" s="10"/>
      <c r="AM122" s="10"/>
      <c r="AN122" s="10"/>
      <c r="AO122" s="10"/>
      <c r="AP122" s="7"/>
      <c r="AQ122" s="1623"/>
      <c r="AR122" s="1623"/>
      <c r="AS122" s="1623"/>
      <c r="AY122" s="1577"/>
      <c r="AZ122" s="1699"/>
      <c r="BA122" s="1693">
        <v>3</v>
      </c>
      <c r="BB122" s="1643" t="b">
        <f>IF(BD82=3,1)</f>
        <v>0</v>
      </c>
      <c r="BC122" s="1689"/>
      <c r="BD122" s="1689"/>
      <c r="BE122" s="1689"/>
      <c r="BF122" s="1636" t="b">
        <f>IF(BD82=3,5)</f>
        <v>0</v>
      </c>
      <c r="BG122" s="1554"/>
      <c r="BH122" s="1554"/>
      <c r="BI122" s="1554"/>
      <c r="BJ122" s="1554"/>
      <c r="BK122" s="1554"/>
      <c r="BL122" s="1554"/>
      <c r="BM122" s="1554"/>
      <c r="BN122" s="1554"/>
      <c r="BO122" s="1554"/>
      <c r="BP122" s="1554"/>
      <c r="BQ122" s="1554"/>
      <c r="BR122" s="1554"/>
      <c r="BS122" s="1721"/>
      <c r="BT122" s="1554"/>
      <c r="BU122" s="1720"/>
      <c r="BV122" s="1554"/>
      <c r="BW122" s="1554"/>
      <c r="BX122" s="1554"/>
      <c r="BY122" s="1554"/>
      <c r="BZ122" s="1557"/>
      <c r="CA122" s="1557"/>
      <c r="CB122" s="1557"/>
      <c r="CC122" s="1557"/>
      <c r="CD122" s="1557"/>
      <c r="CE122" s="1557"/>
      <c r="CF122" s="1557"/>
      <c r="CG122" s="1557"/>
      <c r="CH122" s="1557"/>
      <c r="CI122" s="1557"/>
      <c r="CJ122" s="1557"/>
      <c r="CK122" s="1557"/>
      <c r="CL122" s="1557"/>
      <c r="CM122" s="1557"/>
      <c r="CN122" s="1557"/>
      <c r="CO122" s="1557"/>
    </row>
    <row r="123" spans="4:93" ht="40.5" hidden="1" customHeight="1" x14ac:dyDescent="0.4">
      <c r="D123" s="74"/>
      <c r="E123" s="74"/>
      <c r="F123" s="74"/>
      <c r="G123" s="74"/>
      <c r="H123" s="7"/>
      <c r="I123" s="7"/>
      <c r="J123" s="7"/>
      <c r="K123" s="7"/>
      <c r="L123" s="7"/>
      <c r="M123" s="7"/>
      <c r="N123" s="7"/>
      <c r="O123" s="7"/>
      <c r="P123" s="7"/>
      <c r="Q123" s="7"/>
      <c r="R123" s="7"/>
      <c r="S123" s="7"/>
      <c r="T123" s="10"/>
      <c r="U123" s="10"/>
      <c r="V123" s="10"/>
      <c r="W123" s="10"/>
      <c r="X123" s="10"/>
      <c r="Y123" s="10"/>
      <c r="Z123" s="10"/>
      <c r="AA123" s="10"/>
      <c r="AB123" s="10"/>
      <c r="AC123" s="10"/>
      <c r="AD123" s="10"/>
      <c r="AE123" s="10"/>
      <c r="AF123" s="10"/>
      <c r="AG123" s="10"/>
      <c r="AH123" s="10"/>
      <c r="AI123" s="10"/>
      <c r="AJ123" s="10"/>
      <c r="AK123" s="10"/>
      <c r="AL123" s="10"/>
      <c r="AM123" s="10"/>
      <c r="AN123" s="10"/>
      <c r="AO123" s="10"/>
      <c r="AP123" s="7"/>
      <c r="AQ123" s="1623"/>
      <c r="AR123" s="1623"/>
      <c r="AS123" s="1623"/>
      <c r="AY123" s="1577"/>
      <c r="AZ123" s="1699"/>
      <c r="BA123" s="1693">
        <v>2</v>
      </c>
      <c r="BB123" s="1723" t="b">
        <f>IF(BC82=2,1)</f>
        <v>0</v>
      </c>
      <c r="BC123" s="1724"/>
      <c r="BD123" s="1725" t="b">
        <f>IF(BC82=2,3)</f>
        <v>0</v>
      </c>
      <c r="BE123" s="1554"/>
      <c r="BF123" s="1554"/>
      <c r="BG123" s="1554"/>
      <c r="BH123" s="1554"/>
      <c r="BI123" s="1554"/>
      <c r="BJ123" s="1554"/>
      <c r="BK123" s="1554"/>
      <c r="BL123" s="1554"/>
      <c r="BM123" s="1554"/>
      <c r="BN123" s="1554"/>
      <c r="BO123" s="1554"/>
      <c r="BP123" s="1554"/>
      <c r="BQ123" s="1554"/>
      <c r="BR123" s="1554"/>
      <c r="BS123" s="1721"/>
      <c r="BT123" s="1554"/>
      <c r="BU123" s="1720"/>
      <c r="BV123" s="1554"/>
      <c r="BW123" s="1554"/>
      <c r="BX123" s="1554"/>
      <c r="BY123" s="1554"/>
      <c r="BZ123" s="1557"/>
      <c r="CA123" s="1557"/>
      <c r="CB123" s="1557"/>
      <c r="CC123" s="1557"/>
      <c r="CD123" s="1557"/>
      <c r="CE123" s="1557"/>
      <c r="CF123" s="1557"/>
      <c r="CG123" s="1557"/>
      <c r="CH123" s="1557"/>
      <c r="CI123" s="1557"/>
      <c r="CJ123" s="1557"/>
      <c r="CK123" s="1557"/>
      <c r="CL123" s="1557"/>
      <c r="CM123" s="1557"/>
      <c r="CN123" s="1557"/>
      <c r="CO123" s="1557"/>
    </row>
    <row r="124" spans="4:93" ht="6.75" hidden="1" customHeight="1" thickBot="1" x14ac:dyDescent="0.45">
      <c r="D124" s="74"/>
      <c r="E124" s="74"/>
      <c r="F124" s="74"/>
      <c r="G124" s="74"/>
      <c r="H124" s="7"/>
      <c r="I124" s="7"/>
      <c r="J124" s="7"/>
      <c r="K124" s="7"/>
      <c r="L124" s="7"/>
      <c r="M124" s="7"/>
      <c r="N124" s="7"/>
      <c r="O124" s="7"/>
      <c r="P124" s="7"/>
      <c r="Q124" s="7"/>
      <c r="R124" s="7"/>
      <c r="S124" s="7"/>
      <c r="T124" s="10"/>
      <c r="U124" s="10"/>
      <c r="V124" s="10"/>
      <c r="W124" s="10"/>
      <c r="X124" s="10"/>
      <c r="Y124" s="10"/>
      <c r="Z124" s="10"/>
      <c r="AA124" s="10"/>
      <c r="AB124" s="10"/>
      <c r="AC124" s="10"/>
      <c r="AD124" s="10"/>
      <c r="AE124" s="10"/>
      <c r="AF124" s="10"/>
      <c r="AG124" s="10"/>
      <c r="AH124" s="10"/>
      <c r="AI124" s="10"/>
      <c r="AJ124" s="10"/>
      <c r="AK124" s="10"/>
      <c r="AL124" s="10"/>
      <c r="AM124" s="10"/>
      <c r="AN124" s="10"/>
      <c r="AO124" s="10"/>
      <c r="AP124" s="7"/>
      <c r="AQ124" s="1623"/>
      <c r="AR124" s="1623"/>
      <c r="AS124" s="1623"/>
      <c r="AY124" s="1577"/>
      <c r="AZ124" s="1699"/>
      <c r="BA124" s="1726"/>
      <c r="BB124" s="1727">
        <f t="shared" ref="BB124:BR124" si="3">SUM(BB89:BB123)</f>
        <v>0</v>
      </c>
      <c r="BC124" s="1727">
        <f t="shared" si="3"/>
        <v>2</v>
      </c>
      <c r="BD124" s="1727">
        <f t="shared" si="3"/>
        <v>0</v>
      </c>
      <c r="BE124" s="1727">
        <f t="shared" si="3"/>
        <v>0</v>
      </c>
      <c r="BF124" s="1727">
        <f t="shared" si="3"/>
        <v>0</v>
      </c>
      <c r="BG124" s="1727">
        <f t="shared" si="3"/>
        <v>0</v>
      </c>
      <c r="BH124" s="1727">
        <f t="shared" si="3"/>
        <v>0</v>
      </c>
      <c r="BI124" s="1727">
        <f t="shared" si="3"/>
        <v>0</v>
      </c>
      <c r="BJ124" s="1727">
        <f t="shared" si="3"/>
        <v>0</v>
      </c>
      <c r="BK124" s="1727">
        <f t="shared" si="3"/>
        <v>0</v>
      </c>
      <c r="BL124" s="1727">
        <f t="shared" si="3"/>
        <v>0</v>
      </c>
      <c r="BM124" s="1727">
        <f t="shared" si="3"/>
        <v>0</v>
      </c>
      <c r="BN124" s="1727">
        <f t="shared" si="3"/>
        <v>0</v>
      </c>
      <c r="BO124" s="1727">
        <f t="shared" si="3"/>
        <v>0</v>
      </c>
      <c r="BP124" s="1727">
        <f t="shared" si="3"/>
        <v>0</v>
      </c>
      <c r="BQ124" s="1727">
        <f t="shared" si="3"/>
        <v>0</v>
      </c>
      <c r="BR124" s="1728">
        <f t="shared" si="3"/>
        <v>0</v>
      </c>
      <c r="BS124" s="1729"/>
      <c r="BT124" s="1730"/>
      <c r="BU124" s="1731"/>
      <c r="BV124" s="1732">
        <f t="shared" ref="BV124:CL124" si="4">SUM(BV89:BV123)</f>
        <v>0</v>
      </c>
      <c r="BW124" s="1727">
        <f t="shared" si="4"/>
        <v>0</v>
      </c>
      <c r="BX124" s="1727">
        <f t="shared" si="4"/>
        <v>0</v>
      </c>
      <c r="BY124" s="1727">
        <f t="shared" si="4"/>
        <v>0</v>
      </c>
      <c r="BZ124" s="1727">
        <f t="shared" si="4"/>
        <v>0</v>
      </c>
      <c r="CA124" s="1727">
        <f t="shared" si="4"/>
        <v>26</v>
      </c>
      <c r="CB124" s="1727">
        <f t="shared" si="4"/>
        <v>0</v>
      </c>
      <c r="CC124" s="1727">
        <f t="shared" si="4"/>
        <v>0</v>
      </c>
      <c r="CD124" s="1727">
        <f t="shared" si="4"/>
        <v>0</v>
      </c>
      <c r="CE124" s="1727">
        <f t="shared" si="4"/>
        <v>0</v>
      </c>
      <c r="CF124" s="1727">
        <f t="shared" si="4"/>
        <v>0</v>
      </c>
      <c r="CG124" s="1727">
        <f t="shared" si="4"/>
        <v>0</v>
      </c>
      <c r="CH124" s="1727">
        <f t="shared" si="4"/>
        <v>0</v>
      </c>
      <c r="CI124" s="1727">
        <f t="shared" si="4"/>
        <v>0</v>
      </c>
      <c r="CJ124" s="1727">
        <f t="shared" si="4"/>
        <v>0</v>
      </c>
      <c r="CK124" s="1727">
        <f t="shared" si="4"/>
        <v>0</v>
      </c>
      <c r="CL124" s="1727">
        <f t="shared" si="4"/>
        <v>0</v>
      </c>
      <c r="CM124" s="1557"/>
      <c r="CN124" s="1557"/>
      <c r="CO124" s="1557"/>
    </row>
    <row r="125" spans="4:93" ht="172.5" customHeight="1" thickBot="1" x14ac:dyDescent="0.45">
      <c r="D125" s="74"/>
      <c r="E125" s="74"/>
      <c r="F125" s="74"/>
      <c r="G125" s="74"/>
      <c r="H125" s="7"/>
      <c r="I125" s="7"/>
      <c r="J125" s="7"/>
      <c r="K125" s="7"/>
      <c r="L125" s="7"/>
      <c r="M125" s="7"/>
      <c r="N125" s="7"/>
      <c r="O125" s="7"/>
      <c r="P125" s="7"/>
      <c r="Q125" s="7"/>
      <c r="R125" s="7"/>
      <c r="S125" s="7"/>
      <c r="T125" s="10"/>
      <c r="U125" s="10"/>
      <c r="V125" s="10"/>
      <c r="W125" s="10"/>
      <c r="X125" s="10"/>
      <c r="Y125" s="10"/>
      <c r="Z125" s="10"/>
      <c r="AA125" s="10"/>
      <c r="AB125" s="10"/>
      <c r="AC125" s="10"/>
      <c r="AD125" s="10"/>
      <c r="AE125" s="10"/>
      <c r="AF125" s="10"/>
      <c r="AG125" s="10"/>
      <c r="AH125" s="10"/>
      <c r="AI125" s="10"/>
      <c r="AJ125" s="10"/>
      <c r="AK125" s="10"/>
      <c r="AL125" s="10"/>
      <c r="AM125" s="10"/>
      <c r="AN125" s="10"/>
      <c r="AO125" s="10"/>
      <c r="AP125" s="7"/>
      <c r="AQ125" s="1623"/>
      <c r="AR125" s="1623"/>
      <c r="AS125" s="1623"/>
      <c r="AY125" s="1577"/>
      <c r="AZ125" s="1699"/>
      <c r="BA125" s="1726"/>
      <c r="BB125" s="1733"/>
      <c r="BC125" s="1733"/>
      <c r="BD125" s="1733"/>
      <c r="BE125" s="1733"/>
      <c r="BF125" s="1733"/>
      <c r="BG125" s="1733"/>
      <c r="BH125" s="1733"/>
      <c r="BI125" s="1733"/>
      <c r="BJ125" s="1733"/>
      <c r="BK125" s="1733"/>
      <c r="BL125" s="1733"/>
      <c r="BM125" s="1733"/>
      <c r="BN125" s="1733"/>
      <c r="BO125" s="1733"/>
      <c r="BP125" s="1733"/>
      <c r="BQ125" s="1733"/>
      <c r="BR125" s="1733"/>
      <c r="BS125" s="1733"/>
      <c r="BT125" s="1733"/>
      <c r="BU125" s="1733"/>
      <c r="BV125" s="1733"/>
      <c r="BW125" s="1733"/>
      <c r="BX125" s="1733"/>
      <c r="BY125" s="1733"/>
      <c r="BZ125" s="1733"/>
      <c r="CA125" s="1733"/>
      <c r="CB125" s="1733"/>
      <c r="CC125" s="1733"/>
      <c r="CD125" s="1733"/>
      <c r="CE125" s="1733"/>
      <c r="CF125" s="1733"/>
      <c r="CG125" s="1733"/>
      <c r="CH125" s="1733"/>
      <c r="CI125" s="1733"/>
      <c r="CJ125" s="1733"/>
      <c r="CK125" s="1733"/>
      <c r="CL125" s="1733"/>
      <c r="CM125" s="1557"/>
      <c r="CN125" s="1557"/>
      <c r="CO125" s="1557"/>
    </row>
    <row r="126" spans="4:93" ht="40.5" customHeight="1" thickBot="1" x14ac:dyDescent="0.45">
      <c r="D126" s="74"/>
      <c r="E126" s="74"/>
      <c r="F126" s="74"/>
      <c r="G126" s="74"/>
      <c r="H126" s="7"/>
      <c r="I126" s="7"/>
      <c r="J126" s="7"/>
      <c r="K126" s="7"/>
      <c r="L126" s="7"/>
      <c r="M126" s="7"/>
      <c r="N126" s="7"/>
      <c r="O126" s="7"/>
      <c r="P126" s="7"/>
      <c r="Q126" s="7"/>
      <c r="R126" s="7"/>
      <c r="S126" s="7"/>
      <c r="T126" s="10"/>
      <c r="U126" s="10"/>
      <c r="V126" s="10"/>
      <c r="W126" s="10"/>
      <c r="X126" s="10"/>
      <c r="Y126" s="10"/>
      <c r="Z126" s="10"/>
      <c r="AA126" s="10"/>
      <c r="AB126" s="10"/>
      <c r="AC126" s="10"/>
      <c r="AD126" s="10"/>
      <c r="AE126" s="10"/>
      <c r="AF126" s="10"/>
      <c r="AG126" s="10"/>
      <c r="AH126" s="10"/>
      <c r="AI126" s="10"/>
      <c r="AJ126" s="10"/>
      <c r="AK126" s="10"/>
      <c r="AL126" s="10"/>
      <c r="AM126" s="10"/>
      <c r="AN126" s="10"/>
      <c r="AO126" s="10"/>
      <c r="AP126" s="7"/>
      <c r="AQ126" s="1623"/>
      <c r="AR126" s="1623"/>
      <c r="AS126" s="1623"/>
      <c r="AY126" s="1577"/>
      <c r="AZ126" s="1561" t="s">
        <v>227</v>
      </c>
      <c r="BA126" s="1734" t="s">
        <v>234</v>
      </c>
      <c r="BB126" s="1735" t="str">
        <f>IF(BB124=1,"17","")</f>
        <v/>
      </c>
      <c r="BC126" s="1736" t="str">
        <f>IF(BC124=2,"16","")</f>
        <v>16</v>
      </c>
      <c r="BD126" s="1736" t="str">
        <f>IF(BD124=3,"15","")</f>
        <v/>
      </c>
      <c r="BE126" s="1736" t="str">
        <f>IF(BE124=4,"14","")</f>
        <v/>
      </c>
      <c r="BF126" s="1736" t="str">
        <f>IF(BF124=5,"13","")</f>
        <v/>
      </c>
      <c r="BG126" s="1736" t="str">
        <f>IF(BG124=6,"12","")</f>
        <v/>
      </c>
      <c r="BH126" s="1736" t="str">
        <f>IF(BH124=7,"11","")</f>
        <v/>
      </c>
      <c r="BI126" s="1736" t="str">
        <f>IF(BI124=8,"10","")</f>
        <v/>
      </c>
      <c r="BJ126" s="1736" t="str">
        <f>IF(BJ124=9,"9","")</f>
        <v/>
      </c>
      <c r="BK126" s="1736" t="str">
        <f>IF(BK124=10,"8","")</f>
        <v/>
      </c>
      <c r="BL126" s="1736" t="str">
        <f>IF(BL124=11,"7","")</f>
        <v/>
      </c>
      <c r="BM126" s="1737" t="str">
        <f>IF(BM124=12,"6  ADS ","")</f>
        <v/>
      </c>
      <c r="BN126" s="1736" t="str">
        <f>IF(BN124=13,"5","")</f>
        <v/>
      </c>
      <c r="BO126" s="1736" t="str">
        <f>IF(BO124=14,"4","")</f>
        <v/>
      </c>
      <c r="BP126" s="1736" t="str">
        <f>IF(BP124=15,"3","")</f>
        <v/>
      </c>
      <c r="BQ126" s="1736" t="str">
        <f>IF(BQ124=16,"2","")</f>
        <v/>
      </c>
      <c r="BR126" s="1736" t="str">
        <f>IF(BR124=17,"1","")</f>
        <v/>
      </c>
      <c r="BS126" s="1738"/>
      <c r="BT126" s="1739"/>
      <c r="BU126" s="1740"/>
      <c r="BV126" s="1741" t="str">
        <f>IF(BV124=21,"1 ","")</f>
        <v/>
      </c>
      <c r="BW126" s="1742" t="str">
        <f>IF(BW124=22,"2 ","")</f>
        <v/>
      </c>
      <c r="BX126" s="1742" t="str">
        <f>IF(BX124=23,"3 ","")</f>
        <v/>
      </c>
      <c r="BY126" s="1742" t="str">
        <f>IF(BY124=24,"4 ","")</f>
        <v/>
      </c>
      <c r="BZ126" s="1742" t="str">
        <f>IF(BZ124=25,"5 ","")</f>
        <v/>
      </c>
      <c r="CA126" s="1743" t="str">
        <f>IF(CA124=26,"6  ADS ","")</f>
        <v xml:space="preserve">6  ADS </v>
      </c>
      <c r="CB126" s="1742" t="str">
        <f>IF(CB124=27,"7 ","")</f>
        <v/>
      </c>
      <c r="CC126" s="1742" t="str">
        <f>IF(CC124=28,"8 ","")</f>
        <v/>
      </c>
      <c r="CD126" s="1742" t="str">
        <f>IF(CD124=29,"9 ","")</f>
        <v/>
      </c>
      <c r="CE126" s="1742" t="str">
        <f>IF(CE124=30,"10 ","")</f>
        <v/>
      </c>
      <c r="CF126" s="1742" t="str">
        <f>IF(CF124=31,"11 ","")</f>
        <v/>
      </c>
      <c r="CG126" s="1742" t="str">
        <f>IF(CG124=32,"12 ","")</f>
        <v/>
      </c>
      <c r="CH126" s="1742" t="str">
        <f>IF(CH124=33,"13 ","")</f>
        <v/>
      </c>
      <c r="CI126" s="1742" t="str">
        <f>IF(CI124=34,"14 ","")</f>
        <v/>
      </c>
      <c r="CJ126" s="1742" t="str">
        <f>IF(CJ124=35,"15 ","")</f>
        <v/>
      </c>
      <c r="CK126" s="1742" t="str">
        <f>IF(CK124=36,"16 ","")</f>
        <v/>
      </c>
      <c r="CL126" s="1744" t="str">
        <f>IF(CL124=37,"17 ","")</f>
        <v/>
      </c>
      <c r="CM126" s="1745"/>
      <c r="CN126" s="1557"/>
      <c r="CO126" s="1557"/>
    </row>
    <row r="127" spans="4:93" ht="38.25" customHeight="1" thickBot="1" x14ac:dyDescent="0.45">
      <c r="D127" s="74"/>
      <c r="E127" s="74"/>
      <c r="F127" s="74"/>
      <c r="G127" s="74"/>
      <c r="H127" s="7"/>
      <c r="I127" s="7"/>
      <c r="J127" s="7"/>
      <c r="K127" s="7"/>
      <c r="L127" s="7"/>
      <c r="M127" s="7"/>
      <c r="N127" s="7"/>
      <c r="O127" s="7"/>
      <c r="P127" s="7"/>
      <c r="Q127" s="7"/>
      <c r="R127" s="7"/>
      <c r="S127" s="7"/>
      <c r="T127" s="10"/>
      <c r="U127" s="10"/>
      <c r="V127" s="10"/>
      <c r="W127" s="10"/>
      <c r="X127" s="10"/>
      <c r="Y127" s="10"/>
      <c r="Z127" s="10"/>
      <c r="AA127" s="10"/>
      <c r="AB127" s="10"/>
      <c r="AC127" s="10"/>
      <c r="AD127" s="10"/>
      <c r="AE127" s="10"/>
      <c r="AF127" s="10"/>
      <c r="AG127" s="10"/>
      <c r="AH127" s="10"/>
      <c r="AI127" s="10"/>
      <c r="AJ127" s="10"/>
      <c r="AK127" s="10"/>
      <c r="AL127" s="10"/>
      <c r="AM127" s="10"/>
      <c r="AN127" s="10"/>
      <c r="AO127" s="10"/>
      <c r="AP127" s="7"/>
      <c r="AQ127" s="1623"/>
      <c r="AR127" s="1623"/>
      <c r="AS127" s="1623"/>
      <c r="AX127" s="1550" t="b">
        <f>AND(AZ127&gt;=10,$AN$155&gt;=10,$AO$155&gt;=10)</f>
        <v>1</v>
      </c>
      <c r="AY127" s="1570" t="str">
        <f>IF(AX127=TRUE,"O K","OVERLOAD")</f>
        <v>O K</v>
      </c>
      <c r="AZ127" s="1571">
        <f>+$D$8/(BB49/2)</f>
        <v>174.86338797814207</v>
      </c>
      <c r="BA127" s="1667" t="s">
        <v>233</v>
      </c>
      <c r="BB127" s="1668">
        <v>-10</v>
      </c>
      <c r="BC127" s="1668">
        <v>-9</v>
      </c>
      <c r="BD127" s="1668">
        <v>-8</v>
      </c>
      <c r="BE127" s="1668">
        <v>-7</v>
      </c>
      <c r="BF127" s="1668">
        <v>-6</v>
      </c>
      <c r="BG127" s="1668">
        <v>-5</v>
      </c>
      <c r="BH127" s="1668">
        <v>-4</v>
      </c>
      <c r="BI127" s="1668">
        <v>-3</v>
      </c>
      <c r="BJ127" s="1668">
        <v>-2</v>
      </c>
      <c r="BK127" s="1668">
        <v>-1</v>
      </c>
      <c r="BL127" s="1668">
        <v>0</v>
      </c>
      <c r="BM127" s="1668">
        <v>1</v>
      </c>
      <c r="BN127" s="1668">
        <v>2</v>
      </c>
      <c r="BO127" s="1668">
        <v>3</v>
      </c>
      <c r="BP127" s="1668">
        <v>4</v>
      </c>
      <c r="BQ127" s="1668">
        <v>5</v>
      </c>
      <c r="BR127" s="1668">
        <v>6</v>
      </c>
      <c r="BS127" s="1668">
        <v>7</v>
      </c>
      <c r="BT127" s="1668">
        <v>8</v>
      </c>
      <c r="BU127" s="1668">
        <v>9</v>
      </c>
      <c r="BV127" s="1668">
        <v>10</v>
      </c>
      <c r="BW127" s="1668">
        <v>11</v>
      </c>
      <c r="BX127" s="1668">
        <v>12</v>
      </c>
      <c r="BY127" s="1668">
        <v>13</v>
      </c>
      <c r="BZ127" s="1668">
        <v>14</v>
      </c>
      <c r="CA127" s="1668">
        <v>15</v>
      </c>
      <c r="CB127" s="1668">
        <v>16</v>
      </c>
      <c r="CC127" s="1668">
        <v>17</v>
      </c>
      <c r="CD127" s="1668">
        <v>18</v>
      </c>
      <c r="CE127" s="1668">
        <v>19</v>
      </c>
      <c r="CF127" s="1668">
        <v>20</v>
      </c>
      <c r="CG127" s="1668">
        <v>21</v>
      </c>
      <c r="CH127" s="1668">
        <v>22</v>
      </c>
      <c r="CI127" s="1668">
        <v>23</v>
      </c>
      <c r="CJ127" s="1668">
        <v>24</v>
      </c>
      <c r="CK127" s="1668">
        <v>25</v>
      </c>
      <c r="CL127" s="1670">
        <v>26</v>
      </c>
      <c r="CM127" s="1557"/>
      <c r="CN127" s="1557"/>
      <c r="CO127" s="1557"/>
    </row>
    <row r="128" spans="4:93" ht="40.5" hidden="1" customHeight="1" x14ac:dyDescent="0.4">
      <c r="D128" s="74"/>
      <c r="E128" s="74"/>
      <c r="F128" s="74"/>
      <c r="G128" s="74"/>
      <c r="H128" s="7"/>
      <c r="I128" s="7"/>
      <c r="J128" s="7"/>
      <c r="K128" s="7"/>
      <c r="L128" s="7"/>
      <c r="M128" s="7"/>
      <c r="N128" s="7"/>
      <c r="O128" s="7"/>
      <c r="P128" s="7"/>
      <c r="Q128" s="7"/>
      <c r="R128" s="7"/>
      <c r="S128" s="7"/>
      <c r="T128" s="10"/>
      <c r="U128" s="10"/>
      <c r="V128" s="10"/>
      <c r="W128" s="10"/>
      <c r="X128" s="10"/>
      <c r="Y128" s="10"/>
      <c r="Z128" s="10"/>
      <c r="AA128" s="10"/>
      <c r="AB128" s="10"/>
      <c r="AC128" s="10"/>
      <c r="AD128" s="10"/>
      <c r="AE128" s="10"/>
      <c r="AF128" s="10"/>
      <c r="AG128" s="10"/>
      <c r="AH128" s="10"/>
      <c r="AI128" s="10"/>
      <c r="AJ128" s="10"/>
      <c r="AK128" s="10"/>
      <c r="AL128" s="10"/>
      <c r="AM128" s="10"/>
      <c r="AN128" s="10"/>
      <c r="AO128" s="10"/>
      <c r="AP128" s="7"/>
      <c r="AQ128" s="1623"/>
      <c r="AR128" s="1623"/>
      <c r="AS128" s="1623"/>
      <c r="AW128" s="1623"/>
      <c r="AX128" s="1623"/>
      <c r="AY128" s="1623"/>
      <c r="AZ128" s="1623"/>
      <c r="BA128" s="1557"/>
      <c r="BB128" s="1671"/>
      <c r="BC128" s="1671"/>
      <c r="BD128" s="1671"/>
      <c r="BE128" s="1671"/>
      <c r="BF128" s="1671"/>
      <c r="BG128" s="1671"/>
      <c r="BH128" s="1671"/>
      <c r="BI128" s="1671"/>
      <c r="BJ128" s="1671"/>
      <c r="BK128" s="1671"/>
      <c r="BL128" s="1671"/>
      <c r="BM128" s="1746"/>
      <c r="BN128" s="1671"/>
      <c r="BO128" s="1671"/>
      <c r="BP128" s="1671"/>
      <c r="BQ128" s="1671"/>
      <c r="BR128" s="1671"/>
      <c r="BS128" s="1671"/>
      <c r="BT128" s="1671"/>
      <c r="BU128" s="1671"/>
      <c r="BV128" s="1671"/>
      <c r="BW128" s="1671"/>
      <c r="BX128" s="1671"/>
      <c r="BY128" s="1671"/>
      <c r="BZ128" s="1671"/>
      <c r="CA128" s="1671"/>
      <c r="CB128" s="1671"/>
      <c r="CC128" s="1671"/>
      <c r="CD128" s="1671"/>
      <c r="CE128" s="1671"/>
      <c r="CF128" s="1671"/>
      <c r="CG128" s="1671"/>
      <c r="CH128" s="1671"/>
      <c r="CI128" s="1671"/>
      <c r="CJ128" s="1671"/>
      <c r="CK128" s="1671"/>
      <c r="CL128" s="1671"/>
      <c r="CM128" s="1671"/>
    </row>
    <row r="129" spans="2:94" ht="40.5" hidden="1" customHeight="1" thickBot="1" x14ac:dyDescent="0.45">
      <c r="D129" s="74"/>
      <c r="E129" s="74"/>
      <c r="F129" s="74"/>
      <c r="G129" s="74"/>
      <c r="H129" s="7"/>
      <c r="I129" s="7"/>
      <c r="J129" s="7"/>
      <c r="K129" s="7"/>
      <c r="L129" s="7"/>
      <c r="M129" s="7"/>
      <c r="N129" s="7"/>
      <c r="O129" s="7"/>
      <c r="P129" s="7"/>
      <c r="Q129" s="7"/>
      <c r="R129" s="7"/>
      <c r="S129" s="7"/>
      <c r="T129" s="10"/>
      <c r="U129" s="10"/>
      <c r="V129" s="10"/>
      <c r="W129" s="10"/>
      <c r="X129" s="10"/>
      <c r="Y129" s="10"/>
      <c r="Z129" s="10"/>
      <c r="AA129" s="10"/>
      <c r="AB129" s="10"/>
      <c r="AC129" s="10"/>
      <c r="AD129" s="10"/>
      <c r="AE129" s="10"/>
      <c r="AF129" s="10"/>
      <c r="AG129" s="10"/>
      <c r="AH129" s="10"/>
      <c r="AI129" s="10"/>
      <c r="AJ129" s="10"/>
      <c r="AK129" s="10"/>
      <c r="AL129" s="10"/>
      <c r="AM129" s="10"/>
      <c r="AN129" s="10"/>
      <c r="AO129" s="10"/>
      <c r="AP129" s="7"/>
      <c r="AQ129" s="1623"/>
      <c r="AR129" s="1623"/>
      <c r="AS129" s="1623"/>
      <c r="AW129" s="1623"/>
      <c r="AX129" s="1623"/>
      <c r="AY129" s="1623"/>
      <c r="AZ129" s="1623"/>
      <c r="BA129" s="1554"/>
      <c r="BB129" s="1554"/>
      <c r="BC129" s="1554"/>
      <c r="BD129" s="1554"/>
      <c r="BE129" s="1554"/>
      <c r="BF129" s="1554"/>
      <c r="BG129" s="1747"/>
      <c r="BH129" s="1747"/>
      <c r="BI129" s="1747"/>
      <c r="BJ129" s="1747"/>
      <c r="BK129" s="1747"/>
      <c r="BL129" s="1747"/>
      <c r="BM129" s="1747"/>
      <c r="BN129" s="1747"/>
      <c r="BO129" s="1747"/>
      <c r="BP129" s="1747"/>
      <c r="BQ129" s="1747"/>
      <c r="BR129" s="1747"/>
      <c r="BS129" s="1747"/>
      <c r="BT129" s="1747"/>
      <c r="BU129" s="1556"/>
      <c r="BV129" s="1557"/>
      <c r="BW129" s="1557"/>
      <c r="BX129" s="1557"/>
      <c r="BY129" s="1557"/>
      <c r="BZ129" s="1557"/>
      <c r="CA129" s="1557"/>
      <c r="CB129" s="1557"/>
      <c r="CC129" s="1557"/>
      <c r="CD129" s="1557"/>
      <c r="CE129" s="1557"/>
      <c r="CF129" s="1557"/>
      <c r="CG129" s="1557"/>
      <c r="CH129" s="1557"/>
      <c r="CI129" s="1557"/>
      <c r="CJ129" s="1557"/>
      <c r="CK129" s="1557"/>
      <c r="CL129" s="1557"/>
      <c r="CM129" s="1557"/>
      <c r="CN129" s="1557"/>
      <c r="CO129" s="1557"/>
    </row>
    <row r="130" spans="2:94" ht="18" hidden="1" customHeight="1" thickBot="1" x14ac:dyDescent="0.35">
      <c r="B130" s="1370"/>
      <c r="D130" s="74"/>
      <c r="E130" s="74"/>
      <c r="F130" s="74"/>
      <c r="G130" s="74"/>
      <c r="H130" s="7"/>
      <c r="I130" s="7"/>
      <c r="J130" s="7"/>
      <c r="K130" s="7"/>
      <c r="L130" s="7"/>
      <c r="M130" s="7"/>
      <c r="N130" s="7"/>
      <c r="O130" s="7"/>
      <c r="P130" s="7"/>
      <c r="Q130" s="7"/>
      <c r="R130" s="7"/>
      <c r="S130" s="7"/>
      <c r="T130" s="10"/>
      <c r="U130" s="10"/>
      <c r="V130" s="10"/>
      <c r="W130" s="10"/>
      <c r="X130" s="10"/>
      <c r="Y130" s="10"/>
      <c r="Z130" s="10"/>
      <c r="AA130" s="10"/>
      <c r="AB130" s="10"/>
      <c r="AC130" s="10"/>
      <c r="AD130" s="10"/>
      <c r="AE130" s="10"/>
      <c r="AF130" s="10"/>
      <c r="AG130" s="10"/>
      <c r="AH130" s="10"/>
      <c r="AI130" s="10"/>
      <c r="AJ130" s="10"/>
      <c r="AK130" s="10"/>
      <c r="AL130" s="10"/>
      <c r="AM130" s="10"/>
      <c r="AN130" s="10"/>
      <c r="AO130" s="10"/>
      <c r="AP130" s="7"/>
      <c r="AQ130" s="1623"/>
      <c r="AR130" s="1623"/>
      <c r="AS130" s="1623"/>
      <c r="AW130" s="1623"/>
      <c r="AX130" s="1623"/>
      <c r="AY130" s="1623"/>
      <c r="AZ130" s="1623"/>
      <c r="BA130" s="1748"/>
      <c r="BB130" s="1748"/>
      <c r="BC130" s="1748"/>
      <c r="BD130" s="1748"/>
      <c r="BE130" s="1748"/>
      <c r="BF130" s="1748"/>
      <c r="BG130" s="1749"/>
      <c r="BH130" s="1749"/>
      <c r="BI130" s="1749"/>
      <c r="BJ130" s="1749"/>
      <c r="BK130" s="1749"/>
      <c r="BL130" s="1749"/>
      <c r="BM130" s="1749"/>
      <c r="BN130" s="1749"/>
      <c r="BO130" s="1749"/>
      <c r="BP130" s="1749"/>
      <c r="BQ130" s="1749"/>
      <c r="BR130" s="1749"/>
      <c r="BS130" s="1749"/>
      <c r="BT130" s="1749"/>
      <c r="BU130" s="1750"/>
      <c r="CP130" s="440" t="s">
        <v>94</v>
      </c>
    </row>
    <row r="131" spans="2:94" ht="62.25" customHeight="1" thickBot="1" x14ac:dyDescent="0.4">
      <c r="B131" s="1497" t="s">
        <v>226</v>
      </c>
      <c r="C131" s="105"/>
      <c r="D131" s="416" t="str">
        <f>IF(AW132&gt;0," ","change the angle of frame or of cabinets")</f>
        <v xml:space="preserve"> </v>
      </c>
      <c r="E131" s="114"/>
      <c r="F131" s="114"/>
      <c r="G131" s="114"/>
      <c r="H131" s="112"/>
      <c r="I131" s="112"/>
      <c r="J131" s="112"/>
      <c r="K131" s="112"/>
      <c r="L131" s="112"/>
      <c r="M131" s="112"/>
      <c r="N131" s="112"/>
      <c r="O131" s="112"/>
      <c r="P131" s="112"/>
      <c r="Q131" s="112"/>
      <c r="R131" s="112"/>
      <c r="S131" s="112"/>
      <c r="T131" s="112"/>
      <c r="U131" s="112"/>
      <c r="V131" s="79"/>
      <c r="W131" s="79"/>
      <c r="X131" s="79"/>
      <c r="Y131" s="79"/>
      <c r="Z131" s="79"/>
      <c r="AA131" s="79"/>
      <c r="AB131" s="79"/>
      <c r="AC131" s="79"/>
      <c r="AD131" s="79"/>
      <c r="AE131" s="79"/>
      <c r="AF131" s="79"/>
      <c r="AG131" s="79"/>
      <c r="AH131" s="79"/>
      <c r="AI131" s="79"/>
      <c r="AJ131" s="79"/>
      <c r="AK131" s="79"/>
      <c r="AL131" s="79"/>
      <c r="AM131" s="79"/>
      <c r="AN131" s="79"/>
      <c r="AO131" s="79"/>
      <c r="AP131" s="111"/>
      <c r="AQ131" s="1623"/>
      <c r="AR131" s="1623"/>
      <c r="AS131" s="1623"/>
      <c r="AW131" s="1751" t="s">
        <v>95</v>
      </c>
      <c r="AX131" s="1623"/>
      <c r="AY131" s="1752"/>
      <c r="AZ131" s="1623"/>
      <c r="BA131" s="1552"/>
      <c r="BD131" s="1748"/>
      <c r="BE131" s="1748"/>
      <c r="BF131" s="1748"/>
      <c r="BG131" s="1749"/>
      <c r="BH131" s="1749"/>
      <c r="BI131" s="1749"/>
      <c r="BJ131" s="1749"/>
      <c r="BK131" s="1749"/>
      <c r="BL131" s="1749"/>
      <c r="BM131" s="1749"/>
      <c r="BN131" s="1749"/>
      <c r="BO131" s="1749"/>
      <c r="BP131" s="1749"/>
      <c r="BQ131" s="1749"/>
      <c r="BR131" s="1749"/>
      <c r="BS131" s="1749"/>
      <c r="BT131" s="1749"/>
      <c r="BU131" s="1750"/>
      <c r="CC131" s="1552"/>
      <c r="CO131" s="1751" t="s">
        <v>94</v>
      </c>
    </row>
    <row r="132" spans="2:94" ht="62.25" customHeight="1" thickBot="1" x14ac:dyDescent="0.45">
      <c r="B132" s="736">
        <v>0</v>
      </c>
      <c r="D132" s="416" t="str">
        <f>IF(CO132&lt;0," ","change the angle of frame or of cabinets")</f>
        <v xml:space="preserve"> </v>
      </c>
      <c r="E132" s="114"/>
      <c r="F132" s="114"/>
      <c r="G132" s="114"/>
      <c r="H132" s="112"/>
      <c r="I132" s="112"/>
      <c r="J132" s="112"/>
      <c r="K132" s="112"/>
      <c r="L132" s="112"/>
      <c r="M132" s="112"/>
      <c r="N132" s="112"/>
      <c r="O132" s="112"/>
      <c r="P132" s="112"/>
      <c r="Q132" s="112"/>
      <c r="R132" s="112"/>
      <c r="S132" s="112"/>
      <c r="T132" s="112"/>
      <c r="U132" s="112"/>
      <c r="V132" s="79"/>
      <c r="W132" s="79"/>
      <c r="X132" s="79"/>
      <c r="Y132" s="79"/>
      <c r="Z132" s="79"/>
      <c r="AA132" s="79"/>
      <c r="AB132" s="79"/>
      <c r="AC132" s="79"/>
      <c r="AD132" s="79"/>
      <c r="AE132" s="79"/>
      <c r="AF132" s="79"/>
      <c r="AG132" s="79"/>
      <c r="AH132" s="79"/>
      <c r="AI132" s="79"/>
      <c r="AJ132" s="79"/>
      <c r="AK132" s="79"/>
      <c r="AL132" s="79"/>
      <c r="AM132" s="79"/>
      <c r="AN132" s="79"/>
      <c r="AO132" s="79"/>
      <c r="AP132" s="111"/>
      <c r="AQ132" s="1623"/>
      <c r="AR132" s="1623"/>
      <c r="AS132" s="1623"/>
      <c r="AW132" s="1751">
        <f>-+AL187</f>
        <v>571.99998629739707</v>
      </c>
      <c r="AX132" s="1623"/>
      <c r="AY132" s="1752"/>
      <c r="AZ132" s="1623"/>
      <c r="BA132" s="1552"/>
      <c r="BD132" s="1748"/>
      <c r="BE132" s="1748"/>
      <c r="BF132" s="1748"/>
      <c r="BG132" s="1749"/>
      <c r="BH132" s="1749"/>
      <c r="BI132" s="1749"/>
      <c r="BJ132" s="1749"/>
      <c r="BK132" s="1749"/>
      <c r="BL132" s="1749"/>
      <c r="BM132" s="1749"/>
      <c r="BN132" s="1749"/>
      <c r="BO132" s="1749"/>
      <c r="BP132" s="1749"/>
      <c r="BQ132" s="1749"/>
      <c r="BR132" s="1749"/>
      <c r="BS132" s="1749"/>
      <c r="BT132" s="1749"/>
      <c r="BU132" s="1750"/>
      <c r="CA132" s="1753"/>
      <c r="CC132" s="1552"/>
      <c r="CO132" s="1751">
        <f>+-AL223</f>
        <v>-976.00001370260293</v>
      </c>
    </row>
    <row r="133" spans="2:94" ht="62.25" customHeight="1" thickTop="1" thickBot="1" x14ac:dyDescent="0.5">
      <c r="B133" s="1996" t="s">
        <v>42</v>
      </c>
      <c r="C133" s="749"/>
      <c r="D133" s="1775" t="str">
        <f>IF(AW132&gt;(+COS(($B$132*-1)*3.14159265358979/180)*451.5)," ","USE EXBAR AR AT THE FRONT")</f>
        <v xml:space="preserve"> </v>
      </c>
      <c r="E133" s="114"/>
      <c r="F133" s="114"/>
      <c r="G133" s="114"/>
      <c r="H133" s="112"/>
      <c r="I133" s="112"/>
      <c r="J133" s="112"/>
      <c r="K133" s="112"/>
      <c r="L133" s="112"/>
      <c r="M133" s="112"/>
      <c r="N133" s="112"/>
      <c r="O133" s="112"/>
      <c r="P133" s="112"/>
      <c r="Q133" s="112"/>
      <c r="R133" s="112"/>
      <c r="S133" s="112"/>
      <c r="T133" s="112"/>
      <c r="U133" s="112"/>
      <c r="V133" s="79"/>
      <c r="W133" s="79"/>
      <c r="X133" s="79"/>
      <c r="Y133" s="79"/>
      <c r="Z133" s="79"/>
      <c r="AA133" s="79"/>
      <c r="AB133" s="79"/>
      <c r="AC133" s="79"/>
      <c r="AD133" s="79"/>
      <c r="AE133" s="79"/>
      <c r="AF133" s="79"/>
      <c r="AG133" s="79"/>
      <c r="AH133" s="79"/>
      <c r="AI133" s="79"/>
      <c r="AJ133" s="79"/>
      <c r="AK133" s="79"/>
      <c r="AL133" s="79"/>
      <c r="AM133" s="79"/>
      <c r="AN133" s="79"/>
      <c r="AO133" s="79"/>
      <c r="AP133" s="111"/>
      <c r="AQ133" s="1623"/>
      <c r="AR133" s="1623"/>
      <c r="AS133" s="1623"/>
      <c r="AY133" s="1577"/>
      <c r="AZ133" s="1699"/>
    </row>
    <row r="134" spans="2:94" ht="62.25" customHeight="1" thickBot="1" x14ac:dyDescent="0.4">
      <c r="B134" s="1997"/>
      <c r="C134" s="749"/>
      <c r="D134" s="1776" t="str">
        <f>IF(CO132&lt;-(+COS(($B$132*-1)*3.14159265358979/180)*365.5)," ","USE EXBAR AR AT THE BACK")</f>
        <v xml:space="preserve"> </v>
      </c>
      <c r="E134" s="114"/>
      <c r="F134" s="114"/>
      <c r="G134" s="114"/>
      <c r="H134" s="112"/>
      <c r="I134" s="112"/>
      <c r="J134" s="112"/>
      <c r="K134" s="112"/>
      <c r="L134" s="112"/>
      <c r="M134" s="112"/>
      <c r="N134" s="112"/>
      <c r="O134" s="112"/>
      <c r="P134" s="112"/>
      <c r="Q134" s="112"/>
      <c r="R134" s="112"/>
      <c r="S134" s="112"/>
      <c r="T134" s="112"/>
      <c r="U134" s="112"/>
      <c r="V134" s="79"/>
      <c r="W134" s="79"/>
      <c r="X134" s="79"/>
      <c r="Y134" s="79"/>
      <c r="Z134" s="79"/>
      <c r="AA134" s="79"/>
      <c r="AB134" s="79"/>
      <c r="AC134" s="79"/>
      <c r="AD134" s="79"/>
      <c r="AE134" s="79"/>
      <c r="AF134" s="79"/>
      <c r="AG134" s="79"/>
      <c r="AH134" s="79"/>
      <c r="AI134" s="79"/>
      <c r="AJ134" s="79"/>
      <c r="AK134" s="79"/>
      <c r="AL134" s="79"/>
      <c r="AM134" s="79"/>
      <c r="AN134" s="79"/>
      <c r="AO134" s="79"/>
      <c r="AP134" s="113"/>
      <c r="AQ134" s="1623"/>
      <c r="AR134" s="1623"/>
      <c r="AS134" s="1623"/>
      <c r="AY134" s="1577"/>
      <c r="AZ134" s="1699"/>
    </row>
    <row r="135" spans="2:94" ht="25.8" thickTop="1" thickBot="1" x14ac:dyDescent="0.45">
      <c r="B135" s="737">
        <v>1</v>
      </c>
      <c r="C135" s="671"/>
      <c r="D135" s="686" t="s">
        <v>71</v>
      </c>
      <c r="E135" s="127"/>
      <c r="F135" s="127"/>
      <c r="G135" s="127"/>
      <c r="H135" s="138"/>
      <c r="I135" s="138"/>
      <c r="J135" s="138"/>
      <c r="K135" s="138"/>
      <c r="L135" s="138"/>
      <c r="M135" s="138"/>
      <c r="N135" s="138"/>
      <c r="O135" s="138"/>
      <c r="P135" s="138"/>
      <c r="Q135" s="138"/>
      <c r="R135" s="138"/>
      <c r="S135" s="138"/>
      <c r="T135" s="138"/>
      <c r="U135" s="38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2000" t="s">
        <v>68</v>
      </c>
      <c r="AO135" s="2001"/>
      <c r="AP135" s="115"/>
      <c r="AQ135" s="1623"/>
      <c r="AR135" s="1623"/>
      <c r="AS135" s="1623"/>
      <c r="AY135" s="1577"/>
      <c r="AZ135" s="1699"/>
    </row>
    <row r="136" spans="2:94" ht="36" hidden="1" customHeight="1" thickTop="1" thickBot="1" x14ac:dyDescent="0.35">
      <c r="B136" s="672"/>
      <c r="C136" s="71"/>
      <c r="D136" s="669"/>
      <c r="F136" s="441"/>
      <c r="H136" s="178" t="s">
        <v>4</v>
      </c>
      <c r="I136" s="178" t="s">
        <v>1</v>
      </c>
      <c r="J136" s="155" t="s">
        <v>0</v>
      </c>
      <c r="K136" s="155" t="s">
        <v>2</v>
      </c>
      <c r="L136" s="155" t="s">
        <v>3</v>
      </c>
      <c r="M136" s="155" t="s">
        <v>8</v>
      </c>
      <c r="N136" s="155" t="s">
        <v>5</v>
      </c>
      <c r="O136" s="155" t="s">
        <v>6</v>
      </c>
      <c r="P136" s="155" t="s">
        <v>7</v>
      </c>
      <c r="Q136" s="155" t="s">
        <v>9</v>
      </c>
      <c r="R136" s="176" t="s">
        <v>10</v>
      </c>
      <c r="S136" s="155" t="s">
        <v>11</v>
      </c>
      <c r="T136" s="156" t="s">
        <v>12</v>
      </c>
      <c r="U136" s="6"/>
      <c r="V136" s="6"/>
      <c r="W136" s="442"/>
      <c r="X136" s="6"/>
      <c r="Y136" s="6"/>
      <c r="Z136" s="6"/>
      <c r="AA136" s="6"/>
      <c r="AB136" s="6"/>
      <c r="AC136" s="6"/>
      <c r="AD136" s="6"/>
      <c r="AE136" s="6"/>
      <c r="AF136" s="6"/>
      <c r="AG136" s="6"/>
      <c r="AH136" s="6"/>
      <c r="AI136" s="6"/>
      <c r="AJ136" s="6"/>
      <c r="AK136" s="6"/>
      <c r="AL136" s="442" t="s">
        <v>57</v>
      </c>
      <c r="AM136" s="442" t="s">
        <v>57</v>
      </c>
      <c r="AP136" s="7"/>
      <c r="AQ136" s="1623"/>
      <c r="AR136" s="1623"/>
      <c r="AS136" s="1623"/>
      <c r="AY136" s="1577"/>
      <c r="AZ136" s="1699"/>
    </row>
    <row r="137" spans="2:94" ht="47.25" customHeight="1" thickTop="1" thickBot="1" x14ac:dyDescent="0.4">
      <c r="B137" s="29"/>
      <c r="C137" s="667"/>
      <c r="D137" s="670" t="s">
        <v>24</v>
      </c>
      <c r="E137" s="114"/>
      <c r="F137" s="382" t="s">
        <v>58</v>
      </c>
      <c r="H137" s="160"/>
      <c r="I137" s="161"/>
      <c r="J137" s="7"/>
      <c r="K137" s="7"/>
      <c r="L137" s="7"/>
      <c r="M137" s="7"/>
      <c r="N137" s="7"/>
      <c r="O137" s="7"/>
      <c r="P137" s="7"/>
      <c r="Q137" s="7"/>
      <c r="R137" s="177"/>
      <c r="S137" s="7"/>
      <c r="T137" s="34"/>
      <c r="U137" s="6"/>
      <c r="V137" s="6"/>
      <c r="W137" s="6"/>
      <c r="X137" s="6" t="s">
        <v>51</v>
      </c>
      <c r="Y137" s="95" t="s">
        <v>44</v>
      </c>
      <c r="Z137" s="175" t="s">
        <v>96</v>
      </c>
      <c r="AA137" s="96" t="s">
        <v>45</v>
      </c>
      <c r="AB137" s="172" t="s">
        <v>46</v>
      </c>
      <c r="AC137" s="175" t="s">
        <v>97</v>
      </c>
      <c r="AD137" s="93" t="s">
        <v>47</v>
      </c>
      <c r="AE137" s="172" t="s">
        <v>48</v>
      </c>
      <c r="AF137" s="179" t="s">
        <v>49</v>
      </c>
      <c r="AG137" s="91" t="s">
        <v>50</v>
      </c>
      <c r="AH137" s="91" t="s">
        <v>52</v>
      </c>
      <c r="AI137" s="91" t="s">
        <v>53</v>
      </c>
      <c r="AJ137" s="99" t="s">
        <v>54</v>
      </c>
      <c r="AK137" s="99" t="s">
        <v>55</v>
      </c>
      <c r="AL137" s="101" t="s">
        <v>25</v>
      </c>
      <c r="AM137" s="101" t="s">
        <v>26</v>
      </c>
      <c r="AN137" s="373" t="s">
        <v>25</v>
      </c>
      <c r="AO137" s="373" t="s">
        <v>26</v>
      </c>
      <c r="AP137" s="7"/>
      <c r="AQ137" s="1623"/>
      <c r="AR137" s="1623"/>
      <c r="AS137" s="1623"/>
      <c r="AY137" s="1577"/>
      <c r="AZ137" s="1699"/>
    </row>
    <row r="138" spans="2:94" ht="21" customHeight="1" thickBot="1" x14ac:dyDescent="0.35">
      <c r="B138" s="87">
        <v>1</v>
      </c>
      <c r="C138" s="668">
        <f>+($B$132*-1)+D138</f>
        <v>0</v>
      </c>
      <c r="D138" s="738">
        <v>0</v>
      </c>
      <c r="E138" s="333" t="s">
        <v>73</v>
      </c>
      <c r="F138" s="104">
        <f>+G138</f>
        <v>0</v>
      </c>
      <c r="G138" s="81">
        <f>+D138</f>
        <v>0</v>
      </c>
      <c r="H138" s="158">
        <v>190.76</v>
      </c>
      <c r="I138" s="159">
        <v>79.651040199999997</v>
      </c>
      <c r="J138" s="2">
        <f>+I138-C138</f>
        <v>79.651040199999997</v>
      </c>
      <c r="K138" s="2">
        <f t="shared" ref="K138:K161" si="5">+J138/2</f>
        <v>39.825520099999999</v>
      </c>
      <c r="L138" s="2">
        <f t="shared" ref="L138:L161" si="6">SIN(K138*3.14159265358979/180)</f>
        <v>0.64045183696587837</v>
      </c>
      <c r="M138" s="2">
        <f t="shared" ref="M138:M161" si="7">+L138*H138</f>
        <v>122.17259241961095</v>
      </c>
      <c r="N138" s="2">
        <f t="shared" ref="N138:N161" si="8">+M138*2</f>
        <v>244.3451848392219</v>
      </c>
      <c r="O138" s="2">
        <f>+C138/2</f>
        <v>0</v>
      </c>
      <c r="P138" s="2">
        <f t="shared" ref="P138:P161" si="9">SIN(O138*3.14159265358979/180)</f>
        <v>0</v>
      </c>
      <c r="Q138" s="2">
        <f t="shared" ref="Q138:Q161" si="10">+P138*N138</f>
        <v>0</v>
      </c>
      <c r="R138" s="157">
        <v>146.5</v>
      </c>
      <c r="S138" s="2">
        <f>+R138+Q138</f>
        <v>146.5</v>
      </c>
      <c r="T138" s="3">
        <f t="shared" ref="T138:T161" si="11">+S138</f>
        <v>146.5</v>
      </c>
      <c r="V138" s="23">
        <f t="shared" ref="V138:V161" si="12">IF(B138&lt;($B$135+1),T138,0)</f>
        <v>146.5</v>
      </c>
      <c r="W138" s="81" t="str">
        <f>IF(AM138&lt;0,"pin in groundstacking hole"," ")</f>
        <v xml:space="preserve"> </v>
      </c>
      <c r="X138" s="23">
        <f>SUM(V138:V161)/($B$135)</f>
        <v>146.5</v>
      </c>
      <c r="Y138" s="97">
        <f>+C138</f>
        <v>0</v>
      </c>
      <c r="Z138" s="173">
        <f>69.3447148-Y138</f>
        <v>69.344714800000006</v>
      </c>
      <c r="AA138" s="98">
        <f t="shared" ref="AA138:AA161" si="13">SIN(Z138*3.14159265358979/180)</f>
        <v>0.93571960494171247</v>
      </c>
      <c r="AB138" s="174">
        <f>+AA138*192.42</f>
        <v>180.0511663828843</v>
      </c>
      <c r="AC138" s="173">
        <f>50.1744799+Y138</f>
        <v>50.174479900000001</v>
      </c>
      <c r="AD138" s="94">
        <f>SIN(AC138*3.14159265358979/180)</f>
        <v>0.76799833627881664</v>
      </c>
      <c r="AE138" s="174">
        <f>+AD138*190.76</f>
        <v>146.50336262854705</v>
      </c>
      <c r="AF138" s="174">
        <f>25.5*B135</f>
        <v>25.5</v>
      </c>
      <c r="AG138" s="92">
        <f>+AE138+AB138</f>
        <v>326.55452901143133</v>
      </c>
      <c r="AH138" s="92">
        <f>+V138-AE138</f>
        <v>-3.3626285470518269E-3</v>
      </c>
      <c r="AI138" s="92">
        <f>+X138-AH138</f>
        <v>146.50336262854705</v>
      </c>
      <c r="AJ138" s="100">
        <f>+((AG138-AI138)/AG138)*AF138</f>
        <v>14.059840960291279</v>
      </c>
      <c r="AK138" s="100">
        <f>+(AI138/AG138)*AF138</f>
        <v>11.440159039708721</v>
      </c>
      <c r="AL138" s="109">
        <f t="shared" ref="AL138:AL161" si="14">2*$C$7/AJ138</f>
        <v>825.04489437408847</v>
      </c>
      <c r="AM138" s="110">
        <f t="shared" ref="AM138:AM161" si="15">$D$7/AK138</f>
        <v>874.11372213358766</v>
      </c>
      <c r="AN138" s="134">
        <f>ABS(AL138)</f>
        <v>825.04489437408847</v>
      </c>
      <c r="AO138" s="134">
        <f>ABS(AM138)</f>
        <v>874.11372213358766</v>
      </c>
      <c r="AP138" s="2" t="s">
        <v>56</v>
      </c>
      <c r="AQ138" s="1623"/>
      <c r="AR138" s="1623"/>
      <c r="AS138" s="1623"/>
      <c r="AY138" s="1577"/>
      <c r="AZ138" s="1699"/>
    </row>
    <row r="139" spans="2:94" ht="21" customHeight="1" thickBot="1" x14ac:dyDescent="0.35">
      <c r="B139" s="88">
        <v>2</v>
      </c>
      <c r="C139" s="20"/>
      <c r="D139" s="738">
        <v>0</v>
      </c>
      <c r="E139" s="333" t="s">
        <v>72</v>
      </c>
      <c r="F139" s="117" t="e">
        <f t="shared" ref="F139:F161" si="16">+G139</f>
        <v>#DIV/0!</v>
      </c>
      <c r="G139" s="118" t="e">
        <f t="shared" ref="G139:G161" si="17">+D139+AP139</f>
        <v>#DIV/0!</v>
      </c>
      <c r="H139" s="158">
        <v>190.76</v>
      </c>
      <c r="I139" s="159">
        <v>79.651040199999997</v>
      </c>
      <c r="J139" s="2">
        <f t="shared" ref="J139:J161" si="18">+I139-D139</f>
        <v>79.651040199999997</v>
      </c>
      <c r="K139" s="2">
        <f t="shared" si="5"/>
        <v>39.825520099999999</v>
      </c>
      <c r="L139" s="2">
        <f>SIN(K139*3.14159265358979/180)</f>
        <v>0.64045183696587837</v>
      </c>
      <c r="M139" s="2">
        <f t="shared" si="7"/>
        <v>122.17259241961095</v>
      </c>
      <c r="N139" s="2">
        <f t="shared" si="8"/>
        <v>244.3451848392219</v>
      </c>
      <c r="O139" s="2">
        <f>+C138+(D139/2)</f>
        <v>0</v>
      </c>
      <c r="P139" s="2">
        <f t="shared" si="9"/>
        <v>0</v>
      </c>
      <c r="Q139" s="2">
        <f t="shared" si="10"/>
        <v>0</v>
      </c>
      <c r="R139" s="2">
        <f t="shared" ref="R139:R161" si="19">+T138</f>
        <v>146.5</v>
      </c>
      <c r="S139" s="2">
        <f>+R139+Q139</f>
        <v>146.5</v>
      </c>
      <c r="T139" s="3">
        <f t="shared" si="11"/>
        <v>146.5</v>
      </c>
      <c r="V139" s="23">
        <f t="shared" si="12"/>
        <v>0</v>
      </c>
      <c r="W139" s="81" t="e">
        <f t="shared" ref="W139:W161" si="20">IF(AM139&lt;0,"pin in groundstacking hole"," ")</f>
        <v>#DIV/0!</v>
      </c>
      <c r="X139" s="23" t="e">
        <f>SUM(V139:V161)/($B$135-B138)</f>
        <v>#DIV/0!</v>
      </c>
      <c r="Y139" s="97">
        <f>SUM(D139)+$C$138</f>
        <v>0</v>
      </c>
      <c r="Z139" s="173">
        <f t="shared" ref="Z139:Z161" si="21">69.3447148-Y139</f>
        <v>69.344714800000006</v>
      </c>
      <c r="AA139" s="98">
        <f t="shared" si="13"/>
        <v>0.93571960494171247</v>
      </c>
      <c r="AB139" s="174">
        <f t="shared" ref="AB139:AB161" si="22">+AA139*192.42</f>
        <v>180.0511663828843</v>
      </c>
      <c r="AC139" s="173">
        <f t="shared" ref="AC139:AC161" si="23">50.1744799+Y139</f>
        <v>50.174479900000001</v>
      </c>
      <c r="AD139" s="94">
        <f t="shared" ref="AD139:AD161" si="24">SIN(AC139*3.14159265358979/180)</f>
        <v>0.76799833627881664</v>
      </c>
      <c r="AE139" s="174">
        <f t="shared" ref="AE139:AE161" si="25">+AD139*190.76</f>
        <v>146.50336262854705</v>
      </c>
      <c r="AF139" s="174">
        <f t="shared" ref="AF139:AF161" si="26">25.5*($B$135-B138)</f>
        <v>0</v>
      </c>
      <c r="AG139" s="92">
        <f t="shared" ref="AG139:AG161" si="27">+AE139+AB139</f>
        <v>326.55452901143133</v>
      </c>
      <c r="AH139" s="92">
        <f>+V139-AE139</f>
        <v>-146.50336262854705</v>
      </c>
      <c r="AI139" s="92" t="e">
        <f>+X139-AH139</f>
        <v>#DIV/0!</v>
      </c>
      <c r="AJ139" s="100" t="e">
        <f t="shared" ref="AJ139:AJ161" si="28">+((AG139-AI139)/AG139)*AF139</f>
        <v>#DIV/0!</v>
      </c>
      <c r="AK139" s="100" t="e">
        <f t="shared" ref="AK139:AK161" si="29">+(AI139/AG139)*AF139</f>
        <v>#DIV/0!</v>
      </c>
      <c r="AL139" s="109" t="e">
        <f t="shared" si="14"/>
        <v>#DIV/0!</v>
      </c>
      <c r="AM139" s="110" t="e">
        <f t="shared" si="15"/>
        <v>#DIV/0!</v>
      </c>
      <c r="AN139" s="137" t="e">
        <f t="shared" ref="AN139:AO155" si="30">ABS(AL139)</f>
        <v>#DIV/0!</v>
      </c>
      <c r="AO139" s="137" t="e">
        <f t="shared" si="30"/>
        <v>#DIV/0!</v>
      </c>
      <c r="AP139" t="e">
        <f t="shared" ref="AP139:AP161" si="31">IF(AM139&lt;0,0.3,0)</f>
        <v>#DIV/0!</v>
      </c>
      <c r="AQ139" s="1623"/>
      <c r="AR139" s="1623"/>
      <c r="AS139" s="1623"/>
      <c r="AY139" s="1577"/>
      <c r="AZ139" s="1699"/>
    </row>
    <row r="140" spans="2:94" ht="21" customHeight="1" thickBot="1" x14ac:dyDescent="0.35">
      <c r="B140" s="88">
        <v>3</v>
      </c>
      <c r="C140" s="20"/>
      <c r="D140" s="738">
        <v>0</v>
      </c>
      <c r="E140" s="333" t="s">
        <v>72</v>
      </c>
      <c r="F140" s="104">
        <f t="shared" si="16"/>
        <v>0.3</v>
      </c>
      <c r="G140" s="118">
        <f t="shared" si="17"/>
        <v>0.3</v>
      </c>
      <c r="H140" s="158">
        <v>190.76</v>
      </c>
      <c r="I140" s="159">
        <v>79.651040199999997</v>
      </c>
      <c r="J140" s="2">
        <f t="shared" si="18"/>
        <v>79.651040199999997</v>
      </c>
      <c r="K140" s="2">
        <f t="shared" si="5"/>
        <v>39.825520099999999</v>
      </c>
      <c r="L140" s="2">
        <f t="shared" si="6"/>
        <v>0.64045183696587837</v>
      </c>
      <c r="M140" s="2">
        <f t="shared" si="7"/>
        <v>122.17259241961095</v>
      </c>
      <c r="N140" s="2">
        <f t="shared" si="8"/>
        <v>244.3451848392219</v>
      </c>
      <c r="O140" s="2">
        <f>+C138+D139+(D140/2)</f>
        <v>0</v>
      </c>
      <c r="P140" s="2">
        <f t="shared" si="9"/>
        <v>0</v>
      </c>
      <c r="Q140" s="2">
        <f t="shared" si="10"/>
        <v>0</v>
      </c>
      <c r="R140" s="2">
        <f t="shared" si="19"/>
        <v>146.5</v>
      </c>
      <c r="S140" s="2">
        <f t="shared" ref="S140:S161" si="32">+S139+Q140</f>
        <v>146.5</v>
      </c>
      <c r="T140" s="3">
        <f t="shared" si="11"/>
        <v>146.5</v>
      </c>
      <c r="V140" s="23">
        <f t="shared" si="12"/>
        <v>0</v>
      </c>
      <c r="W140" s="81" t="str">
        <f t="shared" si="20"/>
        <v>pin in groundstacking hole</v>
      </c>
      <c r="X140" s="23">
        <f>SUM(V140:V161)/($B$135-B139)</f>
        <v>0</v>
      </c>
      <c r="Y140" s="97">
        <f>SUM(D139:D140)+$C$138</f>
        <v>0</v>
      </c>
      <c r="Z140" s="173">
        <f t="shared" si="21"/>
        <v>69.344714800000006</v>
      </c>
      <c r="AA140" s="98">
        <f t="shared" si="13"/>
        <v>0.93571960494171247</v>
      </c>
      <c r="AB140" s="174">
        <f t="shared" si="22"/>
        <v>180.0511663828843</v>
      </c>
      <c r="AC140" s="173">
        <f t="shared" si="23"/>
        <v>50.174479900000001</v>
      </c>
      <c r="AD140" s="94">
        <f t="shared" si="24"/>
        <v>0.76799833627881664</v>
      </c>
      <c r="AE140" s="174">
        <f t="shared" si="25"/>
        <v>146.50336262854705</v>
      </c>
      <c r="AF140" s="174">
        <f t="shared" si="26"/>
        <v>-25.5</v>
      </c>
      <c r="AG140" s="92">
        <f t="shared" si="27"/>
        <v>326.55452901143133</v>
      </c>
      <c r="AH140" s="92">
        <f>+V140-AE140</f>
        <v>-146.50336262854705</v>
      </c>
      <c r="AI140" s="92">
        <f>+X140-AH140</f>
        <v>146.50336262854705</v>
      </c>
      <c r="AJ140" s="100">
        <f t="shared" si="28"/>
        <v>-14.059840960291279</v>
      </c>
      <c r="AK140" s="100">
        <f t="shared" si="29"/>
        <v>-11.440159039708721</v>
      </c>
      <c r="AL140" s="109">
        <f t="shared" si="14"/>
        <v>-825.04489437408847</v>
      </c>
      <c r="AM140" s="110">
        <f t="shared" si="15"/>
        <v>-874.11372213358766</v>
      </c>
      <c r="AN140" s="137">
        <f t="shared" si="30"/>
        <v>825.04489437408847</v>
      </c>
      <c r="AO140" s="137">
        <f t="shared" si="30"/>
        <v>874.11372213358766</v>
      </c>
      <c r="AP140">
        <f t="shared" si="31"/>
        <v>0.3</v>
      </c>
      <c r="AQ140" s="1623"/>
      <c r="AR140" s="1623"/>
      <c r="AS140" s="1623"/>
      <c r="AY140" s="1577"/>
      <c r="AZ140" s="1699"/>
    </row>
    <row r="141" spans="2:94" ht="21" customHeight="1" thickBot="1" x14ac:dyDescent="0.45">
      <c r="B141" s="88">
        <v>4</v>
      </c>
      <c r="C141" s="20"/>
      <c r="D141" s="738">
        <v>0</v>
      </c>
      <c r="E141" s="333" t="s">
        <v>72</v>
      </c>
      <c r="F141" s="104">
        <f t="shared" si="16"/>
        <v>0.3</v>
      </c>
      <c r="G141" s="118">
        <f t="shared" si="17"/>
        <v>0.3</v>
      </c>
      <c r="H141" s="158">
        <v>190.76</v>
      </c>
      <c r="I141" s="159">
        <v>79.651040199999997</v>
      </c>
      <c r="J141" s="2">
        <f t="shared" si="18"/>
        <v>79.651040199999997</v>
      </c>
      <c r="K141" s="2">
        <f t="shared" si="5"/>
        <v>39.825520099999999</v>
      </c>
      <c r="L141" s="2">
        <f t="shared" si="6"/>
        <v>0.64045183696587837</v>
      </c>
      <c r="M141" s="2">
        <f t="shared" si="7"/>
        <v>122.17259241961095</v>
      </c>
      <c r="N141" s="2">
        <f t="shared" si="8"/>
        <v>244.3451848392219</v>
      </c>
      <c r="O141" s="2">
        <f>+C138+D139+D140+(D141/2)</f>
        <v>0</v>
      </c>
      <c r="P141" s="2">
        <f t="shared" si="9"/>
        <v>0</v>
      </c>
      <c r="Q141" s="2">
        <f t="shared" si="10"/>
        <v>0</v>
      </c>
      <c r="R141" s="2">
        <f t="shared" si="19"/>
        <v>146.5</v>
      </c>
      <c r="S141" s="2">
        <f t="shared" si="32"/>
        <v>146.5</v>
      </c>
      <c r="T141" s="3">
        <f t="shared" si="11"/>
        <v>146.5</v>
      </c>
      <c r="V141" s="23">
        <f t="shared" si="12"/>
        <v>0</v>
      </c>
      <c r="W141" s="81" t="str">
        <f t="shared" si="20"/>
        <v>pin in groundstacking hole</v>
      </c>
      <c r="X141" s="23">
        <f>SUM(V141:V161)/($B$135-B140)</f>
        <v>0</v>
      </c>
      <c r="Y141" s="97">
        <f>SUM(D139:D141)+$C$138</f>
        <v>0</v>
      </c>
      <c r="Z141" s="173">
        <f t="shared" si="21"/>
        <v>69.344714800000006</v>
      </c>
      <c r="AA141" s="98">
        <f t="shared" si="13"/>
        <v>0.93571960494171247</v>
      </c>
      <c r="AB141" s="174">
        <f t="shared" si="22"/>
        <v>180.0511663828843</v>
      </c>
      <c r="AC141" s="173">
        <f t="shared" si="23"/>
        <v>50.174479900000001</v>
      </c>
      <c r="AD141" s="94">
        <f t="shared" si="24"/>
        <v>0.76799833627881664</v>
      </c>
      <c r="AE141" s="174">
        <f t="shared" si="25"/>
        <v>146.50336262854705</v>
      </c>
      <c r="AF141" s="174">
        <f t="shared" si="26"/>
        <v>-51</v>
      </c>
      <c r="AG141" s="92">
        <f t="shared" si="27"/>
        <v>326.55452901143133</v>
      </c>
      <c r="AH141" s="92">
        <f>+V141-AE141</f>
        <v>-146.50336262854705</v>
      </c>
      <c r="AI141" s="92">
        <f t="shared" ref="AI141:AI161" si="33">+X141-AH141</f>
        <v>146.50336262854705</v>
      </c>
      <c r="AJ141" s="100">
        <f t="shared" si="28"/>
        <v>-28.119681920582558</v>
      </c>
      <c r="AK141" s="100">
        <f t="shared" si="29"/>
        <v>-22.880318079417442</v>
      </c>
      <c r="AL141" s="109">
        <f t="shared" si="14"/>
        <v>-412.52244718704424</v>
      </c>
      <c r="AM141" s="110">
        <f t="shared" si="15"/>
        <v>-437.05686106679383</v>
      </c>
      <c r="AN141" s="137">
        <f t="shared" si="30"/>
        <v>412.52244718704424</v>
      </c>
      <c r="AO141" s="137">
        <f t="shared" si="30"/>
        <v>437.05686106679383</v>
      </c>
      <c r="AP141">
        <f t="shared" si="31"/>
        <v>0.3</v>
      </c>
      <c r="AQ141" s="1623"/>
      <c r="AR141" s="1623"/>
      <c r="AS141" s="1623"/>
      <c r="AY141" s="1577"/>
      <c r="AZ141" s="1699"/>
      <c r="BA141" s="1726"/>
      <c r="BB141" s="1733"/>
      <c r="BC141" s="1733"/>
      <c r="BD141" s="1733"/>
      <c r="BE141" s="1733"/>
      <c r="BF141" s="1733"/>
      <c r="BG141" s="1733"/>
      <c r="BH141" s="1733"/>
      <c r="BI141" s="1733"/>
      <c r="BJ141" s="1733"/>
      <c r="BK141" s="1733"/>
      <c r="BL141" s="1733"/>
      <c r="BM141" s="1733"/>
      <c r="BN141" s="1733"/>
      <c r="BO141" s="1733"/>
      <c r="BP141" s="1733"/>
      <c r="BQ141" s="1733"/>
      <c r="BR141" s="1733"/>
      <c r="BS141" s="1733"/>
      <c r="BT141" s="1733"/>
      <c r="BU141" s="1733"/>
      <c r="BV141" s="1733"/>
      <c r="BW141" s="1733"/>
      <c r="BX141" s="1733"/>
      <c r="BY141" s="1733"/>
      <c r="BZ141" s="1733"/>
      <c r="CA141" s="1733"/>
      <c r="CB141" s="1733"/>
      <c r="CC141" s="1733"/>
      <c r="CD141" s="1733"/>
      <c r="CE141" s="1733"/>
      <c r="CF141" s="1733"/>
      <c r="CG141" s="1733"/>
      <c r="CH141" s="1733"/>
      <c r="CI141" s="1733"/>
      <c r="CJ141" s="1733"/>
      <c r="CK141" s="1733"/>
      <c r="CL141" s="1733"/>
      <c r="CM141" s="1557"/>
      <c r="CN141" s="1557"/>
      <c r="CO141" s="1557"/>
    </row>
    <row r="142" spans="2:94" ht="21" customHeight="1" thickBot="1" x14ac:dyDescent="0.35">
      <c r="B142" s="88">
        <v>5</v>
      </c>
      <c r="C142" s="20"/>
      <c r="D142" s="738">
        <v>0</v>
      </c>
      <c r="E142" s="333" t="s">
        <v>72</v>
      </c>
      <c r="F142" s="104">
        <f t="shared" si="16"/>
        <v>0.3</v>
      </c>
      <c r="G142" s="118">
        <f t="shared" si="17"/>
        <v>0.3</v>
      </c>
      <c r="H142" s="158">
        <v>190.76</v>
      </c>
      <c r="I142" s="159">
        <v>79.651040199999997</v>
      </c>
      <c r="J142" s="2">
        <f t="shared" si="18"/>
        <v>79.651040199999997</v>
      </c>
      <c r="K142" s="2">
        <f t="shared" si="5"/>
        <v>39.825520099999999</v>
      </c>
      <c r="L142" s="2">
        <f t="shared" si="6"/>
        <v>0.64045183696587837</v>
      </c>
      <c r="M142" s="2">
        <f t="shared" si="7"/>
        <v>122.17259241961095</v>
      </c>
      <c r="N142" s="2">
        <f t="shared" si="8"/>
        <v>244.3451848392219</v>
      </c>
      <c r="O142" s="2">
        <f>+C138+D139+D140+D141+(D142/2)</f>
        <v>0</v>
      </c>
      <c r="P142" s="2">
        <f t="shared" si="9"/>
        <v>0</v>
      </c>
      <c r="Q142" s="2">
        <f t="shared" si="10"/>
        <v>0</v>
      </c>
      <c r="R142" s="2">
        <f t="shared" si="19"/>
        <v>146.5</v>
      </c>
      <c r="S142" s="2">
        <f t="shared" si="32"/>
        <v>146.5</v>
      </c>
      <c r="T142" s="3">
        <f t="shared" si="11"/>
        <v>146.5</v>
      </c>
      <c r="V142" s="23">
        <f t="shared" si="12"/>
        <v>0</v>
      </c>
      <c r="W142" s="81" t="str">
        <f t="shared" si="20"/>
        <v>pin in groundstacking hole</v>
      </c>
      <c r="X142" s="23">
        <f>SUM(V142:V161)/($B$135-B141)</f>
        <v>0</v>
      </c>
      <c r="Y142" s="97">
        <f>SUM(D139:D142)+$C$138</f>
        <v>0</v>
      </c>
      <c r="Z142" s="173">
        <f t="shared" si="21"/>
        <v>69.344714800000006</v>
      </c>
      <c r="AA142" s="98">
        <f t="shared" si="13"/>
        <v>0.93571960494171247</v>
      </c>
      <c r="AB142" s="174">
        <f t="shared" si="22"/>
        <v>180.0511663828843</v>
      </c>
      <c r="AC142" s="173">
        <f t="shared" si="23"/>
        <v>50.174479900000001</v>
      </c>
      <c r="AD142" s="94">
        <f t="shared" si="24"/>
        <v>0.76799833627881664</v>
      </c>
      <c r="AE142" s="174">
        <f t="shared" si="25"/>
        <v>146.50336262854705</v>
      </c>
      <c r="AF142" s="174">
        <f t="shared" si="26"/>
        <v>-76.5</v>
      </c>
      <c r="AG142" s="92">
        <f t="shared" si="27"/>
        <v>326.55452901143133</v>
      </c>
      <c r="AH142" s="92">
        <f t="shared" ref="AH142:AH161" si="34">+V142-AE142</f>
        <v>-146.50336262854705</v>
      </c>
      <c r="AI142" s="92">
        <f t="shared" si="33"/>
        <v>146.50336262854705</v>
      </c>
      <c r="AJ142" s="100">
        <f t="shared" si="28"/>
        <v>-42.17952288087384</v>
      </c>
      <c r="AK142" s="100">
        <f t="shared" si="29"/>
        <v>-34.32047711912616</v>
      </c>
      <c r="AL142" s="109">
        <f t="shared" si="14"/>
        <v>-275.01496479136279</v>
      </c>
      <c r="AM142" s="110">
        <f t="shared" si="15"/>
        <v>-291.37124071119592</v>
      </c>
      <c r="AN142" s="137">
        <f t="shared" si="30"/>
        <v>275.01496479136279</v>
      </c>
      <c r="AO142" s="137">
        <f t="shared" si="30"/>
        <v>291.37124071119592</v>
      </c>
      <c r="AP142">
        <f t="shared" si="31"/>
        <v>0.3</v>
      </c>
      <c r="AQ142" s="1623"/>
      <c r="AR142" s="1623"/>
      <c r="AS142" s="1623"/>
    </row>
    <row r="143" spans="2:94" ht="21" customHeight="1" thickBot="1" x14ac:dyDescent="0.35">
      <c r="B143" s="88">
        <v>6</v>
      </c>
      <c r="C143" s="20"/>
      <c r="D143" s="738">
        <v>0</v>
      </c>
      <c r="E143" s="333" t="s">
        <v>72</v>
      </c>
      <c r="F143" s="104">
        <f t="shared" si="16"/>
        <v>0.3</v>
      </c>
      <c r="G143" s="118">
        <f t="shared" si="17"/>
        <v>0.3</v>
      </c>
      <c r="H143" s="158">
        <v>190.76</v>
      </c>
      <c r="I143" s="159">
        <v>79.651040199999997</v>
      </c>
      <c r="J143" s="2">
        <f t="shared" si="18"/>
        <v>79.651040199999997</v>
      </c>
      <c r="K143" s="2">
        <f t="shared" si="5"/>
        <v>39.825520099999999</v>
      </c>
      <c r="L143" s="2">
        <f t="shared" si="6"/>
        <v>0.64045183696587837</v>
      </c>
      <c r="M143" s="2">
        <f t="shared" si="7"/>
        <v>122.17259241961095</v>
      </c>
      <c r="N143" s="2">
        <f t="shared" si="8"/>
        <v>244.3451848392219</v>
      </c>
      <c r="O143" s="2">
        <f>+C138+D139+D140+D141+D142+(D143/2)</f>
        <v>0</v>
      </c>
      <c r="P143" s="2">
        <f t="shared" si="9"/>
        <v>0</v>
      </c>
      <c r="Q143" s="2">
        <f t="shared" si="10"/>
        <v>0</v>
      </c>
      <c r="R143" s="2">
        <f t="shared" si="19"/>
        <v>146.5</v>
      </c>
      <c r="S143" s="2">
        <f t="shared" si="32"/>
        <v>146.5</v>
      </c>
      <c r="T143" s="3">
        <f t="shared" si="11"/>
        <v>146.5</v>
      </c>
      <c r="V143" s="23">
        <f t="shared" si="12"/>
        <v>0</v>
      </c>
      <c r="W143" s="81" t="str">
        <f t="shared" si="20"/>
        <v>pin in groundstacking hole</v>
      </c>
      <c r="X143" s="23">
        <f>SUM(V143:V161)/($B$135-B142)</f>
        <v>0</v>
      </c>
      <c r="Y143" s="97">
        <f>SUM(D139:D143)+$C$138</f>
        <v>0</v>
      </c>
      <c r="Z143" s="173">
        <f t="shared" si="21"/>
        <v>69.344714800000006</v>
      </c>
      <c r="AA143" s="98">
        <f t="shared" si="13"/>
        <v>0.93571960494171247</v>
      </c>
      <c r="AB143" s="174">
        <f t="shared" si="22"/>
        <v>180.0511663828843</v>
      </c>
      <c r="AC143" s="173">
        <f t="shared" si="23"/>
        <v>50.174479900000001</v>
      </c>
      <c r="AD143" s="94">
        <f t="shared" si="24"/>
        <v>0.76799833627881664</v>
      </c>
      <c r="AE143" s="174">
        <f t="shared" si="25"/>
        <v>146.50336262854705</v>
      </c>
      <c r="AF143" s="174">
        <f t="shared" si="26"/>
        <v>-102</v>
      </c>
      <c r="AG143" s="92">
        <f t="shared" si="27"/>
        <v>326.55452901143133</v>
      </c>
      <c r="AH143" s="92">
        <f t="shared" si="34"/>
        <v>-146.50336262854705</v>
      </c>
      <c r="AI143" s="92">
        <f t="shared" si="33"/>
        <v>146.50336262854705</v>
      </c>
      <c r="AJ143" s="100">
        <f t="shared" si="28"/>
        <v>-56.239363841165115</v>
      </c>
      <c r="AK143" s="100">
        <f t="shared" si="29"/>
        <v>-45.760636158834885</v>
      </c>
      <c r="AL143" s="109">
        <f t="shared" si="14"/>
        <v>-206.26122359352212</v>
      </c>
      <c r="AM143" s="110">
        <f t="shared" si="15"/>
        <v>-218.52843053339691</v>
      </c>
      <c r="AN143" s="137">
        <f t="shared" si="30"/>
        <v>206.26122359352212</v>
      </c>
      <c r="AO143" s="137">
        <f t="shared" si="30"/>
        <v>218.52843053339691</v>
      </c>
      <c r="AP143">
        <f t="shared" si="31"/>
        <v>0.3</v>
      </c>
      <c r="AQ143" s="1623"/>
      <c r="AR143" s="1623"/>
      <c r="AS143" s="1623"/>
    </row>
    <row r="144" spans="2:94" ht="21" customHeight="1" thickBot="1" x14ac:dyDescent="0.35">
      <c r="B144" s="88">
        <v>7</v>
      </c>
      <c r="C144" s="20"/>
      <c r="D144" s="738">
        <v>0</v>
      </c>
      <c r="E144" s="333" t="s">
        <v>72</v>
      </c>
      <c r="F144" s="104">
        <f t="shared" si="16"/>
        <v>0.3</v>
      </c>
      <c r="G144" s="118">
        <f t="shared" si="17"/>
        <v>0.3</v>
      </c>
      <c r="H144" s="158">
        <v>190.76</v>
      </c>
      <c r="I144" s="159">
        <v>79.651040199999997</v>
      </c>
      <c r="J144" s="2">
        <f t="shared" si="18"/>
        <v>79.651040199999997</v>
      </c>
      <c r="K144" s="2">
        <f t="shared" si="5"/>
        <v>39.825520099999999</v>
      </c>
      <c r="L144" s="2">
        <f t="shared" si="6"/>
        <v>0.64045183696587837</v>
      </c>
      <c r="M144" s="2">
        <f t="shared" si="7"/>
        <v>122.17259241961095</v>
      </c>
      <c r="N144" s="2">
        <f t="shared" si="8"/>
        <v>244.3451848392219</v>
      </c>
      <c r="O144" s="2">
        <f>+C138+D139+D140+D141+D142+D143+(D144/2)</f>
        <v>0</v>
      </c>
      <c r="P144" s="2">
        <f t="shared" si="9"/>
        <v>0</v>
      </c>
      <c r="Q144" s="2">
        <f t="shared" si="10"/>
        <v>0</v>
      </c>
      <c r="R144" s="2">
        <f t="shared" si="19"/>
        <v>146.5</v>
      </c>
      <c r="S144" s="2">
        <f t="shared" si="32"/>
        <v>146.5</v>
      </c>
      <c r="T144" s="3">
        <f t="shared" si="11"/>
        <v>146.5</v>
      </c>
      <c r="V144" s="23">
        <f t="shared" si="12"/>
        <v>0</v>
      </c>
      <c r="W144" s="81" t="str">
        <f t="shared" si="20"/>
        <v>pin in groundstacking hole</v>
      </c>
      <c r="X144" s="23">
        <f t="shared" ref="X144:X161" si="35">SUM(V144:V161)/($B$135-B143)</f>
        <v>0</v>
      </c>
      <c r="Y144" s="97">
        <f>SUM(D139:D144)+$C$138</f>
        <v>0</v>
      </c>
      <c r="Z144" s="173">
        <f t="shared" si="21"/>
        <v>69.344714800000006</v>
      </c>
      <c r="AA144" s="98">
        <f t="shared" si="13"/>
        <v>0.93571960494171247</v>
      </c>
      <c r="AB144" s="174">
        <f t="shared" si="22"/>
        <v>180.0511663828843</v>
      </c>
      <c r="AC144" s="173">
        <f t="shared" si="23"/>
        <v>50.174479900000001</v>
      </c>
      <c r="AD144" s="94">
        <f t="shared" si="24"/>
        <v>0.76799833627881664</v>
      </c>
      <c r="AE144" s="174">
        <f t="shared" si="25"/>
        <v>146.50336262854705</v>
      </c>
      <c r="AF144" s="174">
        <f t="shared" si="26"/>
        <v>-127.5</v>
      </c>
      <c r="AG144" s="92">
        <f t="shared" si="27"/>
        <v>326.55452901143133</v>
      </c>
      <c r="AH144" s="92">
        <f t="shared" si="34"/>
        <v>-146.50336262854705</v>
      </c>
      <c r="AI144" s="92">
        <f t="shared" si="33"/>
        <v>146.50336262854705</v>
      </c>
      <c r="AJ144" s="100">
        <f t="shared" si="28"/>
        <v>-70.299204801456398</v>
      </c>
      <c r="AK144" s="100">
        <f t="shared" si="29"/>
        <v>-57.200795198543602</v>
      </c>
      <c r="AL144" s="109">
        <f t="shared" si="14"/>
        <v>-165.00897887481767</v>
      </c>
      <c r="AM144" s="110">
        <f t="shared" si="15"/>
        <v>-174.82274442671755</v>
      </c>
      <c r="AN144" s="137">
        <f t="shared" si="30"/>
        <v>165.00897887481767</v>
      </c>
      <c r="AO144" s="137">
        <f t="shared" si="30"/>
        <v>174.82274442671755</v>
      </c>
      <c r="AP144">
        <f t="shared" si="31"/>
        <v>0.3</v>
      </c>
      <c r="AQ144" s="1623"/>
      <c r="AR144" s="1623"/>
      <c r="AS144" s="1623"/>
      <c r="AT144" s="1623"/>
      <c r="AU144" s="1623"/>
      <c r="AV144" s="1623"/>
    </row>
    <row r="145" spans="1:90" ht="21" customHeight="1" thickBot="1" x14ac:dyDescent="0.35">
      <c r="B145" s="88">
        <v>8</v>
      </c>
      <c r="C145" s="20"/>
      <c r="D145" s="738">
        <v>0</v>
      </c>
      <c r="E145" s="333" t="s">
        <v>72</v>
      </c>
      <c r="F145" s="104">
        <f t="shared" si="16"/>
        <v>0.3</v>
      </c>
      <c r="G145" s="118">
        <f t="shared" si="17"/>
        <v>0.3</v>
      </c>
      <c r="H145" s="158">
        <v>190.76</v>
      </c>
      <c r="I145" s="159">
        <v>79.651040199999997</v>
      </c>
      <c r="J145" s="2">
        <f t="shared" si="18"/>
        <v>79.651040199999997</v>
      </c>
      <c r="K145" s="2">
        <f t="shared" si="5"/>
        <v>39.825520099999999</v>
      </c>
      <c r="L145" s="2">
        <f t="shared" si="6"/>
        <v>0.64045183696587837</v>
      </c>
      <c r="M145" s="2">
        <f t="shared" si="7"/>
        <v>122.17259241961095</v>
      </c>
      <c r="N145" s="2">
        <f t="shared" si="8"/>
        <v>244.3451848392219</v>
      </c>
      <c r="O145" s="2">
        <f>+C138+D139+D140+D141+D142+D143+D144+(D145/2)</f>
        <v>0</v>
      </c>
      <c r="P145" s="2">
        <f t="shared" si="9"/>
        <v>0</v>
      </c>
      <c r="Q145" s="2">
        <f t="shared" si="10"/>
        <v>0</v>
      </c>
      <c r="R145" s="2">
        <f t="shared" si="19"/>
        <v>146.5</v>
      </c>
      <c r="S145" s="2">
        <f t="shared" si="32"/>
        <v>146.5</v>
      </c>
      <c r="T145" s="3">
        <f t="shared" si="11"/>
        <v>146.5</v>
      </c>
      <c r="V145" s="23">
        <f t="shared" si="12"/>
        <v>0</v>
      </c>
      <c r="W145" s="81" t="str">
        <f t="shared" si="20"/>
        <v>pin in groundstacking hole</v>
      </c>
      <c r="X145" s="23">
        <f t="shared" si="35"/>
        <v>0</v>
      </c>
      <c r="Y145" s="97">
        <f>SUM(D139:D145)+$C$138</f>
        <v>0</v>
      </c>
      <c r="Z145" s="173">
        <f t="shared" si="21"/>
        <v>69.344714800000006</v>
      </c>
      <c r="AA145" s="98">
        <f t="shared" si="13"/>
        <v>0.93571960494171247</v>
      </c>
      <c r="AB145" s="174">
        <f t="shared" si="22"/>
        <v>180.0511663828843</v>
      </c>
      <c r="AC145" s="173">
        <f t="shared" si="23"/>
        <v>50.174479900000001</v>
      </c>
      <c r="AD145" s="94">
        <f t="shared" si="24"/>
        <v>0.76799833627881664</v>
      </c>
      <c r="AE145" s="174">
        <f t="shared" si="25"/>
        <v>146.50336262854705</v>
      </c>
      <c r="AF145" s="174">
        <f t="shared" si="26"/>
        <v>-153</v>
      </c>
      <c r="AG145" s="92">
        <f t="shared" si="27"/>
        <v>326.55452901143133</v>
      </c>
      <c r="AH145" s="92">
        <f t="shared" si="34"/>
        <v>-146.50336262854705</v>
      </c>
      <c r="AI145" s="92">
        <f t="shared" si="33"/>
        <v>146.50336262854705</v>
      </c>
      <c r="AJ145" s="100">
        <f t="shared" si="28"/>
        <v>-84.35904576174768</v>
      </c>
      <c r="AK145" s="100">
        <f t="shared" si="29"/>
        <v>-68.64095423825232</v>
      </c>
      <c r="AL145" s="109">
        <f t="shared" si="14"/>
        <v>-137.50748239568139</v>
      </c>
      <c r="AM145" s="110">
        <f t="shared" si="15"/>
        <v>-145.68562035559796</v>
      </c>
      <c r="AN145" s="137">
        <f t="shared" si="30"/>
        <v>137.50748239568139</v>
      </c>
      <c r="AO145" s="137">
        <f t="shared" si="30"/>
        <v>145.68562035559796</v>
      </c>
      <c r="AP145">
        <f t="shared" si="31"/>
        <v>0.3</v>
      </c>
      <c r="AQ145" s="1623"/>
      <c r="AR145" s="1623"/>
      <c r="AS145" s="1623"/>
      <c r="AT145" s="1623"/>
      <c r="AU145" s="1623"/>
      <c r="AV145" s="1623"/>
    </row>
    <row r="146" spans="1:90" ht="21" customHeight="1" thickBot="1" x14ac:dyDescent="0.35">
      <c r="B146" s="88">
        <v>9</v>
      </c>
      <c r="C146" s="20"/>
      <c r="D146" s="738">
        <v>0</v>
      </c>
      <c r="E146" s="333" t="s">
        <v>72</v>
      </c>
      <c r="F146" s="104">
        <f t="shared" si="16"/>
        <v>0.3</v>
      </c>
      <c r="G146" s="118">
        <f t="shared" si="17"/>
        <v>0.3</v>
      </c>
      <c r="H146" s="158">
        <v>190.76</v>
      </c>
      <c r="I146" s="159">
        <v>79.651040199999997</v>
      </c>
      <c r="J146" s="2">
        <f t="shared" si="18"/>
        <v>79.651040199999997</v>
      </c>
      <c r="K146" s="2">
        <f t="shared" si="5"/>
        <v>39.825520099999999</v>
      </c>
      <c r="L146" s="2">
        <f t="shared" si="6"/>
        <v>0.64045183696587837</v>
      </c>
      <c r="M146" s="2">
        <f t="shared" si="7"/>
        <v>122.17259241961095</v>
      </c>
      <c r="N146" s="2">
        <f t="shared" si="8"/>
        <v>244.3451848392219</v>
      </c>
      <c r="O146" s="2">
        <f>+C138+D139+D140+D141+D142+D143+D144+D145+(D146/2)</f>
        <v>0</v>
      </c>
      <c r="P146" s="2">
        <f t="shared" si="9"/>
        <v>0</v>
      </c>
      <c r="Q146" s="2">
        <f t="shared" si="10"/>
        <v>0</v>
      </c>
      <c r="R146" s="2">
        <f t="shared" si="19"/>
        <v>146.5</v>
      </c>
      <c r="S146" s="2">
        <f t="shared" si="32"/>
        <v>146.5</v>
      </c>
      <c r="T146" s="3">
        <f t="shared" si="11"/>
        <v>146.5</v>
      </c>
      <c r="V146" s="23">
        <f t="shared" si="12"/>
        <v>0</v>
      </c>
      <c r="W146" s="81" t="str">
        <f t="shared" si="20"/>
        <v>pin in groundstacking hole</v>
      </c>
      <c r="X146" s="23">
        <f t="shared" si="35"/>
        <v>0</v>
      </c>
      <c r="Y146" s="97">
        <f>SUM(D139:D146)+$C$138</f>
        <v>0</v>
      </c>
      <c r="Z146" s="173">
        <f t="shared" si="21"/>
        <v>69.344714800000006</v>
      </c>
      <c r="AA146" s="98">
        <f t="shared" si="13"/>
        <v>0.93571960494171247</v>
      </c>
      <c r="AB146" s="174">
        <f t="shared" si="22"/>
        <v>180.0511663828843</v>
      </c>
      <c r="AC146" s="173">
        <f t="shared" si="23"/>
        <v>50.174479900000001</v>
      </c>
      <c r="AD146" s="94">
        <f t="shared" si="24"/>
        <v>0.76799833627881664</v>
      </c>
      <c r="AE146" s="174">
        <f t="shared" si="25"/>
        <v>146.50336262854705</v>
      </c>
      <c r="AF146" s="174">
        <f t="shared" si="26"/>
        <v>-178.5</v>
      </c>
      <c r="AG146" s="92">
        <f t="shared" si="27"/>
        <v>326.55452901143133</v>
      </c>
      <c r="AH146" s="92">
        <f t="shared" si="34"/>
        <v>-146.50336262854705</v>
      </c>
      <c r="AI146" s="92">
        <f t="shared" si="33"/>
        <v>146.50336262854705</v>
      </c>
      <c r="AJ146" s="100">
        <f t="shared" si="28"/>
        <v>-98.418886722038962</v>
      </c>
      <c r="AK146" s="100">
        <f t="shared" si="29"/>
        <v>-80.081113277961038</v>
      </c>
      <c r="AL146" s="109">
        <f t="shared" si="14"/>
        <v>-117.86355633915548</v>
      </c>
      <c r="AM146" s="110">
        <f t="shared" si="15"/>
        <v>-124.87338887622683</v>
      </c>
      <c r="AN146" s="137">
        <f t="shared" si="30"/>
        <v>117.86355633915548</v>
      </c>
      <c r="AO146" s="137">
        <f t="shared" si="30"/>
        <v>124.87338887622683</v>
      </c>
      <c r="AP146">
        <f t="shared" si="31"/>
        <v>0.3</v>
      </c>
      <c r="AQ146" s="1623"/>
      <c r="AR146" s="1623"/>
      <c r="AS146" s="1623"/>
      <c r="AT146" s="1623"/>
      <c r="AU146" s="1623"/>
      <c r="AV146" s="1623"/>
    </row>
    <row r="147" spans="1:90" ht="21" customHeight="1" thickBot="1" x14ac:dyDescent="0.35">
      <c r="B147" s="88">
        <v>10</v>
      </c>
      <c r="C147" s="20"/>
      <c r="D147" s="738">
        <v>0</v>
      </c>
      <c r="E147" s="333" t="s">
        <v>72</v>
      </c>
      <c r="F147" s="104">
        <f t="shared" si="16"/>
        <v>0.3</v>
      </c>
      <c r="G147" s="118">
        <f t="shared" si="17"/>
        <v>0.3</v>
      </c>
      <c r="H147" s="158">
        <v>190.76</v>
      </c>
      <c r="I147" s="159">
        <v>79.651040199999997</v>
      </c>
      <c r="J147" s="2">
        <f t="shared" si="18"/>
        <v>79.651040199999997</v>
      </c>
      <c r="K147" s="2">
        <f t="shared" si="5"/>
        <v>39.825520099999999</v>
      </c>
      <c r="L147" s="2">
        <f t="shared" si="6"/>
        <v>0.64045183696587837</v>
      </c>
      <c r="M147" s="2">
        <f t="shared" si="7"/>
        <v>122.17259241961095</v>
      </c>
      <c r="N147" s="2">
        <f t="shared" si="8"/>
        <v>244.3451848392219</v>
      </c>
      <c r="O147" s="2">
        <f>+C138+D139+D140+D141+D142+D143+D144+D145+D146+(D147/2)</f>
        <v>0</v>
      </c>
      <c r="P147" s="2">
        <f t="shared" si="9"/>
        <v>0</v>
      </c>
      <c r="Q147" s="2">
        <f t="shared" si="10"/>
        <v>0</v>
      </c>
      <c r="R147" s="2">
        <f t="shared" si="19"/>
        <v>146.5</v>
      </c>
      <c r="S147" s="2">
        <f t="shared" si="32"/>
        <v>146.5</v>
      </c>
      <c r="T147" s="3">
        <f t="shared" si="11"/>
        <v>146.5</v>
      </c>
      <c r="V147" s="23">
        <f t="shared" si="12"/>
        <v>0</v>
      </c>
      <c r="W147" s="81" t="str">
        <f t="shared" si="20"/>
        <v>pin in groundstacking hole</v>
      </c>
      <c r="X147" s="23">
        <f t="shared" si="35"/>
        <v>0</v>
      </c>
      <c r="Y147" s="97">
        <f>SUM(D139:D147)+$C$138</f>
        <v>0</v>
      </c>
      <c r="Z147" s="173">
        <f t="shared" si="21"/>
        <v>69.344714800000006</v>
      </c>
      <c r="AA147" s="98">
        <f t="shared" si="13"/>
        <v>0.93571960494171247</v>
      </c>
      <c r="AB147" s="174">
        <f t="shared" si="22"/>
        <v>180.0511663828843</v>
      </c>
      <c r="AC147" s="173">
        <f t="shared" si="23"/>
        <v>50.174479900000001</v>
      </c>
      <c r="AD147" s="94">
        <f t="shared" si="24"/>
        <v>0.76799833627881664</v>
      </c>
      <c r="AE147" s="174">
        <f t="shared" si="25"/>
        <v>146.50336262854705</v>
      </c>
      <c r="AF147" s="174">
        <f t="shared" si="26"/>
        <v>-204</v>
      </c>
      <c r="AG147" s="92">
        <f t="shared" si="27"/>
        <v>326.55452901143133</v>
      </c>
      <c r="AH147" s="92">
        <f t="shared" si="34"/>
        <v>-146.50336262854705</v>
      </c>
      <c r="AI147" s="92">
        <f t="shared" si="33"/>
        <v>146.50336262854705</v>
      </c>
      <c r="AJ147" s="100">
        <f t="shared" si="28"/>
        <v>-112.47872768233023</v>
      </c>
      <c r="AK147" s="100">
        <f t="shared" si="29"/>
        <v>-91.521272317669769</v>
      </c>
      <c r="AL147" s="109">
        <f t="shared" si="14"/>
        <v>-103.13061179676106</v>
      </c>
      <c r="AM147" s="110">
        <f t="shared" si="15"/>
        <v>-109.26421526669846</v>
      </c>
      <c r="AN147" s="137">
        <f t="shared" si="30"/>
        <v>103.13061179676106</v>
      </c>
      <c r="AO147" s="137">
        <f t="shared" si="30"/>
        <v>109.26421526669846</v>
      </c>
      <c r="AP147">
        <f t="shared" si="31"/>
        <v>0.3</v>
      </c>
      <c r="AQ147" s="1623"/>
      <c r="AR147" s="1623"/>
      <c r="AS147" s="1623"/>
      <c r="AT147" s="1623"/>
      <c r="AU147" s="1623"/>
    </row>
    <row r="148" spans="1:90" ht="21" customHeight="1" thickBot="1" x14ac:dyDescent="0.35">
      <c r="A148" s="9"/>
      <c r="B148" s="88">
        <v>11</v>
      </c>
      <c r="C148" s="20"/>
      <c r="D148" s="738">
        <v>0</v>
      </c>
      <c r="E148" s="333" t="s">
        <v>72</v>
      </c>
      <c r="F148" s="104">
        <f t="shared" si="16"/>
        <v>0.3</v>
      </c>
      <c r="G148" s="118">
        <f t="shared" si="17"/>
        <v>0.3</v>
      </c>
      <c r="H148" s="158">
        <v>190.76</v>
      </c>
      <c r="I148" s="159">
        <v>79.651040199999997</v>
      </c>
      <c r="J148" s="2">
        <f t="shared" si="18"/>
        <v>79.651040199999997</v>
      </c>
      <c r="K148" s="2">
        <f t="shared" si="5"/>
        <v>39.825520099999999</v>
      </c>
      <c r="L148" s="2">
        <f t="shared" si="6"/>
        <v>0.64045183696587837</v>
      </c>
      <c r="M148" s="2">
        <f t="shared" si="7"/>
        <v>122.17259241961095</v>
      </c>
      <c r="N148" s="2">
        <f t="shared" si="8"/>
        <v>244.3451848392219</v>
      </c>
      <c r="O148" s="2">
        <f>+C138+D139+D140+D141+D142+D143+D144+D145+D146+D147+(D148/2)</f>
        <v>0</v>
      </c>
      <c r="P148" s="2">
        <f t="shared" si="9"/>
        <v>0</v>
      </c>
      <c r="Q148" s="2">
        <f t="shared" si="10"/>
        <v>0</v>
      </c>
      <c r="R148" s="2">
        <f t="shared" si="19"/>
        <v>146.5</v>
      </c>
      <c r="S148" s="2">
        <f t="shared" si="32"/>
        <v>146.5</v>
      </c>
      <c r="T148" s="3">
        <f t="shared" si="11"/>
        <v>146.5</v>
      </c>
      <c r="V148" s="23">
        <f t="shared" si="12"/>
        <v>0</v>
      </c>
      <c r="W148" s="81" t="str">
        <f t="shared" si="20"/>
        <v>pin in groundstacking hole</v>
      </c>
      <c r="X148" s="23">
        <f t="shared" si="35"/>
        <v>0</v>
      </c>
      <c r="Y148" s="97">
        <f>SUM(D139:D148)+$C$138</f>
        <v>0</v>
      </c>
      <c r="Z148" s="173">
        <f t="shared" si="21"/>
        <v>69.344714800000006</v>
      </c>
      <c r="AA148" s="98">
        <f t="shared" si="13"/>
        <v>0.93571960494171247</v>
      </c>
      <c r="AB148" s="174">
        <f t="shared" si="22"/>
        <v>180.0511663828843</v>
      </c>
      <c r="AC148" s="173">
        <f t="shared" si="23"/>
        <v>50.174479900000001</v>
      </c>
      <c r="AD148" s="94">
        <f t="shared" si="24"/>
        <v>0.76799833627881664</v>
      </c>
      <c r="AE148" s="174">
        <f t="shared" si="25"/>
        <v>146.50336262854705</v>
      </c>
      <c r="AF148" s="174">
        <f t="shared" si="26"/>
        <v>-229.5</v>
      </c>
      <c r="AG148" s="92">
        <f t="shared" si="27"/>
        <v>326.55452901143133</v>
      </c>
      <c r="AH148" s="92">
        <f t="shared" si="34"/>
        <v>-146.50336262854705</v>
      </c>
      <c r="AI148" s="92">
        <f t="shared" si="33"/>
        <v>146.50336262854705</v>
      </c>
      <c r="AJ148" s="100">
        <f t="shared" si="28"/>
        <v>-126.53856864262151</v>
      </c>
      <c r="AK148" s="100">
        <f t="shared" si="29"/>
        <v>-102.96143135737849</v>
      </c>
      <c r="AL148" s="109">
        <f t="shared" si="14"/>
        <v>-91.671654930454267</v>
      </c>
      <c r="AM148" s="110">
        <f t="shared" si="15"/>
        <v>-97.12374690373197</v>
      </c>
      <c r="AN148" s="137">
        <f t="shared" si="30"/>
        <v>91.671654930454267</v>
      </c>
      <c r="AO148" s="137">
        <f t="shared" si="30"/>
        <v>97.12374690373197</v>
      </c>
      <c r="AP148">
        <f t="shared" si="31"/>
        <v>0.3</v>
      </c>
      <c r="AQ148" s="1623"/>
      <c r="AR148" s="1623"/>
      <c r="AS148" s="1623"/>
      <c r="AT148" s="1623"/>
      <c r="AU148" s="1623"/>
      <c r="AV148" s="1753"/>
    </row>
    <row r="149" spans="1:90" ht="21" customHeight="1" thickBot="1" x14ac:dyDescent="0.35">
      <c r="A149" s="9"/>
      <c r="B149" s="88">
        <v>12</v>
      </c>
      <c r="C149" s="20"/>
      <c r="D149" s="738">
        <v>0</v>
      </c>
      <c r="E149" s="333" t="s">
        <v>72</v>
      </c>
      <c r="F149" s="104">
        <f t="shared" si="16"/>
        <v>0.3</v>
      </c>
      <c r="G149" s="118">
        <f t="shared" si="17"/>
        <v>0.3</v>
      </c>
      <c r="H149" s="158">
        <v>190.76</v>
      </c>
      <c r="I149" s="159">
        <v>79.651040199999997</v>
      </c>
      <c r="J149" s="2">
        <f t="shared" si="18"/>
        <v>79.651040199999997</v>
      </c>
      <c r="K149" s="2">
        <f t="shared" si="5"/>
        <v>39.825520099999999</v>
      </c>
      <c r="L149" s="2">
        <f t="shared" si="6"/>
        <v>0.64045183696587837</v>
      </c>
      <c r="M149" s="2">
        <f t="shared" si="7"/>
        <v>122.17259241961095</v>
      </c>
      <c r="N149" s="2">
        <f t="shared" si="8"/>
        <v>244.3451848392219</v>
      </c>
      <c r="O149" s="2">
        <f>+C138+D139+D140+D141+D142+D143+D144+D145+D146+D147+D148+(D149/2)</f>
        <v>0</v>
      </c>
      <c r="P149" s="2">
        <f t="shared" si="9"/>
        <v>0</v>
      </c>
      <c r="Q149" s="2">
        <f t="shared" si="10"/>
        <v>0</v>
      </c>
      <c r="R149" s="2">
        <f t="shared" si="19"/>
        <v>146.5</v>
      </c>
      <c r="S149" s="2">
        <f t="shared" si="32"/>
        <v>146.5</v>
      </c>
      <c r="T149" s="3">
        <f t="shared" si="11"/>
        <v>146.5</v>
      </c>
      <c r="V149" s="23">
        <f t="shared" si="12"/>
        <v>0</v>
      </c>
      <c r="W149" s="81" t="str">
        <f t="shared" si="20"/>
        <v>pin in groundstacking hole</v>
      </c>
      <c r="X149" s="23">
        <f t="shared" si="35"/>
        <v>0</v>
      </c>
      <c r="Y149" s="97">
        <f>SUM(D139:D149)+$C$138</f>
        <v>0</v>
      </c>
      <c r="Z149" s="173">
        <f t="shared" si="21"/>
        <v>69.344714800000006</v>
      </c>
      <c r="AA149" s="98">
        <f t="shared" si="13"/>
        <v>0.93571960494171247</v>
      </c>
      <c r="AB149" s="174">
        <f t="shared" si="22"/>
        <v>180.0511663828843</v>
      </c>
      <c r="AC149" s="173">
        <f t="shared" si="23"/>
        <v>50.174479900000001</v>
      </c>
      <c r="AD149" s="94">
        <f t="shared" si="24"/>
        <v>0.76799833627881664</v>
      </c>
      <c r="AE149" s="174">
        <f t="shared" si="25"/>
        <v>146.50336262854705</v>
      </c>
      <c r="AF149" s="174">
        <f t="shared" si="26"/>
        <v>-255</v>
      </c>
      <c r="AG149" s="92">
        <f t="shared" si="27"/>
        <v>326.55452901143133</v>
      </c>
      <c r="AH149" s="92">
        <f t="shared" si="34"/>
        <v>-146.50336262854705</v>
      </c>
      <c r="AI149" s="92">
        <f t="shared" si="33"/>
        <v>146.50336262854705</v>
      </c>
      <c r="AJ149" s="100">
        <f t="shared" si="28"/>
        <v>-140.5984096029128</v>
      </c>
      <c r="AK149" s="100">
        <f t="shared" si="29"/>
        <v>-114.4015903970872</v>
      </c>
      <c r="AL149" s="109">
        <f t="shared" si="14"/>
        <v>-82.504489437408836</v>
      </c>
      <c r="AM149" s="110">
        <f t="shared" si="15"/>
        <v>-87.411372213358774</v>
      </c>
      <c r="AN149" s="137">
        <f t="shared" si="30"/>
        <v>82.504489437408836</v>
      </c>
      <c r="AO149" s="137">
        <f t="shared" si="30"/>
        <v>87.411372213358774</v>
      </c>
      <c r="AP149">
        <f t="shared" si="31"/>
        <v>0.3</v>
      </c>
      <c r="AX149" s="1623"/>
      <c r="AY149" s="1623"/>
      <c r="AZ149" s="1623"/>
      <c r="BA149" s="1748"/>
      <c r="BB149" s="1748"/>
      <c r="BC149" s="1748"/>
      <c r="BD149" s="1748"/>
      <c r="BE149" s="1748"/>
      <c r="BF149" s="1748"/>
      <c r="BG149" s="1749"/>
      <c r="BH149" s="1749"/>
      <c r="BI149" s="1749"/>
      <c r="BJ149" s="1749"/>
      <c r="BK149" s="1749"/>
      <c r="BL149" s="1749"/>
      <c r="BM149" s="1749"/>
      <c r="BN149" s="1749"/>
      <c r="BO149" s="1749"/>
      <c r="BP149" s="1749"/>
      <c r="BQ149" s="1749"/>
      <c r="BR149" s="1749"/>
      <c r="BS149" s="1749"/>
      <c r="BT149" s="1749"/>
      <c r="BU149" s="1750"/>
    </row>
    <row r="150" spans="1:90" ht="21" customHeight="1" thickBot="1" x14ac:dyDescent="0.5">
      <c r="B150" s="88">
        <v>13</v>
      </c>
      <c r="C150" s="20"/>
      <c r="D150" s="738">
        <v>0</v>
      </c>
      <c r="E150" s="333" t="s">
        <v>72</v>
      </c>
      <c r="F150" s="104">
        <f t="shared" si="16"/>
        <v>0.3</v>
      </c>
      <c r="G150" s="118">
        <f t="shared" si="17"/>
        <v>0.3</v>
      </c>
      <c r="H150" s="158">
        <v>190.76</v>
      </c>
      <c r="I150" s="159">
        <v>79.651040199999997</v>
      </c>
      <c r="J150" s="2">
        <f t="shared" si="18"/>
        <v>79.651040199999997</v>
      </c>
      <c r="K150" s="2">
        <f t="shared" si="5"/>
        <v>39.825520099999999</v>
      </c>
      <c r="L150" s="2">
        <f t="shared" si="6"/>
        <v>0.64045183696587837</v>
      </c>
      <c r="M150" s="2">
        <f t="shared" si="7"/>
        <v>122.17259241961095</v>
      </c>
      <c r="N150" s="2">
        <f t="shared" si="8"/>
        <v>244.3451848392219</v>
      </c>
      <c r="O150" s="2">
        <f>+C138+D139+D140+D141+D142+D143+D144+D145+D146+D147+D148+D149+(D150/2)</f>
        <v>0</v>
      </c>
      <c r="P150" s="2">
        <f t="shared" si="9"/>
        <v>0</v>
      </c>
      <c r="Q150" s="2">
        <f t="shared" si="10"/>
        <v>0</v>
      </c>
      <c r="R150" s="2">
        <f t="shared" si="19"/>
        <v>146.5</v>
      </c>
      <c r="S150" s="2">
        <f t="shared" si="32"/>
        <v>146.5</v>
      </c>
      <c r="T150" s="3">
        <f t="shared" si="11"/>
        <v>146.5</v>
      </c>
      <c r="V150" s="23">
        <f t="shared" si="12"/>
        <v>0</v>
      </c>
      <c r="W150" s="81" t="str">
        <f t="shared" si="20"/>
        <v>pin in groundstacking hole</v>
      </c>
      <c r="X150" s="23">
        <f t="shared" si="35"/>
        <v>0</v>
      </c>
      <c r="Y150" s="97">
        <f>SUM(D139:D150)+$C$138</f>
        <v>0</v>
      </c>
      <c r="Z150" s="173">
        <f t="shared" si="21"/>
        <v>69.344714800000006</v>
      </c>
      <c r="AA150" s="98">
        <f t="shared" si="13"/>
        <v>0.93571960494171247</v>
      </c>
      <c r="AB150" s="174">
        <f t="shared" si="22"/>
        <v>180.0511663828843</v>
      </c>
      <c r="AC150" s="173">
        <f t="shared" si="23"/>
        <v>50.174479900000001</v>
      </c>
      <c r="AD150" s="94">
        <f t="shared" si="24"/>
        <v>0.76799833627881664</v>
      </c>
      <c r="AE150" s="174">
        <f t="shared" si="25"/>
        <v>146.50336262854705</v>
      </c>
      <c r="AF150" s="174">
        <f t="shared" si="26"/>
        <v>-280.5</v>
      </c>
      <c r="AG150" s="92">
        <f t="shared" si="27"/>
        <v>326.55452901143133</v>
      </c>
      <c r="AH150" s="92">
        <f t="shared" si="34"/>
        <v>-146.50336262854705</v>
      </c>
      <c r="AI150" s="92">
        <f t="shared" si="33"/>
        <v>146.50336262854705</v>
      </c>
      <c r="AJ150" s="100">
        <f t="shared" si="28"/>
        <v>-154.65825056320406</v>
      </c>
      <c r="AK150" s="100">
        <f t="shared" si="29"/>
        <v>-125.84174943679592</v>
      </c>
      <c r="AL150" s="109">
        <f t="shared" si="14"/>
        <v>-75.004081306735316</v>
      </c>
      <c r="AM150" s="110">
        <f t="shared" si="15"/>
        <v>-79.464883830326158</v>
      </c>
      <c r="AN150" s="137">
        <f t="shared" si="30"/>
        <v>75.004081306735316</v>
      </c>
      <c r="AO150" s="137">
        <f t="shared" si="30"/>
        <v>79.464883830326158</v>
      </c>
      <c r="AP150">
        <f t="shared" si="31"/>
        <v>0.3</v>
      </c>
      <c r="AX150" s="1754"/>
      <c r="AY150" s="1754"/>
      <c r="AZ150" s="1754"/>
      <c r="BA150" s="1748"/>
      <c r="BB150" s="1748"/>
      <c r="BC150" s="1748"/>
      <c r="BD150" s="1748"/>
      <c r="BE150" s="1748"/>
      <c r="BF150" s="1748"/>
      <c r="BG150" s="1749"/>
      <c r="BH150" s="1749"/>
      <c r="BI150" s="1749"/>
      <c r="BJ150" s="1749"/>
      <c r="BK150" s="1749"/>
      <c r="BL150" s="1749"/>
      <c r="BM150" s="1749"/>
      <c r="BN150" s="1749"/>
      <c r="BO150" s="1749"/>
      <c r="BP150" s="1749"/>
      <c r="BQ150" s="1749"/>
      <c r="BR150" s="1749"/>
      <c r="BS150" s="1749"/>
      <c r="BT150" s="1749"/>
      <c r="BU150" s="1750"/>
    </row>
    <row r="151" spans="1:90" ht="21" customHeight="1" thickBot="1" x14ac:dyDescent="0.5">
      <c r="B151" s="88">
        <v>14</v>
      </c>
      <c r="C151" s="20"/>
      <c r="D151" s="738">
        <v>0</v>
      </c>
      <c r="E151" s="333" t="s">
        <v>72</v>
      </c>
      <c r="F151" s="104">
        <f t="shared" si="16"/>
        <v>0.3</v>
      </c>
      <c r="G151" s="118">
        <f t="shared" si="17"/>
        <v>0.3</v>
      </c>
      <c r="H151" s="158">
        <v>190.76</v>
      </c>
      <c r="I151" s="159">
        <v>79.651040199999997</v>
      </c>
      <c r="J151" s="2">
        <f t="shared" si="18"/>
        <v>79.651040199999997</v>
      </c>
      <c r="K151" s="2">
        <f t="shared" si="5"/>
        <v>39.825520099999999</v>
      </c>
      <c r="L151" s="2">
        <f t="shared" si="6"/>
        <v>0.64045183696587837</v>
      </c>
      <c r="M151" s="2">
        <f t="shared" si="7"/>
        <v>122.17259241961095</v>
      </c>
      <c r="N151" s="2">
        <f t="shared" si="8"/>
        <v>244.3451848392219</v>
      </c>
      <c r="O151" s="2">
        <f>+C138+D139+D140+D141+D142+D143+D144+D145+D146+D147+D148+D149+D150+(D151/2)</f>
        <v>0</v>
      </c>
      <c r="P151" s="2">
        <f t="shared" si="9"/>
        <v>0</v>
      </c>
      <c r="Q151" s="2">
        <f t="shared" si="10"/>
        <v>0</v>
      </c>
      <c r="R151" s="2">
        <f t="shared" si="19"/>
        <v>146.5</v>
      </c>
      <c r="S151" s="2">
        <f t="shared" si="32"/>
        <v>146.5</v>
      </c>
      <c r="T151" s="3">
        <f t="shared" si="11"/>
        <v>146.5</v>
      </c>
      <c r="V151" s="23">
        <f t="shared" si="12"/>
        <v>0</v>
      </c>
      <c r="W151" s="81" t="str">
        <f t="shared" si="20"/>
        <v>pin in groundstacking hole</v>
      </c>
      <c r="X151" s="23">
        <f t="shared" si="35"/>
        <v>0</v>
      </c>
      <c r="Y151" s="97">
        <f>SUM(D139:D151)+$C$138</f>
        <v>0</v>
      </c>
      <c r="Z151" s="173">
        <f t="shared" si="21"/>
        <v>69.344714800000006</v>
      </c>
      <c r="AA151" s="98">
        <f t="shared" si="13"/>
        <v>0.93571960494171247</v>
      </c>
      <c r="AB151" s="174">
        <f t="shared" si="22"/>
        <v>180.0511663828843</v>
      </c>
      <c r="AC151" s="173">
        <f t="shared" si="23"/>
        <v>50.174479900000001</v>
      </c>
      <c r="AD151" s="94">
        <f t="shared" si="24"/>
        <v>0.76799833627881664</v>
      </c>
      <c r="AE151" s="174">
        <f t="shared" si="25"/>
        <v>146.50336262854705</v>
      </c>
      <c r="AF151" s="174">
        <f t="shared" si="26"/>
        <v>-306</v>
      </c>
      <c r="AG151" s="92">
        <f t="shared" si="27"/>
        <v>326.55452901143133</v>
      </c>
      <c r="AH151" s="92">
        <f t="shared" si="34"/>
        <v>-146.50336262854705</v>
      </c>
      <c r="AI151" s="92">
        <f t="shared" si="33"/>
        <v>146.50336262854705</v>
      </c>
      <c r="AJ151" s="100">
        <f t="shared" si="28"/>
        <v>-168.71809152349536</v>
      </c>
      <c r="AK151" s="100">
        <f t="shared" si="29"/>
        <v>-137.28190847650464</v>
      </c>
      <c r="AL151" s="109">
        <f t="shared" si="14"/>
        <v>-68.753741197840696</v>
      </c>
      <c r="AM151" s="110">
        <f t="shared" si="15"/>
        <v>-72.842810177798981</v>
      </c>
      <c r="AN151" s="137">
        <f t="shared" si="30"/>
        <v>68.753741197840696</v>
      </c>
      <c r="AO151" s="137">
        <f t="shared" si="30"/>
        <v>72.842810177798981</v>
      </c>
      <c r="AP151">
        <f t="shared" si="31"/>
        <v>0.3</v>
      </c>
      <c r="AX151" s="1754"/>
      <c r="AY151" s="1754"/>
      <c r="AZ151" s="1754"/>
      <c r="BA151" s="1748"/>
      <c r="BB151" s="1748"/>
      <c r="BC151" s="1748"/>
      <c r="BD151" s="1748"/>
      <c r="BE151" s="1748"/>
      <c r="BF151" s="1748"/>
      <c r="BG151" s="1749"/>
      <c r="BH151" s="1749"/>
      <c r="BI151" s="1749"/>
      <c r="BJ151" s="1749"/>
      <c r="BK151" s="1749"/>
      <c r="BL151" s="1749"/>
      <c r="BM151" s="1749"/>
      <c r="BN151" s="1749"/>
      <c r="BO151" s="1749"/>
      <c r="BP151" s="1749"/>
      <c r="BQ151" s="1749"/>
      <c r="BR151" s="1749"/>
      <c r="BS151" s="1749"/>
      <c r="BT151" s="1749"/>
      <c r="BU151" s="1750"/>
    </row>
    <row r="152" spans="1:90" ht="21" customHeight="1" thickBot="1" x14ac:dyDescent="0.5">
      <c r="B152" s="88">
        <v>15</v>
      </c>
      <c r="C152" s="20"/>
      <c r="D152" s="738">
        <v>0</v>
      </c>
      <c r="E152" s="333" t="s">
        <v>72</v>
      </c>
      <c r="F152" s="104">
        <f t="shared" si="16"/>
        <v>0.3</v>
      </c>
      <c r="G152" s="118">
        <f t="shared" si="17"/>
        <v>0.3</v>
      </c>
      <c r="H152" s="158">
        <v>190.76</v>
      </c>
      <c r="I152" s="159">
        <v>79.651040199999997</v>
      </c>
      <c r="J152" s="2">
        <f t="shared" si="18"/>
        <v>79.651040199999997</v>
      </c>
      <c r="K152" s="2">
        <f t="shared" si="5"/>
        <v>39.825520099999999</v>
      </c>
      <c r="L152" s="2">
        <f t="shared" si="6"/>
        <v>0.64045183696587837</v>
      </c>
      <c r="M152" s="2">
        <f t="shared" si="7"/>
        <v>122.17259241961095</v>
      </c>
      <c r="N152" s="2">
        <f t="shared" si="8"/>
        <v>244.3451848392219</v>
      </c>
      <c r="O152" s="2">
        <f>+C138+D139+D140+D141+D142+D143+D144+D145+D146+D147+D148+D149+D150+D151+(D152/2)</f>
        <v>0</v>
      </c>
      <c r="P152" s="2">
        <f t="shared" si="9"/>
        <v>0</v>
      </c>
      <c r="Q152" s="2">
        <f t="shared" si="10"/>
        <v>0</v>
      </c>
      <c r="R152" s="2">
        <f t="shared" si="19"/>
        <v>146.5</v>
      </c>
      <c r="S152" s="2">
        <f t="shared" si="32"/>
        <v>146.5</v>
      </c>
      <c r="T152" s="3">
        <f t="shared" si="11"/>
        <v>146.5</v>
      </c>
      <c r="V152" s="23">
        <f t="shared" si="12"/>
        <v>0</v>
      </c>
      <c r="W152" s="81" t="str">
        <f t="shared" si="20"/>
        <v>pin in groundstacking hole</v>
      </c>
      <c r="X152" s="23">
        <f t="shared" si="35"/>
        <v>0</v>
      </c>
      <c r="Y152" s="97">
        <f>SUM(D139:D152)+$C$138</f>
        <v>0</v>
      </c>
      <c r="Z152" s="173">
        <f t="shared" si="21"/>
        <v>69.344714800000006</v>
      </c>
      <c r="AA152" s="98">
        <f t="shared" si="13"/>
        <v>0.93571960494171247</v>
      </c>
      <c r="AB152" s="174">
        <f t="shared" si="22"/>
        <v>180.0511663828843</v>
      </c>
      <c r="AC152" s="173">
        <f t="shared" si="23"/>
        <v>50.174479900000001</v>
      </c>
      <c r="AD152" s="94">
        <f t="shared" si="24"/>
        <v>0.76799833627881664</v>
      </c>
      <c r="AE152" s="174">
        <f t="shared" si="25"/>
        <v>146.50336262854705</v>
      </c>
      <c r="AF152" s="174">
        <f t="shared" si="26"/>
        <v>-331.5</v>
      </c>
      <c r="AG152" s="92">
        <f t="shared" si="27"/>
        <v>326.55452901143133</v>
      </c>
      <c r="AH152" s="92">
        <f t="shared" si="34"/>
        <v>-146.50336262854705</v>
      </c>
      <c r="AI152" s="92">
        <f t="shared" si="33"/>
        <v>146.50336262854705</v>
      </c>
      <c r="AJ152" s="100">
        <f t="shared" si="28"/>
        <v>-182.77793248378663</v>
      </c>
      <c r="AK152" s="100">
        <f t="shared" si="29"/>
        <v>-148.72206751621337</v>
      </c>
      <c r="AL152" s="109">
        <f t="shared" si="14"/>
        <v>-63.464991874929879</v>
      </c>
      <c r="AM152" s="110">
        <f t="shared" si="15"/>
        <v>-67.239517087199047</v>
      </c>
      <c r="AN152" s="137">
        <f t="shared" si="30"/>
        <v>63.464991874929879</v>
      </c>
      <c r="AO152" s="137">
        <f t="shared" si="30"/>
        <v>67.239517087199047</v>
      </c>
      <c r="AP152">
        <f t="shared" si="31"/>
        <v>0.3</v>
      </c>
      <c r="AX152" s="1754"/>
      <c r="AY152" s="1754"/>
      <c r="AZ152" s="1754"/>
      <c r="BA152" s="1748"/>
      <c r="BB152" s="1748"/>
      <c r="BC152" s="1748"/>
      <c r="BD152" s="1748"/>
      <c r="BE152" s="1748"/>
      <c r="BF152" s="1748"/>
      <c r="BG152" s="1748"/>
      <c r="BH152" s="1748"/>
      <c r="BI152" s="1748"/>
      <c r="BJ152" s="1748"/>
      <c r="BK152" s="1748"/>
      <c r="BL152" s="1748"/>
      <c r="BM152" s="1748"/>
      <c r="BN152" s="1748"/>
      <c r="BO152" s="1748"/>
      <c r="BP152" s="1748"/>
      <c r="BQ152" s="1748"/>
      <c r="BR152" s="1748"/>
      <c r="BS152" s="1748"/>
      <c r="BT152" s="1748"/>
      <c r="BU152" s="1748"/>
      <c r="BV152" s="1748"/>
      <c r="BW152" s="1748"/>
      <c r="BX152" s="1748"/>
      <c r="BY152" s="1748"/>
      <c r="BZ152" s="1748"/>
      <c r="CA152" s="1748"/>
      <c r="CB152" s="1748"/>
      <c r="CC152" s="1748"/>
      <c r="CD152" s="1748"/>
      <c r="CE152" s="1748"/>
      <c r="CF152" s="1748"/>
      <c r="CG152" s="1748"/>
      <c r="CH152" s="1748"/>
      <c r="CI152" s="1748"/>
      <c r="CJ152" s="1748"/>
      <c r="CK152" s="1748"/>
      <c r="CL152" s="1748"/>
    </row>
    <row r="153" spans="1:90" ht="21" customHeight="1" thickBot="1" x14ac:dyDescent="0.5">
      <c r="B153" s="88">
        <v>16</v>
      </c>
      <c r="C153" s="20"/>
      <c r="D153" s="738">
        <v>0</v>
      </c>
      <c r="E153" s="333" t="s">
        <v>72</v>
      </c>
      <c r="F153" s="104">
        <v>0</v>
      </c>
      <c r="G153" s="118">
        <f>+D153+AP153</f>
        <v>0.3</v>
      </c>
      <c r="H153" s="158">
        <v>190.76</v>
      </c>
      <c r="I153" s="159">
        <v>79.651040199999997</v>
      </c>
      <c r="J153" s="2">
        <f t="shared" si="18"/>
        <v>79.651040199999997</v>
      </c>
      <c r="K153" s="2">
        <f t="shared" si="5"/>
        <v>39.825520099999999</v>
      </c>
      <c r="L153" s="2">
        <f t="shared" si="6"/>
        <v>0.64045183696587837</v>
      </c>
      <c r="M153" s="2">
        <f t="shared" si="7"/>
        <v>122.17259241961095</v>
      </c>
      <c r="N153" s="2">
        <f t="shared" si="8"/>
        <v>244.3451848392219</v>
      </c>
      <c r="O153" s="2">
        <f>+C138+D139+D140+D141+D142+D143+D144+D145+D146+D147+D148+D149+D150+D151+D152+(D153/2)</f>
        <v>0</v>
      </c>
      <c r="P153" s="2">
        <f t="shared" si="9"/>
        <v>0</v>
      </c>
      <c r="Q153" s="2">
        <f t="shared" si="10"/>
        <v>0</v>
      </c>
      <c r="R153" s="2">
        <f t="shared" si="19"/>
        <v>146.5</v>
      </c>
      <c r="S153" s="2">
        <f t="shared" si="32"/>
        <v>146.5</v>
      </c>
      <c r="T153" s="3">
        <f t="shared" si="11"/>
        <v>146.5</v>
      </c>
      <c r="V153" s="23">
        <f t="shared" si="12"/>
        <v>0</v>
      </c>
      <c r="W153" s="81" t="str">
        <f t="shared" si="20"/>
        <v>pin in groundstacking hole</v>
      </c>
      <c r="X153" s="23">
        <f t="shared" si="35"/>
        <v>0</v>
      </c>
      <c r="Y153" s="97">
        <f>SUM(D139:D153)+$C$138</f>
        <v>0</v>
      </c>
      <c r="Z153" s="173">
        <f t="shared" si="21"/>
        <v>69.344714800000006</v>
      </c>
      <c r="AA153" s="98">
        <f t="shared" si="13"/>
        <v>0.93571960494171247</v>
      </c>
      <c r="AB153" s="174">
        <f t="shared" si="22"/>
        <v>180.0511663828843</v>
      </c>
      <c r="AC153" s="173">
        <f t="shared" si="23"/>
        <v>50.174479900000001</v>
      </c>
      <c r="AD153" s="94">
        <f t="shared" si="24"/>
        <v>0.76799833627881664</v>
      </c>
      <c r="AE153" s="174">
        <f t="shared" si="25"/>
        <v>146.50336262854705</v>
      </c>
      <c r="AF153" s="174">
        <f t="shared" si="26"/>
        <v>-357</v>
      </c>
      <c r="AG153" s="92">
        <f t="shared" si="27"/>
        <v>326.55452901143133</v>
      </c>
      <c r="AH153" s="92">
        <f t="shared" si="34"/>
        <v>-146.50336262854705</v>
      </c>
      <c r="AI153" s="92">
        <f t="shared" si="33"/>
        <v>146.50336262854705</v>
      </c>
      <c r="AJ153" s="100">
        <f t="shared" si="28"/>
        <v>-196.83777344407792</v>
      </c>
      <c r="AK153" s="100">
        <f t="shared" si="29"/>
        <v>-160.16222655592208</v>
      </c>
      <c r="AL153" s="109">
        <f t="shared" si="14"/>
        <v>-58.93177816957774</v>
      </c>
      <c r="AM153" s="110">
        <f t="shared" si="15"/>
        <v>-62.436694438113413</v>
      </c>
      <c r="AN153" s="137">
        <f t="shared" si="30"/>
        <v>58.93177816957774</v>
      </c>
      <c r="AO153" s="137">
        <f t="shared" si="30"/>
        <v>62.436694438113413</v>
      </c>
      <c r="AP153">
        <f t="shared" si="31"/>
        <v>0.3</v>
      </c>
      <c r="AX153" s="1754"/>
      <c r="AY153" s="1754"/>
      <c r="AZ153" s="1754"/>
      <c r="BT153" s="1755"/>
      <c r="BU153" s="1755"/>
      <c r="BV153" s="1755"/>
      <c r="BW153" s="1755"/>
      <c r="BX153" s="1755"/>
      <c r="BY153" s="1755"/>
    </row>
    <row r="154" spans="1:90" ht="21" customHeight="1" thickBot="1" x14ac:dyDescent="0.5">
      <c r="B154" s="88">
        <v>17</v>
      </c>
      <c r="C154" s="20"/>
      <c r="D154" s="738">
        <v>0</v>
      </c>
      <c r="E154" s="333" t="s">
        <v>72</v>
      </c>
      <c r="F154" s="104">
        <f t="shared" si="16"/>
        <v>0.3</v>
      </c>
      <c r="G154" s="118">
        <f t="shared" si="17"/>
        <v>0.3</v>
      </c>
      <c r="H154" s="158">
        <v>190.76</v>
      </c>
      <c r="I154" s="159">
        <v>79.651040199999997</v>
      </c>
      <c r="J154" s="2">
        <f t="shared" si="18"/>
        <v>79.651040199999997</v>
      </c>
      <c r="K154" s="2">
        <f t="shared" si="5"/>
        <v>39.825520099999999</v>
      </c>
      <c r="L154" s="2">
        <f t="shared" si="6"/>
        <v>0.64045183696587837</v>
      </c>
      <c r="M154" s="2">
        <f t="shared" si="7"/>
        <v>122.17259241961095</v>
      </c>
      <c r="N154" s="2">
        <f t="shared" si="8"/>
        <v>244.3451848392219</v>
      </c>
      <c r="O154" s="2">
        <f>+C138+D139+D140+D141+D142+D143+D144+D145+D146+D147+D148+D149+D150+D151+D152+D153+(D154/2)</f>
        <v>0</v>
      </c>
      <c r="P154" s="2">
        <f t="shared" si="9"/>
        <v>0</v>
      </c>
      <c r="Q154" s="2">
        <f t="shared" si="10"/>
        <v>0</v>
      </c>
      <c r="R154" s="2">
        <f t="shared" si="19"/>
        <v>146.5</v>
      </c>
      <c r="S154" s="2">
        <f t="shared" si="32"/>
        <v>146.5</v>
      </c>
      <c r="T154" s="3">
        <f t="shared" si="11"/>
        <v>146.5</v>
      </c>
      <c r="V154" s="23">
        <f t="shared" si="12"/>
        <v>0</v>
      </c>
      <c r="W154" s="81" t="str">
        <f t="shared" si="20"/>
        <v>pin in groundstacking hole</v>
      </c>
      <c r="X154" s="23">
        <f t="shared" si="35"/>
        <v>0</v>
      </c>
      <c r="Y154" s="97">
        <f>SUM(D139:D154)+$C$138</f>
        <v>0</v>
      </c>
      <c r="Z154" s="173">
        <f t="shared" si="21"/>
        <v>69.344714800000006</v>
      </c>
      <c r="AA154" s="98">
        <f t="shared" si="13"/>
        <v>0.93571960494171247</v>
      </c>
      <c r="AB154" s="174">
        <f t="shared" si="22"/>
        <v>180.0511663828843</v>
      </c>
      <c r="AC154" s="173">
        <f t="shared" si="23"/>
        <v>50.174479900000001</v>
      </c>
      <c r="AD154" s="94">
        <f t="shared" si="24"/>
        <v>0.76799833627881664</v>
      </c>
      <c r="AE154" s="174">
        <f t="shared" si="25"/>
        <v>146.50336262854705</v>
      </c>
      <c r="AF154" s="174">
        <f t="shared" si="26"/>
        <v>-382.5</v>
      </c>
      <c r="AG154" s="92">
        <f t="shared" si="27"/>
        <v>326.55452901143133</v>
      </c>
      <c r="AH154" s="92">
        <f t="shared" si="34"/>
        <v>-146.50336262854705</v>
      </c>
      <c r="AI154" s="92">
        <f t="shared" si="33"/>
        <v>146.50336262854705</v>
      </c>
      <c r="AJ154" s="100">
        <f t="shared" si="28"/>
        <v>-210.89761440436919</v>
      </c>
      <c r="AK154" s="100">
        <f t="shared" si="29"/>
        <v>-171.60238559563081</v>
      </c>
      <c r="AL154" s="109">
        <f t="shared" si="14"/>
        <v>-55.002992958272557</v>
      </c>
      <c r="AM154" s="110">
        <f t="shared" si="15"/>
        <v>-58.27424814223918</v>
      </c>
      <c r="AN154" s="137">
        <f t="shared" si="30"/>
        <v>55.002992958272557</v>
      </c>
      <c r="AO154" s="137">
        <f t="shared" si="30"/>
        <v>58.27424814223918</v>
      </c>
      <c r="AP154">
        <f t="shared" si="31"/>
        <v>0.3</v>
      </c>
      <c r="AX154" s="1754"/>
      <c r="AY154" s="1754"/>
      <c r="AZ154" s="1754"/>
    </row>
    <row r="155" spans="1:90" ht="21" customHeight="1" thickBot="1" x14ac:dyDescent="0.5">
      <c r="B155" s="88">
        <v>18</v>
      </c>
      <c r="C155" s="20"/>
      <c r="D155" s="738">
        <v>0</v>
      </c>
      <c r="E155" s="333" t="s">
        <v>72</v>
      </c>
      <c r="F155" s="104">
        <f t="shared" si="16"/>
        <v>0.3</v>
      </c>
      <c r="G155" s="118">
        <f t="shared" si="17"/>
        <v>0.3</v>
      </c>
      <c r="H155" s="158">
        <v>190.76</v>
      </c>
      <c r="I155" s="159">
        <v>79.651040199999997</v>
      </c>
      <c r="J155" s="2">
        <f t="shared" si="18"/>
        <v>79.651040199999997</v>
      </c>
      <c r="K155" s="2">
        <f t="shared" si="5"/>
        <v>39.825520099999999</v>
      </c>
      <c r="L155" s="2">
        <f t="shared" si="6"/>
        <v>0.64045183696587837</v>
      </c>
      <c r="M155" s="2">
        <f t="shared" si="7"/>
        <v>122.17259241961095</v>
      </c>
      <c r="N155" s="2">
        <f t="shared" si="8"/>
        <v>244.3451848392219</v>
      </c>
      <c r="O155" s="2">
        <f>+C138+D139+D140+D141+D142+D143+D144+D145+D146+D147+D148+D149+D150+D151+D152+D153+D154+(D155/2)</f>
        <v>0</v>
      </c>
      <c r="P155" s="2">
        <f t="shared" si="9"/>
        <v>0</v>
      </c>
      <c r="Q155" s="2">
        <f t="shared" si="10"/>
        <v>0</v>
      </c>
      <c r="R155" s="2">
        <f t="shared" si="19"/>
        <v>146.5</v>
      </c>
      <c r="S155" s="2">
        <f t="shared" si="32"/>
        <v>146.5</v>
      </c>
      <c r="T155" s="3">
        <f t="shared" si="11"/>
        <v>146.5</v>
      </c>
      <c r="V155" s="23">
        <f t="shared" si="12"/>
        <v>0</v>
      </c>
      <c r="W155" s="81" t="str">
        <f t="shared" si="20"/>
        <v>pin in groundstacking hole</v>
      </c>
      <c r="X155" s="23">
        <f t="shared" si="35"/>
        <v>0</v>
      </c>
      <c r="Y155" s="97">
        <f>SUM(D139:D155)+$C$138</f>
        <v>0</v>
      </c>
      <c r="Z155" s="173">
        <f t="shared" si="21"/>
        <v>69.344714800000006</v>
      </c>
      <c r="AA155" s="98">
        <f t="shared" si="13"/>
        <v>0.93571960494171247</v>
      </c>
      <c r="AB155" s="174">
        <f t="shared" si="22"/>
        <v>180.0511663828843</v>
      </c>
      <c r="AC155" s="173">
        <f t="shared" si="23"/>
        <v>50.174479900000001</v>
      </c>
      <c r="AD155" s="94">
        <f t="shared" si="24"/>
        <v>0.76799833627881664</v>
      </c>
      <c r="AE155" s="174">
        <f t="shared" si="25"/>
        <v>146.50336262854705</v>
      </c>
      <c r="AF155" s="174">
        <f t="shared" si="26"/>
        <v>-408</v>
      </c>
      <c r="AG155" s="92">
        <f t="shared" si="27"/>
        <v>326.55452901143133</v>
      </c>
      <c r="AH155" s="92">
        <f t="shared" si="34"/>
        <v>-146.50336262854705</v>
      </c>
      <c r="AI155" s="92">
        <f t="shared" si="33"/>
        <v>146.50336262854705</v>
      </c>
      <c r="AJ155" s="100">
        <f t="shared" si="28"/>
        <v>-224.95745536466046</v>
      </c>
      <c r="AK155" s="100">
        <f t="shared" si="29"/>
        <v>-183.04254463533954</v>
      </c>
      <c r="AL155" s="109">
        <f t="shared" si="14"/>
        <v>-51.565305898380529</v>
      </c>
      <c r="AM155" s="110">
        <f t="shared" si="15"/>
        <v>-54.632107633349229</v>
      </c>
      <c r="AN155" s="137">
        <f t="shared" si="30"/>
        <v>51.565305898380529</v>
      </c>
      <c r="AO155" s="137">
        <f t="shared" si="30"/>
        <v>54.632107633349229</v>
      </c>
      <c r="AP155">
        <f t="shared" si="31"/>
        <v>0.3</v>
      </c>
      <c r="AX155" s="1754"/>
      <c r="AY155" s="1754"/>
      <c r="AZ155" s="1754"/>
    </row>
    <row r="156" spans="1:90" ht="21" customHeight="1" thickBot="1" x14ac:dyDescent="0.5">
      <c r="B156" s="88">
        <v>19</v>
      </c>
      <c r="D156" s="738">
        <v>0</v>
      </c>
      <c r="E156" s="333" t="s">
        <v>72</v>
      </c>
      <c r="F156" s="104">
        <f t="shared" si="16"/>
        <v>0.3</v>
      </c>
      <c r="G156" s="118">
        <f t="shared" si="17"/>
        <v>0.3</v>
      </c>
      <c r="H156" s="158">
        <v>190.76</v>
      </c>
      <c r="I156" s="159">
        <v>79.651040199999997</v>
      </c>
      <c r="J156" s="2">
        <f t="shared" si="18"/>
        <v>79.651040199999997</v>
      </c>
      <c r="K156" s="2">
        <f t="shared" si="5"/>
        <v>39.825520099999999</v>
      </c>
      <c r="L156" s="2">
        <f t="shared" si="6"/>
        <v>0.64045183696587837</v>
      </c>
      <c r="M156" s="2">
        <f t="shared" si="7"/>
        <v>122.17259241961095</v>
      </c>
      <c r="N156" s="2">
        <f t="shared" si="8"/>
        <v>244.3451848392219</v>
      </c>
      <c r="O156" s="2">
        <f t="shared" ref="O156:O161" si="36">+C139+D140+D141+D142+D143+D144+D145+D146+D147+D148+D149+D150+D151+D152+D153+D154+D155+(D156/2)</f>
        <v>0</v>
      </c>
      <c r="P156" s="2">
        <f t="shared" si="9"/>
        <v>0</v>
      </c>
      <c r="Q156" s="2">
        <f t="shared" si="10"/>
        <v>0</v>
      </c>
      <c r="R156" s="2">
        <f t="shared" si="19"/>
        <v>146.5</v>
      </c>
      <c r="S156" s="2">
        <f t="shared" si="32"/>
        <v>146.5</v>
      </c>
      <c r="T156" s="3">
        <f t="shared" si="11"/>
        <v>146.5</v>
      </c>
      <c r="V156" s="23">
        <f t="shared" si="12"/>
        <v>0</v>
      </c>
      <c r="W156" s="81" t="str">
        <f t="shared" si="20"/>
        <v>pin in groundstacking hole</v>
      </c>
      <c r="X156" s="23">
        <f t="shared" si="35"/>
        <v>0</v>
      </c>
      <c r="Y156" s="97">
        <f>SUM(D139:D156)+$C$138</f>
        <v>0</v>
      </c>
      <c r="Z156" s="173">
        <f t="shared" si="21"/>
        <v>69.344714800000006</v>
      </c>
      <c r="AA156" s="98">
        <f t="shared" si="13"/>
        <v>0.93571960494171247</v>
      </c>
      <c r="AB156" s="174">
        <f t="shared" si="22"/>
        <v>180.0511663828843</v>
      </c>
      <c r="AC156" s="173">
        <f t="shared" si="23"/>
        <v>50.174479900000001</v>
      </c>
      <c r="AD156" s="94">
        <f t="shared" si="24"/>
        <v>0.76799833627881664</v>
      </c>
      <c r="AE156" s="174">
        <f t="shared" si="25"/>
        <v>146.50336262854705</v>
      </c>
      <c r="AF156" s="174">
        <f t="shared" si="26"/>
        <v>-433.5</v>
      </c>
      <c r="AG156" s="92">
        <f t="shared" si="27"/>
        <v>326.55452901143133</v>
      </c>
      <c r="AH156" s="92">
        <f t="shared" si="34"/>
        <v>-146.50336262854705</v>
      </c>
      <c r="AI156" s="92">
        <f t="shared" si="33"/>
        <v>146.50336262854705</v>
      </c>
      <c r="AJ156" s="100">
        <f t="shared" si="28"/>
        <v>-239.01729632495176</v>
      </c>
      <c r="AK156" s="100">
        <f t="shared" si="29"/>
        <v>-194.48270367504824</v>
      </c>
      <c r="AL156" s="109">
        <f t="shared" si="14"/>
        <v>-48.532052610240491</v>
      </c>
      <c r="AM156" s="110">
        <f t="shared" si="15"/>
        <v>-51.418454243152219</v>
      </c>
      <c r="AN156" s="137">
        <f t="shared" ref="AN156:AO161" si="37">ABS(AL156)</f>
        <v>48.532052610240491</v>
      </c>
      <c r="AO156" s="137">
        <f t="shared" si="37"/>
        <v>51.418454243152219</v>
      </c>
      <c r="AP156">
        <f t="shared" si="31"/>
        <v>0.3</v>
      </c>
      <c r="AX156" s="1754"/>
      <c r="AY156" s="1754"/>
      <c r="AZ156" s="1754"/>
    </row>
    <row r="157" spans="1:90" ht="21" customHeight="1" thickBot="1" x14ac:dyDescent="0.5">
      <c r="B157" s="88">
        <v>20</v>
      </c>
      <c r="D157" s="738">
        <v>0</v>
      </c>
      <c r="E157" s="333" t="s">
        <v>72</v>
      </c>
      <c r="F157" s="104">
        <f t="shared" si="16"/>
        <v>0.3</v>
      </c>
      <c r="G157" s="118">
        <f t="shared" si="17"/>
        <v>0.3</v>
      </c>
      <c r="H157" s="158">
        <v>190.76</v>
      </c>
      <c r="I157" s="159">
        <v>79.651040199999997</v>
      </c>
      <c r="J157" s="2">
        <f t="shared" si="18"/>
        <v>79.651040199999997</v>
      </c>
      <c r="K157" s="2">
        <f t="shared" si="5"/>
        <v>39.825520099999999</v>
      </c>
      <c r="L157" s="2">
        <f t="shared" si="6"/>
        <v>0.64045183696587837</v>
      </c>
      <c r="M157" s="2">
        <f t="shared" si="7"/>
        <v>122.17259241961095</v>
      </c>
      <c r="N157" s="2">
        <f t="shared" si="8"/>
        <v>244.3451848392219</v>
      </c>
      <c r="O157" s="2">
        <f t="shared" si="36"/>
        <v>0</v>
      </c>
      <c r="P157" s="2">
        <f t="shared" si="9"/>
        <v>0</v>
      </c>
      <c r="Q157" s="2">
        <f t="shared" si="10"/>
        <v>0</v>
      </c>
      <c r="R157" s="2">
        <f t="shared" si="19"/>
        <v>146.5</v>
      </c>
      <c r="S157" s="2">
        <f t="shared" si="32"/>
        <v>146.5</v>
      </c>
      <c r="T157" s="3">
        <f t="shared" si="11"/>
        <v>146.5</v>
      </c>
      <c r="V157" s="23">
        <f t="shared" si="12"/>
        <v>0</v>
      </c>
      <c r="W157" s="81" t="str">
        <f t="shared" si="20"/>
        <v>pin in groundstacking hole</v>
      </c>
      <c r="X157" s="23">
        <f t="shared" si="35"/>
        <v>0</v>
      </c>
      <c r="Y157" s="97">
        <f>SUM(D139:D157)+$C$138</f>
        <v>0</v>
      </c>
      <c r="Z157" s="173">
        <f t="shared" si="21"/>
        <v>69.344714800000006</v>
      </c>
      <c r="AA157" s="98">
        <f t="shared" si="13"/>
        <v>0.93571960494171247</v>
      </c>
      <c r="AB157" s="174">
        <f t="shared" si="22"/>
        <v>180.0511663828843</v>
      </c>
      <c r="AC157" s="173">
        <f t="shared" si="23"/>
        <v>50.174479900000001</v>
      </c>
      <c r="AD157" s="94">
        <f t="shared" si="24"/>
        <v>0.76799833627881664</v>
      </c>
      <c r="AE157" s="174">
        <f t="shared" si="25"/>
        <v>146.50336262854705</v>
      </c>
      <c r="AF157" s="174">
        <f t="shared" si="26"/>
        <v>-459</v>
      </c>
      <c r="AG157" s="92">
        <f t="shared" si="27"/>
        <v>326.55452901143133</v>
      </c>
      <c r="AH157" s="92">
        <f t="shared" si="34"/>
        <v>-146.50336262854705</v>
      </c>
      <c r="AI157" s="92">
        <f t="shared" si="33"/>
        <v>146.50336262854705</v>
      </c>
      <c r="AJ157" s="100">
        <f t="shared" si="28"/>
        <v>-253.07713728524303</v>
      </c>
      <c r="AK157" s="100">
        <f t="shared" si="29"/>
        <v>-205.92286271475697</v>
      </c>
      <c r="AL157" s="109">
        <f t="shared" si="14"/>
        <v>-45.835827465227133</v>
      </c>
      <c r="AM157" s="110">
        <f t="shared" si="15"/>
        <v>-48.561873451865985</v>
      </c>
      <c r="AN157" s="137">
        <f t="shared" si="37"/>
        <v>45.835827465227133</v>
      </c>
      <c r="AO157" s="137">
        <f t="shared" si="37"/>
        <v>48.561873451865985</v>
      </c>
      <c r="AP157">
        <f t="shared" si="31"/>
        <v>0.3</v>
      </c>
      <c r="AX157" s="1754"/>
      <c r="AY157" s="1754"/>
      <c r="AZ157" s="1754"/>
      <c r="BA157" s="1551"/>
    </row>
    <row r="158" spans="1:90" ht="21" customHeight="1" thickBot="1" x14ac:dyDescent="0.5">
      <c r="B158" s="88">
        <v>21</v>
      </c>
      <c r="D158" s="738">
        <v>0</v>
      </c>
      <c r="E158" s="333" t="s">
        <v>72</v>
      </c>
      <c r="F158" s="104">
        <f t="shared" si="16"/>
        <v>0.3</v>
      </c>
      <c r="G158" s="118">
        <f t="shared" si="17"/>
        <v>0.3</v>
      </c>
      <c r="H158" s="158">
        <v>190.76</v>
      </c>
      <c r="I158" s="159">
        <v>79.651040199999997</v>
      </c>
      <c r="J158" s="2">
        <f t="shared" si="18"/>
        <v>79.651040199999997</v>
      </c>
      <c r="K158" s="2">
        <f t="shared" si="5"/>
        <v>39.825520099999999</v>
      </c>
      <c r="L158" s="2">
        <f t="shared" si="6"/>
        <v>0.64045183696587837</v>
      </c>
      <c r="M158" s="2">
        <f t="shared" si="7"/>
        <v>122.17259241961095</v>
      </c>
      <c r="N158" s="2">
        <f t="shared" si="8"/>
        <v>244.3451848392219</v>
      </c>
      <c r="O158" s="2">
        <f t="shared" si="36"/>
        <v>0</v>
      </c>
      <c r="P158" s="2">
        <f t="shared" si="9"/>
        <v>0</v>
      </c>
      <c r="Q158" s="2">
        <f t="shared" si="10"/>
        <v>0</v>
      </c>
      <c r="R158" s="2">
        <f t="shared" si="19"/>
        <v>146.5</v>
      </c>
      <c r="S158" s="2">
        <f t="shared" si="32"/>
        <v>146.5</v>
      </c>
      <c r="T158" s="3">
        <f t="shared" si="11"/>
        <v>146.5</v>
      </c>
      <c r="V158" s="23">
        <f t="shared" si="12"/>
        <v>0</v>
      </c>
      <c r="W158" s="81" t="str">
        <f t="shared" si="20"/>
        <v>pin in groundstacking hole</v>
      </c>
      <c r="X158" s="23">
        <f t="shared" si="35"/>
        <v>0</v>
      </c>
      <c r="Y158" s="97">
        <f>SUM(D139:D158)+$C$138</f>
        <v>0</v>
      </c>
      <c r="Z158" s="173">
        <f t="shared" si="21"/>
        <v>69.344714800000006</v>
      </c>
      <c r="AA158" s="98">
        <f t="shared" si="13"/>
        <v>0.93571960494171247</v>
      </c>
      <c r="AB158" s="174">
        <f t="shared" si="22"/>
        <v>180.0511663828843</v>
      </c>
      <c r="AC158" s="173">
        <f t="shared" si="23"/>
        <v>50.174479900000001</v>
      </c>
      <c r="AD158" s="94">
        <f t="shared" si="24"/>
        <v>0.76799833627881664</v>
      </c>
      <c r="AE158" s="174">
        <f t="shared" si="25"/>
        <v>146.50336262854705</v>
      </c>
      <c r="AF158" s="174">
        <f t="shared" si="26"/>
        <v>-484.5</v>
      </c>
      <c r="AG158" s="92">
        <f t="shared" si="27"/>
        <v>326.55452901143133</v>
      </c>
      <c r="AH158" s="92">
        <f t="shared" si="34"/>
        <v>-146.50336262854705</v>
      </c>
      <c r="AI158" s="92">
        <f t="shared" si="33"/>
        <v>146.50336262854705</v>
      </c>
      <c r="AJ158" s="100">
        <f t="shared" si="28"/>
        <v>-267.13697824553429</v>
      </c>
      <c r="AK158" s="100">
        <f t="shared" si="29"/>
        <v>-217.36302175446571</v>
      </c>
      <c r="AL158" s="109">
        <f t="shared" si="14"/>
        <v>-43.423415493373078</v>
      </c>
      <c r="AM158" s="110">
        <f t="shared" si="15"/>
        <v>-46.005985375451978</v>
      </c>
      <c r="AN158" s="137">
        <f t="shared" si="37"/>
        <v>43.423415493373078</v>
      </c>
      <c r="AO158" s="137">
        <f t="shared" si="37"/>
        <v>46.005985375451978</v>
      </c>
      <c r="AP158">
        <f t="shared" si="31"/>
        <v>0.3</v>
      </c>
      <c r="AX158" s="1754"/>
      <c r="AY158" s="1754"/>
      <c r="AZ158" s="1754"/>
      <c r="BA158" s="1551"/>
    </row>
    <row r="159" spans="1:90" ht="21" customHeight="1" thickBot="1" x14ac:dyDescent="0.5">
      <c r="B159" s="88">
        <v>22</v>
      </c>
      <c r="D159" s="738">
        <v>0</v>
      </c>
      <c r="E159" s="333" t="s">
        <v>72</v>
      </c>
      <c r="F159" s="104">
        <f t="shared" si="16"/>
        <v>0.3</v>
      </c>
      <c r="G159" s="118">
        <f t="shared" si="17"/>
        <v>0.3</v>
      </c>
      <c r="H159" s="158">
        <v>190.76</v>
      </c>
      <c r="I159" s="159">
        <v>79.651040199999997</v>
      </c>
      <c r="J159" s="2">
        <f t="shared" si="18"/>
        <v>79.651040199999997</v>
      </c>
      <c r="K159" s="2">
        <f t="shared" si="5"/>
        <v>39.825520099999999</v>
      </c>
      <c r="L159" s="2">
        <f t="shared" si="6"/>
        <v>0.64045183696587837</v>
      </c>
      <c r="M159" s="2">
        <f t="shared" si="7"/>
        <v>122.17259241961095</v>
      </c>
      <c r="N159" s="2">
        <f t="shared" si="8"/>
        <v>244.3451848392219</v>
      </c>
      <c r="O159" s="2">
        <f t="shared" si="36"/>
        <v>0</v>
      </c>
      <c r="P159" s="2">
        <f t="shared" si="9"/>
        <v>0</v>
      </c>
      <c r="Q159" s="2">
        <f t="shared" si="10"/>
        <v>0</v>
      </c>
      <c r="R159" s="2">
        <f t="shared" si="19"/>
        <v>146.5</v>
      </c>
      <c r="S159" s="2">
        <f t="shared" si="32"/>
        <v>146.5</v>
      </c>
      <c r="T159" s="3">
        <f t="shared" si="11"/>
        <v>146.5</v>
      </c>
      <c r="V159" s="23">
        <f t="shared" si="12"/>
        <v>0</v>
      </c>
      <c r="W159" s="81" t="str">
        <f t="shared" si="20"/>
        <v>pin in groundstacking hole</v>
      </c>
      <c r="X159" s="23">
        <f t="shared" si="35"/>
        <v>0</v>
      </c>
      <c r="Y159" s="97">
        <f>SUM(D139:D159)+$C$138</f>
        <v>0</v>
      </c>
      <c r="Z159" s="173">
        <f t="shared" si="21"/>
        <v>69.344714800000006</v>
      </c>
      <c r="AA159" s="98">
        <f t="shared" si="13"/>
        <v>0.93571960494171247</v>
      </c>
      <c r="AB159" s="174">
        <f t="shared" si="22"/>
        <v>180.0511663828843</v>
      </c>
      <c r="AC159" s="173">
        <f t="shared" si="23"/>
        <v>50.174479900000001</v>
      </c>
      <c r="AD159" s="94">
        <f t="shared" si="24"/>
        <v>0.76799833627881664</v>
      </c>
      <c r="AE159" s="174">
        <f t="shared" si="25"/>
        <v>146.50336262854705</v>
      </c>
      <c r="AF159" s="174">
        <f t="shared" si="26"/>
        <v>-510</v>
      </c>
      <c r="AG159" s="92">
        <f t="shared" si="27"/>
        <v>326.55452901143133</v>
      </c>
      <c r="AH159" s="92">
        <f t="shared" si="34"/>
        <v>-146.50336262854705</v>
      </c>
      <c r="AI159" s="92">
        <f t="shared" si="33"/>
        <v>146.50336262854705</v>
      </c>
      <c r="AJ159" s="100">
        <f t="shared" si="28"/>
        <v>-281.19681920582559</v>
      </c>
      <c r="AK159" s="100">
        <f t="shared" si="29"/>
        <v>-228.80318079417441</v>
      </c>
      <c r="AL159" s="109">
        <f t="shared" si="14"/>
        <v>-41.252244718704418</v>
      </c>
      <c r="AM159" s="110">
        <f t="shared" si="15"/>
        <v>-43.705686106679387</v>
      </c>
      <c r="AN159" s="137">
        <f t="shared" si="37"/>
        <v>41.252244718704418</v>
      </c>
      <c r="AO159" s="137">
        <f t="shared" si="37"/>
        <v>43.705686106679387</v>
      </c>
      <c r="AP159">
        <f t="shared" si="31"/>
        <v>0.3</v>
      </c>
      <c r="AX159" s="1754"/>
      <c r="AY159" s="1754"/>
      <c r="AZ159" s="1754"/>
      <c r="BA159" s="1551"/>
    </row>
    <row r="160" spans="1:90" ht="21" customHeight="1" thickBot="1" x14ac:dyDescent="0.5">
      <c r="B160" s="88">
        <v>23</v>
      </c>
      <c r="D160" s="738">
        <v>0</v>
      </c>
      <c r="E160" s="333" t="s">
        <v>72</v>
      </c>
      <c r="F160" s="104">
        <f t="shared" si="16"/>
        <v>0.3</v>
      </c>
      <c r="G160" s="118">
        <f t="shared" si="17"/>
        <v>0.3</v>
      </c>
      <c r="H160" s="158">
        <v>190.76</v>
      </c>
      <c r="I160" s="159">
        <v>79.651040199999997</v>
      </c>
      <c r="J160" s="2">
        <f t="shared" si="18"/>
        <v>79.651040199999997</v>
      </c>
      <c r="K160" s="2">
        <f t="shared" si="5"/>
        <v>39.825520099999999</v>
      </c>
      <c r="L160" s="2">
        <f t="shared" si="6"/>
        <v>0.64045183696587837</v>
      </c>
      <c r="M160" s="2">
        <f t="shared" si="7"/>
        <v>122.17259241961095</v>
      </c>
      <c r="N160" s="2">
        <f t="shared" si="8"/>
        <v>244.3451848392219</v>
      </c>
      <c r="O160" s="2">
        <f t="shared" si="36"/>
        <v>0</v>
      </c>
      <c r="P160" s="2">
        <f t="shared" si="9"/>
        <v>0</v>
      </c>
      <c r="Q160" s="2">
        <f t="shared" si="10"/>
        <v>0</v>
      </c>
      <c r="R160" s="2">
        <f t="shared" si="19"/>
        <v>146.5</v>
      </c>
      <c r="S160" s="2">
        <f t="shared" si="32"/>
        <v>146.5</v>
      </c>
      <c r="T160" s="3">
        <f t="shared" si="11"/>
        <v>146.5</v>
      </c>
      <c r="V160" s="23">
        <f t="shared" si="12"/>
        <v>0</v>
      </c>
      <c r="W160" s="81" t="str">
        <f t="shared" si="20"/>
        <v>pin in groundstacking hole</v>
      </c>
      <c r="X160" s="23">
        <f t="shared" si="35"/>
        <v>0</v>
      </c>
      <c r="Y160" s="97">
        <f>SUM(D139:D160)+$C$138</f>
        <v>0</v>
      </c>
      <c r="Z160" s="173">
        <f t="shared" si="21"/>
        <v>69.344714800000006</v>
      </c>
      <c r="AA160" s="98">
        <f t="shared" si="13"/>
        <v>0.93571960494171247</v>
      </c>
      <c r="AB160" s="174">
        <f t="shared" si="22"/>
        <v>180.0511663828843</v>
      </c>
      <c r="AC160" s="173">
        <f t="shared" si="23"/>
        <v>50.174479900000001</v>
      </c>
      <c r="AD160" s="94">
        <f t="shared" si="24"/>
        <v>0.76799833627881664</v>
      </c>
      <c r="AE160" s="174">
        <f t="shared" si="25"/>
        <v>146.50336262854705</v>
      </c>
      <c r="AF160" s="174">
        <f t="shared" si="26"/>
        <v>-535.5</v>
      </c>
      <c r="AG160" s="92">
        <f t="shared" si="27"/>
        <v>326.55452901143133</v>
      </c>
      <c r="AH160" s="92">
        <f t="shared" si="34"/>
        <v>-146.50336262854705</v>
      </c>
      <c r="AI160" s="92">
        <f t="shared" si="33"/>
        <v>146.50336262854705</v>
      </c>
      <c r="AJ160" s="100">
        <f t="shared" si="28"/>
        <v>-295.25666016611689</v>
      </c>
      <c r="AK160" s="100">
        <f t="shared" si="29"/>
        <v>-240.24333983388314</v>
      </c>
      <c r="AL160" s="109">
        <f t="shared" si="14"/>
        <v>-39.287852113051827</v>
      </c>
      <c r="AM160" s="110">
        <f t="shared" si="15"/>
        <v>-41.624462958742271</v>
      </c>
      <c r="AN160" s="137">
        <f t="shared" si="37"/>
        <v>39.287852113051827</v>
      </c>
      <c r="AO160" s="137">
        <f t="shared" si="37"/>
        <v>41.624462958742271</v>
      </c>
      <c r="AP160">
        <f t="shared" si="31"/>
        <v>0.3</v>
      </c>
      <c r="AX160" s="1754"/>
      <c r="AY160" s="1754"/>
      <c r="AZ160" s="1754"/>
      <c r="BA160" s="1551"/>
    </row>
    <row r="161" spans="2:53" ht="21" customHeight="1" thickBot="1" x14ac:dyDescent="0.5">
      <c r="B161" s="88">
        <v>24</v>
      </c>
      <c r="D161" s="738">
        <v>0</v>
      </c>
      <c r="E161" s="333" t="s">
        <v>72</v>
      </c>
      <c r="F161" s="104">
        <f t="shared" si="16"/>
        <v>0.3</v>
      </c>
      <c r="G161" s="118">
        <f t="shared" si="17"/>
        <v>0.3</v>
      </c>
      <c r="H161" s="158">
        <v>190.76</v>
      </c>
      <c r="I161" s="159">
        <v>79.651040199999997</v>
      </c>
      <c r="J161" s="2">
        <f t="shared" si="18"/>
        <v>79.651040199999997</v>
      </c>
      <c r="K161" s="2">
        <f t="shared" si="5"/>
        <v>39.825520099999999</v>
      </c>
      <c r="L161" s="2">
        <f t="shared" si="6"/>
        <v>0.64045183696587837</v>
      </c>
      <c r="M161" s="2">
        <f t="shared" si="7"/>
        <v>122.17259241961095</v>
      </c>
      <c r="N161" s="2">
        <f t="shared" si="8"/>
        <v>244.3451848392219</v>
      </c>
      <c r="O161" s="2">
        <f t="shared" si="36"/>
        <v>0</v>
      </c>
      <c r="P161" s="2">
        <f t="shared" si="9"/>
        <v>0</v>
      </c>
      <c r="Q161" s="2">
        <f t="shared" si="10"/>
        <v>0</v>
      </c>
      <c r="R161" s="2">
        <f t="shared" si="19"/>
        <v>146.5</v>
      </c>
      <c r="S161" s="2">
        <f t="shared" si="32"/>
        <v>146.5</v>
      </c>
      <c r="T161" s="3">
        <f t="shared" si="11"/>
        <v>146.5</v>
      </c>
      <c r="V161" s="23">
        <f t="shared" si="12"/>
        <v>0</v>
      </c>
      <c r="W161" s="81" t="str">
        <f t="shared" si="20"/>
        <v>pin in groundstacking hole</v>
      </c>
      <c r="X161" s="23">
        <f t="shared" si="35"/>
        <v>0</v>
      </c>
      <c r="Y161" s="97">
        <f>SUM(D139:D161)+$C$138</f>
        <v>0</v>
      </c>
      <c r="Z161" s="173">
        <f t="shared" si="21"/>
        <v>69.344714800000006</v>
      </c>
      <c r="AA161" s="98">
        <f t="shared" si="13"/>
        <v>0.93571960494171247</v>
      </c>
      <c r="AB161" s="174">
        <f t="shared" si="22"/>
        <v>180.0511663828843</v>
      </c>
      <c r="AC161" s="173">
        <f t="shared" si="23"/>
        <v>50.174479900000001</v>
      </c>
      <c r="AD161" s="94">
        <f t="shared" si="24"/>
        <v>0.76799833627881664</v>
      </c>
      <c r="AE161" s="174">
        <f t="shared" si="25"/>
        <v>146.50336262854705</v>
      </c>
      <c r="AF161" s="174">
        <f t="shared" si="26"/>
        <v>-561</v>
      </c>
      <c r="AG161" s="92">
        <f t="shared" si="27"/>
        <v>326.55452901143133</v>
      </c>
      <c r="AH161" s="92">
        <f t="shared" si="34"/>
        <v>-146.50336262854705</v>
      </c>
      <c r="AI161" s="92">
        <f t="shared" si="33"/>
        <v>146.50336262854705</v>
      </c>
      <c r="AJ161" s="100">
        <f t="shared" si="28"/>
        <v>-309.31650112640813</v>
      </c>
      <c r="AK161" s="100">
        <f t="shared" si="29"/>
        <v>-251.68349887359184</v>
      </c>
      <c r="AL161" s="109">
        <f t="shared" si="14"/>
        <v>-37.502040653367658</v>
      </c>
      <c r="AM161" s="110">
        <f t="shared" si="15"/>
        <v>-39.732441915163079</v>
      </c>
      <c r="AN161" s="137">
        <f t="shared" si="37"/>
        <v>37.502040653367658</v>
      </c>
      <c r="AO161" s="137">
        <f t="shared" si="37"/>
        <v>39.732441915163079</v>
      </c>
      <c r="AP161">
        <f t="shared" si="31"/>
        <v>0.3</v>
      </c>
      <c r="AX161" s="1754"/>
      <c r="AY161" s="1754"/>
      <c r="AZ161" s="1754"/>
      <c r="BA161" s="1551"/>
    </row>
    <row r="162" spans="2:53" ht="21" customHeight="1" x14ac:dyDescent="0.45">
      <c r="AX162" s="1754"/>
      <c r="AY162" s="1754"/>
      <c r="AZ162" s="1754"/>
      <c r="BA162" s="1551"/>
    </row>
    <row r="163" spans="2:53" ht="18.600000000000001" x14ac:dyDescent="0.45">
      <c r="AX163" s="1754"/>
      <c r="AY163" s="1754"/>
      <c r="AZ163" s="1754"/>
      <c r="BA163" s="1551"/>
    </row>
    <row r="164" spans="2:53" ht="18.600000000000001" x14ac:dyDescent="0.45">
      <c r="AX164" s="1754"/>
      <c r="AY164" s="1754"/>
      <c r="AZ164" s="1754"/>
    </row>
    <row r="165" spans="2:53" ht="18.600000000000001" x14ac:dyDescent="0.45">
      <c r="AX165" s="1754"/>
      <c r="AY165" s="1754"/>
      <c r="AZ165" s="1754"/>
    </row>
    <row r="166" spans="2:53" ht="18.600000000000001" x14ac:dyDescent="0.45">
      <c r="AX166" s="1754"/>
      <c r="AY166" s="1754"/>
      <c r="AZ166" s="1754"/>
    </row>
    <row r="167" spans="2:53" ht="18.600000000000001" x14ac:dyDescent="0.45">
      <c r="AX167" s="1754"/>
      <c r="AY167" s="1754"/>
      <c r="AZ167" s="1754"/>
    </row>
    <row r="168" spans="2:53" ht="18.600000000000001" x14ac:dyDescent="0.45">
      <c r="AX168" s="1754"/>
      <c r="AY168" s="1754"/>
      <c r="AZ168" s="1754"/>
    </row>
    <row r="169" spans="2:53" ht="18.600000000000001" x14ac:dyDescent="0.45">
      <c r="AX169" s="1754"/>
      <c r="AY169" s="1754"/>
      <c r="AZ169" s="1754"/>
    </row>
    <row r="170" spans="2:53" ht="18.600000000000001" x14ac:dyDescent="0.45">
      <c r="AX170" s="1754"/>
      <c r="AY170" s="1754"/>
      <c r="AZ170" s="1754"/>
    </row>
    <row r="171" spans="2:53" ht="18.600000000000001" x14ac:dyDescent="0.45">
      <c r="AX171" s="1754"/>
      <c r="AY171" s="1754"/>
      <c r="AZ171" s="1754"/>
    </row>
    <row r="172" spans="2:53" ht="18.600000000000001" x14ac:dyDescent="0.45">
      <c r="AX172" s="1754"/>
      <c r="AY172" s="1754"/>
      <c r="AZ172" s="1754"/>
    </row>
    <row r="173" spans="2:53" ht="18.600000000000001" x14ac:dyDescent="0.45">
      <c r="AX173" s="1754"/>
      <c r="AY173" s="1754"/>
      <c r="AZ173" s="1754"/>
    </row>
    <row r="174" spans="2:53" ht="18.600000000000001" x14ac:dyDescent="0.45">
      <c r="AX174" s="1754"/>
      <c r="AY174" s="1754"/>
      <c r="AZ174" s="1754"/>
    </row>
    <row r="175" spans="2:53" ht="18.600000000000001" x14ac:dyDescent="0.45">
      <c r="AX175" s="1754"/>
      <c r="AY175" s="1754"/>
      <c r="AZ175" s="1754"/>
    </row>
    <row r="176" spans="2:53" ht="18.600000000000001" x14ac:dyDescent="0.45">
      <c r="AX176" s="1754"/>
      <c r="AY176" s="1754"/>
      <c r="AZ176" s="1754"/>
    </row>
    <row r="177" spans="35:52" ht="18.600000000000001" x14ac:dyDescent="0.45">
      <c r="AX177" s="1754"/>
      <c r="AY177" s="1754"/>
      <c r="AZ177" s="1754"/>
    </row>
    <row r="178" spans="35:52" ht="18.600000000000001" x14ac:dyDescent="0.45">
      <c r="AX178" s="1754"/>
      <c r="AY178" s="1754"/>
      <c r="AZ178" s="1754"/>
    </row>
    <row r="179" spans="35:52" ht="18.600000000000001" x14ac:dyDescent="0.45">
      <c r="AX179" s="1754"/>
      <c r="AY179" s="1754"/>
      <c r="AZ179" s="1754"/>
    </row>
    <row r="180" spans="35:52" ht="18.600000000000001" x14ac:dyDescent="0.45">
      <c r="AX180" s="1754"/>
      <c r="AY180" s="1754"/>
      <c r="AZ180" s="1754"/>
    </row>
    <row r="181" spans="35:52" ht="18.600000000000001" x14ac:dyDescent="0.45">
      <c r="AX181" s="1754"/>
      <c r="AY181" s="1754"/>
      <c r="AZ181" s="1754"/>
    </row>
    <row r="182" spans="35:52" ht="18.600000000000001" x14ac:dyDescent="0.45">
      <c r="AX182" s="1754"/>
      <c r="AY182" s="1754"/>
      <c r="AZ182" s="1754"/>
    </row>
    <row r="184" spans="35:52" hidden="1" x14ac:dyDescent="0.3"/>
    <row r="185" spans="35:52" hidden="1" x14ac:dyDescent="0.3"/>
    <row r="186" spans="35:52" ht="17.399999999999999" hidden="1" x14ac:dyDescent="0.3">
      <c r="AI186" s="1623"/>
      <c r="AJ186" s="1623"/>
      <c r="AK186" s="1756" t="s">
        <v>235</v>
      </c>
      <c r="AL186" s="1623"/>
      <c r="AM186" s="1623"/>
      <c r="AN186" s="1623"/>
      <c r="AO186" s="1623"/>
      <c r="AP186" s="1623"/>
    </row>
    <row r="187" spans="35:52" ht="19.2" hidden="1" x14ac:dyDescent="0.45">
      <c r="AI187" s="1757">
        <v>1</v>
      </c>
      <c r="AJ187" s="1758">
        <v>-473</v>
      </c>
      <c r="AK187" s="1759">
        <f>+COS(($B$132*-1)*3.14159265358979/180)*AJ187</f>
        <v>-473</v>
      </c>
      <c r="AL187" s="1760">
        <f t="shared" ref="AL187:AL223" si="38">+AK187-D$3</f>
        <v>-571.99998629739707</v>
      </c>
      <c r="AM187" s="1761">
        <f t="shared" ref="AM187:AM223" si="39">ABS(AL187)</f>
        <v>571.99998629739707</v>
      </c>
      <c r="AN187" s="1762">
        <f>MIN(AM187:AM223)</f>
        <v>12.999986297397044</v>
      </c>
      <c r="AO187" s="1761" t="b">
        <f>IF(AN187=AM187,AI187)</f>
        <v>0</v>
      </c>
      <c r="AP187" s="1763">
        <v>1</v>
      </c>
    </row>
    <row r="188" spans="35:52" ht="19.2" hidden="1" x14ac:dyDescent="0.45">
      <c r="AI188" s="1757">
        <v>2</v>
      </c>
      <c r="AJ188" s="1758">
        <f>+AJ187+43</f>
        <v>-430</v>
      </c>
      <c r="AK188" s="1764">
        <f>+AK187+$E$2</f>
        <v>-430</v>
      </c>
      <c r="AL188" s="1760">
        <f t="shared" si="38"/>
        <v>-528.99998629739707</v>
      </c>
      <c r="AM188" s="1761">
        <f t="shared" si="39"/>
        <v>528.99998629739707</v>
      </c>
      <c r="AN188" s="1761">
        <f>+AN187</f>
        <v>12.999986297397044</v>
      </c>
      <c r="AO188" s="1761" t="b">
        <f t="shared" ref="AO188:AO223" si="40">IF(AN188=AM188,AI188)</f>
        <v>0</v>
      </c>
      <c r="AP188" s="1763">
        <v>2</v>
      </c>
    </row>
    <row r="189" spans="35:52" ht="19.2" hidden="1" x14ac:dyDescent="0.45">
      <c r="AI189" s="1757">
        <v>3</v>
      </c>
      <c r="AJ189" s="1758">
        <f t="shared" ref="AJ189:AJ223" si="41">+AJ188+43</f>
        <v>-387</v>
      </c>
      <c r="AK189" s="1764">
        <f t="shared" ref="AK189:AK223" si="42">+AK188+$E$2</f>
        <v>-387</v>
      </c>
      <c r="AL189" s="1760">
        <f t="shared" si="38"/>
        <v>-485.99998629739707</v>
      </c>
      <c r="AM189" s="1761">
        <f t="shared" si="39"/>
        <v>485.99998629739707</v>
      </c>
      <c r="AN189" s="1761">
        <f t="shared" ref="AN189:AN223" si="43">+AN188</f>
        <v>12.999986297397044</v>
      </c>
      <c r="AO189" s="1761" t="b">
        <f t="shared" si="40"/>
        <v>0</v>
      </c>
      <c r="AP189" s="1763">
        <v>3</v>
      </c>
    </row>
    <row r="190" spans="35:52" ht="19.2" hidden="1" x14ac:dyDescent="0.45">
      <c r="AI190" s="1757">
        <v>4</v>
      </c>
      <c r="AJ190" s="1758">
        <f t="shared" si="41"/>
        <v>-344</v>
      </c>
      <c r="AK190" s="1764">
        <f t="shared" si="42"/>
        <v>-344</v>
      </c>
      <c r="AL190" s="1760">
        <f t="shared" si="38"/>
        <v>-442.99998629739707</v>
      </c>
      <c r="AM190" s="1761">
        <f t="shared" si="39"/>
        <v>442.99998629739707</v>
      </c>
      <c r="AN190" s="1761">
        <f t="shared" si="43"/>
        <v>12.999986297397044</v>
      </c>
      <c r="AO190" s="1761" t="b">
        <f t="shared" si="40"/>
        <v>0</v>
      </c>
      <c r="AP190" s="1763">
        <v>4</v>
      </c>
    </row>
    <row r="191" spans="35:52" ht="19.2" hidden="1" x14ac:dyDescent="0.45">
      <c r="AI191" s="1757">
        <v>5</v>
      </c>
      <c r="AJ191" s="1758">
        <f t="shared" si="41"/>
        <v>-301</v>
      </c>
      <c r="AK191" s="1764">
        <f t="shared" si="42"/>
        <v>-301</v>
      </c>
      <c r="AL191" s="1760">
        <f t="shared" si="38"/>
        <v>-399.99998629739707</v>
      </c>
      <c r="AM191" s="1761">
        <f t="shared" si="39"/>
        <v>399.99998629739707</v>
      </c>
      <c r="AN191" s="1761">
        <f t="shared" si="43"/>
        <v>12.999986297397044</v>
      </c>
      <c r="AO191" s="1761" t="b">
        <f t="shared" si="40"/>
        <v>0</v>
      </c>
      <c r="AP191" s="1763">
        <v>5</v>
      </c>
    </row>
    <row r="192" spans="35:52" ht="19.2" hidden="1" x14ac:dyDescent="0.45">
      <c r="AI192" s="1757">
        <v>6</v>
      </c>
      <c r="AJ192" s="1758">
        <f t="shared" si="41"/>
        <v>-258</v>
      </c>
      <c r="AK192" s="1764">
        <f t="shared" si="42"/>
        <v>-258</v>
      </c>
      <c r="AL192" s="1760">
        <f t="shared" si="38"/>
        <v>-356.99998629739707</v>
      </c>
      <c r="AM192" s="1761">
        <f t="shared" si="39"/>
        <v>356.99998629739707</v>
      </c>
      <c r="AN192" s="1761">
        <f t="shared" si="43"/>
        <v>12.999986297397044</v>
      </c>
      <c r="AO192" s="1761" t="b">
        <f t="shared" si="40"/>
        <v>0</v>
      </c>
      <c r="AP192" s="1763">
        <v>6</v>
      </c>
    </row>
    <row r="193" spans="35:78" ht="19.2" hidden="1" x14ac:dyDescent="0.45">
      <c r="AI193" s="1757">
        <v>7</v>
      </c>
      <c r="AJ193" s="1758">
        <f t="shared" si="41"/>
        <v>-215</v>
      </c>
      <c r="AK193" s="1764">
        <f t="shared" si="42"/>
        <v>-215</v>
      </c>
      <c r="AL193" s="1760">
        <f t="shared" si="38"/>
        <v>-313.99998629739707</v>
      </c>
      <c r="AM193" s="1761">
        <f t="shared" si="39"/>
        <v>313.99998629739707</v>
      </c>
      <c r="AN193" s="1761">
        <f t="shared" si="43"/>
        <v>12.999986297397044</v>
      </c>
      <c r="AO193" s="1761" t="b">
        <f t="shared" si="40"/>
        <v>0</v>
      </c>
      <c r="AP193" s="1763">
        <v>7</v>
      </c>
    </row>
    <row r="194" spans="35:78" ht="19.2" hidden="1" x14ac:dyDescent="0.45">
      <c r="AI194" s="1757">
        <v>8</v>
      </c>
      <c r="AJ194" s="1758">
        <f t="shared" si="41"/>
        <v>-172</v>
      </c>
      <c r="AK194" s="1764">
        <f t="shared" si="42"/>
        <v>-172</v>
      </c>
      <c r="AL194" s="1760">
        <f t="shared" si="38"/>
        <v>-270.99998629739707</v>
      </c>
      <c r="AM194" s="1761">
        <f t="shared" si="39"/>
        <v>270.99998629739707</v>
      </c>
      <c r="AN194" s="1761">
        <f t="shared" si="43"/>
        <v>12.999986297397044</v>
      </c>
      <c r="AO194" s="1761" t="b">
        <f t="shared" si="40"/>
        <v>0</v>
      </c>
      <c r="AP194" s="1763">
        <v>8</v>
      </c>
    </row>
    <row r="195" spans="35:78" ht="19.2" hidden="1" x14ac:dyDescent="0.45">
      <c r="AI195" s="1757">
        <v>9</v>
      </c>
      <c r="AJ195" s="1758">
        <f t="shared" si="41"/>
        <v>-129</v>
      </c>
      <c r="AK195" s="1764">
        <f t="shared" si="42"/>
        <v>-129</v>
      </c>
      <c r="AL195" s="1760">
        <f t="shared" si="38"/>
        <v>-227.99998629739704</v>
      </c>
      <c r="AM195" s="1761">
        <f t="shared" si="39"/>
        <v>227.99998629739704</v>
      </c>
      <c r="AN195" s="1761">
        <f t="shared" si="43"/>
        <v>12.999986297397044</v>
      </c>
      <c r="AO195" s="1761" t="b">
        <f t="shared" si="40"/>
        <v>0</v>
      </c>
      <c r="AP195" s="1763">
        <v>9</v>
      </c>
      <c r="BA195" s="1765"/>
      <c r="BB195" s="1765"/>
      <c r="BC195" s="1765"/>
      <c r="BD195" s="1765"/>
      <c r="BE195" s="1765"/>
      <c r="BF195" s="1765"/>
      <c r="BG195" s="2010"/>
      <c r="BH195" s="2010"/>
      <c r="BI195" s="2010"/>
      <c r="BJ195" s="1748"/>
      <c r="BK195" s="1750"/>
      <c r="BL195" s="1750"/>
      <c r="BM195" s="1750"/>
      <c r="BN195" s="1750"/>
      <c r="BO195" s="1750"/>
      <c r="BP195" s="1750"/>
      <c r="BQ195" s="1750"/>
      <c r="BR195" s="1750"/>
      <c r="BS195" s="1750"/>
      <c r="BT195" s="1750"/>
      <c r="BU195" s="1750"/>
      <c r="BV195" s="1750"/>
      <c r="BW195" s="1750"/>
      <c r="BX195" s="1750"/>
      <c r="BY195" s="1750"/>
      <c r="BZ195" s="1750"/>
    </row>
    <row r="196" spans="35:78" ht="19.2" hidden="1" x14ac:dyDescent="0.45">
      <c r="AI196" s="1757">
        <v>10</v>
      </c>
      <c r="AJ196" s="1758">
        <f t="shared" si="41"/>
        <v>-86</v>
      </c>
      <c r="AK196" s="1764">
        <f t="shared" si="42"/>
        <v>-86</v>
      </c>
      <c r="AL196" s="1760">
        <f t="shared" si="38"/>
        <v>-184.99998629739704</v>
      </c>
      <c r="AM196" s="1761">
        <f t="shared" si="39"/>
        <v>184.99998629739704</v>
      </c>
      <c r="AN196" s="1761">
        <f t="shared" si="43"/>
        <v>12.999986297397044</v>
      </c>
      <c r="AO196" s="1761" t="b">
        <f t="shared" si="40"/>
        <v>0</v>
      </c>
      <c r="AP196" s="1763">
        <v>10</v>
      </c>
      <c r="BA196" s="1750"/>
      <c r="BB196" s="1750"/>
      <c r="BC196" s="1750"/>
      <c r="BD196" s="1750"/>
      <c r="BE196" s="1750"/>
      <c r="BF196" s="1750"/>
      <c r="BG196" s="1766"/>
      <c r="BH196" s="1750"/>
      <c r="BI196" s="1750"/>
      <c r="BJ196" s="1750"/>
      <c r="BK196" s="1750"/>
      <c r="BL196" s="1750"/>
      <c r="BM196" s="1750"/>
      <c r="BN196" s="1750"/>
      <c r="BO196" s="1750"/>
      <c r="BP196" s="1750"/>
      <c r="BQ196" s="1750"/>
      <c r="BR196" s="1750"/>
      <c r="BS196" s="1750"/>
      <c r="BT196" s="1766"/>
      <c r="BU196" s="1750"/>
      <c r="BV196" s="1750"/>
      <c r="BW196" s="1750"/>
      <c r="BX196" s="1750"/>
      <c r="BY196" s="1750"/>
      <c r="BZ196" s="1750"/>
    </row>
    <row r="197" spans="35:78" ht="19.2" hidden="1" x14ac:dyDescent="0.45">
      <c r="AI197" s="1757">
        <v>11</v>
      </c>
      <c r="AJ197" s="1758">
        <f t="shared" si="41"/>
        <v>-43</v>
      </c>
      <c r="AK197" s="1764">
        <f t="shared" si="42"/>
        <v>-43</v>
      </c>
      <c r="AL197" s="1760">
        <f t="shared" si="38"/>
        <v>-141.99998629739704</v>
      </c>
      <c r="AM197" s="1761">
        <f t="shared" si="39"/>
        <v>141.99998629739704</v>
      </c>
      <c r="AN197" s="1761">
        <f t="shared" si="43"/>
        <v>12.999986297397044</v>
      </c>
      <c r="AO197" s="1761" t="b">
        <f t="shared" si="40"/>
        <v>0</v>
      </c>
      <c r="AP197" s="1763">
        <v>11</v>
      </c>
      <c r="BA197" s="1767"/>
      <c r="BB197" s="1767"/>
      <c r="BC197" s="1767"/>
      <c r="BD197" s="1767"/>
      <c r="BE197" s="1767"/>
      <c r="BF197" s="1767"/>
      <c r="BG197" s="2011"/>
      <c r="BH197" s="2011"/>
      <c r="BI197" s="1750"/>
      <c r="BJ197" s="1750"/>
      <c r="BK197" s="1750"/>
      <c r="BL197" s="1750"/>
      <c r="BM197" s="1750"/>
      <c r="BN197" s="1750"/>
      <c r="BO197" s="1750"/>
      <c r="BP197" s="1750"/>
      <c r="BQ197" s="1750"/>
      <c r="BR197" s="1750"/>
      <c r="BS197" s="2012"/>
      <c r="BT197" s="2012"/>
      <c r="BU197" s="1750"/>
      <c r="BV197" s="1750"/>
      <c r="BW197" s="1750"/>
      <c r="BX197" s="1750"/>
      <c r="BY197" s="1750"/>
      <c r="BZ197" s="1750"/>
    </row>
    <row r="198" spans="35:78" ht="19.2" hidden="1" x14ac:dyDescent="0.45">
      <c r="AI198" s="1757">
        <v>12</v>
      </c>
      <c r="AJ198" s="1758">
        <f t="shared" si="41"/>
        <v>0</v>
      </c>
      <c r="AK198" s="1764">
        <f t="shared" si="42"/>
        <v>0</v>
      </c>
      <c r="AL198" s="1760">
        <f t="shared" si="38"/>
        <v>-98.999986297397044</v>
      </c>
      <c r="AM198" s="1761">
        <f t="shared" si="39"/>
        <v>98.999986297397044</v>
      </c>
      <c r="AN198" s="1761">
        <f t="shared" si="43"/>
        <v>12.999986297397044</v>
      </c>
      <c r="AO198" s="1761" t="b">
        <f t="shared" si="40"/>
        <v>0</v>
      </c>
      <c r="AP198" s="1763">
        <v>12</v>
      </c>
      <c r="BA198" s="1750"/>
      <c r="BB198" s="1750"/>
      <c r="BC198" s="1750"/>
      <c r="BD198" s="1750"/>
      <c r="BE198" s="1750"/>
      <c r="BF198" s="1750"/>
      <c r="BG198" s="1750"/>
      <c r="BH198" s="1750"/>
      <c r="BI198" s="1750"/>
      <c r="BJ198" s="1750"/>
      <c r="BK198" s="1750"/>
      <c r="BL198" s="1750"/>
      <c r="BM198" s="1750"/>
      <c r="BN198" s="1750"/>
      <c r="BO198" s="1750"/>
      <c r="BP198" s="1750"/>
      <c r="BQ198" s="1750"/>
      <c r="BR198" s="1750"/>
      <c r="BS198" s="1750"/>
      <c r="BT198" s="1750"/>
      <c r="BU198" s="1750"/>
      <c r="BV198" s="1750"/>
      <c r="BW198" s="1750"/>
      <c r="BX198" s="1750"/>
      <c r="BY198" s="1750"/>
      <c r="BZ198" s="1750"/>
    </row>
    <row r="199" spans="35:78" ht="19.2" hidden="1" x14ac:dyDescent="0.45">
      <c r="AI199" s="1757">
        <v>13</v>
      </c>
      <c r="AJ199" s="1758">
        <f t="shared" si="41"/>
        <v>43</v>
      </c>
      <c r="AK199" s="1764">
        <f t="shared" si="42"/>
        <v>43</v>
      </c>
      <c r="AL199" s="1760">
        <f t="shared" si="38"/>
        <v>-55.999986297397044</v>
      </c>
      <c r="AM199" s="1761">
        <f t="shared" si="39"/>
        <v>55.999986297397044</v>
      </c>
      <c r="AN199" s="1761">
        <f t="shared" si="43"/>
        <v>12.999986297397044</v>
      </c>
      <c r="AO199" s="1761" t="b">
        <f t="shared" si="40"/>
        <v>0</v>
      </c>
      <c r="AP199" s="1763">
        <v>13</v>
      </c>
      <c r="BA199" s="1750"/>
      <c r="BB199" s="1750"/>
      <c r="BC199" s="1750"/>
      <c r="BD199" s="1750"/>
      <c r="BE199" s="1750"/>
      <c r="BF199" s="1750"/>
      <c r="BG199" s="1750"/>
      <c r="BH199" s="1750"/>
      <c r="BI199" s="1750"/>
      <c r="BJ199" s="1750"/>
      <c r="BK199" s="1750"/>
      <c r="BL199" s="1750"/>
      <c r="BM199" s="1750"/>
      <c r="BN199" s="1750"/>
      <c r="BO199" s="1750"/>
      <c r="BP199" s="1750"/>
      <c r="BQ199" s="1750"/>
      <c r="BR199" s="1750"/>
      <c r="BS199" s="1750"/>
      <c r="BT199" s="1750"/>
      <c r="BU199" s="1750"/>
      <c r="BV199" s="1750"/>
      <c r="BW199" s="1750"/>
      <c r="BX199" s="1750"/>
      <c r="BY199" s="1750"/>
      <c r="BZ199" s="1750"/>
    </row>
    <row r="200" spans="35:78" ht="19.2" hidden="1" x14ac:dyDescent="0.45">
      <c r="AI200" s="1757">
        <v>14</v>
      </c>
      <c r="AJ200" s="1758">
        <f t="shared" si="41"/>
        <v>86</v>
      </c>
      <c r="AK200" s="1764">
        <f t="shared" si="42"/>
        <v>86</v>
      </c>
      <c r="AL200" s="1760">
        <f t="shared" si="38"/>
        <v>-12.999986297397044</v>
      </c>
      <c r="AM200" s="1761">
        <f t="shared" si="39"/>
        <v>12.999986297397044</v>
      </c>
      <c r="AN200" s="1761">
        <f t="shared" si="43"/>
        <v>12.999986297397044</v>
      </c>
      <c r="AO200" s="1761">
        <f t="shared" si="40"/>
        <v>14</v>
      </c>
      <c r="AP200" s="1763">
        <v>14</v>
      </c>
      <c r="BA200" s="1750"/>
      <c r="BB200" s="1750"/>
      <c r="BC200" s="1750"/>
      <c r="BD200" s="1750"/>
      <c r="BE200" s="1750"/>
      <c r="BF200" s="1750"/>
      <c r="BG200" s="1750"/>
      <c r="BH200" s="1750"/>
      <c r="BI200" s="1750"/>
      <c r="BJ200" s="1750"/>
      <c r="BK200" s="1750"/>
      <c r="BL200" s="1750"/>
      <c r="BM200" s="1750"/>
      <c r="BN200" s="1750"/>
      <c r="BO200" s="1750"/>
      <c r="BP200" s="1750"/>
      <c r="BQ200" s="1750"/>
      <c r="BR200" s="1750"/>
      <c r="BS200" s="1750"/>
      <c r="BT200" s="1750"/>
      <c r="BU200" s="1750"/>
      <c r="BV200" s="1750"/>
      <c r="BW200" s="1750"/>
      <c r="BX200" s="1750"/>
      <c r="BY200" s="1750"/>
      <c r="BZ200" s="1750"/>
    </row>
    <row r="201" spans="35:78" ht="19.2" hidden="1" x14ac:dyDescent="0.45">
      <c r="AI201" s="1757">
        <v>15</v>
      </c>
      <c r="AJ201" s="1758">
        <f t="shared" si="41"/>
        <v>129</v>
      </c>
      <c r="AK201" s="1764">
        <f t="shared" si="42"/>
        <v>129</v>
      </c>
      <c r="AL201" s="1760">
        <f t="shared" si="38"/>
        <v>30.000013702602956</v>
      </c>
      <c r="AM201" s="1761">
        <f t="shared" si="39"/>
        <v>30.000013702602956</v>
      </c>
      <c r="AN201" s="1761">
        <f t="shared" si="43"/>
        <v>12.999986297397044</v>
      </c>
      <c r="AO201" s="1761" t="b">
        <f t="shared" si="40"/>
        <v>0</v>
      </c>
      <c r="AP201" s="1763">
        <v>15</v>
      </c>
      <c r="BA201" s="1750"/>
      <c r="BB201" s="1750"/>
      <c r="BC201" s="1750"/>
      <c r="BD201" s="1750"/>
      <c r="BE201" s="1750"/>
      <c r="BF201" s="1750"/>
      <c r="BG201" s="1750"/>
      <c r="BH201" s="1750"/>
      <c r="BI201" s="1750"/>
      <c r="BJ201" s="1750"/>
      <c r="BK201" s="1750"/>
      <c r="BL201" s="1750"/>
      <c r="BM201" s="1750"/>
      <c r="BN201" s="1750"/>
      <c r="BO201" s="1750"/>
      <c r="BP201" s="1750"/>
      <c r="BQ201" s="1750"/>
      <c r="BR201" s="1750"/>
      <c r="BS201" s="1750"/>
      <c r="BT201" s="1750"/>
      <c r="BU201" s="1750"/>
      <c r="BV201" s="1750"/>
      <c r="BW201" s="1750"/>
      <c r="BX201" s="1750"/>
      <c r="BY201" s="1750"/>
      <c r="BZ201" s="1750"/>
    </row>
    <row r="202" spans="35:78" ht="19.2" hidden="1" x14ac:dyDescent="0.45">
      <c r="AI202" s="1757">
        <v>16</v>
      </c>
      <c r="AJ202" s="1758">
        <f t="shared" si="41"/>
        <v>172</v>
      </c>
      <c r="AK202" s="1764">
        <f t="shared" si="42"/>
        <v>172</v>
      </c>
      <c r="AL202" s="1760">
        <f t="shared" si="38"/>
        <v>73.000013702602956</v>
      </c>
      <c r="AM202" s="1761">
        <f t="shared" si="39"/>
        <v>73.000013702602956</v>
      </c>
      <c r="AN202" s="1761">
        <f t="shared" si="43"/>
        <v>12.999986297397044</v>
      </c>
      <c r="AO202" s="1761" t="b">
        <f t="shared" si="40"/>
        <v>0</v>
      </c>
      <c r="AP202" s="1763">
        <v>16</v>
      </c>
      <c r="BA202" s="1750"/>
      <c r="BB202" s="1750"/>
      <c r="BC202" s="1750"/>
      <c r="BD202" s="1750"/>
      <c r="BE202" s="1750"/>
      <c r="BF202" s="1750"/>
      <c r="BG202" s="1750"/>
      <c r="BH202" s="1750"/>
      <c r="BI202" s="1750"/>
      <c r="BJ202" s="1750"/>
      <c r="BK202" s="1750"/>
      <c r="BL202" s="1750"/>
      <c r="BM202" s="1750"/>
      <c r="BN202" s="1750"/>
      <c r="BO202" s="1750"/>
      <c r="BP202" s="1750"/>
      <c r="BQ202" s="1750"/>
      <c r="BR202" s="1750"/>
      <c r="BS202" s="1750"/>
      <c r="BT202" s="1750"/>
      <c r="BU202" s="1750"/>
      <c r="BV202" s="1750"/>
      <c r="BW202" s="1750"/>
      <c r="BX202" s="1750"/>
      <c r="BY202" s="1750"/>
      <c r="BZ202" s="1750"/>
    </row>
    <row r="203" spans="35:78" ht="19.2" hidden="1" x14ac:dyDescent="0.45">
      <c r="AI203" s="1757">
        <v>17</v>
      </c>
      <c r="AJ203" s="1758">
        <f t="shared" si="41"/>
        <v>215</v>
      </c>
      <c r="AK203" s="1764">
        <f t="shared" si="42"/>
        <v>215</v>
      </c>
      <c r="AL203" s="1760">
        <f t="shared" si="38"/>
        <v>116.00001370260296</v>
      </c>
      <c r="AM203" s="1761">
        <f t="shared" si="39"/>
        <v>116.00001370260296</v>
      </c>
      <c r="AN203" s="1761">
        <f t="shared" si="43"/>
        <v>12.999986297397044</v>
      </c>
      <c r="AO203" s="1761" t="b">
        <f t="shared" si="40"/>
        <v>0</v>
      </c>
      <c r="AP203" s="1763">
        <v>17</v>
      </c>
      <c r="BA203" s="1750"/>
      <c r="BB203" s="1750"/>
      <c r="BC203" s="1750"/>
      <c r="BD203" s="1750"/>
      <c r="BE203" s="1750"/>
      <c r="BF203" s="1750"/>
      <c r="BG203" s="1750"/>
      <c r="BH203" s="1750"/>
      <c r="BI203" s="1750"/>
      <c r="BJ203" s="1750"/>
      <c r="BK203" s="1750"/>
      <c r="BL203" s="1750"/>
      <c r="BM203" s="1750"/>
      <c r="BN203" s="1750"/>
      <c r="BO203" s="1750"/>
      <c r="BP203" s="1750"/>
      <c r="BQ203" s="1750"/>
      <c r="BR203" s="1750"/>
      <c r="BS203" s="1750"/>
      <c r="BT203" s="1750"/>
      <c r="BU203" s="1750"/>
      <c r="BV203" s="1750"/>
      <c r="BW203" s="1750"/>
      <c r="BX203" s="1750"/>
      <c r="BY203" s="1750"/>
      <c r="BZ203" s="1750"/>
    </row>
    <row r="204" spans="35:78" ht="19.2" hidden="1" x14ac:dyDescent="0.45">
      <c r="AI204" s="1757">
        <v>18</v>
      </c>
      <c r="AJ204" s="1758">
        <f t="shared" si="41"/>
        <v>258</v>
      </c>
      <c r="AK204" s="1764">
        <f t="shared" si="42"/>
        <v>258</v>
      </c>
      <c r="AL204" s="1760">
        <f t="shared" si="38"/>
        <v>159.00001370260296</v>
      </c>
      <c r="AM204" s="1761">
        <f t="shared" si="39"/>
        <v>159.00001370260296</v>
      </c>
      <c r="AN204" s="1761">
        <f t="shared" si="43"/>
        <v>12.999986297397044</v>
      </c>
      <c r="AO204" s="1761" t="b">
        <f t="shared" si="40"/>
        <v>0</v>
      </c>
      <c r="AP204" s="1763">
        <v>18</v>
      </c>
      <c r="BA204" s="1750"/>
      <c r="BB204" s="1750"/>
      <c r="BC204" s="1750"/>
      <c r="BD204" s="1750"/>
      <c r="BE204" s="1750"/>
      <c r="BF204" s="1750"/>
      <c r="BG204" s="1750"/>
      <c r="BH204" s="1750"/>
      <c r="BI204" s="1750"/>
      <c r="BJ204" s="1750"/>
      <c r="BK204" s="1750"/>
      <c r="BL204" s="1750"/>
      <c r="BM204" s="1750"/>
      <c r="BN204" s="1750"/>
      <c r="BO204" s="1750"/>
      <c r="BP204" s="1750"/>
      <c r="BQ204" s="1750"/>
      <c r="BR204" s="1750"/>
      <c r="BS204" s="1750"/>
      <c r="BT204" s="1750"/>
      <c r="BU204" s="1750"/>
      <c r="BV204" s="1750"/>
      <c r="BW204" s="1750"/>
      <c r="BX204" s="1750"/>
      <c r="BY204" s="1750"/>
      <c r="BZ204" s="1750"/>
    </row>
    <row r="205" spans="35:78" ht="19.2" hidden="1" x14ac:dyDescent="0.45">
      <c r="AI205" s="1757">
        <v>19</v>
      </c>
      <c r="AJ205" s="1758">
        <f t="shared" si="41"/>
        <v>301</v>
      </c>
      <c r="AK205" s="1764">
        <f t="shared" si="42"/>
        <v>301</v>
      </c>
      <c r="AL205" s="1760">
        <f t="shared" si="38"/>
        <v>202.00001370260296</v>
      </c>
      <c r="AM205" s="1761">
        <f t="shared" si="39"/>
        <v>202.00001370260296</v>
      </c>
      <c r="AN205" s="1761">
        <f t="shared" si="43"/>
        <v>12.999986297397044</v>
      </c>
      <c r="AO205" s="1761" t="b">
        <f t="shared" si="40"/>
        <v>0</v>
      </c>
      <c r="AP205" s="1763">
        <v>19</v>
      </c>
      <c r="BA205" s="1750"/>
      <c r="BB205" s="1750"/>
      <c r="BC205" s="1750"/>
      <c r="BD205" s="1750"/>
      <c r="BE205" s="1750"/>
      <c r="BF205" s="1750"/>
      <c r="BG205" s="1750"/>
      <c r="BH205" s="1750"/>
      <c r="BI205" s="1750"/>
      <c r="BJ205" s="1750"/>
      <c r="BK205" s="1750"/>
      <c r="BL205" s="1750"/>
      <c r="BM205" s="1750"/>
      <c r="BN205" s="1750"/>
      <c r="BO205" s="1750"/>
      <c r="BP205" s="1750"/>
      <c r="BQ205" s="1750"/>
      <c r="BR205" s="1750"/>
      <c r="BS205" s="1750"/>
      <c r="BT205" s="1750"/>
      <c r="BU205" s="1750"/>
      <c r="BV205" s="1750"/>
      <c r="BW205" s="1750"/>
      <c r="BX205" s="1750"/>
      <c r="BY205" s="1750"/>
      <c r="BZ205" s="1750"/>
    </row>
    <row r="206" spans="35:78" ht="19.2" hidden="1" x14ac:dyDescent="0.45">
      <c r="AI206" s="1757">
        <v>20</v>
      </c>
      <c r="AJ206" s="1758">
        <f t="shared" si="41"/>
        <v>344</v>
      </c>
      <c r="AK206" s="1764">
        <f t="shared" si="42"/>
        <v>344</v>
      </c>
      <c r="AL206" s="1760">
        <f t="shared" si="38"/>
        <v>245.00001370260296</v>
      </c>
      <c r="AM206" s="1761">
        <f t="shared" si="39"/>
        <v>245.00001370260296</v>
      </c>
      <c r="AN206" s="1761">
        <f t="shared" si="43"/>
        <v>12.999986297397044</v>
      </c>
      <c r="AO206" s="1761" t="b">
        <f t="shared" si="40"/>
        <v>0</v>
      </c>
      <c r="AP206" s="1763">
        <v>20</v>
      </c>
      <c r="BA206" s="1750"/>
      <c r="BB206" s="1750"/>
      <c r="BC206" s="1750"/>
      <c r="BD206" s="1750"/>
      <c r="BE206" s="1750"/>
      <c r="BF206" s="1750"/>
      <c r="BG206" s="1750"/>
      <c r="BH206" s="1750"/>
      <c r="BI206" s="1750"/>
      <c r="BJ206" s="1750"/>
      <c r="BK206" s="1750"/>
      <c r="BL206" s="1750"/>
      <c r="BM206" s="1750"/>
      <c r="BN206" s="1750"/>
      <c r="BO206" s="1750"/>
      <c r="BP206" s="1750"/>
      <c r="BQ206" s="1750"/>
      <c r="BR206" s="1750"/>
      <c r="BS206" s="1750"/>
      <c r="BT206" s="1750"/>
      <c r="BU206" s="1750"/>
      <c r="BV206" s="1750"/>
      <c r="BW206" s="1750"/>
      <c r="BX206" s="1750"/>
      <c r="BY206" s="1750"/>
      <c r="BZ206" s="1750"/>
    </row>
    <row r="207" spans="35:78" ht="19.2" hidden="1" x14ac:dyDescent="0.45">
      <c r="AI207" s="1757">
        <v>21</v>
      </c>
      <c r="AJ207" s="1758">
        <f t="shared" si="41"/>
        <v>387</v>
      </c>
      <c r="AK207" s="1764">
        <f t="shared" si="42"/>
        <v>387</v>
      </c>
      <c r="AL207" s="1760">
        <f t="shared" si="38"/>
        <v>288.00001370260293</v>
      </c>
      <c r="AM207" s="1761">
        <f t="shared" si="39"/>
        <v>288.00001370260293</v>
      </c>
      <c r="AN207" s="1761">
        <f t="shared" si="43"/>
        <v>12.999986297397044</v>
      </c>
      <c r="AO207" s="1761" t="b">
        <f t="shared" si="40"/>
        <v>0</v>
      </c>
      <c r="AP207" s="1763">
        <v>21</v>
      </c>
      <c r="BA207" s="1750"/>
      <c r="BB207" s="1750"/>
      <c r="BC207" s="1750"/>
      <c r="BD207" s="1750"/>
      <c r="BE207" s="1750"/>
      <c r="BF207" s="1750"/>
      <c r="BG207" s="1750"/>
      <c r="BH207" s="1750"/>
      <c r="BI207" s="1750"/>
      <c r="BJ207" s="1750"/>
      <c r="BK207" s="1750"/>
      <c r="BL207" s="1750"/>
      <c r="BM207" s="1750"/>
      <c r="BN207" s="1750"/>
      <c r="BO207" s="1750"/>
      <c r="BP207" s="1750"/>
      <c r="BQ207" s="1750"/>
      <c r="BR207" s="1750"/>
      <c r="BS207" s="1750"/>
      <c r="BT207" s="1750"/>
      <c r="BU207" s="1750"/>
      <c r="BV207" s="1750"/>
      <c r="BW207" s="1750"/>
      <c r="BX207" s="1750"/>
      <c r="BY207" s="1750"/>
      <c r="BZ207" s="1750"/>
    </row>
    <row r="208" spans="35:78" ht="19.2" hidden="1" x14ac:dyDescent="0.45">
      <c r="AI208" s="1757">
        <v>22</v>
      </c>
      <c r="AJ208" s="1758">
        <f t="shared" si="41"/>
        <v>430</v>
      </c>
      <c r="AK208" s="1764">
        <f t="shared" si="42"/>
        <v>430</v>
      </c>
      <c r="AL208" s="1760">
        <f t="shared" si="38"/>
        <v>331.00001370260293</v>
      </c>
      <c r="AM208" s="1761">
        <f t="shared" si="39"/>
        <v>331.00001370260293</v>
      </c>
      <c r="AN208" s="1761">
        <f t="shared" si="43"/>
        <v>12.999986297397044</v>
      </c>
      <c r="AO208" s="1761" t="b">
        <f t="shared" si="40"/>
        <v>0</v>
      </c>
      <c r="AP208" s="1763">
        <v>22</v>
      </c>
      <c r="BA208" s="1750"/>
      <c r="BB208" s="1750"/>
      <c r="BC208" s="1750"/>
      <c r="BD208" s="1750"/>
      <c r="BE208" s="1750"/>
      <c r="BF208" s="1750"/>
      <c r="BG208" s="1750"/>
      <c r="BH208" s="1750"/>
      <c r="BI208" s="1750"/>
      <c r="BJ208" s="1750"/>
      <c r="BK208" s="1750"/>
      <c r="BL208" s="1750"/>
      <c r="BM208" s="1750"/>
      <c r="BN208" s="1750"/>
      <c r="BO208" s="1750"/>
      <c r="BP208" s="1750"/>
      <c r="BQ208" s="1750"/>
      <c r="BR208" s="1750"/>
      <c r="BS208" s="1750"/>
      <c r="BT208" s="1750"/>
      <c r="BU208" s="1750"/>
      <c r="BV208" s="1750"/>
      <c r="BW208" s="1750"/>
      <c r="BX208" s="1750"/>
      <c r="BY208" s="1750"/>
      <c r="BZ208" s="1750"/>
    </row>
    <row r="209" spans="35:78" ht="19.2" hidden="1" x14ac:dyDescent="0.45">
      <c r="AI209" s="1757">
        <v>23</v>
      </c>
      <c r="AJ209" s="1758">
        <f t="shared" si="41"/>
        <v>473</v>
      </c>
      <c r="AK209" s="1764">
        <f t="shared" si="42"/>
        <v>473</v>
      </c>
      <c r="AL209" s="1760">
        <f t="shared" si="38"/>
        <v>374.00001370260293</v>
      </c>
      <c r="AM209" s="1761">
        <f t="shared" si="39"/>
        <v>374.00001370260293</v>
      </c>
      <c r="AN209" s="1761">
        <f t="shared" si="43"/>
        <v>12.999986297397044</v>
      </c>
      <c r="AO209" s="1761" t="b">
        <f t="shared" si="40"/>
        <v>0</v>
      </c>
      <c r="AP209" s="1763">
        <v>23</v>
      </c>
      <c r="BA209" s="1750"/>
      <c r="BB209" s="1750"/>
      <c r="BC209" s="1750"/>
      <c r="BD209" s="1750"/>
      <c r="BE209" s="1750"/>
      <c r="BF209" s="1750"/>
      <c r="BG209" s="1750"/>
      <c r="BH209" s="1750"/>
      <c r="BI209" s="1750"/>
      <c r="BJ209" s="1750"/>
      <c r="BK209" s="1750"/>
      <c r="BL209" s="1750"/>
      <c r="BM209" s="1750"/>
      <c r="BN209" s="1750"/>
      <c r="BO209" s="1750"/>
      <c r="BP209" s="1750"/>
      <c r="BQ209" s="1750"/>
      <c r="BR209" s="1750"/>
      <c r="BS209" s="1750"/>
      <c r="BT209" s="1750"/>
      <c r="BU209" s="1750"/>
      <c r="BV209" s="1750"/>
      <c r="BW209" s="1750"/>
      <c r="BX209" s="1750"/>
      <c r="BY209" s="1750"/>
      <c r="BZ209" s="1750"/>
    </row>
    <row r="210" spans="35:78" ht="19.2" hidden="1" x14ac:dyDescent="0.45">
      <c r="AI210" s="1757">
        <v>24</v>
      </c>
      <c r="AJ210" s="1758">
        <f t="shared" si="41"/>
        <v>516</v>
      </c>
      <c r="AK210" s="1764">
        <f t="shared" si="42"/>
        <v>516</v>
      </c>
      <c r="AL210" s="1760">
        <f t="shared" si="38"/>
        <v>417.00001370260293</v>
      </c>
      <c r="AM210" s="1761">
        <f t="shared" si="39"/>
        <v>417.00001370260293</v>
      </c>
      <c r="AN210" s="1761">
        <f t="shared" si="43"/>
        <v>12.999986297397044</v>
      </c>
      <c r="AO210" s="1761" t="b">
        <f t="shared" si="40"/>
        <v>0</v>
      </c>
      <c r="AP210" s="1763">
        <v>24</v>
      </c>
      <c r="BA210" s="1750"/>
      <c r="BB210" s="1750"/>
      <c r="BC210" s="1750"/>
      <c r="BD210" s="1750"/>
      <c r="BE210" s="1750"/>
      <c r="BF210" s="1581"/>
      <c r="BG210" s="1581"/>
      <c r="BH210" s="1581"/>
      <c r="BI210" s="1581"/>
      <c r="BJ210" s="1581"/>
      <c r="BK210" s="1581"/>
      <c r="BL210" s="1581"/>
      <c r="BM210" s="1581"/>
      <c r="BN210" s="1581"/>
      <c r="BO210" s="1581"/>
      <c r="BP210" s="1750"/>
      <c r="BQ210" s="1750"/>
      <c r="BR210" s="1750"/>
      <c r="BS210" s="1750"/>
      <c r="BT210" s="1750"/>
      <c r="BU210" s="1750"/>
      <c r="BV210" s="1750"/>
      <c r="BW210" s="1750"/>
      <c r="BX210" s="1750"/>
      <c r="BY210" s="1750"/>
      <c r="BZ210" s="1750"/>
    </row>
    <row r="211" spans="35:78" ht="19.2" hidden="1" x14ac:dyDescent="0.45">
      <c r="AI211" s="1757">
        <v>25</v>
      </c>
      <c r="AJ211" s="1758">
        <f t="shared" si="41"/>
        <v>559</v>
      </c>
      <c r="AK211" s="1764">
        <f t="shared" si="42"/>
        <v>559</v>
      </c>
      <c r="AL211" s="1760">
        <f t="shared" si="38"/>
        <v>460.00001370260293</v>
      </c>
      <c r="AM211" s="1761">
        <f t="shared" si="39"/>
        <v>460.00001370260293</v>
      </c>
      <c r="AN211" s="1761">
        <f t="shared" si="43"/>
        <v>12.999986297397044</v>
      </c>
      <c r="AO211" s="1761" t="b">
        <f t="shared" si="40"/>
        <v>0</v>
      </c>
      <c r="AP211" s="1763">
        <v>25</v>
      </c>
      <c r="BA211" s="1750"/>
      <c r="BB211" s="1750"/>
      <c r="BC211" s="1750"/>
      <c r="BD211" s="1750"/>
      <c r="BE211" s="1750"/>
      <c r="BF211" s="1581"/>
      <c r="BG211" s="1581"/>
      <c r="BH211" s="1581"/>
      <c r="BI211" s="1581"/>
      <c r="BJ211" s="1581"/>
      <c r="BK211" s="1581"/>
      <c r="BL211" s="1581"/>
      <c r="BM211" s="1581"/>
      <c r="BN211" s="1581"/>
      <c r="BO211" s="1581"/>
      <c r="BP211" s="1750"/>
      <c r="BQ211" s="1750"/>
      <c r="BR211" s="1750"/>
      <c r="BS211" s="1750"/>
      <c r="BT211" s="1750"/>
      <c r="BU211" s="1750"/>
      <c r="BV211" s="1750"/>
      <c r="BW211" s="1750"/>
      <c r="BX211" s="1750"/>
      <c r="BY211" s="1750"/>
      <c r="BZ211" s="1750"/>
    </row>
    <row r="212" spans="35:78" ht="19.2" hidden="1" x14ac:dyDescent="0.45">
      <c r="AI212" s="1757">
        <v>26</v>
      </c>
      <c r="AJ212" s="1758">
        <f t="shared" si="41"/>
        <v>602</v>
      </c>
      <c r="AK212" s="1764">
        <f t="shared" si="42"/>
        <v>602</v>
      </c>
      <c r="AL212" s="1760">
        <f t="shared" si="38"/>
        <v>503.00001370260293</v>
      </c>
      <c r="AM212" s="1761">
        <f t="shared" si="39"/>
        <v>503.00001370260293</v>
      </c>
      <c r="AN212" s="1761">
        <f t="shared" si="43"/>
        <v>12.999986297397044</v>
      </c>
      <c r="AO212" s="1761" t="b">
        <f t="shared" si="40"/>
        <v>0</v>
      </c>
      <c r="AP212" s="1763">
        <v>26</v>
      </c>
      <c r="BA212" s="1750"/>
      <c r="BB212" s="1750"/>
      <c r="BC212" s="1750"/>
      <c r="BD212" s="1750"/>
      <c r="BE212" s="1750"/>
      <c r="BF212" s="1581"/>
      <c r="BG212" s="1581"/>
      <c r="BH212" s="1581"/>
      <c r="BI212" s="1581"/>
      <c r="BJ212" s="1581"/>
      <c r="BK212" s="1581"/>
      <c r="BL212" s="1581"/>
      <c r="BM212" s="1581"/>
      <c r="BN212" s="1581"/>
      <c r="BO212" s="1581"/>
      <c r="BP212" s="1750"/>
      <c r="BQ212" s="1750"/>
      <c r="BR212" s="1750"/>
      <c r="BS212" s="1750"/>
      <c r="BT212" s="1750"/>
      <c r="BU212" s="1750"/>
      <c r="BV212" s="1750"/>
      <c r="BW212" s="1750"/>
      <c r="BX212" s="1750"/>
      <c r="BY212" s="1750"/>
      <c r="BZ212" s="1750"/>
    </row>
    <row r="213" spans="35:78" ht="19.2" hidden="1" x14ac:dyDescent="0.45">
      <c r="AI213" s="1757">
        <v>27</v>
      </c>
      <c r="AJ213" s="1758">
        <f t="shared" si="41"/>
        <v>645</v>
      </c>
      <c r="AK213" s="1764">
        <f t="shared" si="42"/>
        <v>645</v>
      </c>
      <c r="AL213" s="1760">
        <f t="shared" si="38"/>
        <v>546.00001370260293</v>
      </c>
      <c r="AM213" s="1761">
        <f t="shared" si="39"/>
        <v>546.00001370260293</v>
      </c>
      <c r="AN213" s="1761">
        <f t="shared" si="43"/>
        <v>12.999986297397044</v>
      </c>
      <c r="AO213" s="1761" t="b">
        <f t="shared" si="40"/>
        <v>0</v>
      </c>
      <c r="AP213" s="1763">
        <v>27</v>
      </c>
      <c r="BA213" s="1750"/>
      <c r="BB213" s="1750"/>
      <c r="BC213" s="1750"/>
      <c r="BD213" s="1750"/>
      <c r="BE213" s="1750"/>
      <c r="BF213" s="1581"/>
      <c r="BG213" s="1581"/>
      <c r="BH213" s="1581"/>
      <c r="BI213" s="1581"/>
      <c r="BJ213" s="1581"/>
      <c r="BK213" s="1581"/>
      <c r="BL213" s="1581"/>
      <c r="BM213" s="1581"/>
      <c r="BN213" s="1581"/>
      <c r="BO213" s="1581"/>
      <c r="BP213" s="1750"/>
      <c r="BQ213" s="1750"/>
      <c r="BR213" s="1750"/>
      <c r="BS213" s="1750"/>
      <c r="BT213" s="1750"/>
      <c r="BU213" s="1750"/>
      <c r="BV213" s="1750"/>
      <c r="BW213" s="1750"/>
      <c r="BX213" s="1750"/>
      <c r="BY213" s="1750"/>
      <c r="BZ213" s="1750"/>
    </row>
    <row r="214" spans="35:78" ht="19.2" hidden="1" x14ac:dyDescent="0.45">
      <c r="AI214" s="1757">
        <v>28</v>
      </c>
      <c r="AJ214" s="1758">
        <f t="shared" si="41"/>
        <v>688</v>
      </c>
      <c r="AK214" s="1764">
        <f t="shared" si="42"/>
        <v>688</v>
      </c>
      <c r="AL214" s="1760">
        <f t="shared" si="38"/>
        <v>589.00001370260293</v>
      </c>
      <c r="AM214" s="1761">
        <f t="shared" si="39"/>
        <v>589.00001370260293</v>
      </c>
      <c r="AN214" s="1761">
        <f t="shared" si="43"/>
        <v>12.999986297397044</v>
      </c>
      <c r="AO214" s="1761" t="b">
        <f t="shared" si="40"/>
        <v>0</v>
      </c>
      <c r="AP214" s="1763">
        <v>28</v>
      </c>
      <c r="BA214" s="1748"/>
      <c r="BB214" s="1750"/>
      <c r="BC214" s="1748"/>
      <c r="BD214" s="1750"/>
      <c r="BE214" s="1748"/>
      <c r="BF214" s="1581"/>
      <c r="BG214" s="1581"/>
      <c r="BH214" s="1581"/>
      <c r="BI214" s="1581"/>
      <c r="BJ214" s="1581"/>
      <c r="BK214" s="1581"/>
      <c r="BL214" s="1581"/>
      <c r="BM214" s="1581"/>
      <c r="BN214" s="1581"/>
      <c r="BO214" s="1581"/>
      <c r="BP214" s="1750"/>
      <c r="BQ214" s="1750"/>
      <c r="BR214" s="1750"/>
      <c r="BS214" s="1750"/>
      <c r="BT214" s="1750"/>
      <c r="BU214" s="1750"/>
      <c r="BV214" s="1750"/>
      <c r="BW214" s="1750"/>
      <c r="BX214" s="1750"/>
      <c r="BY214" s="1750"/>
      <c r="BZ214" s="1750"/>
    </row>
    <row r="215" spans="35:78" ht="19.2" hidden="1" x14ac:dyDescent="0.45">
      <c r="AI215" s="1757">
        <v>29</v>
      </c>
      <c r="AJ215" s="1758">
        <f t="shared" si="41"/>
        <v>731</v>
      </c>
      <c r="AK215" s="1764">
        <f t="shared" si="42"/>
        <v>731</v>
      </c>
      <c r="AL215" s="1760">
        <f t="shared" si="38"/>
        <v>632.00001370260293</v>
      </c>
      <c r="AM215" s="1761">
        <f t="shared" si="39"/>
        <v>632.00001370260293</v>
      </c>
      <c r="AN215" s="1761">
        <f t="shared" si="43"/>
        <v>12.999986297397044</v>
      </c>
      <c r="AO215" s="1761" t="b">
        <f t="shared" si="40"/>
        <v>0</v>
      </c>
      <c r="AP215" s="1763">
        <v>29</v>
      </c>
      <c r="BA215" s="1748"/>
      <c r="BB215" s="1750"/>
      <c r="BC215" s="1750"/>
      <c r="BD215" s="1750"/>
      <c r="BE215" s="1748"/>
      <c r="BF215" s="1581"/>
      <c r="BG215" s="1581"/>
      <c r="BH215" s="1581"/>
      <c r="BI215" s="1581"/>
      <c r="BJ215" s="1581"/>
      <c r="BK215" s="1581"/>
      <c r="BL215" s="1581"/>
      <c r="BM215" s="1581"/>
      <c r="BN215" s="1581"/>
      <c r="BO215" s="1581"/>
      <c r="BP215" s="1750"/>
      <c r="BQ215" s="1750"/>
      <c r="BR215" s="1750"/>
      <c r="BS215" s="1750"/>
      <c r="BT215" s="1750"/>
      <c r="BU215" s="1750"/>
      <c r="BV215" s="1750"/>
      <c r="BW215" s="1750"/>
      <c r="BX215" s="1750"/>
      <c r="BY215" s="1750"/>
      <c r="BZ215" s="1750"/>
    </row>
    <row r="216" spans="35:78" ht="19.2" hidden="1" x14ac:dyDescent="0.45">
      <c r="AI216" s="1757">
        <v>30</v>
      </c>
      <c r="AJ216" s="1758">
        <f t="shared" si="41"/>
        <v>774</v>
      </c>
      <c r="AK216" s="1764">
        <f t="shared" si="42"/>
        <v>774</v>
      </c>
      <c r="AL216" s="1760">
        <f t="shared" si="38"/>
        <v>675.00001370260293</v>
      </c>
      <c r="AM216" s="1761">
        <f t="shared" si="39"/>
        <v>675.00001370260293</v>
      </c>
      <c r="AN216" s="1761">
        <f t="shared" si="43"/>
        <v>12.999986297397044</v>
      </c>
      <c r="AO216" s="1761" t="b">
        <f t="shared" si="40"/>
        <v>0</v>
      </c>
      <c r="AP216" s="1763">
        <v>30</v>
      </c>
      <c r="BA216" s="1748"/>
      <c r="BB216" s="1771"/>
      <c r="BC216" s="1771"/>
      <c r="BD216" s="1771"/>
      <c r="BE216" s="1771"/>
      <c r="BF216" s="1771"/>
      <c r="BG216" s="1771"/>
      <c r="BH216" s="1771"/>
      <c r="BI216" s="1771"/>
      <c r="BJ216" s="1771"/>
      <c r="BK216" s="1771"/>
      <c r="BL216" s="1771"/>
      <c r="BM216" s="1771"/>
      <c r="BN216" s="1771"/>
      <c r="BO216" s="1771"/>
      <c r="BP216" s="1771"/>
      <c r="BQ216" s="1771"/>
      <c r="BR216" s="1771"/>
      <c r="BS216" s="1771"/>
      <c r="BT216" s="1771"/>
      <c r="BU216" s="1771"/>
      <c r="BV216" s="1771"/>
      <c r="BW216" s="1771"/>
      <c r="BX216" s="1771"/>
      <c r="BY216" s="1771"/>
      <c r="BZ216" s="1750"/>
    </row>
    <row r="217" spans="35:78" ht="19.2" hidden="1" x14ac:dyDescent="0.45">
      <c r="AI217" s="1757">
        <v>31</v>
      </c>
      <c r="AJ217" s="1758">
        <f t="shared" si="41"/>
        <v>817</v>
      </c>
      <c r="AK217" s="1764">
        <f t="shared" si="42"/>
        <v>817</v>
      </c>
      <c r="AL217" s="1760">
        <f t="shared" si="38"/>
        <v>718.00001370260293</v>
      </c>
      <c r="AM217" s="1761">
        <f t="shared" si="39"/>
        <v>718.00001370260293</v>
      </c>
      <c r="AN217" s="1761">
        <f t="shared" si="43"/>
        <v>12.999986297397044</v>
      </c>
      <c r="AO217" s="1761" t="b">
        <f t="shared" si="40"/>
        <v>0</v>
      </c>
      <c r="AP217" s="1763">
        <v>31</v>
      </c>
      <c r="BA217" s="1748"/>
      <c r="BB217" s="1750"/>
      <c r="BC217" s="1750"/>
      <c r="BD217" s="1750"/>
      <c r="BE217" s="1750"/>
      <c r="BF217" s="1750"/>
      <c r="BG217" s="1750"/>
      <c r="BH217" s="1750"/>
      <c r="BI217" s="1750"/>
      <c r="BJ217" s="1750"/>
      <c r="BK217" s="1750"/>
      <c r="BL217" s="1750"/>
      <c r="BM217" s="1750"/>
      <c r="BN217" s="1750"/>
      <c r="BO217" s="1750"/>
      <c r="BP217" s="1750"/>
      <c r="BQ217" s="1750"/>
      <c r="BR217" s="1750"/>
      <c r="BS217" s="1750"/>
      <c r="BT217" s="1750"/>
      <c r="BU217" s="1750"/>
      <c r="BV217" s="1750"/>
      <c r="BW217" s="1750"/>
      <c r="BX217" s="1750"/>
      <c r="BY217" s="1750"/>
      <c r="BZ217" s="1750"/>
    </row>
    <row r="218" spans="35:78" ht="19.2" hidden="1" x14ac:dyDescent="0.45">
      <c r="AI218" s="1757">
        <v>32</v>
      </c>
      <c r="AJ218" s="1758">
        <f t="shared" si="41"/>
        <v>860</v>
      </c>
      <c r="AK218" s="1764">
        <f t="shared" si="42"/>
        <v>860</v>
      </c>
      <c r="AL218" s="1760">
        <f t="shared" si="38"/>
        <v>761.00001370260293</v>
      </c>
      <c r="AM218" s="1761">
        <f t="shared" si="39"/>
        <v>761.00001370260293</v>
      </c>
      <c r="AN218" s="1761">
        <f t="shared" si="43"/>
        <v>12.999986297397044</v>
      </c>
      <c r="AO218" s="1761" t="b">
        <f t="shared" si="40"/>
        <v>0</v>
      </c>
      <c r="AP218" s="1763">
        <v>32</v>
      </c>
      <c r="BA218" s="1772"/>
      <c r="BB218" s="1773"/>
      <c r="BC218" s="1773"/>
      <c r="BD218" s="1773"/>
      <c r="BE218" s="1773"/>
      <c r="BF218" s="1773"/>
      <c r="BG218" s="1773"/>
      <c r="BH218" s="1773"/>
      <c r="BI218" s="1773"/>
      <c r="BJ218" s="1773"/>
      <c r="BK218" s="1773"/>
      <c r="BL218" s="1773"/>
      <c r="BM218" s="1773"/>
      <c r="BN218" s="1773"/>
      <c r="BO218" s="1773"/>
      <c r="BP218" s="1773"/>
      <c r="BQ218" s="1773"/>
      <c r="BR218" s="1773"/>
      <c r="BS218" s="1773"/>
      <c r="BT218" s="1773"/>
      <c r="BU218" s="1773"/>
      <c r="BV218" s="1773"/>
      <c r="BW218" s="1773"/>
      <c r="BX218" s="1773"/>
      <c r="BY218" s="1773"/>
      <c r="BZ218" s="1750"/>
    </row>
    <row r="219" spans="35:78" ht="19.2" hidden="1" x14ac:dyDescent="0.45">
      <c r="AI219" s="1757">
        <v>33</v>
      </c>
      <c r="AJ219" s="1758">
        <f t="shared" si="41"/>
        <v>903</v>
      </c>
      <c r="AK219" s="1764">
        <f t="shared" si="42"/>
        <v>903</v>
      </c>
      <c r="AL219" s="1760">
        <f t="shared" si="38"/>
        <v>804.00001370260293</v>
      </c>
      <c r="AM219" s="1761">
        <f t="shared" si="39"/>
        <v>804.00001370260293</v>
      </c>
      <c r="AN219" s="1761">
        <f t="shared" si="43"/>
        <v>12.999986297397044</v>
      </c>
      <c r="AO219" s="1761" t="b">
        <f t="shared" si="40"/>
        <v>0</v>
      </c>
      <c r="AP219" s="1763">
        <v>33</v>
      </c>
      <c r="BA219" s="1748"/>
      <c r="BB219" s="1749"/>
      <c r="BC219" s="1749"/>
      <c r="BD219" s="1749"/>
      <c r="BE219" s="1749"/>
      <c r="BF219" s="1749"/>
      <c r="BG219" s="1749"/>
      <c r="BH219" s="1749"/>
      <c r="BI219" s="1749"/>
      <c r="BJ219" s="1749"/>
      <c r="BK219" s="1749"/>
      <c r="BL219" s="1749"/>
      <c r="BM219" s="1749"/>
      <c r="BN219" s="1749"/>
      <c r="BO219" s="1749"/>
      <c r="BP219" s="1749"/>
      <c r="BQ219" s="1749"/>
      <c r="BR219" s="1749"/>
      <c r="BS219" s="1749"/>
      <c r="BT219" s="1749"/>
      <c r="BU219" s="1749"/>
      <c r="BV219" s="1749"/>
      <c r="BW219" s="1749"/>
      <c r="BX219" s="1749"/>
      <c r="BY219" s="1749"/>
      <c r="BZ219" s="1750"/>
    </row>
    <row r="220" spans="35:78" ht="19.2" hidden="1" x14ac:dyDescent="0.45">
      <c r="AI220" s="1757">
        <v>34</v>
      </c>
      <c r="AJ220" s="1758">
        <f t="shared" si="41"/>
        <v>946</v>
      </c>
      <c r="AK220" s="1764">
        <f t="shared" si="42"/>
        <v>946</v>
      </c>
      <c r="AL220" s="1760">
        <f t="shared" si="38"/>
        <v>847.00001370260293</v>
      </c>
      <c r="AM220" s="1761">
        <f t="shared" si="39"/>
        <v>847.00001370260293</v>
      </c>
      <c r="AN220" s="1761">
        <f t="shared" si="43"/>
        <v>12.999986297397044</v>
      </c>
      <c r="AO220" s="1761" t="b">
        <f t="shared" si="40"/>
        <v>0</v>
      </c>
      <c r="AP220" s="1763">
        <v>34</v>
      </c>
      <c r="BA220" s="1750"/>
      <c r="BB220" s="1750"/>
      <c r="BC220" s="1750"/>
      <c r="BD220" s="1750"/>
      <c r="BE220" s="1750"/>
      <c r="BF220" s="1750"/>
      <c r="BG220" s="1750"/>
      <c r="BH220" s="1750"/>
      <c r="BI220" s="1750"/>
      <c r="BJ220" s="1750"/>
      <c r="BK220" s="1750"/>
      <c r="BL220" s="1750"/>
      <c r="BM220" s="1750"/>
      <c r="BN220" s="1750"/>
      <c r="BO220" s="1750"/>
      <c r="BP220" s="1750"/>
      <c r="BQ220" s="1750"/>
      <c r="BR220" s="1750"/>
      <c r="BS220" s="1750"/>
      <c r="BT220" s="1750"/>
      <c r="BU220" s="1750"/>
      <c r="BV220" s="1750"/>
      <c r="BW220" s="1750"/>
      <c r="BX220" s="1750"/>
      <c r="BY220" s="1750"/>
      <c r="BZ220" s="1750"/>
    </row>
    <row r="221" spans="35:78" ht="19.2" hidden="1" x14ac:dyDescent="0.45">
      <c r="AI221" s="1757">
        <v>35</v>
      </c>
      <c r="AJ221" s="1758">
        <f t="shared" si="41"/>
        <v>989</v>
      </c>
      <c r="AK221" s="1764">
        <f t="shared" si="42"/>
        <v>989</v>
      </c>
      <c r="AL221" s="1760">
        <f t="shared" si="38"/>
        <v>890.00001370260293</v>
      </c>
      <c r="AM221" s="1761">
        <f t="shared" si="39"/>
        <v>890.00001370260293</v>
      </c>
      <c r="AN221" s="1761">
        <f t="shared" si="43"/>
        <v>12.999986297397044</v>
      </c>
      <c r="AO221" s="1761" t="b">
        <f t="shared" si="40"/>
        <v>0</v>
      </c>
      <c r="AP221" s="1763">
        <v>35</v>
      </c>
      <c r="BA221" s="1750"/>
      <c r="BB221" s="1774"/>
      <c r="BC221" s="1774"/>
      <c r="BD221" s="1774"/>
      <c r="BE221" s="1774"/>
      <c r="BF221" s="1774"/>
      <c r="BG221" s="1774"/>
      <c r="BH221" s="1748"/>
      <c r="BI221" s="1748"/>
      <c r="BJ221" s="1748"/>
      <c r="BK221" s="1748"/>
      <c r="BL221" s="1748"/>
      <c r="BM221" s="1774"/>
      <c r="BN221" s="1774"/>
      <c r="BO221" s="1774"/>
      <c r="BP221" s="1748"/>
      <c r="BQ221" s="1748"/>
      <c r="BR221" s="1748"/>
      <c r="BS221" s="1748"/>
      <c r="BT221" s="1748"/>
      <c r="BU221" s="1748"/>
      <c r="BV221" s="1748"/>
      <c r="BW221" s="1748"/>
      <c r="BX221" s="1748"/>
      <c r="BY221" s="1748"/>
      <c r="BZ221" s="1750"/>
    </row>
    <row r="222" spans="35:78" ht="19.2" hidden="1" x14ac:dyDescent="0.45">
      <c r="AI222" s="1757">
        <v>36</v>
      </c>
      <c r="AJ222" s="1758">
        <f t="shared" si="41"/>
        <v>1032</v>
      </c>
      <c r="AK222" s="1764">
        <f t="shared" si="42"/>
        <v>1032</v>
      </c>
      <c r="AL222" s="1760">
        <f t="shared" si="38"/>
        <v>933.00001370260293</v>
      </c>
      <c r="AM222" s="1761">
        <f t="shared" si="39"/>
        <v>933.00001370260293</v>
      </c>
      <c r="AN222" s="1761">
        <f t="shared" si="43"/>
        <v>12.999986297397044</v>
      </c>
      <c r="AO222" s="1761" t="b">
        <f t="shared" si="40"/>
        <v>0</v>
      </c>
      <c r="AP222" s="1763">
        <v>36</v>
      </c>
      <c r="BA222" s="1750"/>
      <c r="BB222" s="1774"/>
      <c r="BC222" s="1774"/>
      <c r="BD222" s="1774"/>
      <c r="BE222" s="1774"/>
      <c r="BF222" s="1774"/>
      <c r="BG222" s="1774"/>
      <c r="BH222" s="1750"/>
      <c r="BI222" s="1750"/>
      <c r="BJ222" s="1750"/>
      <c r="BK222" s="1750"/>
      <c r="BL222" s="1774"/>
      <c r="BM222" s="1774"/>
      <c r="BN222" s="1774"/>
      <c r="BO222" s="1774"/>
      <c r="BP222" s="1750"/>
      <c r="BQ222" s="1750"/>
      <c r="BR222" s="1750"/>
      <c r="BS222" s="1750"/>
      <c r="BT222" s="1774"/>
      <c r="BU222" s="1774"/>
      <c r="BV222" s="1774"/>
      <c r="BW222" s="1774"/>
      <c r="BX222" s="1774"/>
      <c r="BY222" s="1774"/>
      <c r="BZ222" s="1750"/>
    </row>
    <row r="223" spans="35:78" ht="19.2" hidden="1" x14ac:dyDescent="0.45">
      <c r="AI223" s="1768">
        <v>37</v>
      </c>
      <c r="AJ223" s="1769">
        <f t="shared" si="41"/>
        <v>1075</v>
      </c>
      <c r="AK223" s="1764">
        <f t="shared" si="42"/>
        <v>1075</v>
      </c>
      <c r="AL223" s="1760">
        <f t="shared" si="38"/>
        <v>976.00001370260293</v>
      </c>
      <c r="AM223" s="1761">
        <f t="shared" si="39"/>
        <v>976.00001370260293</v>
      </c>
      <c r="AN223" s="1761">
        <f t="shared" si="43"/>
        <v>12.999986297397044</v>
      </c>
      <c r="AO223" s="1761" t="b">
        <f t="shared" si="40"/>
        <v>0</v>
      </c>
      <c r="AP223" s="1770">
        <v>37</v>
      </c>
      <c r="BA223" s="1750"/>
      <c r="BB223" s="1750"/>
      <c r="BC223" s="1750"/>
      <c r="BD223" s="1750"/>
      <c r="BE223" s="1750"/>
      <c r="BF223" s="1750"/>
      <c r="BG223" s="1750"/>
      <c r="BH223" s="1750"/>
      <c r="BI223" s="1750"/>
      <c r="BJ223" s="1750"/>
      <c r="BK223" s="1750"/>
      <c r="BL223" s="1750"/>
      <c r="BM223" s="1750"/>
      <c r="BN223" s="1750"/>
      <c r="BO223" s="1750"/>
      <c r="BP223" s="1750"/>
      <c r="BQ223" s="1750"/>
      <c r="BR223" s="1750"/>
      <c r="BS223" s="1750"/>
      <c r="BT223" s="1750"/>
      <c r="BU223" s="1750"/>
      <c r="BV223" s="1750"/>
      <c r="BW223" s="1750"/>
      <c r="BX223" s="1750"/>
      <c r="BY223" s="1750"/>
      <c r="BZ223" s="1750"/>
    </row>
    <row r="224" spans="35:78" hidden="1" x14ac:dyDescent="0.3">
      <c r="AI224" s="7"/>
      <c r="AJ224" s="7"/>
      <c r="AK224" s="7"/>
      <c r="BA224" s="1750"/>
      <c r="BB224" s="1750"/>
      <c r="BC224" s="1750"/>
      <c r="BD224" s="1750"/>
      <c r="BE224" s="1750"/>
      <c r="BF224" s="1750"/>
      <c r="BG224" s="1750"/>
      <c r="BH224" s="1750"/>
      <c r="BI224" s="1750"/>
      <c r="BJ224" s="1750"/>
      <c r="BK224" s="1750"/>
      <c r="BL224" s="1750"/>
      <c r="BM224" s="1750"/>
      <c r="BN224" s="1750"/>
      <c r="BO224" s="1750"/>
      <c r="BP224" s="1750"/>
      <c r="BQ224" s="1750"/>
      <c r="BR224" s="1750"/>
      <c r="BS224" s="1750"/>
      <c r="BT224" s="1750"/>
      <c r="BU224" s="1750"/>
      <c r="BV224" s="1750"/>
      <c r="BW224" s="1750"/>
      <c r="BX224" s="1750"/>
      <c r="BY224" s="1750"/>
      <c r="BZ224" s="1750"/>
    </row>
    <row r="225" hidden="1" x14ac:dyDescent="0.3"/>
    <row r="226" hidden="1" x14ac:dyDescent="0.3"/>
    <row r="227" hidden="1" x14ac:dyDescent="0.3"/>
    <row r="228" hidden="1" x14ac:dyDescent="0.3"/>
    <row r="229" hidden="1" x14ac:dyDescent="0.3"/>
    <row r="230" hidden="1" x14ac:dyDescent="0.3"/>
    <row r="231" hidden="1" x14ac:dyDescent="0.3"/>
    <row r="232" hidden="1" x14ac:dyDescent="0.3"/>
    <row r="233" hidden="1" x14ac:dyDescent="0.3"/>
    <row r="234" hidden="1" x14ac:dyDescent="0.3"/>
    <row r="235" hidden="1" x14ac:dyDescent="0.3"/>
    <row r="236" hidden="1" x14ac:dyDescent="0.3"/>
    <row r="237" hidden="1" x14ac:dyDescent="0.3"/>
    <row r="238" hidden="1" x14ac:dyDescent="0.3"/>
    <row r="239" hidden="1" x14ac:dyDescent="0.3"/>
    <row r="240" hidden="1" x14ac:dyDescent="0.3"/>
    <row r="241" hidden="1" x14ac:dyDescent="0.3"/>
    <row r="242" hidden="1" x14ac:dyDescent="0.3"/>
    <row r="243" hidden="1" x14ac:dyDescent="0.3"/>
    <row r="244" hidden="1" x14ac:dyDescent="0.3"/>
    <row r="245" hidden="1" x14ac:dyDescent="0.3"/>
    <row r="246" hidden="1" x14ac:dyDescent="0.3"/>
    <row r="247" hidden="1" x14ac:dyDescent="0.3"/>
    <row r="248" hidden="1" x14ac:dyDescent="0.3"/>
    <row r="249" hidden="1" x14ac:dyDescent="0.3"/>
    <row r="250" hidden="1" x14ac:dyDescent="0.3"/>
    <row r="251" hidden="1" x14ac:dyDescent="0.3"/>
    <row r="252" hidden="1" x14ac:dyDescent="0.3"/>
    <row r="253" hidden="1" x14ac:dyDescent="0.3"/>
    <row r="254" hidden="1" x14ac:dyDescent="0.3"/>
    <row r="255" hidden="1" x14ac:dyDescent="0.3"/>
    <row r="256" hidden="1" x14ac:dyDescent="0.3"/>
    <row r="257" hidden="1" x14ac:dyDescent="0.3"/>
    <row r="258" hidden="1" x14ac:dyDescent="0.3"/>
    <row r="259" hidden="1" x14ac:dyDescent="0.3"/>
    <row r="260" hidden="1" x14ac:dyDescent="0.3"/>
    <row r="261" hidden="1" x14ac:dyDescent="0.3"/>
    <row r="262" hidden="1" x14ac:dyDescent="0.3"/>
    <row r="263" hidden="1" x14ac:dyDescent="0.3"/>
    <row r="264" hidden="1" x14ac:dyDescent="0.3"/>
    <row r="265" hidden="1" x14ac:dyDescent="0.3"/>
    <row r="266" hidden="1" x14ac:dyDescent="0.3"/>
    <row r="267" hidden="1" x14ac:dyDescent="0.3"/>
    <row r="268" hidden="1" x14ac:dyDescent="0.3"/>
    <row r="269" hidden="1" x14ac:dyDescent="0.3"/>
    <row r="270" hidden="1" x14ac:dyDescent="0.3"/>
    <row r="271" hidden="1" x14ac:dyDescent="0.3"/>
    <row r="272" hidden="1" x14ac:dyDescent="0.3"/>
    <row r="273" hidden="1" x14ac:dyDescent="0.3"/>
    <row r="274" hidden="1" x14ac:dyDescent="0.3"/>
    <row r="275" hidden="1" x14ac:dyDescent="0.3"/>
    <row r="276" hidden="1" x14ac:dyDescent="0.3"/>
    <row r="277" hidden="1" x14ac:dyDescent="0.3"/>
    <row r="278" hidden="1" x14ac:dyDescent="0.3"/>
    <row r="279" hidden="1" x14ac:dyDescent="0.3"/>
    <row r="280" hidden="1" x14ac:dyDescent="0.3"/>
    <row r="281" hidden="1" x14ac:dyDescent="0.3"/>
    <row r="282" hidden="1" x14ac:dyDescent="0.3"/>
    <row r="283" hidden="1" x14ac:dyDescent="0.3"/>
    <row r="284" hidden="1" x14ac:dyDescent="0.3"/>
    <row r="285" hidden="1" x14ac:dyDescent="0.3"/>
    <row r="286" hidden="1" x14ac:dyDescent="0.3"/>
    <row r="287" hidden="1" x14ac:dyDescent="0.3"/>
    <row r="288" hidden="1" x14ac:dyDescent="0.3"/>
    <row r="289" hidden="1" x14ac:dyDescent="0.3"/>
    <row r="290" hidden="1" x14ac:dyDescent="0.3"/>
    <row r="291" hidden="1" x14ac:dyDescent="0.3"/>
    <row r="292" hidden="1" x14ac:dyDescent="0.3"/>
    <row r="293" hidden="1" x14ac:dyDescent="0.3"/>
    <row r="294" hidden="1" x14ac:dyDescent="0.3"/>
    <row r="295" hidden="1" x14ac:dyDescent="0.3"/>
    <row r="296" hidden="1" x14ac:dyDescent="0.3"/>
    <row r="297" hidden="1" x14ac:dyDescent="0.3"/>
    <row r="298" hidden="1" x14ac:dyDescent="0.3"/>
    <row r="299" hidden="1" x14ac:dyDescent="0.3"/>
    <row r="300" hidden="1" x14ac:dyDescent="0.3"/>
    <row r="301" hidden="1" x14ac:dyDescent="0.3"/>
    <row r="302" hidden="1" x14ac:dyDescent="0.3"/>
    <row r="303" hidden="1" x14ac:dyDescent="0.3"/>
    <row r="304" hidden="1" x14ac:dyDescent="0.3"/>
    <row r="305" hidden="1" x14ac:dyDescent="0.3"/>
    <row r="306" hidden="1" x14ac:dyDescent="0.3"/>
    <row r="307" hidden="1" x14ac:dyDescent="0.3"/>
    <row r="308" hidden="1" x14ac:dyDescent="0.3"/>
    <row r="309" hidden="1" x14ac:dyDescent="0.3"/>
    <row r="310" hidden="1" x14ac:dyDescent="0.3"/>
    <row r="311" hidden="1" x14ac:dyDescent="0.3"/>
    <row r="312" hidden="1" x14ac:dyDescent="0.3"/>
    <row r="313" hidden="1" x14ac:dyDescent="0.3"/>
    <row r="314" hidden="1" x14ac:dyDescent="0.3"/>
    <row r="315" hidden="1" x14ac:dyDescent="0.3"/>
    <row r="316" hidden="1" x14ac:dyDescent="0.3"/>
    <row r="317" hidden="1" x14ac:dyDescent="0.3"/>
    <row r="318" hidden="1" x14ac:dyDescent="0.3"/>
    <row r="319" hidden="1" x14ac:dyDescent="0.3"/>
    <row r="320" hidden="1" x14ac:dyDescent="0.3"/>
    <row r="321" hidden="1" x14ac:dyDescent="0.3"/>
    <row r="322" hidden="1" x14ac:dyDescent="0.3"/>
    <row r="323" hidden="1" x14ac:dyDescent="0.3"/>
    <row r="324" hidden="1" x14ac:dyDescent="0.3"/>
    <row r="325" hidden="1" x14ac:dyDescent="0.3"/>
    <row r="326" hidden="1" x14ac:dyDescent="0.3"/>
    <row r="327" hidden="1" x14ac:dyDescent="0.3"/>
    <row r="328" hidden="1" x14ac:dyDescent="0.3"/>
    <row r="329" hidden="1" x14ac:dyDescent="0.3"/>
    <row r="330" hidden="1" x14ac:dyDescent="0.3"/>
    <row r="331" hidden="1" x14ac:dyDescent="0.3"/>
    <row r="332" hidden="1" x14ac:dyDescent="0.3"/>
    <row r="333" hidden="1" x14ac:dyDescent="0.3"/>
    <row r="334" hidden="1" x14ac:dyDescent="0.3"/>
    <row r="335" hidden="1" x14ac:dyDescent="0.3"/>
    <row r="336" hidden="1" x14ac:dyDescent="0.3"/>
    <row r="337" hidden="1" x14ac:dyDescent="0.3"/>
    <row r="338" hidden="1" x14ac:dyDescent="0.3"/>
    <row r="339" hidden="1" x14ac:dyDescent="0.3"/>
    <row r="340" hidden="1" x14ac:dyDescent="0.3"/>
    <row r="341" hidden="1" x14ac:dyDescent="0.3"/>
    <row r="342" hidden="1" x14ac:dyDescent="0.3"/>
    <row r="343" hidden="1" x14ac:dyDescent="0.3"/>
    <row r="344" hidden="1" x14ac:dyDescent="0.3"/>
    <row r="345" hidden="1" x14ac:dyDescent="0.3"/>
    <row r="346" hidden="1" x14ac:dyDescent="0.3"/>
    <row r="347" hidden="1" x14ac:dyDescent="0.3"/>
    <row r="348" hidden="1" x14ac:dyDescent="0.3"/>
    <row r="349" hidden="1" x14ac:dyDescent="0.3"/>
    <row r="350" hidden="1" x14ac:dyDescent="0.3"/>
    <row r="351" hidden="1" x14ac:dyDescent="0.3"/>
    <row r="352" hidden="1" x14ac:dyDescent="0.3"/>
    <row r="353" hidden="1" x14ac:dyDescent="0.3"/>
    <row r="354" hidden="1" x14ac:dyDescent="0.3"/>
    <row r="355" hidden="1" x14ac:dyDescent="0.3"/>
    <row r="356" hidden="1" x14ac:dyDescent="0.3"/>
    <row r="357" hidden="1" x14ac:dyDescent="0.3"/>
    <row r="358" hidden="1" x14ac:dyDescent="0.3"/>
    <row r="359" hidden="1" x14ac:dyDescent="0.3"/>
    <row r="360" hidden="1" x14ac:dyDescent="0.3"/>
    <row r="361" hidden="1" x14ac:dyDescent="0.3"/>
    <row r="362" hidden="1" x14ac:dyDescent="0.3"/>
    <row r="363" hidden="1" x14ac:dyDescent="0.3"/>
    <row r="364" hidden="1" x14ac:dyDescent="0.3"/>
    <row r="365" hidden="1" x14ac:dyDescent="0.3"/>
    <row r="366" hidden="1" x14ac:dyDescent="0.3"/>
    <row r="367" hidden="1" x14ac:dyDescent="0.3"/>
    <row r="368" hidden="1" x14ac:dyDescent="0.3"/>
    <row r="369" hidden="1" x14ac:dyDescent="0.3"/>
    <row r="370" hidden="1" x14ac:dyDescent="0.3"/>
    <row r="371" hidden="1" x14ac:dyDescent="0.3"/>
    <row r="372" hidden="1" x14ac:dyDescent="0.3"/>
    <row r="373" hidden="1" x14ac:dyDescent="0.3"/>
    <row r="374" hidden="1" x14ac:dyDescent="0.3"/>
    <row r="375" hidden="1" x14ac:dyDescent="0.3"/>
    <row r="376" hidden="1" x14ac:dyDescent="0.3"/>
    <row r="377" hidden="1" x14ac:dyDescent="0.3"/>
    <row r="378" hidden="1" x14ac:dyDescent="0.3"/>
    <row r="379" hidden="1" x14ac:dyDescent="0.3"/>
    <row r="380" hidden="1" x14ac:dyDescent="0.3"/>
    <row r="381" hidden="1" x14ac:dyDescent="0.3"/>
    <row r="382" hidden="1" x14ac:dyDescent="0.3"/>
    <row r="383" hidden="1" x14ac:dyDescent="0.3"/>
    <row r="384" hidden="1" x14ac:dyDescent="0.3"/>
    <row r="385" hidden="1" x14ac:dyDescent="0.3"/>
    <row r="386" hidden="1" x14ac:dyDescent="0.3"/>
    <row r="387" hidden="1" x14ac:dyDescent="0.3"/>
    <row r="388" hidden="1" x14ac:dyDescent="0.3"/>
    <row r="389" hidden="1" x14ac:dyDescent="0.3"/>
    <row r="390" hidden="1" x14ac:dyDescent="0.3"/>
    <row r="391" hidden="1" x14ac:dyDescent="0.3"/>
    <row r="392" hidden="1" x14ac:dyDescent="0.3"/>
    <row r="393" hidden="1" x14ac:dyDescent="0.3"/>
    <row r="394" hidden="1" x14ac:dyDescent="0.3"/>
    <row r="395" hidden="1" x14ac:dyDescent="0.3"/>
    <row r="396" hidden="1" x14ac:dyDescent="0.3"/>
    <row r="397" hidden="1" x14ac:dyDescent="0.3"/>
    <row r="398" hidden="1" x14ac:dyDescent="0.3"/>
    <row r="399" hidden="1" x14ac:dyDescent="0.3"/>
    <row r="400" hidden="1" x14ac:dyDescent="0.3"/>
    <row r="401" hidden="1" x14ac:dyDescent="0.3"/>
    <row r="402" hidden="1" x14ac:dyDescent="0.3"/>
    <row r="403" hidden="1" x14ac:dyDescent="0.3"/>
    <row r="404" hidden="1" x14ac:dyDescent="0.3"/>
    <row r="405" hidden="1" x14ac:dyDescent="0.3"/>
    <row r="406" hidden="1" x14ac:dyDescent="0.3"/>
    <row r="407" hidden="1" x14ac:dyDescent="0.3"/>
    <row r="408" hidden="1" x14ac:dyDescent="0.3"/>
    <row r="409" hidden="1" x14ac:dyDescent="0.3"/>
    <row r="410" hidden="1" x14ac:dyDescent="0.3"/>
    <row r="411" hidden="1" x14ac:dyDescent="0.3"/>
    <row r="412" hidden="1" x14ac:dyDescent="0.3"/>
    <row r="413" hidden="1" x14ac:dyDescent="0.3"/>
    <row r="414" hidden="1" x14ac:dyDescent="0.3"/>
    <row r="415" hidden="1" x14ac:dyDescent="0.3"/>
    <row r="416" hidden="1" x14ac:dyDescent="0.3"/>
    <row r="417" hidden="1" x14ac:dyDescent="0.3"/>
    <row r="418" hidden="1" x14ac:dyDescent="0.3"/>
    <row r="419" hidden="1" x14ac:dyDescent="0.3"/>
    <row r="420" hidden="1" x14ac:dyDescent="0.3"/>
    <row r="421" hidden="1" x14ac:dyDescent="0.3"/>
    <row r="422" hidden="1" x14ac:dyDescent="0.3"/>
    <row r="423" hidden="1" x14ac:dyDescent="0.3"/>
    <row r="424" hidden="1" x14ac:dyDescent="0.3"/>
    <row r="425" hidden="1" x14ac:dyDescent="0.3"/>
    <row r="426" hidden="1" x14ac:dyDescent="0.3"/>
    <row r="427" hidden="1" x14ac:dyDescent="0.3"/>
    <row r="428" hidden="1" x14ac:dyDescent="0.3"/>
    <row r="429" hidden="1" x14ac:dyDescent="0.3"/>
    <row r="430" hidden="1" x14ac:dyDescent="0.3"/>
    <row r="431" hidden="1" x14ac:dyDescent="0.3"/>
    <row r="432" hidden="1" x14ac:dyDescent="0.3"/>
    <row r="433" hidden="1" x14ac:dyDescent="0.3"/>
    <row r="434" hidden="1" x14ac:dyDescent="0.3"/>
    <row r="435" hidden="1" x14ac:dyDescent="0.3"/>
    <row r="436" hidden="1" x14ac:dyDescent="0.3"/>
    <row r="437" hidden="1" x14ac:dyDescent="0.3"/>
    <row r="438" hidden="1" x14ac:dyDescent="0.3"/>
    <row r="439" hidden="1" x14ac:dyDescent="0.3"/>
    <row r="440" hidden="1" x14ac:dyDescent="0.3"/>
    <row r="441" hidden="1" x14ac:dyDescent="0.3"/>
    <row r="442" hidden="1" x14ac:dyDescent="0.3"/>
    <row r="443" hidden="1" x14ac:dyDescent="0.3"/>
    <row r="444" hidden="1" x14ac:dyDescent="0.3"/>
    <row r="445" hidden="1" x14ac:dyDescent="0.3"/>
    <row r="446" hidden="1" x14ac:dyDescent="0.3"/>
    <row r="447" hidden="1" x14ac:dyDescent="0.3"/>
    <row r="448" hidden="1" x14ac:dyDescent="0.3"/>
    <row r="449" hidden="1" x14ac:dyDescent="0.3"/>
    <row r="450" hidden="1" x14ac:dyDescent="0.3"/>
    <row r="451" hidden="1" x14ac:dyDescent="0.3"/>
    <row r="452" hidden="1" x14ac:dyDescent="0.3"/>
    <row r="453" hidden="1" x14ac:dyDescent="0.3"/>
    <row r="454" hidden="1" x14ac:dyDescent="0.3"/>
    <row r="455" hidden="1" x14ac:dyDescent="0.3"/>
    <row r="456" hidden="1" x14ac:dyDescent="0.3"/>
    <row r="457" hidden="1" x14ac:dyDescent="0.3"/>
    <row r="458" hidden="1" x14ac:dyDescent="0.3"/>
  </sheetData>
  <sheetProtection algorithmName="SHA-512" hashValue="YZf2D2qGUvUic9XqPZ+/OAbsKhL7NguF4zjxhDnEt9YzXDKudsFoOREBfEpGwqcTPmWfoZT874uspHwTx+BpWg==" saltValue="cftCUe7pgLRFnhThxDEEVw==" spinCount="100000" sheet="1" objects="1" scenarios="1"/>
  <protectedRanges>
    <protectedRange sqref="B132 B135 D138:D161" name="Range1"/>
  </protectedRanges>
  <mergeCells count="16">
    <mergeCell ref="B133:B134"/>
    <mergeCell ref="AN135:AO135"/>
    <mergeCell ref="BB49:BC49"/>
    <mergeCell ref="BM57:BN57"/>
    <mergeCell ref="CB57:CC57"/>
    <mergeCell ref="BB51:BC51"/>
    <mergeCell ref="BZ51:CA51"/>
    <mergeCell ref="BM54:BN54"/>
    <mergeCell ref="BG195:BI195"/>
    <mergeCell ref="BG197:BH197"/>
    <mergeCell ref="BS197:BT197"/>
    <mergeCell ref="CB50:CL51"/>
    <mergeCell ref="BB53:BL54"/>
    <mergeCell ref="BB56:BL57"/>
    <mergeCell ref="CD56:CL57"/>
    <mergeCell ref="CK54:CL54"/>
  </mergeCells>
  <conditionalFormatting sqref="E134:G134">
    <cfRule type="cellIs" dxfId="1209" priority="76" stopIfTrue="1" operator="equal">
      <formula>"USE EXBAR VR AT THE BACK"</formula>
    </cfRule>
  </conditionalFormatting>
  <conditionalFormatting sqref="E133:G133 E134">
    <cfRule type="cellIs" dxfId="1208" priority="75" stopIfTrue="1" operator="equal">
      <formula>"USE EXBAR VR AT THE FRONT"</formula>
    </cfRule>
  </conditionalFormatting>
  <conditionalFormatting sqref="W138 AL138:AO138 F139 D138:G138">
    <cfRule type="expression" dxfId="1207" priority="69" stopIfTrue="1">
      <formula>$B$135&lt;1</formula>
    </cfRule>
  </conditionalFormatting>
  <conditionalFormatting sqref="W139 AL139:AO139 D139:G139 E140:E155">
    <cfRule type="expression" dxfId="1206" priority="68" stopIfTrue="1">
      <formula>$B$135&lt;2</formula>
    </cfRule>
  </conditionalFormatting>
  <conditionalFormatting sqref="W140 AL140:AO140 D140:G140">
    <cfRule type="expression" dxfId="1205" priority="67" stopIfTrue="1">
      <formula>$B$135&lt;3</formula>
    </cfRule>
  </conditionalFormatting>
  <conditionalFormatting sqref="W141 AL141:AO141 D141:G141">
    <cfRule type="expression" dxfId="1204" priority="66" stopIfTrue="1">
      <formula>$B$135&lt;4</formula>
    </cfRule>
  </conditionalFormatting>
  <conditionalFormatting sqref="W142 AL142:AO142 D142:G142">
    <cfRule type="expression" dxfId="1203" priority="65" stopIfTrue="1">
      <formula>$B$135&lt;5</formula>
    </cfRule>
  </conditionalFormatting>
  <conditionalFormatting sqref="W143 AL143:AO143 D143:G143">
    <cfRule type="expression" dxfId="1202" priority="64">
      <formula>$B$135&lt;6</formula>
    </cfRule>
  </conditionalFormatting>
  <conditionalFormatting sqref="W144 AL144:AO144 D144:G144">
    <cfRule type="expression" dxfId="1201" priority="63">
      <formula>$B$135&lt;7</formula>
    </cfRule>
  </conditionalFormatting>
  <conditionalFormatting sqref="W145 AL145:AO145 D145:G145">
    <cfRule type="expression" dxfId="1200" priority="62">
      <formula>$B$135&lt;8</formula>
    </cfRule>
  </conditionalFormatting>
  <conditionalFormatting sqref="W146 AL146:AO146 D146:G146">
    <cfRule type="expression" dxfId="1199" priority="61">
      <formula>$B$135&lt;9</formula>
    </cfRule>
  </conditionalFormatting>
  <conditionalFormatting sqref="W147 AL147:AO147 D147:G147">
    <cfRule type="expression" dxfId="1198" priority="60">
      <formula>$B$135&lt;10</formula>
    </cfRule>
  </conditionalFormatting>
  <conditionalFormatting sqref="W148 AL148:AO148 D148:G148">
    <cfRule type="expression" dxfId="1197" priority="59">
      <formula>$B$135&lt;11</formula>
    </cfRule>
  </conditionalFormatting>
  <conditionalFormatting sqref="W149 AL149:AO149 D149:G149">
    <cfRule type="expression" dxfId="1196" priority="58">
      <formula>$B$135&lt;12</formula>
    </cfRule>
  </conditionalFormatting>
  <conditionalFormatting sqref="W150 AL150:AO150 D150:G150">
    <cfRule type="expression" dxfId="1195" priority="57">
      <formula>$B$135&lt;13</formula>
    </cfRule>
  </conditionalFormatting>
  <conditionalFormatting sqref="W151 AL151:AO151 D151:G151">
    <cfRule type="expression" dxfId="1194" priority="56">
      <formula>$B$135&lt;14</formula>
    </cfRule>
  </conditionalFormatting>
  <conditionalFormatting sqref="W152 AL152:AO152 D152:G152">
    <cfRule type="expression" dxfId="1193" priority="55">
      <formula>$B$135&lt;15</formula>
    </cfRule>
  </conditionalFormatting>
  <conditionalFormatting sqref="W153 AL153:AO153 D153:G153">
    <cfRule type="expression" dxfId="1192" priority="54">
      <formula>$B$135&lt;16</formula>
    </cfRule>
  </conditionalFormatting>
  <conditionalFormatting sqref="W154 AL154:AO154 D154:G154">
    <cfRule type="expression" dxfId="1191" priority="51">
      <formula>$B$135&lt;17</formula>
    </cfRule>
  </conditionalFormatting>
  <conditionalFormatting sqref="W155 AL155:AO155 D155:G155">
    <cfRule type="expression" dxfId="1190" priority="49">
      <formula>$B$135&lt;18</formula>
    </cfRule>
  </conditionalFormatting>
  <conditionalFormatting sqref="D131:G132">
    <cfRule type="cellIs" dxfId="1189" priority="53" stopIfTrue="1" operator="equal">
      <formula>"change the angle of frame or of cabinets"</formula>
    </cfRule>
  </conditionalFormatting>
  <conditionalFormatting sqref="B138:B161">
    <cfRule type="cellIs" dxfId="1188" priority="52" stopIfTrue="1" operator="greaterThan">
      <formula>$B$135</formula>
    </cfRule>
  </conditionalFormatting>
  <conditionalFormatting sqref="W138:W155">
    <cfRule type="cellIs" dxfId="1187" priority="71" stopIfTrue="1" operator="equal">
      <formula>"pin in groundstacking hole"</formula>
    </cfRule>
  </conditionalFormatting>
  <conditionalFormatting sqref="AN138:AO155">
    <cfRule type="cellIs" dxfId="1186" priority="50" stopIfTrue="1" operator="lessThan">
      <formula>10</formula>
    </cfRule>
  </conditionalFormatting>
  <conditionalFormatting sqref="D138:D155">
    <cfRule type="cellIs" dxfId="1185" priority="70" stopIfTrue="1" operator="notEqual">
      <formula>0</formula>
    </cfRule>
  </conditionalFormatting>
  <conditionalFormatting sqref="E137">
    <cfRule type="cellIs" dxfId="1184" priority="46" stopIfTrue="1" operator="equal">
      <formula>"USE EXBAR VR AT THE BACK"</formula>
    </cfRule>
  </conditionalFormatting>
  <conditionalFormatting sqref="E137">
    <cfRule type="cellIs" dxfId="1183" priority="45" stopIfTrue="1" operator="equal">
      <formula>"USE EXBAR VR AT THE FRONT"</formula>
    </cfRule>
  </conditionalFormatting>
  <conditionalFormatting sqref="D156:D161">
    <cfRule type="cellIs" dxfId="1182" priority="38" stopIfTrue="1" operator="notEqual">
      <formula>0</formula>
    </cfRule>
  </conditionalFormatting>
  <conditionalFormatting sqref="E156:E161">
    <cfRule type="expression" dxfId="1181" priority="37" stopIfTrue="1">
      <formula>$B$135&lt;2</formula>
    </cfRule>
  </conditionalFormatting>
  <conditionalFormatting sqref="W156:W161">
    <cfRule type="cellIs" dxfId="1180" priority="36" stopIfTrue="1" operator="equal">
      <formula>"pin in groundstacking hole"</formula>
    </cfRule>
  </conditionalFormatting>
  <conditionalFormatting sqref="D157:AO157">
    <cfRule type="expression" dxfId="1179" priority="34">
      <formula>$B$135&lt;20</formula>
    </cfRule>
  </conditionalFormatting>
  <conditionalFormatting sqref="AN156:AO161">
    <cfRule type="cellIs" dxfId="1178" priority="35" stopIfTrue="1" operator="lessThan">
      <formula>10</formula>
    </cfRule>
  </conditionalFormatting>
  <conditionalFormatting sqref="D156:AO156">
    <cfRule type="expression" dxfId="1177" priority="33">
      <formula>$B$135&lt;19</formula>
    </cfRule>
  </conditionalFormatting>
  <conditionalFormatting sqref="D158:AO158">
    <cfRule type="expression" dxfId="1176" priority="32">
      <formula>$B$135&lt;21</formula>
    </cfRule>
  </conditionalFormatting>
  <conditionalFormatting sqref="D159:AO159">
    <cfRule type="expression" dxfId="1175" priority="31">
      <formula>$B$135&lt;22</formula>
    </cfRule>
  </conditionalFormatting>
  <conditionalFormatting sqref="D160:AO160">
    <cfRule type="expression" dxfId="1174" priority="30">
      <formula>$B$135&lt;23</formula>
    </cfRule>
  </conditionalFormatting>
  <conditionalFormatting sqref="D161:AO161">
    <cfRule type="expression" dxfId="1173" priority="29">
      <formula>$B$135&lt;24</formula>
    </cfRule>
  </conditionalFormatting>
  <conditionalFormatting sqref="BB126:BR126">
    <cfRule type="expression" dxfId="1172" priority="22">
      <formula>$B$132=0</formula>
    </cfRule>
  </conditionalFormatting>
  <conditionalFormatting sqref="BM80:CC80">
    <cfRule type="cellIs" dxfId="1171" priority="18" operator="equal">
      <formula>0</formula>
    </cfRule>
    <cfRule type="expression" dxfId="1170" priority="21">
      <formula>$B$132=0</formula>
    </cfRule>
  </conditionalFormatting>
  <conditionalFormatting sqref="AY127 AZ126:AZ127 AY81 AZ80:AZ81">
    <cfRule type="expression" dxfId="1169" priority="1">
      <formula>$B$132&lt;&gt;0</formula>
    </cfRule>
  </conditionalFormatting>
  <conditionalFormatting sqref="BV126:CL126">
    <cfRule type="expression" dxfId="1168" priority="19">
      <formula>$B$132=0</formula>
    </cfRule>
  </conditionalFormatting>
  <conditionalFormatting sqref="D133">
    <cfRule type="cellIs" dxfId="1167" priority="17" stopIfTrue="1" operator="equal">
      <formula>"USE EXBAR AR AT THE FRONT"</formula>
    </cfRule>
  </conditionalFormatting>
  <conditionalFormatting sqref="D134">
    <cfRule type="cellIs" dxfId="1166" priority="16" stopIfTrue="1" operator="equal">
      <formula>"USE EXBAR AR AT THE BACK"</formula>
    </cfRule>
  </conditionalFormatting>
  <conditionalFormatting sqref="AY51">
    <cfRule type="cellIs" dxfId="1165" priority="14" operator="equal">
      <formula>"""OK"""</formula>
    </cfRule>
    <cfRule type="cellIs" dxfId="1164" priority="15" stopIfTrue="1" operator="equal">
      <formula>"overload"</formula>
    </cfRule>
  </conditionalFormatting>
  <conditionalFormatting sqref="AY50">
    <cfRule type="cellIs" dxfId="1163" priority="12" operator="equal">
      <formula>"""OK"""</formula>
    </cfRule>
    <cfRule type="cellIs" dxfId="1162" priority="13" stopIfTrue="1" operator="equal">
      <formula>"negative force at the motor"</formula>
    </cfRule>
  </conditionalFormatting>
  <conditionalFormatting sqref="AY54">
    <cfRule type="cellIs" dxfId="1161" priority="10" operator="equal">
      <formula>"""OK"""</formula>
    </cfRule>
    <cfRule type="cellIs" dxfId="1160" priority="11" stopIfTrue="1" operator="equal">
      <formula>"overload"</formula>
    </cfRule>
  </conditionalFormatting>
  <conditionalFormatting sqref="AY53">
    <cfRule type="cellIs" dxfId="1159" priority="8" operator="equal">
      <formula>"""OK"""</formula>
    </cfRule>
    <cfRule type="cellIs" dxfId="1158" priority="9" stopIfTrue="1" operator="equal">
      <formula>"negative force at the motor"</formula>
    </cfRule>
  </conditionalFormatting>
  <conditionalFormatting sqref="AY57">
    <cfRule type="cellIs" dxfId="1157" priority="6" operator="equal">
      <formula>"""OK"""</formula>
    </cfRule>
    <cfRule type="cellIs" dxfId="1156" priority="7" stopIfTrue="1" operator="equal">
      <formula>"overload"</formula>
    </cfRule>
  </conditionalFormatting>
  <conditionalFormatting sqref="AY56">
    <cfRule type="cellIs" dxfId="1155" priority="4" operator="equal">
      <formula>"""OK"""</formula>
    </cfRule>
    <cfRule type="cellIs" dxfId="1154" priority="5" stopIfTrue="1" operator="equal">
      <formula>"negative force at the motor"</formula>
    </cfRule>
  </conditionalFormatting>
  <conditionalFormatting sqref="AY86">
    <cfRule type="cellIs" dxfId="1153" priority="2" operator="equal">
      <formula>"""OK"""</formula>
    </cfRule>
    <cfRule type="cellIs" dxfId="1152" priority="3" stopIfTrue="1" operator="equal">
      <formula>"overload"</formula>
    </cfRule>
  </conditionalFormatting>
  <conditionalFormatting sqref="AY81 AY127">
    <cfRule type="cellIs" dxfId="1151" priority="20" operator="equal">
      <formula>"overload"</formula>
    </cfRule>
  </conditionalFormatting>
  <dataValidations count="6">
    <dataValidation type="decimal" allowBlank="1" showInputMessage="1" showErrorMessage="1" sqref="B132" xr:uid="{00000000-0002-0000-0200-000000000000}">
      <formula1>-89.9</formula1>
      <formula2>89.9</formula2>
    </dataValidation>
    <dataValidation type="whole" allowBlank="1" showInputMessage="1" showErrorMessage="1" errorTitle="Coda Audio" error="YOU HAVE ENTERED A WRONG NUMBER OF CABINETS" promptTitle="Coda Audio" prompt="ENTER THE NUMBER OF CABINETS FROM 1 UP TO 18" sqref="B135" xr:uid="{00000000-0002-0000-0200-000001000000}">
      <formula1>1</formula1>
      <formula2>24</formula2>
    </dataValidation>
    <dataValidation type="decimal" allowBlank="1" showInputMessage="1" showErrorMessage="1" sqref="F138:G138" xr:uid="{00000000-0002-0000-0200-000002000000}">
      <formula1>0</formula1>
      <formula2>4</formula2>
    </dataValidation>
    <dataValidation type="decimal" allowBlank="1" showInputMessage="1" showErrorMessage="1" sqref="G139:G161 F140:F161" xr:uid="{00000000-0002-0000-0200-000003000000}">
      <formula1>0</formula1>
      <formula2>8</formula2>
    </dataValidation>
    <dataValidation type="whole" allowBlank="1" showInputMessage="1" showErrorMessage="1" sqref="D138" xr:uid="{00000000-0002-0000-0200-000004000000}">
      <formula1>0</formula1>
      <formula2>5</formula2>
    </dataValidation>
    <dataValidation type="whole" allowBlank="1" showInputMessage="1" showErrorMessage="1" sqref="D139:D161" xr:uid="{00000000-0002-0000-0200-000005000000}">
      <formula1>0</formula1>
      <formula2>10</formula2>
    </dataValidation>
  </dataValidations>
  <pageMargins left="0.75" right="0.75" top="1" bottom="1" header="0.5" footer="0.5"/>
  <pageSetup paperSize="9" orientation="portrait" horizontalDpi="4294967293" verticalDpi="200" r:id="rId1"/>
  <headerFooter alignWithMargins="0"/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3" tint="0.39997558519241921"/>
  </sheetPr>
  <dimension ref="A1:CP233"/>
  <sheetViews>
    <sheetView topLeftCell="A49" zoomScale="50" zoomScaleNormal="50" workbookViewId="0">
      <selection activeCell="B137" sqref="B137:B138"/>
    </sheetView>
  </sheetViews>
  <sheetFormatPr baseColWidth="10" defaultColWidth="8.88671875" defaultRowHeight="15.6" x14ac:dyDescent="0.3"/>
  <cols>
    <col min="1" max="1" width="3" customWidth="1"/>
    <col min="2" max="2" width="38.109375" style="13" customWidth="1"/>
    <col min="3" max="3" width="19.5546875" style="13" hidden="1" customWidth="1"/>
    <col min="4" max="4" width="37.33203125" style="19" bestFit="1" customWidth="1"/>
    <col min="5" max="5" width="23.44140625" style="19" customWidth="1"/>
    <col min="6" max="6" width="75.6640625" style="19" hidden="1" customWidth="1"/>
    <col min="7" max="7" width="8.88671875" style="19" hidden="1" customWidth="1"/>
    <col min="8" max="8" width="7.44140625" hidden="1" customWidth="1"/>
    <col min="9" max="11" width="11.5546875" hidden="1" customWidth="1"/>
    <col min="12" max="12" width="12.5546875" hidden="1" customWidth="1"/>
    <col min="13" max="13" width="13.44140625" hidden="1" customWidth="1"/>
    <col min="14" max="14" width="12.5546875" hidden="1" customWidth="1"/>
    <col min="15" max="15" width="7" hidden="1" customWidth="1"/>
    <col min="16" max="17" width="12.5546875" hidden="1" customWidth="1"/>
    <col min="18" max="18" width="24.44140625" hidden="1" customWidth="1"/>
    <col min="19" max="19" width="12.5546875" hidden="1" customWidth="1"/>
    <col min="20" max="20" width="18.6640625" hidden="1" customWidth="1"/>
    <col min="21" max="21" width="18.109375" hidden="1" customWidth="1"/>
    <col min="22" max="22" width="15.5546875" hidden="1" customWidth="1"/>
    <col min="23" max="23" width="36" customWidth="1"/>
    <col min="24" max="24" width="21.109375" hidden="1" customWidth="1"/>
    <col min="25" max="25" width="11.88671875" hidden="1" customWidth="1"/>
    <col min="26" max="26" width="15" hidden="1" customWidth="1"/>
    <col min="27" max="27" width="16.33203125" hidden="1" customWidth="1"/>
    <col min="28" max="28" width="21.6640625" hidden="1" customWidth="1"/>
    <col min="29" max="29" width="15" hidden="1" customWidth="1"/>
    <col min="30" max="31" width="16.33203125" hidden="1" customWidth="1"/>
    <col min="32" max="32" width="14.109375" hidden="1" customWidth="1"/>
    <col min="33" max="33" width="15" hidden="1" customWidth="1"/>
    <col min="34" max="34" width="17" hidden="1" customWidth="1"/>
    <col min="35" max="35" width="16.33203125" hidden="1" customWidth="1"/>
    <col min="36" max="37" width="17" hidden="1" customWidth="1"/>
    <col min="38" max="39" width="10" hidden="1" customWidth="1"/>
    <col min="40" max="41" width="11.88671875" customWidth="1"/>
    <col min="42" max="42" width="9.44140625" hidden="1" customWidth="1"/>
    <col min="43" max="48" width="4.88671875" style="1550" hidden="1" customWidth="1"/>
    <col min="49" max="49" width="14" style="1550" hidden="1" customWidth="1"/>
    <col min="50" max="50" width="9.33203125" style="1550" hidden="1" customWidth="1"/>
    <col min="51" max="51" width="24.88671875" style="1550" bestFit="1" customWidth="1"/>
    <col min="52" max="52" width="35.109375" style="1550" customWidth="1"/>
    <col min="53" max="53" width="43.5546875" style="1550" customWidth="1"/>
    <col min="54" max="90" width="7.109375" style="1550" customWidth="1"/>
    <col min="91" max="91" width="7.6640625" style="1550" customWidth="1"/>
    <col min="92" max="92" width="16" style="1550" customWidth="1"/>
    <col min="93" max="93" width="40.88671875" style="1550" bestFit="1" customWidth="1"/>
    <col min="94" max="94" width="40.88671875" bestFit="1" customWidth="1"/>
    <col min="95" max="95" width="9.109375" customWidth="1"/>
    <col min="96" max="96" width="11.44140625" customWidth="1"/>
    <col min="97" max="118" width="9.109375" customWidth="1"/>
  </cols>
  <sheetData>
    <row r="1" spans="1:93" ht="21" hidden="1" x14ac:dyDescent="0.4">
      <c r="A1" s="1499"/>
      <c r="B1" s="1500"/>
      <c r="C1" s="1500"/>
      <c r="D1" s="1501" t="s">
        <v>202</v>
      </c>
      <c r="E1" s="1501" t="s">
        <v>203</v>
      </c>
      <c r="F1" s="1502" t="s">
        <v>204</v>
      </c>
    </row>
    <row r="2" spans="1:93" ht="29.25" hidden="1" customHeight="1" x14ac:dyDescent="0.4">
      <c r="A2" s="1503"/>
      <c r="B2" s="1504" t="s">
        <v>29</v>
      </c>
      <c r="C2" s="1526">
        <v>688</v>
      </c>
      <c r="D2" s="1527">
        <f>+COS(($B$136*-1)*3.14159265358979/180)*C2</f>
        <v>688</v>
      </c>
      <c r="E2" s="1528">
        <f>+COS(($B$136*-1)*3.14159265358979/180)*43</f>
        <v>43</v>
      </c>
      <c r="F2" s="1529">
        <f>+COS((($B$136*-1)+72.969997)*3.14159265358979/180)*162.1867</f>
        <v>47.500013702602963</v>
      </c>
    </row>
    <row r="3" spans="1:93" ht="37.5" hidden="1" customHeight="1" x14ac:dyDescent="0.4">
      <c r="A3" s="1503"/>
      <c r="B3" s="1504" t="s">
        <v>69</v>
      </c>
      <c r="C3" s="1530">
        <f>+C15-47.5</f>
        <v>99</v>
      </c>
      <c r="D3" s="750">
        <f>+C15-F2</f>
        <v>98.999986297397044</v>
      </c>
      <c r="E3" s="1505"/>
      <c r="F3" s="1506"/>
    </row>
    <row r="4" spans="1:93" ht="37.5" hidden="1" customHeight="1" x14ac:dyDescent="0.4">
      <c r="A4" s="1503"/>
      <c r="B4" s="1507" t="s">
        <v>40</v>
      </c>
      <c r="C4" s="1778">
        <v>1075</v>
      </c>
      <c r="D4" s="1527">
        <f>+COS(($B$136*-1)*3.14159265358979/180)*C4</f>
        <v>1075</v>
      </c>
      <c r="E4" s="1505"/>
      <c r="F4" s="1506"/>
    </row>
    <row r="5" spans="1:93" ht="51" hidden="1" customHeight="1" x14ac:dyDescent="0.4">
      <c r="A5" s="1503"/>
      <c r="B5" s="1777" t="s">
        <v>238</v>
      </c>
      <c r="C5" s="1779">
        <f>+C15+425.5</f>
        <v>572</v>
      </c>
      <c r="D5" s="750">
        <f>+(COS(($B$136*-1)*3.14159265358979/180)*400)+$D$3</f>
        <v>498.99998629739707</v>
      </c>
      <c r="E5" s="1505"/>
      <c r="F5" s="1506"/>
    </row>
    <row r="6" spans="1:93" s="14" customFormat="1" ht="29.25" hidden="1" customHeight="1" x14ac:dyDescent="0.4">
      <c r="A6" s="1508"/>
      <c r="B6" s="1509"/>
      <c r="C6" s="1510"/>
      <c r="D6" s="1505"/>
      <c r="E6" s="1505"/>
      <c r="F6" s="1506"/>
      <c r="G6" s="19"/>
      <c r="AQ6" s="1551"/>
      <c r="AR6" s="1551"/>
      <c r="AS6" s="1551"/>
      <c r="AT6" s="1551"/>
      <c r="AU6" s="1551"/>
      <c r="AV6" s="1551"/>
      <c r="AW6" s="1551"/>
      <c r="AX6" s="1551"/>
      <c r="AY6" s="1551"/>
      <c r="AZ6" s="1551"/>
      <c r="BA6" s="1551"/>
      <c r="BB6" s="1551"/>
      <c r="BC6" s="1551"/>
      <c r="BD6" s="1551"/>
      <c r="BE6" s="1551"/>
      <c r="BF6" s="1551"/>
      <c r="BG6" s="1551"/>
      <c r="BH6" s="1551"/>
      <c r="BI6" s="1551"/>
      <c r="BJ6" s="1551"/>
      <c r="BK6" s="1551"/>
      <c r="BL6" s="1551"/>
      <c r="BM6" s="1551"/>
      <c r="BN6" s="1551"/>
      <c r="BO6" s="1551"/>
      <c r="BP6" s="1551"/>
      <c r="BQ6" s="1551"/>
      <c r="BR6" s="1551"/>
      <c r="BS6" s="1551"/>
      <c r="BT6" s="1551"/>
      <c r="BU6" s="1551"/>
      <c r="BV6" s="1551"/>
      <c r="BW6" s="1551"/>
      <c r="BX6" s="1551"/>
      <c r="BY6" s="1551"/>
      <c r="BZ6" s="1551"/>
      <c r="CA6" s="1551"/>
      <c r="CB6" s="1551"/>
      <c r="CC6" s="1551"/>
      <c r="CD6" s="1551"/>
      <c r="CE6" s="1551"/>
      <c r="CF6" s="1551"/>
      <c r="CG6" s="1551"/>
      <c r="CH6" s="1551"/>
      <c r="CI6" s="1551"/>
      <c r="CJ6" s="1551"/>
      <c r="CK6" s="1551"/>
      <c r="CL6" s="1551"/>
      <c r="CM6" s="1551"/>
      <c r="CN6" s="1551"/>
      <c r="CO6" s="1551"/>
    </row>
    <row r="7" spans="1:93" ht="29.25" hidden="1" customHeight="1" x14ac:dyDescent="0.35">
      <c r="A7" s="1503"/>
      <c r="B7" s="1511" t="s">
        <v>21</v>
      </c>
      <c r="C7" s="1512">
        <v>5800</v>
      </c>
      <c r="D7" s="1512">
        <v>10000</v>
      </c>
      <c r="E7" s="1505"/>
      <c r="F7" s="1506"/>
    </row>
    <row r="8" spans="1:93" ht="29.25" hidden="1" customHeight="1" x14ac:dyDescent="0.35">
      <c r="A8" s="1503"/>
      <c r="B8" s="1511" t="s">
        <v>167</v>
      </c>
      <c r="C8" s="1512">
        <v>5000</v>
      </c>
      <c r="D8" s="1512">
        <v>8000</v>
      </c>
      <c r="E8" s="1505"/>
      <c r="F8" s="1506"/>
    </row>
    <row r="9" spans="1:93" ht="29.25" hidden="1" customHeight="1" x14ac:dyDescent="0.4">
      <c r="A9" s="1503"/>
      <c r="B9" s="1512"/>
      <c r="C9" s="1513" t="s">
        <v>22</v>
      </c>
      <c r="D9" s="1513" t="s">
        <v>23</v>
      </c>
      <c r="E9" s="1505"/>
      <c r="F9" s="1506"/>
    </row>
    <row r="10" spans="1:93" ht="29.25" hidden="1" customHeight="1" x14ac:dyDescent="0.35">
      <c r="A10" s="1503"/>
      <c r="B10" s="1512" t="s">
        <v>17</v>
      </c>
      <c r="C10" s="1514">
        <f>+((C13-C15)/C13)*C12</f>
        <v>43.839406001224745</v>
      </c>
      <c r="D10" s="1514">
        <f>+(C15/C13)*C12</f>
        <v>35.660593998775255</v>
      </c>
      <c r="E10" s="1505"/>
      <c r="F10" s="1506"/>
    </row>
    <row r="11" spans="1:93" s="14" customFormat="1" ht="29.25" hidden="1" customHeight="1" x14ac:dyDescent="0.4">
      <c r="A11" s="1508"/>
      <c r="B11" s="1509"/>
      <c r="C11" s="1510"/>
      <c r="D11" s="1505"/>
      <c r="E11" s="1505"/>
      <c r="F11" s="1515" t="s">
        <v>237</v>
      </c>
      <c r="G11" s="19"/>
      <c r="AQ11" s="1551"/>
      <c r="AR11" s="1551"/>
      <c r="AS11" s="1551"/>
      <c r="AT11" s="1551"/>
      <c r="AU11" s="1551"/>
      <c r="AV11" s="1551"/>
      <c r="AW11" s="1551"/>
      <c r="AX11" s="1551"/>
      <c r="AY11" s="1551"/>
      <c r="AZ11" s="1551"/>
      <c r="BA11" s="1551"/>
      <c r="BB11" s="1551"/>
      <c r="BC11" s="1551"/>
      <c r="BD11" s="1551"/>
      <c r="BE11" s="1551"/>
      <c r="BF11" s="1551"/>
      <c r="BG11" s="1551"/>
      <c r="BH11" s="1551"/>
      <c r="BI11" s="1551"/>
      <c r="BJ11" s="1551"/>
      <c r="BK11" s="1551"/>
      <c r="BL11" s="1551"/>
      <c r="BM11" s="1551"/>
      <c r="BN11" s="1551"/>
      <c r="BO11" s="1551"/>
      <c r="BP11" s="1551"/>
      <c r="BQ11" s="1551"/>
      <c r="BR11" s="1551"/>
      <c r="BS11" s="1551"/>
      <c r="BT11" s="1551"/>
      <c r="BU11" s="1551"/>
      <c r="BV11" s="1551"/>
      <c r="BW11" s="1551"/>
      <c r="BX11" s="1551"/>
      <c r="BY11" s="1551"/>
      <c r="BZ11" s="1551"/>
      <c r="CA11" s="1551"/>
      <c r="CB11" s="1551"/>
      <c r="CC11" s="1551"/>
      <c r="CD11" s="1551"/>
      <c r="CE11" s="1551"/>
      <c r="CF11" s="1551"/>
      <c r="CG11" s="1551"/>
      <c r="CH11" s="1551"/>
      <c r="CI11" s="1551"/>
      <c r="CJ11" s="1551"/>
      <c r="CK11" s="1551"/>
      <c r="CL11" s="1551"/>
      <c r="CM11" s="1551"/>
      <c r="CN11" s="1551"/>
      <c r="CO11" s="1551"/>
    </row>
    <row r="12" spans="1:93" ht="29.25" hidden="1" customHeight="1" x14ac:dyDescent="0.4">
      <c r="A12" s="1503"/>
      <c r="B12" s="1516" t="s">
        <v>74</v>
      </c>
      <c r="C12" s="1532">
        <f>+(B139*25.5)+19+4.5+0.5+30</f>
        <v>79.5</v>
      </c>
      <c r="D12" s="1505"/>
      <c r="E12" s="1505"/>
      <c r="F12" s="1515" t="s">
        <v>71</v>
      </c>
    </row>
    <row r="13" spans="1:93" ht="29.25" hidden="1" customHeight="1" x14ac:dyDescent="0.4">
      <c r="A13" s="1503"/>
      <c r="B13" s="1518" t="s">
        <v>75</v>
      </c>
      <c r="C13" s="1517">
        <v>326.60000000000002</v>
      </c>
      <c r="D13" s="1505"/>
      <c r="E13" s="1505"/>
      <c r="F13" s="1506"/>
    </row>
    <row r="14" spans="1:93" ht="29.25" hidden="1" customHeight="1" x14ac:dyDescent="0.4">
      <c r="A14" s="1503"/>
      <c r="B14" s="1519">
        <f>+B139</f>
        <v>1</v>
      </c>
      <c r="C14" s="1520">
        <f>IF(B14&lt;=24,B14)</f>
        <v>1</v>
      </c>
      <c r="D14" s="1505"/>
      <c r="E14" s="1505"/>
      <c r="F14" s="1506"/>
    </row>
    <row r="15" spans="1:93" ht="29.25" hidden="1" customHeight="1" x14ac:dyDescent="0.4">
      <c r="A15" s="1503"/>
      <c r="B15" s="1518" t="s">
        <v>76</v>
      </c>
      <c r="C15" s="1516">
        <f>SUM(V142:V165)/C14</f>
        <v>146.5</v>
      </c>
      <c r="D15" s="1505"/>
      <c r="E15" s="1505"/>
      <c r="F15" s="1506"/>
    </row>
    <row r="16" spans="1:93" ht="21" hidden="1" x14ac:dyDescent="0.4">
      <c r="A16" s="1503"/>
      <c r="B16" s="1509"/>
      <c r="C16" s="1510"/>
      <c r="D16" s="1505"/>
      <c r="E16" s="1505"/>
      <c r="F16" s="1506"/>
    </row>
    <row r="17" spans="1:6" ht="21.6" hidden="1" thickBot="1" x14ac:dyDescent="0.45">
      <c r="A17" s="1521"/>
      <c r="B17" s="1522"/>
      <c r="C17" s="1523"/>
      <c r="D17" s="1524"/>
      <c r="E17" s="1524"/>
      <c r="F17" s="1525"/>
    </row>
    <row r="18" spans="1:6" ht="17.399999999999999" hidden="1" x14ac:dyDescent="0.3">
      <c r="B18" s="241"/>
      <c r="C18" s="242"/>
    </row>
    <row r="19" spans="1:6" ht="17.399999999999999" hidden="1" x14ac:dyDescent="0.3">
      <c r="B19" s="241"/>
      <c r="C19" s="242"/>
    </row>
    <row r="20" spans="1:6" ht="17.399999999999999" hidden="1" x14ac:dyDescent="0.3">
      <c r="B20" s="241"/>
      <c r="C20" s="242"/>
    </row>
    <row r="21" spans="1:6" ht="17.399999999999999" hidden="1" x14ac:dyDescent="0.3">
      <c r="B21" s="241"/>
      <c r="C21" s="242"/>
    </row>
    <row r="22" spans="1:6" ht="17.399999999999999" hidden="1" x14ac:dyDescent="0.3">
      <c r="B22" s="241"/>
      <c r="C22" s="242"/>
    </row>
    <row r="23" spans="1:6" ht="17.399999999999999" hidden="1" x14ac:dyDescent="0.3">
      <c r="B23" s="241"/>
      <c r="C23" s="242"/>
    </row>
    <row r="24" spans="1:6" ht="17.399999999999999" hidden="1" x14ac:dyDescent="0.3">
      <c r="B24" s="241"/>
      <c r="C24" s="242"/>
    </row>
    <row r="25" spans="1:6" ht="17.399999999999999" hidden="1" x14ac:dyDescent="0.3">
      <c r="B25" s="241"/>
      <c r="C25" s="242"/>
    </row>
    <row r="26" spans="1:6" ht="17.399999999999999" hidden="1" x14ac:dyDescent="0.3">
      <c r="B26" s="241"/>
      <c r="C26" s="242"/>
    </row>
    <row r="27" spans="1:6" ht="17.399999999999999" hidden="1" x14ac:dyDescent="0.3">
      <c r="B27" s="241"/>
      <c r="C27" s="242"/>
    </row>
    <row r="28" spans="1:6" ht="17.399999999999999" hidden="1" x14ac:dyDescent="0.3">
      <c r="B28" s="241"/>
      <c r="C28" s="242"/>
    </row>
    <row r="29" spans="1:6" ht="17.399999999999999" hidden="1" x14ac:dyDescent="0.3">
      <c r="B29" s="241"/>
      <c r="C29" s="242"/>
    </row>
    <row r="30" spans="1:6" ht="17.399999999999999" hidden="1" x14ac:dyDescent="0.3">
      <c r="B30" s="241"/>
      <c r="C30" s="242"/>
    </row>
    <row r="31" spans="1:6" ht="17.399999999999999" hidden="1" x14ac:dyDescent="0.3">
      <c r="B31" s="241"/>
      <c r="C31" s="242"/>
    </row>
    <row r="32" spans="1:6" ht="17.399999999999999" hidden="1" x14ac:dyDescent="0.3">
      <c r="B32" s="241"/>
      <c r="C32" s="242"/>
    </row>
    <row r="33" spans="2:51" ht="17.399999999999999" hidden="1" x14ac:dyDescent="0.3">
      <c r="B33" s="241"/>
      <c r="C33" s="242"/>
    </row>
    <row r="34" spans="2:51" ht="17.399999999999999" hidden="1" x14ac:dyDescent="0.3">
      <c r="B34" s="241"/>
      <c r="C34" s="242"/>
    </row>
    <row r="35" spans="2:51" ht="17.399999999999999" hidden="1" x14ac:dyDescent="0.3">
      <c r="B35" s="241"/>
      <c r="C35" s="242"/>
    </row>
    <row r="36" spans="2:51" ht="17.399999999999999" hidden="1" x14ac:dyDescent="0.3">
      <c r="B36" s="241"/>
      <c r="C36" s="242"/>
    </row>
    <row r="37" spans="2:51" ht="17.399999999999999" hidden="1" x14ac:dyDescent="0.3">
      <c r="B37" s="241"/>
      <c r="C37" s="242"/>
    </row>
    <row r="38" spans="2:51" ht="17.399999999999999" hidden="1" x14ac:dyDescent="0.3">
      <c r="B38" s="241"/>
      <c r="C38" s="242"/>
    </row>
    <row r="39" spans="2:51" ht="17.399999999999999" hidden="1" x14ac:dyDescent="0.3">
      <c r="B39" s="241"/>
      <c r="C39" s="242"/>
    </row>
    <row r="40" spans="2:51" ht="17.399999999999999" hidden="1" x14ac:dyDescent="0.3">
      <c r="B40" s="241"/>
      <c r="C40" s="242"/>
    </row>
    <row r="41" spans="2:51" ht="17.399999999999999" hidden="1" x14ac:dyDescent="0.3">
      <c r="B41" s="241"/>
      <c r="C41" s="242"/>
    </row>
    <row r="42" spans="2:51" ht="17.399999999999999" hidden="1" x14ac:dyDescent="0.3">
      <c r="B42" s="241"/>
      <c r="C42" s="242"/>
    </row>
    <row r="43" spans="2:51" ht="17.399999999999999" hidden="1" x14ac:dyDescent="0.3">
      <c r="B43" s="241"/>
      <c r="C43" s="242"/>
    </row>
    <row r="44" spans="2:51" ht="17.399999999999999" hidden="1" x14ac:dyDescent="0.3">
      <c r="B44" s="241"/>
      <c r="C44" s="242"/>
    </row>
    <row r="45" spans="2:51" ht="17.399999999999999" hidden="1" x14ac:dyDescent="0.3">
      <c r="B45" s="241"/>
      <c r="C45" s="242"/>
    </row>
    <row r="46" spans="2:51" ht="17.399999999999999" hidden="1" x14ac:dyDescent="0.3">
      <c r="B46" s="241"/>
      <c r="C46" s="242"/>
    </row>
    <row r="47" spans="2:51" hidden="1" x14ac:dyDescent="0.3"/>
    <row r="48" spans="2:51" ht="60" hidden="1" x14ac:dyDescent="0.95">
      <c r="AY48" s="1814"/>
    </row>
    <row r="49" spans="2:94" s="62" customFormat="1" ht="41.25" customHeight="1" thickBot="1" x14ac:dyDescent="0.45">
      <c r="B49" s="141"/>
      <c r="C49" s="141"/>
      <c r="D49" s="150"/>
      <c r="E49" s="150"/>
      <c r="F49" s="150"/>
      <c r="G49" s="150"/>
      <c r="AQ49" s="1552"/>
      <c r="AR49" s="1552"/>
      <c r="AS49" s="1552"/>
      <c r="AT49" s="1550"/>
      <c r="AU49" s="1550"/>
      <c r="AV49" s="1550"/>
      <c r="AW49" s="1550"/>
      <c r="AX49" s="1550"/>
      <c r="AY49" s="1550"/>
      <c r="AZ49" s="1552"/>
      <c r="BA49" s="1553" t="s">
        <v>28</v>
      </c>
      <c r="BB49" s="2021">
        <f>+C12</f>
        <v>79.5</v>
      </c>
      <c r="BC49" s="2021"/>
      <c r="BD49" s="1554" t="s">
        <v>17</v>
      </c>
      <c r="BE49" s="1554"/>
      <c r="BF49" s="1555" t="s">
        <v>240</v>
      </c>
      <c r="BG49" s="1556"/>
      <c r="BH49" s="1556"/>
      <c r="BI49" s="1556"/>
      <c r="BJ49" s="1556"/>
      <c r="BK49" s="1556"/>
      <c r="BL49" s="1556"/>
      <c r="BM49" s="1556"/>
      <c r="BN49" s="1556"/>
      <c r="BO49" s="1556"/>
      <c r="BP49" s="1556"/>
      <c r="BQ49" s="1556"/>
      <c r="BR49" s="1556"/>
      <c r="BS49" s="1556"/>
      <c r="BT49" s="1556"/>
      <c r="BU49" s="1556"/>
      <c r="BV49" s="1556"/>
      <c r="BW49" s="1556"/>
      <c r="BX49" s="1556"/>
      <c r="BY49" s="1556"/>
      <c r="BZ49" s="1557"/>
      <c r="CA49" s="1557"/>
      <c r="CB49" s="1557"/>
      <c r="CC49" s="1557"/>
      <c r="CD49" s="1557"/>
      <c r="CE49" s="1557"/>
      <c r="CF49" s="1557"/>
      <c r="CG49" s="1557"/>
      <c r="CH49" s="1557"/>
      <c r="CI49" s="1557"/>
      <c r="CJ49" s="1557"/>
      <c r="CK49" s="1557"/>
      <c r="CL49" s="1557"/>
      <c r="CM49" s="1557"/>
      <c r="CN49" s="1557"/>
      <c r="CO49" s="1557"/>
      <c r="CP49" s="185"/>
    </row>
    <row r="50" spans="2:94" ht="44.25" customHeight="1" thickBot="1" x14ac:dyDescent="0.5">
      <c r="AQ50" s="1558"/>
      <c r="AR50" s="1558"/>
      <c r="AS50" s="1558"/>
      <c r="AX50" s="1559" t="b">
        <f>AND(BB51&gt;0,BZ51&gt;0)</f>
        <v>1</v>
      </c>
      <c r="AY50" s="1560" t="str">
        <f>IF(AX50=TRUE,"","negative force at the motor")</f>
        <v/>
      </c>
      <c r="AZ50" s="1561" t="s">
        <v>241</v>
      </c>
      <c r="BA50" s="1562" t="s">
        <v>30</v>
      </c>
      <c r="BB50" s="1563" t="s">
        <v>31</v>
      </c>
      <c r="BC50" s="1564"/>
      <c r="BD50" s="1565"/>
      <c r="BE50" s="1565"/>
      <c r="BF50" s="1565"/>
      <c r="BG50" s="1565"/>
      <c r="BH50" s="1565"/>
      <c r="BI50" s="1565"/>
      <c r="BJ50" s="1565"/>
      <c r="BK50" s="1565"/>
      <c r="BL50" s="1565"/>
      <c r="BM50" s="1565"/>
      <c r="BN50" s="1565"/>
      <c r="BO50" s="1565"/>
      <c r="BP50" s="1565"/>
      <c r="BQ50" s="1565"/>
      <c r="BR50" s="1565"/>
      <c r="BS50" s="1565"/>
      <c r="BT50" s="1566"/>
      <c r="BU50" s="1567"/>
      <c r="BV50" s="1568"/>
      <c r="BW50" s="1568"/>
      <c r="BX50" s="1568"/>
      <c r="BY50" s="1568"/>
      <c r="BZ50" s="1564"/>
      <c r="CA50" s="1569" t="s">
        <v>32</v>
      </c>
      <c r="CB50" s="2013"/>
      <c r="CC50" s="2013"/>
      <c r="CD50" s="2013"/>
      <c r="CE50" s="2013"/>
      <c r="CF50" s="2013"/>
      <c r="CG50" s="2013"/>
      <c r="CH50" s="2013"/>
      <c r="CI50" s="2013"/>
      <c r="CJ50" s="2013"/>
      <c r="CK50" s="2013"/>
      <c r="CL50" s="2014"/>
      <c r="CM50" s="1557"/>
      <c r="CN50" s="1557"/>
      <c r="CO50" s="1557"/>
      <c r="CP50" s="185"/>
    </row>
    <row r="51" spans="2:94" ht="44.25" customHeight="1" thickBot="1" x14ac:dyDescent="0.5">
      <c r="AQ51" s="1558"/>
      <c r="AR51" s="1558"/>
      <c r="AS51" s="1558"/>
      <c r="AX51" s="1550" t="b">
        <f>AND(AZ51&gt;=10,$AN$142&gt;=10,$AO$142&gt;=10)</f>
        <v>1</v>
      </c>
      <c r="AY51" s="1570" t="str">
        <f>IF(AX51=TRUE,"O K","OVERLOAD")</f>
        <v>O K</v>
      </c>
      <c r="AZ51" s="1571">
        <f>+D8/(MAX(BB51,BZ51))</f>
        <v>187.80572579080473</v>
      </c>
      <c r="BA51" s="1572" t="s">
        <v>228</v>
      </c>
      <c r="BB51" s="2026">
        <f>+((D4-D5)/D4)*C12</f>
        <v>42.597210315680869</v>
      </c>
      <c r="BC51" s="2027"/>
      <c r="BD51" s="1573"/>
      <c r="BE51" s="1573"/>
      <c r="BF51" s="1573"/>
      <c r="BG51" s="1574"/>
      <c r="BH51" s="1574"/>
      <c r="BI51" s="1574"/>
      <c r="BJ51" s="1575"/>
      <c r="BK51" s="1575"/>
      <c r="BL51" s="1575"/>
      <c r="BM51" s="1575"/>
      <c r="BN51" s="1575"/>
      <c r="BO51" s="1575"/>
      <c r="BP51" s="1575"/>
      <c r="BQ51" s="1575"/>
      <c r="BR51" s="1575"/>
      <c r="BS51" s="1575"/>
      <c r="BT51" s="1576"/>
      <c r="BU51" s="1573"/>
      <c r="BV51" s="1573"/>
      <c r="BW51" s="1573"/>
      <c r="BX51" s="1574"/>
      <c r="BY51" s="1574"/>
      <c r="BZ51" s="2028">
        <f>+(D5/D4)*C12</f>
        <v>36.902789684319131</v>
      </c>
      <c r="CA51" s="2029"/>
      <c r="CB51" s="2015"/>
      <c r="CC51" s="2015"/>
      <c r="CD51" s="2015"/>
      <c r="CE51" s="2015"/>
      <c r="CF51" s="2015"/>
      <c r="CG51" s="2015"/>
      <c r="CH51" s="2015"/>
      <c r="CI51" s="2015"/>
      <c r="CJ51" s="2015"/>
      <c r="CK51" s="2015"/>
      <c r="CL51" s="2016"/>
      <c r="CM51" s="1557"/>
      <c r="CN51" s="1557"/>
      <c r="CO51" s="1557"/>
      <c r="CP51" s="185"/>
    </row>
    <row r="52" spans="2:94" ht="15" customHeight="1" thickBot="1" x14ac:dyDescent="0.5">
      <c r="AQ52" s="1558"/>
      <c r="AR52" s="1558"/>
      <c r="AS52" s="1558"/>
      <c r="AY52" s="1577"/>
      <c r="AZ52" s="1578"/>
      <c r="BA52" s="1579"/>
      <c r="BB52" s="1580"/>
      <c r="BC52" s="1580"/>
      <c r="BD52" s="1579"/>
      <c r="BE52" s="1579"/>
      <c r="BF52" s="1579"/>
      <c r="BG52" s="1579"/>
      <c r="BH52" s="1579"/>
      <c r="BI52" s="1579"/>
      <c r="BJ52" s="1579"/>
      <c r="BK52" s="1579"/>
      <c r="BL52" s="1579"/>
      <c r="BM52" s="1579"/>
      <c r="BN52" s="1579"/>
      <c r="BO52" s="1579"/>
      <c r="BP52" s="1579"/>
      <c r="BQ52" s="1579"/>
      <c r="BR52" s="1579"/>
      <c r="BS52" s="1579"/>
      <c r="BT52" s="1581"/>
      <c r="BU52" s="1582"/>
      <c r="BV52" s="1582"/>
      <c r="BW52" s="1580"/>
      <c r="BX52" s="1583"/>
      <c r="BY52" s="1583"/>
      <c r="BZ52" s="1583"/>
      <c r="CA52" s="1583"/>
      <c r="CB52" s="1583"/>
      <c r="CC52" s="1583"/>
      <c r="CD52" s="1583"/>
      <c r="CE52" s="1583"/>
      <c r="CF52" s="1583"/>
      <c r="CG52" s="1583"/>
      <c r="CH52" s="1583"/>
      <c r="CI52" s="1583"/>
      <c r="CJ52" s="1583"/>
      <c r="CK52" s="1583"/>
      <c r="CL52" s="1583"/>
      <c r="CM52" s="1583"/>
      <c r="CN52" s="1557"/>
      <c r="CO52" s="1557"/>
      <c r="CP52" s="185"/>
    </row>
    <row r="53" spans="2:94" ht="44.25" customHeight="1" thickBot="1" x14ac:dyDescent="0.5">
      <c r="AQ53" s="1558"/>
      <c r="AR53" s="1558"/>
      <c r="AS53" s="1558"/>
      <c r="AX53" s="1559" t="b">
        <f>AND(BM54&gt;0,CK54&gt;0)</f>
        <v>1</v>
      </c>
      <c r="AY53" s="1560" t="str">
        <f>IF(AX53=TRUE,"","negative force at the motor")</f>
        <v/>
      </c>
      <c r="AZ53" s="1561" t="s">
        <v>241</v>
      </c>
      <c r="BA53" s="1584" t="s">
        <v>30</v>
      </c>
      <c r="BB53" s="2017"/>
      <c r="BC53" s="2013"/>
      <c r="BD53" s="2013"/>
      <c r="BE53" s="2013"/>
      <c r="BF53" s="2013"/>
      <c r="BG53" s="2013"/>
      <c r="BH53" s="2013"/>
      <c r="BI53" s="2013"/>
      <c r="BJ53" s="2013"/>
      <c r="BK53" s="2013"/>
      <c r="BL53" s="2013"/>
      <c r="BM53" s="1585" t="s">
        <v>31</v>
      </c>
      <c r="BN53" s="1586"/>
      <c r="BO53" s="1587"/>
      <c r="BP53" s="1587"/>
      <c r="BQ53" s="1587"/>
      <c r="BR53" s="1587"/>
      <c r="BS53" s="1587"/>
      <c r="BT53" s="1587"/>
      <c r="BU53" s="1587"/>
      <c r="BV53" s="1587"/>
      <c r="BW53" s="1587"/>
      <c r="BX53" s="1587"/>
      <c r="BY53" s="1588"/>
      <c r="BZ53" s="1589"/>
      <c r="CA53" s="1589"/>
      <c r="CB53" s="1589"/>
      <c r="CC53" s="1589"/>
      <c r="CD53" s="1590"/>
      <c r="CE53" s="1590"/>
      <c r="CF53" s="1588"/>
      <c r="CG53" s="1588"/>
      <c r="CH53" s="1588"/>
      <c r="CI53" s="1588"/>
      <c r="CJ53" s="1588"/>
      <c r="CK53" s="1591"/>
      <c r="CL53" s="1592" t="s">
        <v>32</v>
      </c>
      <c r="CM53" s="1593"/>
      <c r="CN53" s="1557"/>
      <c r="CO53" s="1557"/>
      <c r="CP53" s="185"/>
    </row>
    <row r="54" spans="2:94" ht="44.25" customHeight="1" thickBot="1" x14ac:dyDescent="0.5">
      <c r="AX54" s="1550" t="b">
        <f>AND(AZ54&gt;=10,$AN$142&gt;=10,$AO$142&gt;=10)</f>
        <v>1</v>
      </c>
      <c r="AY54" s="1570" t="str">
        <f>IF(AX54=TRUE,"O K","OVERLOAD")</f>
        <v>O K</v>
      </c>
      <c r="AZ54" s="1571">
        <f>+$D$8/(MAX(BM54,CK54))</f>
        <v>110.83616712109307</v>
      </c>
      <c r="BA54" s="1594" t="s">
        <v>229</v>
      </c>
      <c r="BB54" s="2018"/>
      <c r="BC54" s="2015"/>
      <c r="BD54" s="2015"/>
      <c r="BE54" s="2015"/>
      <c r="BF54" s="2015"/>
      <c r="BG54" s="2015"/>
      <c r="BH54" s="2015"/>
      <c r="BI54" s="2015"/>
      <c r="BJ54" s="2015"/>
      <c r="BK54" s="2015"/>
      <c r="BL54" s="2015"/>
      <c r="BM54" s="2030">
        <f>+((D4-D3)/D4)*C12</f>
        <v>72.178605664518074</v>
      </c>
      <c r="BN54" s="2031"/>
      <c r="BO54" s="1595"/>
      <c r="BP54" s="1595"/>
      <c r="BQ54" s="1595"/>
      <c r="BR54" s="1595"/>
      <c r="BS54" s="1595"/>
      <c r="BT54" s="1595"/>
      <c r="BU54" s="1595"/>
      <c r="BV54" s="1595"/>
      <c r="BW54" s="1595"/>
      <c r="BX54" s="1595"/>
      <c r="BY54" s="1596"/>
      <c r="BZ54" s="1597"/>
      <c r="CA54" s="1597"/>
      <c r="CB54" s="1597"/>
      <c r="CC54" s="1597"/>
      <c r="CD54" s="1598"/>
      <c r="CE54" s="1598"/>
      <c r="CF54" s="1599"/>
      <c r="CG54" s="1599"/>
      <c r="CH54" s="1599"/>
      <c r="CI54" s="1599"/>
      <c r="CJ54" s="1599"/>
      <c r="CK54" s="2019">
        <f>+(D3/D4)*C12</f>
        <v>7.3213943354819211</v>
      </c>
      <c r="CL54" s="2020"/>
      <c r="CM54" s="1600"/>
      <c r="CN54" s="1557"/>
      <c r="CO54" s="1557"/>
      <c r="CP54" s="185"/>
    </row>
    <row r="55" spans="2:94" ht="15" customHeight="1" thickBot="1" x14ac:dyDescent="0.45">
      <c r="AY55" s="1577"/>
      <c r="AZ55" s="1601"/>
      <c r="BA55" s="1602"/>
      <c r="BB55" s="1602"/>
      <c r="BC55" s="1602"/>
      <c r="BD55" s="1602"/>
      <c r="BE55" s="1602"/>
      <c r="BF55" s="1602"/>
      <c r="BG55" s="1602"/>
      <c r="BH55" s="1602"/>
      <c r="BI55" s="1602"/>
      <c r="BJ55" s="1603"/>
      <c r="BK55" s="1603"/>
      <c r="BL55" s="1604"/>
      <c r="BM55" s="1604"/>
      <c r="BN55" s="1604"/>
      <c r="BO55" s="1604"/>
      <c r="BP55" s="1604"/>
      <c r="BQ55" s="1604"/>
      <c r="BR55" s="1604"/>
      <c r="BS55" s="1604"/>
      <c r="BT55" s="1604"/>
      <c r="BU55" s="1604"/>
      <c r="BV55" s="1604"/>
      <c r="BW55" s="1604"/>
      <c r="BX55" s="1604"/>
      <c r="BY55" s="1605"/>
      <c r="BZ55" s="1606"/>
      <c r="CA55" s="1606"/>
      <c r="CB55" s="1606"/>
      <c r="CC55" s="1606"/>
      <c r="CD55" s="1600"/>
      <c r="CE55" s="1600"/>
      <c r="CF55" s="1600"/>
      <c r="CG55" s="1600"/>
      <c r="CH55" s="1600"/>
      <c r="CI55" s="1600"/>
      <c r="CJ55" s="1600"/>
      <c r="CK55" s="1600"/>
      <c r="CL55" s="1600"/>
      <c r="CM55" s="1600"/>
      <c r="CN55" s="1557"/>
      <c r="CO55" s="1557"/>
      <c r="CP55" s="185"/>
    </row>
    <row r="56" spans="2:94" ht="44.25" customHeight="1" thickBot="1" x14ac:dyDescent="0.45">
      <c r="AX56" s="1559" t="b">
        <f>AND(BM57&gt;0,CB57&gt;0)</f>
        <v>1</v>
      </c>
      <c r="AY56" s="1560" t="str">
        <f>IF(AX56=TRUE,"","negative force at the motor")</f>
        <v/>
      </c>
      <c r="AZ56" s="1561" t="s">
        <v>227</v>
      </c>
      <c r="BA56" s="1607" t="s">
        <v>30</v>
      </c>
      <c r="BB56" s="2017"/>
      <c r="BC56" s="2013"/>
      <c r="BD56" s="2013"/>
      <c r="BE56" s="2013"/>
      <c r="BF56" s="2013"/>
      <c r="BG56" s="2013"/>
      <c r="BH56" s="2013"/>
      <c r="BI56" s="2013"/>
      <c r="BJ56" s="2013"/>
      <c r="BK56" s="2013"/>
      <c r="BL56" s="2013"/>
      <c r="BM56" s="1608" t="s">
        <v>31</v>
      </c>
      <c r="BN56" s="1609"/>
      <c r="BO56" s="1610"/>
      <c r="BP56" s="1610"/>
      <c r="BQ56" s="1610"/>
      <c r="BR56" s="1610"/>
      <c r="BS56" s="1610"/>
      <c r="BT56" s="1611"/>
      <c r="BU56" s="1612"/>
      <c r="BV56" s="1613"/>
      <c r="BW56" s="1613"/>
      <c r="BX56" s="1614"/>
      <c r="BY56" s="1614"/>
      <c r="BZ56" s="1614"/>
      <c r="CA56" s="1614"/>
      <c r="CB56" s="1609"/>
      <c r="CC56" s="1615" t="s">
        <v>32</v>
      </c>
      <c r="CD56" s="2013"/>
      <c r="CE56" s="2013"/>
      <c r="CF56" s="2013"/>
      <c r="CG56" s="2013"/>
      <c r="CH56" s="2013"/>
      <c r="CI56" s="2013"/>
      <c r="CJ56" s="2013"/>
      <c r="CK56" s="2013"/>
      <c r="CL56" s="2014"/>
      <c r="CM56" s="1583"/>
      <c r="CN56" s="1557"/>
      <c r="CO56" s="1557"/>
      <c r="CP56" s="185"/>
    </row>
    <row r="57" spans="2:94" ht="44.25" customHeight="1" thickBot="1" x14ac:dyDescent="0.5">
      <c r="AX57" s="1550" t="b">
        <f>AND(AZ57&gt;=10,$AN$142&gt;=10,$AO$142&gt;=10)</f>
        <v>1</v>
      </c>
      <c r="AY57" s="1570" t="str">
        <f>IF(AX57=TRUE,"O K","OVERLOAD")</f>
        <v>O K</v>
      </c>
      <c r="AZ57" s="1616">
        <f>+$D$8/(MAX(BM57,CB57))</f>
        <v>117.54278912032864</v>
      </c>
      <c r="BA57" s="1617" t="s">
        <v>230</v>
      </c>
      <c r="BB57" s="2018"/>
      <c r="BC57" s="2015"/>
      <c r="BD57" s="2015"/>
      <c r="BE57" s="2015"/>
      <c r="BF57" s="2015"/>
      <c r="BG57" s="2015"/>
      <c r="BH57" s="2015"/>
      <c r="BI57" s="2015"/>
      <c r="BJ57" s="2015"/>
      <c r="BK57" s="2015"/>
      <c r="BL57" s="2015"/>
      <c r="BM57" s="2022">
        <f>+((D2-D3)/D2)*C12</f>
        <v>68.060321350809488</v>
      </c>
      <c r="BN57" s="2023"/>
      <c r="BO57" s="1618"/>
      <c r="BP57" s="1618"/>
      <c r="BQ57" s="1618"/>
      <c r="BR57" s="1618"/>
      <c r="BS57" s="1618"/>
      <c r="BT57" s="1619"/>
      <c r="BU57" s="1620"/>
      <c r="BV57" s="1621"/>
      <c r="BW57" s="1621"/>
      <c r="BX57" s="1622"/>
      <c r="BY57" s="1622"/>
      <c r="BZ57" s="1622"/>
      <c r="CA57" s="1622"/>
      <c r="CB57" s="2024">
        <f>+(D3/D2)*C12</f>
        <v>11.439678649190503</v>
      </c>
      <c r="CC57" s="2025"/>
      <c r="CD57" s="2015"/>
      <c r="CE57" s="2015"/>
      <c r="CF57" s="2015"/>
      <c r="CG57" s="2015"/>
      <c r="CH57" s="2015"/>
      <c r="CI57" s="2015"/>
      <c r="CJ57" s="2015"/>
      <c r="CK57" s="2015"/>
      <c r="CL57" s="2016"/>
      <c r="CM57" s="1583"/>
      <c r="CN57" s="1557"/>
      <c r="CO57" s="1557"/>
      <c r="CP57" s="185"/>
    </row>
    <row r="58" spans="2:94" ht="15" customHeight="1" thickBot="1" x14ac:dyDescent="0.45">
      <c r="AY58" s="1577"/>
      <c r="AZ58" s="1601"/>
      <c r="BA58" s="1602"/>
      <c r="BB58" s="1602"/>
      <c r="BC58" s="1602"/>
      <c r="BD58" s="1602"/>
      <c r="BE58" s="1602"/>
      <c r="BF58" s="1602"/>
      <c r="BG58" s="1602"/>
      <c r="BH58" s="1602"/>
      <c r="BI58" s="1602"/>
      <c r="BJ58" s="1603"/>
      <c r="BK58" s="1603"/>
      <c r="BL58" s="1604"/>
      <c r="BM58" s="1604"/>
      <c r="BN58" s="1604"/>
      <c r="BO58" s="1604"/>
      <c r="BP58" s="1604"/>
      <c r="BQ58" s="1604"/>
      <c r="BR58" s="1604"/>
      <c r="BS58" s="1604"/>
      <c r="BT58" s="1604"/>
      <c r="BU58" s="1604"/>
      <c r="BV58" s="1602"/>
      <c r="BW58" s="1604"/>
      <c r="BX58" s="1604"/>
      <c r="BY58" s="1605"/>
      <c r="BZ58" s="1606"/>
      <c r="CA58" s="1606"/>
      <c r="CB58" s="1606"/>
      <c r="CC58" s="1606"/>
      <c r="CD58" s="1600"/>
      <c r="CE58" s="1600"/>
      <c r="CF58" s="1600"/>
      <c r="CG58" s="1600"/>
      <c r="CH58" s="1600"/>
      <c r="CI58" s="1600"/>
      <c r="CJ58" s="1600"/>
      <c r="CK58" s="1600"/>
      <c r="CL58" s="1600"/>
      <c r="CM58" s="1600"/>
      <c r="CN58" s="1557"/>
      <c r="CO58" s="1557"/>
      <c r="CP58" s="185"/>
    </row>
    <row r="59" spans="2:94" ht="19.5" hidden="1" customHeight="1" x14ac:dyDescent="0.35">
      <c r="AQ59" s="1623"/>
      <c r="AR59" s="1623"/>
      <c r="AS59" s="1623"/>
      <c r="AY59" s="1577"/>
      <c r="CP59" s="185"/>
    </row>
    <row r="60" spans="2:94" ht="19.5" hidden="1" customHeight="1" x14ac:dyDescent="0.35">
      <c r="AQ60" s="1623"/>
      <c r="AR60" s="1623"/>
      <c r="AS60" s="1623"/>
      <c r="AY60" s="1577"/>
      <c r="CP60" s="185"/>
    </row>
    <row r="61" spans="2:94" ht="19.5" hidden="1" customHeight="1" x14ac:dyDescent="0.4">
      <c r="U61" s="108"/>
      <c r="V61" s="4"/>
      <c r="W61" s="4"/>
      <c r="X61" s="4"/>
      <c r="Y61" s="4"/>
      <c r="Z61" s="4"/>
      <c r="AA61" s="4"/>
      <c r="AB61" s="4"/>
      <c r="AC61" s="4"/>
      <c r="AD61" s="4"/>
      <c r="AE61" s="4"/>
      <c r="AF61" s="4"/>
      <c r="AG61" s="4"/>
      <c r="AH61" s="4"/>
      <c r="AI61" s="4"/>
      <c r="AJ61" s="4"/>
      <c r="AK61" s="4"/>
      <c r="AL61" s="4"/>
      <c r="AM61" s="4"/>
      <c r="AN61" s="4"/>
      <c r="AO61" s="4"/>
      <c r="AQ61" s="1623"/>
      <c r="AR61" s="1623"/>
      <c r="AS61" s="1623"/>
      <c r="AY61" s="1577"/>
      <c r="AZ61" s="1624"/>
      <c r="BA61" s="1625"/>
      <c r="BB61" s="1626"/>
      <c r="BC61" s="1626"/>
      <c r="BD61" s="1626"/>
      <c r="BE61" s="1626"/>
      <c r="BF61" s="1626"/>
      <c r="BG61" s="1626"/>
      <c r="BH61" s="1626"/>
      <c r="BI61" s="1626"/>
      <c r="BJ61" s="1627"/>
      <c r="BK61" s="1627"/>
      <c r="BL61" s="1628"/>
      <c r="BM61" s="1628"/>
      <c r="BN61" s="1628"/>
      <c r="BO61" s="1628"/>
      <c r="BP61" s="1628"/>
      <c r="BQ61" s="1628"/>
      <c r="BR61" s="1628"/>
      <c r="BS61" s="1628"/>
      <c r="BT61" s="1605"/>
      <c r="BU61" s="1604"/>
      <c r="BV61" s="1629"/>
      <c r="BW61" s="1629"/>
      <c r="BX61" s="1583"/>
      <c r="BY61" s="1583"/>
      <c r="BZ61" s="1583"/>
      <c r="CA61" s="1583"/>
      <c r="CB61" s="1583"/>
      <c r="CC61" s="1583"/>
      <c r="CD61" s="1583"/>
      <c r="CE61" s="1583"/>
      <c r="CF61" s="1583"/>
      <c r="CG61" s="1583"/>
      <c r="CH61" s="1626"/>
      <c r="CI61" s="1626"/>
      <c r="CJ61" s="1626"/>
      <c r="CK61" s="1626"/>
      <c r="CL61" s="1626"/>
      <c r="CM61" s="1630"/>
      <c r="CN61" s="1626"/>
      <c r="CO61" s="1626"/>
      <c r="CP61" s="185"/>
    </row>
    <row r="62" spans="2:94" ht="19.5" hidden="1" customHeight="1" thickBot="1" x14ac:dyDescent="0.45">
      <c r="E62" s="102"/>
      <c r="F62" s="102"/>
      <c r="G62" s="102"/>
      <c r="U62" s="108"/>
      <c r="V62" s="4"/>
      <c r="W62" s="4"/>
      <c r="X62" s="4"/>
      <c r="Y62" s="4"/>
      <c r="Z62" s="4"/>
      <c r="AA62" s="4"/>
      <c r="AB62" s="4"/>
      <c r="AC62" s="4"/>
      <c r="AD62" s="4"/>
      <c r="AE62" s="4"/>
      <c r="AF62" s="4"/>
      <c r="AG62" s="4"/>
      <c r="AH62" s="4"/>
      <c r="AI62" s="4"/>
      <c r="AJ62" s="4"/>
      <c r="AK62" s="4"/>
      <c r="AL62" s="4"/>
      <c r="AM62" s="4"/>
      <c r="AN62" s="4"/>
      <c r="AO62" s="4"/>
      <c r="AQ62" s="1623"/>
      <c r="AR62" s="1623"/>
      <c r="AS62" s="1623"/>
      <c r="AY62" s="1577"/>
      <c r="AZ62" s="1624"/>
      <c r="BA62" s="1625"/>
      <c r="BB62" s="1626"/>
      <c r="BC62" s="1626"/>
      <c r="BD62" s="1626"/>
      <c r="BE62" s="1626"/>
      <c r="BF62" s="1626"/>
      <c r="BG62" s="1626"/>
      <c r="BH62" s="1626"/>
      <c r="BI62" s="1626"/>
      <c r="BJ62" s="1627"/>
      <c r="BK62" s="1627"/>
      <c r="BL62" s="1628"/>
      <c r="BM62" s="1628"/>
      <c r="BN62" s="1628"/>
      <c r="BO62" s="1628"/>
      <c r="BP62" s="1628"/>
      <c r="BQ62" s="1628"/>
      <c r="BR62" s="1628"/>
      <c r="BS62" s="1628"/>
      <c r="BT62" s="1605"/>
      <c r="BU62" s="1604"/>
      <c r="BV62" s="1629"/>
      <c r="BW62" s="1629"/>
      <c r="BX62" s="1583"/>
      <c r="BY62" s="1583"/>
      <c r="BZ62" s="1583"/>
      <c r="CA62" s="1583"/>
      <c r="CB62" s="1583"/>
      <c r="CC62" s="1583"/>
      <c r="CD62" s="1583"/>
      <c r="CE62" s="1583"/>
      <c r="CF62" s="1583"/>
      <c r="CG62" s="1583"/>
      <c r="CH62" s="1626"/>
      <c r="CI62" s="1626"/>
      <c r="CJ62" s="1626"/>
      <c r="CK62" s="1626"/>
      <c r="CL62" s="1626"/>
      <c r="CM62" s="1626"/>
      <c r="CN62" s="1626"/>
      <c r="CO62" s="1626"/>
      <c r="CP62" s="185"/>
    </row>
    <row r="63" spans="2:94" ht="19.5" hidden="1" customHeight="1" thickBot="1" x14ac:dyDescent="0.45">
      <c r="E63" s="102"/>
      <c r="F63" s="102"/>
      <c r="G63" s="102"/>
      <c r="U63" s="108"/>
      <c r="V63" s="4"/>
      <c r="W63" s="4"/>
      <c r="X63" s="4"/>
      <c r="Y63" s="4"/>
      <c r="Z63" s="4"/>
      <c r="AA63" s="4"/>
      <c r="AB63" s="4"/>
      <c r="AC63" s="4"/>
      <c r="AD63" s="4"/>
      <c r="AE63" s="4"/>
      <c r="AF63" s="4"/>
      <c r="AG63" s="4"/>
      <c r="AH63" s="4"/>
      <c r="AI63" s="4"/>
      <c r="AJ63" s="4"/>
      <c r="AK63" s="4"/>
      <c r="AL63" s="4"/>
      <c r="AM63" s="4"/>
      <c r="AN63" s="4"/>
      <c r="AO63" s="4"/>
      <c r="AQ63" s="1623"/>
      <c r="AR63" s="1623"/>
      <c r="AS63" s="1623"/>
      <c r="AY63" s="1577"/>
      <c r="AZ63" s="1624"/>
      <c r="BA63" s="1625"/>
      <c r="BB63" s="1626"/>
      <c r="BC63" s="1626"/>
      <c r="BD63" s="1626"/>
      <c r="BE63" s="1626"/>
      <c r="BF63" s="1626"/>
      <c r="BG63" s="1626"/>
      <c r="BH63" s="1626"/>
      <c r="BI63" s="1626"/>
      <c r="BJ63" s="1627"/>
      <c r="BK63" s="1627"/>
      <c r="BL63" s="1631">
        <v>16</v>
      </c>
      <c r="BM63" s="1628"/>
      <c r="BN63" s="1628"/>
      <c r="BO63" s="1628"/>
      <c r="BP63" s="1628"/>
      <c r="BQ63" s="1628"/>
      <c r="BR63" s="1628"/>
      <c r="BS63" s="1628"/>
      <c r="BT63" s="1605"/>
      <c r="BU63" s="1604"/>
      <c r="BV63" s="1629"/>
      <c r="BW63" s="1629"/>
      <c r="BX63" s="1583"/>
      <c r="BY63" s="1583"/>
      <c r="BZ63" s="1583"/>
      <c r="CA63" s="1632" t="b">
        <f>IF(CB81=27,15)</f>
        <v>0</v>
      </c>
      <c r="CB63" s="1633"/>
      <c r="CC63" s="1634" t="b">
        <f>IF(CB81=27,17)</f>
        <v>0</v>
      </c>
      <c r="CD63" s="1583"/>
      <c r="CE63" s="1583"/>
      <c r="CF63" s="1583"/>
      <c r="CG63" s="1583"/>
      <c r="CH63" s="1626"/>
      <c r="CI63" s="1626"/>
      <c r="CJ63" s="1626"/>
      <c r="CK63" s="1626"/>
      <c r="CL63" s="1626"/>
      <c r="CM63" s="1626"/>
      <c r="CN63" s="1626"/>
      <c r="CO63" s="1626"/>
      <c r="CP63" s="185"/>
    </row>
    <row r="64" spans="2:94" ht="19.5" hidden="1" customHeight="1" thickBot="1" x14ac:dyDescent="0.45">
      <c r="E64" s="103"/>
      <c r="F64" s="103"/>
      <c r="G64" s="103"/>
      <c r="U64" s="10"/>
      <c r="V64" s="4"/>
      <c r="W64" s="4"/>
      <c r="X64" s="4"/>
      <c r="Y64" s="4"/>
      <c r="Z64" s="4"/>
      <c r="AA64" s="4"/>
      <c r="AB64" s="4"/>
      <c r="AC64" s="4"/>
      <c r="AD64" s="4"/>
      <c r="AE64" s="4"/>
      <c r="AF64" s="4"/>
      <c r="AG64" s="4"/>
      <c r="AH64" s="4"/>
      <c r="AI64" s="4"/>
      <c r="AJ64" s="4"/>
      <c r="AK64" s="4"/>
      <c r="AL64" s="4"/>
      <c r="AM64" s="4"/>
      <c r="AN64" s="4"/>
      <c r="AO64" s="4"/>
      <c r="AQ64" s="1623"/>
      <c r="AR64" s="1623"/>
      <c r="AS64" s="1623"/>
      <c r="AY64" s="1577"/>
      <c r="AZ64" s="1624"/>
      <c r="BA64" s="1625"/>
      <c r="BB64" s="1626"/>
      <c r="BC64" s="1626"/>
      <c r="BD64" s="1626"/>
      <c r="BE64" s="1626"/>
      <c r="BF64" s="1626"/>
      <c r="BG64" s="1626"/>
      <c r="BH64" s="1626"/>
      <c r="BI64" s="1626"/>
      <c r="BJ64" s="1627"/>
      <c r="BK64" s="1627"/>
      <c r="BL64" s="1631">
        <v>15</v>
      </c>
      <c r="BM64" s="1628"/>
      <c r="BN64" s="1628"/>
      <c r="BO64" s="1628"/>
      <c r="BP64" s="1628"/>
      <c r="BQ64" s="1628"/>
      <c r="BR64" s="1628"/>
      <c r="BS64" s="1628"/>
      <c r="BT64" s="1605"/>
      <c r="BU64" s="1604"/>
      <c r="BV64" s="1629"/>
      <c r="BW64" s="1629"/>
      <c r="BX64" s="1583"/>
      <c r="BY64" s="1632" t="b">
        <f>IF(CA81=26,13)</f>
        <v>0</v>
      </c>
      <c r="BZ64" s="1633"/>
      <c r="CA64" s="1633"/>
      <c r="CB64" s="1633"/>
      <c r="CC64" s="1634" t="b">
        <f>IF(CA81=26,17)</f>
        <v>0</v>
      </c>
      <c r="CD64" s="1583"/>
      <c r="CE64" s="1583"/>
      <c r="CF64" s="1583"/>
      <c r="CG64" s="1583"/>
      <c r="CH64" s="1626"/>
      <c r="CI64" s="1626"/>
      <c r="CJ64" s="1626"/>
      <c r="CK64" s="1626"/>
      <c r="CL64" s="1626"/>
      <c r="CM64" s="1626"/>
      <c r="CN64" s="1626"/>
      <c r="CO64" s="1626"/>
      <c r="CP64" s="185"/>
    </row>
    <row r="65" spans="2:94" ht="19.5" hidden="1" customHeight="1" thickBot="1" x14ac:dyDescent="0.45">
      <c r="E65" s="103"/>
      <c r="F65" s="103"/>
      <c r="G65" s="103"/>
      <c r="U65" s="108"/>
      <c r="V65" s="4"/>
      <c r="W65" s="4"/>
      <c r="X65" s="4"/>
      <c r="Y65" s="4"/>
      <c r="Z65" s="4"/>
      <c r="AA65" s="4"/>
      <c r="AB65" s="4"/>
      <c r="AC65" s="4"/>
      <c r="AD65" s="4"/>
      <c r="AE65" s="4"/>
      <c r="AF65" s="4"/>
      <c r="AG65" s="4"/>
      <c r="AH65" s="4"/>
      <c r="AI65" s="4"/>
      <c r="AJ65" s="4"/>
      <c r="AK65" s="4"/>
      <c r="AL65" s="4"/>
      <c r="AM65" s="4"/>
      <c r="AN65" s="4"/>
      <c r="AO65" s="4"/>
      <c r="AQ65" s="1623"/>
      <c r="AR65" s="1623"/>
      <c r="AS65" s="1623"/>
      <c r="AY65" s="1577"/>
      <c r="AZ65" s="1624"/>
      <c r="BA65" s="1625"/>
      <c r="BB65" s="1626"/>
      <c r="BC65" s="1626"/>
      <c r="BD65" s="1626"/>
      <c r="BE65" s="1626"/>
      <c r="BF65" s="1626"/>
      <c r="BG65" s="1626"/>
      <c r="BH65" s="1626"/>
      <c r="BI65" s="1626"/>
      <c r="BJ65" s="1627"/>
      <c r="BK65" s="1627"/>
      <c r="BL65" s="1631">
        <v>14</v>
      </c>
      <c r="BM65" s="1628"/>
      <c r="BN65" s="1628"/>
      <c r="BO65" s="1628"/>
      <c r="BP65" s="1628"/>
      <c r="BQ65" s="1628"/>
      <c r="BR65" s="1628"/>
      <c r="BS65" s="1628"/>
      <c r="BT65" s="1605"/>
      <c r="BU65" s="1604"/>
      <c r="BV65" s="1629"/>
      <c r="BW65" s="1632" t="b">
        <f>IF(BZ81=25,11)</f>
        <v>0</v>
      </c>
      <c r="BX65" s="1633"/>
      <c r="BY65" s="1635"/>
      <c r="BZ65" s="1635"/>
      <c r="CA65" s="1635"/>
      <c r="CB65" s="1635"/>
      <c r="CC65" s="1636" t="b">
        <f>IF(BZ81=25,17)</f>
        <v>0</v>
      </c>
      <c r="CD65" s="1583"/>
      <c r="CE65" s="1583"/>
      <c r="CF65" s="1583"/>
      <c r="CG65" s="1583"/>
      <c r="CH65" s="1626"/>
      <c r="CI65" s="1626"/>
      <c r="CJ65" s="1626"/>
      <c r="CK65" s="1626"/>
      <c r="CL65" s="1626"/>
      <c r="CM65" s="1626"/>
      <c r="CN65" s="1626"/>
      <c r="CO65" s="1626"/>
      <c r="CP65" s="185"/>
    </row>
    <row r="66" spans="2:94" ht="19.5" hidden="1" customHeight="1" thickBot="1" x14ac:dyDescent="0.45">
      <c r="T66" s="4"/>
      <c r="U66" s="4"/>
      <c r="V66" s="4"/>
      <c r="W66" s="4"/>
      <c r="X66" s="4"/>
      <c r="Y66" s="4"/>
      <c r="Z66" s="4"/>
      <c r="AA66" s="4"/>
      <c r="AB66" s="4"/>
      <c r="AC66" s="4"/>
      <c r="AD66" s="4"/>
      <c r="AE66" s="4"/>
      <c r="AF66" s="4"/>
      <c r="AG66" s="4"/>
      <c r="AH66" s="4"/>
      <c r="AI66" s="4"/>
      <c r="AJ66" s="4"/>
      <c r="AK66" s="4"/>
      <c r="AL66" s="4"/>
      <c r="AM66" s="4"/>
      <c r="AN66" s="4"/>
      <c r="AO66" s="4"/>
      <c r="AQ66" s="1623"/>
      <c r="AR66" s="1623"/>
      <c r="AS66" s="1623"/>
      <c r="AY66" s="1577"/>
      <c r="AZ66" s="1623"/>
      <c r="BA66" s="1625"/>
      <c r="BB66" s="1626"/>
      <c r="BC66" s="1626"/>
      <c r="BD66" s="1626"/>
      <c r="BE66" s="1626"/>
      <c r="BF66" s="1626"/>
      <c r="BG66" s="1626"/>
      <c r="BH66" s="1626"/>
      <c r="BI66" s="1626"/>
      <c r="BL66" s="1631">
        <v>13</v>
      </c>
      <c r="BM66" s="1626"/>
      <c r="BN66" s="1625"/>
      <c r="BO66" s="1625"/>
      <c r="BP66" s="1625"/>
      <c r="BQ66" s="1625"/>
      <c r="BR66" s="1625"/>
      <c r="BS66" s="1625"/>
      <c r="BT66" s="1625"/>
      <c r="BU66" s="1632" t="b">
        <f>IF(BY81=24,9)</f>
        <v>0</v>
      </c>
      <c r="BV66" s="1637"/>
      <c r="BW66" s="1638"/>
      <c r="BX66" s="1639"/>
      <c r="BY66" s="1638"/>
      <c r="BZ66" s="1639"/>
      <c r="CA66" s="1639"/>
      <c r="CB66" s="1640"/>
      <c r="CC66" s="1636" t="b">
        <f>IF(BY81=24,17)</f>
        <v>0</v>
      </c>
      <c r="CD66" s="1557"/>
      <c r="CE66" s="1557"/>
      <c r="CF66" s="1557"/>
      <c r="CG66" s="1557"/>
      <c r="CH66" s="1557"/>
      <c r="CI66" s="1557"/>
      <c r="CJ66" s="1557"/>
      <c r="CK66" s="1557"/>
      <c r="CL66" s="1557"/>
      <c r="CM66" s="1557"/>
      <c r="CN66" s="1557"/>
      <c r="CO66" s="1557"/>
      <c r="CP66" s="185"/>
    </row>
    <row r="67" spans="2:94" ht="19.5" hidden="1" customHeight="1" thickBot="1" x14ac:dyDescent="0.45">
      <c r="T67" s="4"/>
      <c r="U67" s="4"/>
      <c r="V67" s="4"/>
      <c r="W67" s="4"/>
      <c r="X67" s="4"/>
      <c r="Y67" s="4"/>
      <c r="Z67" s="4"/>
      <c r="AA67" s="4"/>
      <c r="AB67" s="4"/>
      <c r="AC67" s="4"/>
      <c r="AD67" s="4"/>
      <c r="AE67" s="4"/>
      <c r="AF67" s="4"/>
      <c r="AG67" s="4"/>
      <c r="AH67" s="4"/>
      <c r="AI67" s="4"/>
      <c r="AJ67" s="4"/>
      <c r="AK67" s="4"/>
      <c r="AL67" s="4"/>
      <c r="AM67" s="4"/>
      <c r="AN67" s="4"/>
      <c r="AO67" s="4"/>
      <c r="AQ67" s="1623"/>
      <c r="AR67" s="1623"/>
      <c r="AS67" s="1623"/>
      <c r="AY67" s="1577"/>
      <c r="AZ67" s="1623"/>
      <c r="BA67" s="1625"/>
      <c r="BB67" s="1625"/>
      <c r="BC67" s="1626"/>
      <c r="BD67" s="1625"/>
      <c r="BE67" s="1625"/>
      <c r="BF67" s="1625"/>
      <c r="BL67" s="1631">
        <v>12</v>
      </c>
      <c r="BM67" s="1626"/>
      <c r="BN67" s="1625"/>
      <c r="BO67" s="1625"/>
      <c r="BP67" s="1625"/>
      <c r="BQ67" s="1625"/>
      <c r="BR67" s="1625"/>
      <c r="BS67" s="1632" t="b">
        <f>IF(BX81=23,7)</f>
        <v>0</v>
      </c>
      <c r="BT67" s="1637"/>
      <c r="BU67" s="1637"/>
      <c r="BV67" s="1641"/>
      <c r="BW67" s="1637"/>
      <c r="BX67" s="1637"/>
      <c r="BY67" s="1637"/>
      <c r="BZ67" s="1641"/>
      <c r="CA67" s="1641"/>
      <c r="CB67" s="1642"/>
      <c r="CC67" s="1634" t="b">
        <f>IF(BX81=23,17)</f>
        <v>0</v>
      </c>
      <c r="CD67" s="1557"/>
      <c r="CE67" s="1557"/>
      <c r="CF67" s="1557"/>
      <c r="CG67" s="1557"/>
      <c r="CH67" s="1557"/>
      <c r="CI67" s="1557"/>
      <c r="CJ67" s="1557"/>
      <c r="CK67" s="1557"/>
      <c r="CL67" s="1557"/>
      <c r="CM67" s="1557"/>
      <c r="CN67" s="1557"/>
      <c r="CO67" s="1557"/>
      <c r="CP67" s="185"/>
    </row>
    <row r="68" spans="2:94" ht="19.5" hidden="1" customHeight="1" thickBot="1" x14ac:dyDescent="0.45">
      <c r="AQ68" s="1623"/>
      <c r="AR68" s="1623"/>
      <c r="AS68" s="1623"/>
      <c r="AY68" s="1577"/>
      <c r="AZ68" s="1623"/>
      <c r="BA68" s="1625"/>
      <c r="BB68" s="1625"/>
      <c r="BC68" s="1626"/>
      <c r="BD68" s="1625"/>
      <c r="BE68" s="1625"/>
      <c r="BF68" s="1625"/>
      <c r="BL68" s="1631">
        <v>11</v>
      </c>
      <c r="BM68" s="1626"/>
      <c r="BN68" s="1625"/>
      <c r="BO68" s="1625"/>
      <c r="BP68" s="1625"/>
      <c r="BQ68" s="1632" t="b">
        <f>IF(BW81=22,5)</f>
        <v>0</v>
      </c>
      <c r="BR68" s="1637"/>
      <c r="BS68" s="1637"/>
      <c r="BT68" s="1641"/>
      <c r="BU68" s="1637"/>
      <c r="BV68" s="1641"/>
      <c r="BW68" s="1637"/>
      <c r="BX68" s="1641"/>
      <c r="BY68" s="1637"/>
      <c r="BZ68" s="1641"/>
      <c r="CA68" s="1641"/>
      <c r="CB68" s="1642"/>
      <c r="CC68" s="1634" t="b">
        <f>IF(BW81=22,17)</f>
        <v>0</v>
      </c>
      <c r="CD68" s="1557"/>
      <c r="CE68" s="1557"/>
      <c r="CF68" s="1557"/>
      <c r="CG68" s="1557"/>
      <c r="CH68" s="1557"/>
      <c r="CI68" s="1557"/>
      <c r="CJ68" s="1557"/>
      <c r="CK68" s="1557"/>
      <c r="CL68" s="1557"/>
      <c r="CM68" s="1557"/>
      <c r="CN68" s="1557"/>
      <c r="CO68" s="1557"/>
      <c r="CP68" s="185"/>
    </row>
    <row r="69" spans="2:94" ht="19.5" hidden="1" customHeight="1" thickBot="1" x14ac:dyDescent="0.45">
      <c r="AQ69" s="1623"/>
      <c r="AR69" s="1623"/>
      <c r="AS69" s="1623"/>
      <c r="AY69" s="1577"/>
      <c r="AZ69" s="1623"/>
      <c r="BA69" s="1625"/>
      <c r="BB69" s="1625"/>
      <c r="BC69" s="1626"/>
      <c r="BD69" s="1625"/>
      <c r="BE69" s="1625"/>
      <c r="BF69" s="1625"/>
      <c r="BL69" s="1631">
        <v>10</v>
      </c>
      <c r="BM69" s="1626"/>
      <c r="BN69" s="1625"/>
      <c r="BO69" s="1632" t="b">
        <f>IF(BV81=21,3)</f>
        <v>0</v>
      </c>
      <c r="BP69" s="1637"/>
      <c r="BQ69" s="1637"/>
      <c r="BR69" s="1641"/>
      <c r="BS69" s="1641"/>
      <c r="BT69" s="1641"/>
      <c r="BU69" s="1637"/>
      <c r="BV69" s="1637"/>
      <c r="BW69" s="1637"/>
      <c r="BX69" s="1641"/>
      <c r="BY69" s="1637"/>
      <c r="BZ69" s="1641"/>
      <c r="CA69" s="1641"/>
      <c r="CB69" s="1642"/>
      <c r="CC69" s="1634" t="b">
        <f>IF(BV81=21,17)</f>
        <v>0</v>
      </c>
      <c r="CD69" s="1557"/>
      <c r="CE69" s="1557"/>
      <c r="CF69" s="1557"/>
      <c r="CG69" s="1557"/>
      <c r="CH69" s="1557"/>
      <c r="CI69" s="1557"/>
      <c r="CJ69" s="1557"/>
      <c r="CK69" s="1557"/>
      <c r="CL69" s="1557"/>
      <c r="CM69" s="1557"/>
      <c r="CN69" s="1557"/>
      <c r="CO69" s="1557"/>
      <c r="CP69" s="185"/>
    </row>
    <row r="70" spans="2:94" ht="19.5" hidden="1" customHeight="1" thickBot="1" x14ac:dyDescent="0.45">
      <c r="AQ70" s="1623"/>
      <c r="AR70" s="1623"/>
      <c r="AS70" s="1623"/>
      <c r="AY70" s="1577"/>
      <c r="AZ70" s="1623"/>
      <c r="BA70" s="1625"/>
      <c r="BB70" s="1625"/>
      <c r="BC70" s="1626"/>
      <c r="BD70" s="1625"/>
      <c r="BE70" s="1625"/>
      <c r="BF70" s="1625"/>
      <c r="BL70" s="1631">
        <v>9</v>
      </c>
      <c r="BM70" s="1632" t="b">
        <f>IF(BU81=20,1)</f>
        <v>0</v>
      </c>
      <c r="BN70" s="1637"/>
      <c r="BO70" s="1637"/>
      <c r="BP70" s="1641"/>
      <c r="BQ70" s="1637"/>
      <c r="BR70" s="1637"/>
      <c r="BS70" s="1637"/>
      <c r="BT70" s="1637"/>
      <c r="BU70" s="1637"/>
      <c r="BV70" s="1637"/>
      <c r="BW70" s="1637"/>
      <c r="BX70" s="1637"/>
      <c r="BY70" s="1637"/>
      <c r="BZ70" s="1641"/>
      <c r="CA70" s="1641"/>
      <c r="CB70" s="1642"/>
      <c r="CC70" s="1634" t="b">
        <f>IF(BU81=20,17)</f>
        <v>0</v>
      </c>
      <c r="CD70" s="1557"/>
      <c r="CE70" s="1557"/>
      <c r="CF70" s="1557"/>
      <c r="CG70" s="1557"/>
      <c r="CH70" s="1557"/>
      <c r="CI70" s="1557"/>
      <c r="CJ70" s="1557"/>
      <c r="CK70" s="1557"/>
      <c r="CL70" s="1557"/>
      <c r="CM70" s="1557"/>
      <c r="CN70" s="1557"/>
      <c r="CO70" s="1557"/>
      <c r="CP70" s="185"/>
    </row>
    <row r="71" spans="2:94" ht="19.5" hidden="1" customHeight="1" thickBot="1" x14ac:dyDescent="0.45">
      <c r="T71" s="4"/>
      <c r="U71" s="4"/>
      <c r="V71" s="4"/>
      <c r="W71" s="4"/>
      <c r="X71" s="4"/>
      <c r="Y71" s="4"/>
      <c r="Z71" s="4"/>
      <c r="AA71" s="4"/>
      <c r="AB71" s="4"/>
      <c r="AC71" s="4"/>
      <c r="AD71" s="4"/>
      <c r="AE71" s="4"/>
      <c r="AF71" s="4"/>
      <c r="AG71" s="4"/>
      <c r="AH71" s="4"/>
      <c r="AI71" s="4"/>
      <c r="AJ71" s="4"/>
      <c r="AK71" s="4"/>
      <c r="AL71" s="4"/>
      <c r="AM71" s="4"/>
      <c r="AN71" s="4"/>
      <c r="AO71" s="4"/>
      <c r="AQ71" s="1623"/>
      <c r="AR71" s="1623"/>
      <c r="AS71" s="1623"/>
      <c r="AY71" s="1577"/>
      <c r="AZ71" s="1623"/>
      <c r="BA71" s="1625"/>
      <c r="BB71" s="1625"/>
      <c r="BC71" s="1626"/>
      <c r="BD71" s="1625"/>
      <c r="BE71" s="1625"/>
      <c r="BF71" s="1625"/>
      <c r="BL71" s="1631">
        <v>8</v>
      </c>
      <c r="BM71" s="1643" t="b">
        <f>IF(BT81=19,1)</f>
        <v>0</v>
      </c>
      <c r="BN71" s="1639"/>
      <c r="BO71" s="1638"/>
      <c r="BP71" s="1638"/>
      <c r="BQ71" s="1638"/>
      <c r="BR71" s="1638"/>
      <c r="BS71" s="1638"/>
      <c r="BT71" s="1638"/>
      <c r="BU71" s="1638"/>
      <c r="BV71" s="1638"/>
      <c r="BW71" s="1638"/>
      <c r="BX71" s="1638"/>
      <c r="BY71" s="1638"/>
      <c r="BZ71" s="1639"/>
      <c r="CA71" s="1636" t="b">
        <f>IF(BT81=19,15)</f>
        <v>0</v>
      </c>
      <c r="CB71" s="1557"/>
      <c r="CC71" s="1557"/>
      <c r="CD71" s="1557"/>
      <c r="CE71" s="1557"/>
      <c r="CF71" s="1557"/>
      <c r="CG71" s="1557"/>
      <c r="CH71" s="1557"/>
      <c r="CI71" s="1557"/>
      <c r="CJ71" s="1557"/>
      <c r="CK71" s="1557"/>
      <c r="CL71" s="1557"/>
      <c r="CM71" s="1557"/>
      <c r="CN71" s="1557"/>
      <c r="CO71" s="1557"/>
      <c r="CP71" s="185"/>
    </row>
    <row r="72" spans="2:94" ht="19.5" hidden="1" customHeight="1" thickBot="1" x14ac:dyDescent="0.45">
      <c r="T72" s="4"/>
      <c r="U72" s="4"/>
      <c r="V72" s="4"/>
      <c r="W72" s="4"/>
      <c r="X72" s="4"/>
      <c r="Y72" s="4"/>
      <c r="Z72" s="4"/>
      <c r="AA72" s="4"/>
      <c r="AB72" s="4"/>
      <c r="AC72" s="4"/>
      <c r="AD72" s="4"/>
      <c r="AE72" s="4"/>
      <c r="AF72" s="4"/>
      <c r="AG72" s="4"/>
      <c r="AH72" s="4"/>
      <c r="AI72" s="4"/>
      <c r="AJ72" s="4"/>
      <c r="AK72" s="4"/>
      <c r="AL72" s="4"/>
      <c r="AM72" s="4"/>
      <c r="AN72" s="4"/>
      <c r="AO72" s="4"/>
      <c r="AQ72" s="1623"/>
      <c r="AR72" s="1623"/>
      <c r="AS72" s="1623"/>
      <c r="AY72" s="1577"/>
      <c r="AZ72" s="1623"/>
      <c r="BA72" s="1625"/>
      <c r="BB72" s="1625"/>
      <c r="BC72" s="1626"/>
      <c r="BD72" s="1625"/>
      <c r="BE72" s="1625"/>
      <c r="BF72" s="1625"/>
      <c r="BL72" s="1631">
        <v>7</v>
      </c>
      <c r="BM72" s="1643" t="b">
        <f>IF(BS81=18,1)</f>
        <v>0</v>
      </c>
      <c r="BN72" s="1638"/>
      <c r="BO72" s="1638"/>
      <c r="BP72" s="1638"/>
      <c r="BQ72" s="1638"/>
      <c r="BR72" s="1638"/>
      <c r="BS72" s="1638"/>
      <c r="BT72" s="1638"/>
      <c r="BU72" s="1638"/>
      <c r="BV72" s="1638"/>
      <c r="BW72" s="1638"/>
      <c r="BX72" s="1638"/>
      <c r="BY72" s="1636" t="b">
        <f>IF(BS81=18,13)</f>
        <v>0</v>
      </c>
      <c r="BZ72" s="1626"/>
      <c r="CB72" s="1557"/>
      <c r="CC72" s="1557"/>
      <c r="CD72" s="1557"/>
      <c r="CE72" s="1557"/>
      <c r="CF72" s="1557"/>
      <c r="CG72" s="1557"/>
      <c r="CH72" s="1557"/>
      <c r="CI72" s="1557"/>
      <c r="CJ72" s="1557"/>
      <c r="CK72" s="1557"/>
      <c r="CL72" s="1557"/>
      <c r="CM72" s="1557"/>
      <c r="CN72" s="1557"/>
      <c r="CO72" s="1557"/>
      <c r="CP72" s="185"/>
    </row>
    <row r="73" spans="2:94" ht="19.5" hidden="1" customHeight="1" thickBot="1" x14ac:dyDescent="0.45">
      <c r="T73" s="4"/>
      <c r="U73" s="4"/>
      <c r="V73" s="4"/>
      <c r="W73" s="4"/>
      <c r="X73" s="4"/>
      <c r="Y73" s="4"/>
      <c r="Z73" s="4"/>
      <c r="AA73" s="4"/>
      <c r="AB73" s="4"/>
      <c r="AC73" s="4"/>
      <c r="AD73" s="4"/>
      <c r="AE73" s="4"/>
      <c r="AF73" s="4"/>
      <c r="AG73" s="4"/>
      <c r="AH73" s="4"/>
      <c r="AI73" s="4"/>
      <c r="AJ73" s="4"/>
      <c r="AK73" s="4"/>
      <c r="AL73" s="4"/>
      <c r="AM73" s="4"/>
      <c r="AN73" s="4"/>
      <c r="AO73" s="4"/>
      <c r="AQ73" s="1623"/>
      <c r="AR73" s="1623"/>
      <c r="AS73" s="1623"/>
      <c r="AY73" s="1577"/>
      <c r="AZ73" s="1623"/>
      <c r="BA73" s="1625"/>
      <c r="BB73" s="1625"/>
      <c r="BC73" s="1626"/>
      <c r="BD73" s="1625"/>
      <c r="BE73" s="1625"/>
      <c r="BF73" s="1625"/>
      <c r="BL73" s="1631">
        <v>6</v>
      </c>
      <c r="BM73" s="1643" t="b">
        <f>IF(BR81=17,1)</f>
        <v>0</v>
      </c>
      <c r="BN73" s="1638"/>
      <c r="BO73" s="1638"/>
      <c r="BP73" s="1638"/>
      <c r="BQ73" s="1638"/>
      <c r="BR73" s="1638"/>
      <c r="BS73" s="1638"/>
      <c r="BT73" s="1638"/>
      <c r="BU73" s="1638"/>
      <c r="BV73" s="1638"/>
      <c r="BW73" s="1636" t="b">
        <f>IF(BR81=17,11)</f>
        <v>0</v>
      </c>
      <c r="BX73" s="1625"/>
      <c r="BY73" s="1625"/>
      <c r="BZ73" s="1626"/>
      <c r="CB73" s="1557"/>
      <c r="CC73" s="1557"/>
      <c r="CD73" s="1557"/>
      <c r="CE73" s="1557"/>
      <c r="CF73" s="1557"/>
      <c r="CG73" s="1557"/>
      <c r="CH73" s="1557"/>
      <c r="CI73" s="1557"/>
      <c r="CJ73" s="1557"/>
      <c r="CK73" s="1557"/>
      <c r="CL73" s="1557"/>
      <c r="CM73" s="1557"/>
      <c r="CN73" s="1557"/>
      <c r="CO73" s="1557"/>
      <c r="CP73" s="185"/>
    </row>
    <row r="74" spans="2:94" ht="19.5" hidden="1" customHeight="1" thickBot="1" x14ac:dyDescent="0.45">
      <c r="T74" s="4"/>
      <c r="U74" s="4"/>
      <c r="V74" s="4"/>
      <c r="W74" s="4"/>
      <c r="X74" s="4"/>
      <c r="Y74" s="4"/>
      <c r="Z74" s="4"/>
      <c r="AA74" s="4"/>
      <c r="AB74" s="4"/>
      <c r="AC74" s="4"/>
      <c r="AD74" s="4"/>
      <c r="AE74" s="4"/>
      <c r="AF74" s="4"/>
      <c r="AG74" s="4"/>
      <c r="AH74" s="4"/>
      <c r="AI74" s="4"/>
      <c r="AJ74" s="4"/>
      <c r="AK74" s="4"/>
      <c r="AL74" s="4"/>
      <c r="AM74" s="4"/>
      <c r="AN74" s="4"/>
      <c r="AO74" s="4"/>
      <c r="AQ74" s="1623"/>
      <c r="AR74" s="1623"/>
      <c r="AS74" s="1623"/>
      <c r="AY74" s="1577"/>
      <c r="AZ74" s="1623"/>
      <c r="BA74" s="1625"/>
      <c r="BB74" s="1625"/>
      <c r="BC74" s="1626"/>
      <c r="BD74" s="1625"/>
      <c r="BE74" s="1625"/>
      <c r="BF74" s="1625"/>
      <c r="BL74" s="1631">
        <v>5</v>
      </c>
      <c r="BM74" s="1632" t="b">
        <f>IF(BQ81=16,1)</f>
        <v>0</v>
      </c>
      <c r="BN74" s="1637"/>
      <c r="BO74" s="1637"/>
      <c r="BP74" s="1641"/>
      <c r="BQ74" s="1637"/>
      <c r="BR74" s="1641"/>
      <c r="BS74" s="1637"/>
      <c r="BT74" s="1637"/>
      <c r="BU74" s="1634" t="b">
        <f>IF(BQ81=16,9)</f>
        <v>0</v>
      </c>
      <c r="BV74" s="1625"/>
      <c r="BW74" s="1625"/>
      <c r="BX74" s="1625"/>
      <c r="BY74" s="1625"/>
      <c r="BZ74" s="1626"/>
      <c r="CB74" s="1557"/>
      <c r="CC74" s="1557"/>
      <c r="CD74" s="1557"/>
      <c r="CE74" s="1557"/>
      <c r="CF74" s="1557"/>
      <c r="CG74" s="1557"/>
      <c r="CH74" s="1557"/>
      <c r="CI74" s="1557"/>
      <c r="CJ74" s="1557"/>
      <c r="CK74" s="1557"/>
      <c r="CL74" s="1557"/>
      <c r="CM74" s="1557"/>
      <c r="CN74" s="1557"/>
      <c r="CO74" s="1557"/>
      <c r="CP74" s="185"/>
    </row>
    <row r="75" spans="2:94" ht="19.5" hidden="1" customHeight="1" thickBot="1" x14ac:dyDescent="0.45">
      <c r="T75" s="4"/>
      <c r="U75" s="4"/>
      <c r="V75" s="4"/>
      <c r="W75" s="4"/>
      <c r="X75" s="4"/>
      <c r="Y75" s="4"/>
      <c r="Z75" s="4"/>
      <c r="AA75" s="4"/>
      <c r="AB75" s="4"/>
      <c r="AC75" s="4"/>
      <c r="AD75" s="4"/>
      <c r="AE75" s="4"/>
      <c r="AF75" s="4"/>
      <c r="AG75" s="4"/>
      <c r="AH75" s="4"/>
      <c r="AI75" s="4"/>
      <c r="AJ75" s="4"/>
      <c r="AK75" s="4"/>
      <c r="AL75" s="4"/>
      <c r="AM75" s="4"/>
      <c r="AN75" s="4"/>
      <c r="AO75" s="4"/>
      <c r="AQ75" s="1623"/>
      <c r="AR75" s="1623"/>
      <c r="AS75" s="1623"/>
      <c r="AY75" s="1577"/>
      <c r="AZ75" s="1623"/>
      <c r="BA75" s="1625"/>
      <c r="BB75" s="1625"/>
      <c r="BC75" s="1626"/>
      <c r="BD75" s="1625"/>
      <c r="BE75" s="1625"/>
      <c r="BF75" s="1625"/>
      <c r="BL75" s="1631">
        <v>4</v>
      </c>
      <c r="BM75" s="1632" t="b">
        <f>IF(BP81=15,1)</f>
        <v>0</v>
      </c>
      <c r="BN75" s="1641"/>
      <c r="BO75" s="1641"/>
      <c r="BP75" s="1637"/>
      <c r="BQ75" s="1641"/>
      <c r="BR75" s="1641"/>
      <c r="BS75" s="1634" t="b">
        <f>IF(BP81=15,7)</f>
        <v>0</v>
      </c>
      <c r="BT75" s="1625"/>
      <c r="BU75" s="1625"/>
      <c r="BV75" s="1625"/>
      <c r="BW75" s="1625"/>
      <c r="BX75" s="1625"/>
      <c r="BY75" s="1625"/>
      <c r="BZ75" s="1626"/>
      <c r="CB75" s="1557"/>
      <c r="CC75" s="1557"/>
      <c r="CD75" s="1557"/>
      <c r="CE75" s="1557"/>
      <c r="CF75" s="1557"/>
      <c r="CG75" s="1557"/>
      <c r="CH75" s="1557"/>
      <c r="CI75" s="1557"/>
      <c r="CJ75" s="1557"/>
      <c r="CK75" s="1557"/>
      <c r="CL75" s="1557"/>
      <c r="CM75" s="1557"/>
      <c r="CN75" s="1557"/>
      <c r="CO75" s="1557"/>
      <c r="CP75" s="185"/>
    </row>
    <row r="76" spans="2:94" ht="19.5" hidden="1" customHeight="1" thickBot="1" x14ac:dyDescent="0.45">
      <c r="B76" s="24"/>
      <c r="T76" s="4"/>
      <c r="U76" s="4"/>
      <c r="V76" s="4"/>
      <c r="W76" s="4"/>
      <c r="X76" s="4"/>
      <c r="Y76" s="4"/>
      <c r="Z76" s="4"/>
      <c r="AA76" s="4"/>
      <c r="AB76" s="4"/>
      <c r="AC76" s="4"/>
      <c r="AD76" s="4"/>
      <c r="AE76" s="4"/>
      <c r="AF76" s="4"/>
      <c r="AG76" s="4"/>
      <c r="AH76" s="4"/>
      <c r="AI76" s="4"/>
      <c r="AJ76" s="4"/>
      <c r="AK76" s="4"/>
      <c r="AL76" s="4"/>
      <c r="AM76" s="4"/>
      <c r="AN76" s="4"/>
      <c r="AO76" s="4"/>
      <c r="AQ76" s="1623"/>
      <c r="AR76" s="1623"/>
      <c r="AS76" s="1623"/>
      <c r="AY76" s="1577"/>
      <c r="AZ76" s="1623"/>
      <c r="BA76" s="1625"/>
      <c r="BB76" s="1625"/>
      <c r="BC76" s="1626"/>
      <c r="BD76" s="1625"/>
      <c r="BE76" s="1625"/>
      <c r="BF76" s="1625"/>
      <c r="BL76" s="1631">
        <v>3</v>
      </c>
      <c r="BM76" s="1643">
        <f>IF(BO81=14,1)</f>
        <v>1</v>
      </c>
      <c r="BN76" s="1638"/>
      <c r="BO76" s="1638"/>
      <c r="BP76" s="1638"/>
      <c r="BQ76" s="1636">
        <f>IF(BO81=14,5)</f>
        <v>5</v>
      </c>
      <c r="BR76" s="1625"/>
      <c r="BS76" s="1625"/>
      <c r="BT76" s="1625"/>
      <c r="BU76" s="1625"/>
      <c r="BV76" s="1625"/>
      <c r="BW76" s="1625"/>
      <c r="BX76" s="1625"/>
      <c r="BY76" s="1625"/>
      <c r="BZ76" s="1626"/>
      <c r="CB76" s="1557"/>
      <c r="CC76" s="1557"/>
      <c r="CD76" s="1557"/>
      <c r="CE76" s="1557"/>
      <c r="CF76" s="1557"/>
      <c r="CG76" s="1557"/>
      <c r="CH76" s="1557"/>
      <c r="CI76" s="1557"/>
      <c r="CJ76" s="1557"/>
      <c r="CK76" s="1557"/>
      <c r="CL76" s="1557"/>
      <c r="CM76" s="1557"/>
      <c r="CN76" s="1557"/>
      <c r="CO76" s="1557"/>
      <c r="CP76" s="185"/>
    </row>
    <row r="77" spans="2:94" ht="19.5" hidden="1" customHeight="1" thickBot="1" x14ac:dyDescent="0.45">
      <c r="B77" s="166"/>
      <c r="T77" s="4"/>
      <c r="U77" s="4"/>
      <c r="V77" s="4"/>
      <c r="W77" s="4"/>
      <c r="X77" s="4"/>
      <c r="Y77" s="4"/>
      <c r="Z77" s="4"/>
      <c r="AA77" s="4"/>
      <c r="AB77" s="4"/>
      <c r="AC77" s="4"/>
      <c r="AD77" s="4"/>
      <c r="AE77" s="4"/>
      <c r="AF77" s="4"/>
      <c r="AG77" s="4"/>
      <c r="AH77" s="4"/>
      <c r="AI77" s="4"/>
      <c r="AJ77" s="4"/>
      <c r="AK77" s="4"/>
      <c r="AL77" s="4"/>
      <c r="AM77" s="4"/>
      <c r="AN77" s="4"/>
      <c r="AO77" s="4"/>
      <c r="AQ77" s="1623"/>
      <c r="AR77" s="1623"/>
      <c r="AS77" s="1623"/>
      <c r="AY77" s="1577"/>
      <c r="AZ77" s="1623"/>
      <c r="BA77" s="1625"/>
      <c r="BB77" s="1625"/>
      <c r="BC77" s="1626"/>
      <c r="BD77" s="1625"/>
      <c r="BE77" s="1625"/>
      <c r="BF77" s="1625"/>
      <c r="BL77" s="1631">
        <v>2</v>
      </c>
      <c r="BM77" s="1643" t="b">
        <f>IF(BN81=13,1)</f>
        <v>0</v>
      </c>
      <c r="BN77" s="1638"/>
      <c r="BO77" s="1636" t="b">
        <f>IF(BN81=13,3)</f>
        <v>0</v>
      </c>
      <c r="BP77" s="1625"/>
      <c r="BQ77" s="1625"/>
      <c r="BR77" s="1625"/>
      <c r="BS77" s="1625"/>
      <c r="BT77" s="1625"/>
      <c r="BU77" s="1625"/>
      <c r="BV77" s="1625"/>
      <c r="BW77" s="1625"/>
      <c r="BX77" s="1625"/>
      <c r="BY77" s="1625"/>
      <c r="BZ77" s="1626"/>
      <c r="CB77" s="1557"/>
      <c r="CC77" s="1557"/>
      <c r="CD77" s="1557"/>
      <c r="CE77" s="1557"/>
      <c r="CF77" s="1557"/>
      <c r="CG77" s="1557"/>
      <c r="CH77" s="1557"/>
      <c r="CI77" s="1557"/>
      <c r="CJ77" s="1557"/>
      <c r="CK77" s="1557"/>
      <c r="CL77" s="1557"/>
      <c r="CM77" s="1557"/>
      <c r="CN77" s="1557"/>
      <c r="CO77" s="1557"/>
      <c r="CP77" s="185"/>
    </row>
    <row r="78" spans="2:94" ht="19.5" hidden="1" customHeight="1" thickBot="1" x14ac:dyDescent="0.45">
      <c r="T78" s="4"/>
      <c r="U78" s="4"/>
      <c r="V78" s="4"/>
      <c r="W78" s="4"/>
      <c r="X78" s="4"/>
      <c r="Y78" s="4"/>
      <c r="Z78" s="4"/>
      <c r="AA78" s="4"/>
      <c r="AB78" s="4"/>
      <c r="AC78" s="4"/>
      <c r="AD78" s="4"/>
      <c r="AE78" s="4"/>
      <c r="AF78" s="4"/>
      <c r="AG78" s="4"/>
      <c r="AH78" s="4"/>
      <c r="AI78" s="4"/>
      <c r="AJ78" s="4"/>
      <c r="AK78" s="4"/>
      <c r="AL78" s="4"/>
      <c r="AM78" s="4"/>
      <c r="AN78" s="4"/>
      <c r="AO78" s="4"/>
      <c r="AQ78" s="1623"/>
      <c r="AR78" s="1623"/>
      <c r="AS78" s="1623"/>
      <c r="AY78" s="1577"/>
      <c r="AZ78" s="1623"/>
      <c r="BA78" s="1625"/>
      <c r="BB78" s="1625"/>
      <c r="BC78" s="1626"/>
      <c r="BD78" s="1625"/>
      <c r="BE78" s="1625"/>
      <c r="BF78" s="1625"/>
      <c r="BG78" s="1554"/>
      <c r="BH78" s="1625"/>
      <c r="BL78" s="1625"/>
      <c r="BM78" s="1625"/>
      <c r="BN78" s="1625"/>
      <c r="BO78" s="1625"/>
      <c r="BP78" s="1625"/>
      <c r="BQ78" s="1625"/>
      <c r="BR78" s="1625"/>
      <c r="BS78" s="1625"/>
      <c r="BT78" s="1625"/>
      <c r="BU78" s="1625"/>
      <c r="BV78" s="1625"/>
      <c r="BW78" s="1626"/>
      <c r="BX78" s="1644"/>
      <c r="BY78" s="1644"/>
      <c r="BZ78" s="1644"/>
      <c r="CB78" s="1557"/>
      <c r="CC78" s="1557"/>
      <c r="CD78" s="1557"/>
      <c r="CE78" s="1557"/>
      <c r="CF78" s="1557"/>
      <c r="CG78" s="1557"/>
      <c r="CH78" s="1557"/>
      <c r="CI78" s="1557"/>
      <c r="CJ78" s="1557"/>
      <c r="CK78" s="1557"/>
      <c r="CL78" s="1557"/>
      <c r="CM78" s="1557"/>
      <c r="CN78" s="1557"/>
      <c r="CO78" s="1557"/>
      <c r="CP78" s="185"/>
    </row>
    <row r="79" spans="2:94" ht="44.25" customHeight="1" thickBot="1" x14ac:dyDescent="0.45">
      <c r="T79" s="4"/>
      <c r="U79" s="4"/>
      <c r="V79" s="4"/>
      <c r="W79" s="4"/>
      <c r="X79" s="4"/>
      <c r="Y79" s="4"/>
      <c r="Z79" s="4"/>
      <c r="AA79" s="4"/>
      <c r="AB79" s="4"/>
      <c r="AC79" s="4"/>
      <c r="AD79" s="4"/>
      <c r="AE79" s="4"/>
      <c r="AF79" s="4"/>
      <c r="AG79" s="4"/>
      <c r="AH79" s="4"/>
      <c r="AI79" s="4"/>
      <c r="AJ79" s="4"/>
      <c r="AK79" s="4"/>
      <c r="AL79" s="4"/>
      <c r="AM79" s="4"/>
      <c r="AN79" s="4"/>
      <c r="AO79" s="4"/>
      <c r="AQ79" s="1623"/>
      <c r="AR79" s="1623"/>
      <c r="AS79" s="1623"/>
      <c r="AT79" s="1623"/>
      <c r="AV79" s="1623"/>
      <c r="AW79" s="1623"/>
      <c r="AX79" s="1623"/>
      <c r="AY79" s="1645"/>
      <c r="AZ79" s="1561" t="s">
        <v>241</v>
      </c>
      <c r="BA79" s="1646" t="s">
        <v>231</v>
      </c>
      <c r="BB79" s="1647"/>
      <c r="BC79" s="1648"/>
      <c r="BD79" s="1648"/>
      <c r="BE79" s="1648"/>
      <c r="BF79" s="1648"/>
      <c r="BG79" s="1648"/>
      <c r="BH79" s="1648"/>
      <c r="BI79" s="1648"/>
      <c r="BJ79" s="1648"/>
      <c r="BK79" s="1648"/>
      <c r="BL79" s="1648"/>
      <c r="BM79" s="1649">
        <f>SUM(BM63:BM78)</f>
        <v>1</v>
      </c>
      <c r="BN79" s="1650">
        <f t="shared" ref="BN79:CC79" si="0">SUM(BN63:BN78)</f>
        <v>0</v>
      </c>
      <c r="BO79" s="1650">
        <f t="shared" si="0"/>
        <v>0</v>
      </c>
      <c r="BP79" s="1650">
        <f t="shared" si="0"/>
        <v>0</v>
      </c>
      <c r="BQ79" s="1650">
        <f t="shared" si="0"/>
        <v>5</v>
      </c>
      <c r="BR79" s="1650">
        <f t="shared" si="0"/>
        <v>0</v>
      </c>
      <c r="BS79" s="1650">
        <f t="shared" si="0"/>
        <v>0</v>
      </c>
      <c r="BT79" s="1650">
        <f t="shared" si="0"/>
        <v>0</v>
      </c>
      <c r="BU79" s="1650">
        <f t="shared" si="0"/>
        <v>0</v>
      </c>
      <c r="BV79" s="1650">
        <f t="shared" si="0"/>
        <v>0</v>
      </c>
      <c r="BW79" s="1650">
        <f t="shared" si="0"/>
        <v>0</v>
      </c>
      <c r="BX79" s="1650">
        <f t="shared" si="0"/>
        <v>0</v>
      </c>
      <c r="BY79" s="1650">
        <f t="shared" si="0"/>
        <v>0</v>
      </c>
      <c r="BZ79" s="1650">
        <f t="shared" si="0"/>
        <v>0</v>
      </c>
      <c r="CA79" s="1650">
        <f t="shared" si="0"/>
        <v>0</v>
      </c>
      <c r="CB79" s="1650">
        <f t="shared" si="0"/>
        <v>0</v>
      </c>
      <c r="CC79" s="1651">
        <f t="shared" si="0"/>
        <v>0</v>
      </c>
      <c r="CD79" s="1648"/>
      <c r="CE79" s="1648"/>
      <c r="CF79" s="1652"/>
      <c r="CG79" s="1652"/>
      <c r="CH79" s="1652"/>
      <c r="CI79" s="1652"/>
      <c r="CJ79" s="1652"/>
      <c r="CK79" s="1652"/>
      <c r="CL79" s="1653"/>
      <c r="CM79" s="1583"/>
      <c r="CN79" s="1557"/>
      <c r="CO79" s="1557"/>
      <c r="CP79" s="185"/>
    </row>
    <row r="80" spans="2:94" ht="44.25" customHeight="1" thickBot="1" x14ac:dyDescent="0.45">
      <c r="T80" s="4"/>
      <c r="U80" s="4"/>
      <c r="V80" s="4"/>
      <c r="W80" s="4"/>
      <c r="X80" s="4"/>
      <c r="Y80" s="4"/>
      <c r="Z80" s="4"/>
      <c r="AA80" s="4"/>
      <c r="AB80" s="4"/>
      <c r="AC80" s="4"/>
      <c r="AD80" s="4"/>
      <c r="AE80" s="4"/>
      <c r="AF80" s="4"/>
      <c r="AG80" s="4"/>
      <c r="AH80" s="4"/>
      <c r="AI80" s="4"/>
      <c r="AJ80" s="4"/>
      <c r="AK80" s="4"/>
      <c r="AL80" s="4"/>
      <c r="AM80" s="4"/>
      <c r="AN80" s="4"/>
      <c r="AO80" s="4"/>
      <c r="AQ80" s="1623"/>
      <c r="AR80" s="1623"/>
      <c r="AS80" s="1623"/>
      <c r="AT80" s="1623"/>
      <c r="AU80" s="1623"/>
      <c r="AV80" s="1623"/>
      <c r="AW80" s="1623"/>
      <c r="AX80" s="1550" t="b">
        <f>AND(AZ80&gt;=10,$AN$142&gt;=10,$AO$142&gt;=10)</f>
        <v>1</v>
      </c>
      <c r="AY80" s="1570" t="str">
        <f>IF(AX80=TRUE,"O K","OVERLOAD")</f>
        <v>O K</v>
      </c>
      <c r="AZ80" s="1571">
        <f>+$D$8/(BB49/2)</f>
        <v>201.25786163522014</v>
      </c>
      <c r="BA80" s="1654"/>
      <c r="BB80" s="1644"/>
      <c r="BC80" s="1655"/>
      <c r="BD80" s="1644"/>
      <c r="BE80" s="1644"/>
      <c r="BF80" s="1644"/>
      <c r="BG80" s="1655"/>
      <c r="BH80" s="1644"/>
      <c r="BI80" s="1644"/>
      <c r="BJ80" s="1644"/>
      <c r="BK80" s="1644"/>
      <c r="BL80" s="1644"/>
      <c r="BM80" s="1644"/>
      <c r="BN80" s="1644"/>
      <c r="BO80" s="1644"/>
      <c r="BP80" s="1644"/>
      <c r="BQ80" s="1644"/>
      <c r="BR80" s="1644"/>
      <c r="BS80" s="1644"/>
      <c r="BT80" s="1644"/>
      <c r="BU80" s="1644"/>
      <c r="BV80" s="1644"/>
      <c r="BW80" s="1644"/>
      <c r="BX80" s="1644"/>
      <c r="BY80" s="1644"/>
      <c r="BZ80" s="1644"/>
      <c r="CA80" s="1644"/>
      <c r="CB80" s="1644"/>
      <c r="CC80" s="1644"/>
      <c r="CD80" s="1557"/>
      <c r="CE80" s="1557"/>
      <c r="CF80" s="1557"/>
      <c r="CG80" s="1557"/>
      <c r="CH80" s="1557"/>
      <c r="CI80" s="1557"/>
      <c r="CJ80" s="1557"/>
      <c r="CK80" s="1557"/>
      <c r="CL80" s="1557"/>
      <c r="CM80" s="1557"/>
      <c r="CN80" s="1557"/>
      <c r="CO80" s="1557"/>
      <c r="CP80" s="185"/>
    </row>
    <row r="81" spans="2:94" ht="19.5" hidden="1" customHeight="1" x14ac:dyDescent="0.4">
      <c r="T81" s="4"/>
      <c r="U81" s="4"/>
      <c r="V81" s="4"/>
      <c r="W81" s="4"/>
      <c r="X81" s="4"/>
      <c r="Y81" s="4"/>
      <c r="Z81" s="4"/>
      <c r="AA81" s="4"/>
      <c r="AB81" s="4"/>
      <c r="AC81" s="4"/>
      <c r="AD81" s="4"/>
      <c r="AE81" s="4"/>
      <c r="AF81" s="4"/>
      <c r="AG81" s="4"/>
      <c r="AH81" s="4"/>
      <c r="AI81" s="4"/>
      <c r="AJ81" s="4"/>
      <c r="AK81" s="4"/>
      <c r="AL81" s="4"/>
      <c r="AM81" s="4"/>
      <c r="AN81" s="4"/>
      <c r="AO81" s="4"/>
      <c r="AQ81" s="1623"/>
      <c r="AR81" s="1623"/>
      <c r="AS81" s="1623"/>
      <c r="AT81" s="1623"/>
      <c r="AU81" s="1623"/>
      <c r="AV81" s="1623"/>
      <c r="AW81" s="1623"/>
      <c r="AX81" s="1623"/>
      <c r="AY81" s="1645"/>
      <c r="AZ81" s="1623"/>
      <c r="BA81" s="1554"/>
      <c r="BB81" s="1656" t="b">
        <f>+AO191</f>
        <v>0</v>
      </c>
      <c r="BC81" s="1656" t="b">
        <f>+AO192</f>
        <v>0</v>
      </c>
      <c r="BD81" s="1656" t="b">
        <f>+AO193</f>
        <v>0</v>
      </c>
      <c r="BE81" s="1656" t="b">
        <f>+AO194</f>
        <v>0</v>
      </c>
      <c r="BF81" s="1656" t="b">
        <f>+AO195</f>
        <v>0</v>
      </c>
      <c r="BG81" s="1656" t="b">
        <f>+AO196</f>
        <v>0</v>
      </c>
      <c r="BH81" s="1656" t="b">
        <f>+AO197</f>
        <v>0</v>
      </c>
      <c r="BI81" s="1656" t="b">
        <f>+AO198</f>
        <v>0</v>
      </c>
      <c r="BJ81" s="1656" t="b">
        <f>+AO199</f>
        <v>0</v>
      </c>
      <c r="BK81" s="1656" t="b">
        <f>+AO200</f>
        <v>0</v>
      </c>
      <c r="BL81" s="1656" t="b">
        <f>+AO201</f>
        <v>0</v>
      </c>
      <c r="BM81" s="1656" t="b">
        <f>+AO202</f>
        <v>0</v>
      </c>
      <c r="BN81" s="1656" t="b">
        <f>+AO203</f>
        <v>0</v>
      </c>
      <c r="BO81" s="1656">
        <f>+AO204</f>
        <v>14</v>
      </c>
      <c r="BP81" s="1656" t="b">
        <f>+AO205</f>
        <v>0</v>
      </c>
      <c r="BQ81" s="1656" t="b">
        <f>+AO206</f>
        <v>0</v>
      </c>
      <c r="BR81" s="1656" t="b">
        <f>+AO207</f>
        <v>0</v>
      </c>
      <c r="BS81" s="1656" t="b">
        <f>+AO208</f>
        <v>0</v>
      </c>
      <c r="BT81" s="1656" t="b">
        <f>+AO209</f>
        <v>0</v>
      </c>
      <c r="BU81" s="1656" t="b">
        <f>+AO210</f>
        <v>0</v>
      </c>
      <c r="BV81" s="1656" t="b">
        <f>+AO211</f>
        <v>0</v>
      </c>
      <c r="BW81" s="1656" t="b">
        <f>+AO212</f>
        <v>0</v>
      </c>
      <c r="BX81" s="1656" t="b">
        <f>+AO213</f>
        <v>0</v>
      </c>
      <c r="BY81" s="1656" t="b">
        <f>+AO214</f>
        <v>0</v>
      </c>
      <c r="BZ81" s="1656" t="b">
        <f>+AO215</f>
        <v>0</v>
      </c>
      <c r="CA81" s="1656" t="b">
        <f>+AO216</f>
        <v>0</v>
      </c>
      <c r="CB81" s="1656" t="b">
        <f>+AO217</f>
        <v>0</v>
      </c>
      <c r="CC81" s="1656" t="b">
        <f>+AO218</f>
        <v>0</v>
      </c>
      <c r="CD81" s="1656" t="b">
        <f>+AO219</f>
        <v>0</v>
      </c>
      <c r="CE81" s="1656" t="b">
        <f>+AO220</f>
        <v>0</v>
      </c>
      <c r="CF81" s="1656" t="b">
        <f>+AO221</f>
        <v>0</v>
      </c>
      <c r="CG81" s="1656" t="b">
        <f>+AO222</f>
        <v>0</v>
      </c>
      <c r="CH81" s="1656" t="b">
        <f>+AO223</f>
        <v>0</v>
      </c>
      <c r="CI81" s="1656" t="b">
        <f>+AO224</f>
        <v>0</v>
      </c>
      <c r="CJ81" s="1656" t="b">
        <f>+AO225</f>
        <v>0</v>
      </c>
      <c r="CK81" s="1656" t="b">
        <f>+AO226</f>
        <v>0</v>
      </c>
      <c r="CL81" s="1656" t="b">
        <f>+AO227</f>
        <v>0</v>
      </c>
      <c r="CM81" s="1657"/>
      <c r="CN81" s="1557"/>
      <c r="CO81" s="1557"/>
      <c r="CP81" s="185"/>
    </row>
    <row r="82" spans="2:94" ht="19.5" hidden="1" customHeight="1" x14ac:dyDescent="0.4">
      <c r="T82" s="4"/>
      <c r="U82" s="4"/>
      <c r="V82" s="4"/>
      <c r="W82" s="4"/>
      <c r="X82" s="4"/>
      <c r="Y82" s="4"/>
      <c r="Z82" s="4"/>
      <c r="AA82" s="4"/>
      <c r="AB82" s="4"/>
      <c r="AC82" s="4"/>
      <c r="AD82" s="4"/>
      <c r="AE82" s="4"/>
      <c r="AF82" s="4"/>
      <c r="AG82" s="4"/>
      <c r="AH82" s="4"/>
      <c r="AI82" s="4"/>
      <c r="AJ82" s="4"/>
      <c r="AK82" s="4"/>
      <c r="AL82" s="4"/>
      <c r="AM82" s="4"/>
      <c r="AN82" s="4"/>
      <c r="AO82" s="4"/>
      <c r="AQ82" s="1623"/>
      <c r="AR82" s="1623"/>
      <c r="AS82" s="1623"/>
      <c r="AT82" s="1623"/>
      <c r="AU82" s="1623"/>
      <c r="AV82" s="1623"/>
      <c r="AW82" s="1623"/>
      <c r="AX82" s="1623"/>
      <c r="AY82" s="1645"/>
      <c r="AZ82" s="1623"/>
      <c r="BA82" s="1556"/>
      <c r="BB82" s="1657" t="b">
        <f>+BB81</f>
        <v>0</v>
      </c>
      <c r="BC82" s="1657" t="b">
        <f t="shared" ref="BC82:BT82" si="1">+BC81</f>
        <v>0</v>
      </c>
      <c r="BD82" s="1657" t="b">
        <f t="shared" si="1"/>
        <v>0</v>
      </c>
      <c r="BE82" s="1657" t="b">
        <f t="shared" si="1"/>
        <v>0</v>
      </c>
      <c r="BF82" s="1657" t="b">
        <f t="shared" si="1"/>
        <v>0</v>
      </c>
      <c r="BG82" s="1657" t="b">
        <f t="shared" si="1"/>
        <v>0</v>
      </c>
      <c r="BH82" s="1657" t="b">
        <f>+BH81</f>
        <v>0</v>
      </c>
      <c r="BI82" s="1657" t="b">
        <f t="shared" si="1"/>
        <v>0</v>
      </c>
      <c r="BJ82" s="1657" t="b">
        <f t="shared" si="1"/>
        <v>0</v>
      </c>
      <c r="BK82" s="1657" t="b">
        <f t="shared" si="1"/>
        <v>0</v>
      </c>
      <c r="BL82" s="1657" t="b">
        <f t="shared" si="1"/>
        <v>0</v>
      </c>
      <c r="BM82" s="1657" t="b">
        <f>+BM81</f>
        <v>0</v>
      </c>
      <c r="BN82" s="1657" t="b">
        <f>+BN81</f>
        <v>0</v>
      </c>
      <c r="BO82" s="1657">
        <f>+BO81</f>
        <v>14</v>
      </c>
      <c r="BP82" s="1657" t="b">
        <f>+BP81</f>
        <v>0</v>
      </c>
      <c r="BQ82" s="1657" t="b">
        <f>+BQ81</f>
        <v>0</v>
      </c>
      <c r="BR82" s="1657" t="b">
        <f t="shared" si="1"/>
        <v>0</v>
      </c>
      <c r="BS82" s="1657" t="b">
        <f t="shared" si="1"/>
        <v>0</v>
      </c>
      <c r="BT82" s="1657" t="b">
        <f t="shared" si="1"/>
        <v>0</v>
      </c>
      <c r="BU82" s="1657" t="b">
        <f>+BU81</f>
        <v>0</v>
      </c>
      <c r="BV82" s="1657" t="b">
        <f>+BV81</f>
        <v>0</v>
      </c>
      <c r="BW82" s="1657" t="b">
        <f t="shared" ref="BW82:CL82" si="2">+BW81</f>
        <v>0</v>
      </c>
      <c r="BX82" s="1657" t="b">
        <f t="shared" si="2"/>
        <v>0</v>
      </c>
      <c r="BY82" s="1657" t="b">
        <f t="shared" si="2"/>
        <v>0</v>
      </c>
      <c r="BZ82" s="1657" t="b">
        <f t="shared" si="2"/>
        <v>0</v>
      </c>
      <c r="CA82" s="1657" t="b">
        <f t="shared" si="2"/>
        <v>0</v>
      </c>
      <c r="CB82" s="1657" t="b">
        <f t="shared" si="2"/>
        <v>0</v>
      </c>
      <c r="CC82" s="1657" t="b">
        <f t="shared" si="2"/>
        <v>0</v>
      </c>
      <c r="CD82" s="1657" t="b">
        <f t="shared" si="2"/>
        <v>0</v>
      </c>
      <c r="CE82" s="1657" t="b">
        <f t="shared" si="2"/>
        <v>0</v>
      </c>
      <c r="CF82" s="1657" t="b">
        <f t="shared" si="2"/>
        <v>0</v>
      </c>
      <c r="CG82" s="1657" t="b">
        <f t="shared" si="2"/>
        <v>0</v>
      </c>
      <c r="CH82" s="1657" t="b">
        <f t="shared" si="2"/>
        <v>0</v>
      </c>
      <c r="CI82" s="1657" t="b">
        <f t="shared" si="2"/>
        <v>0</v>
      </c>
      <c r="CJ82" s="1657" t="b">
        <f t="shared" si="2"/>
        <v>0</v>
      </c>
      <c r="CK82" s="1657" t="b">
        <f t="shared" si="2"/>
        <v>0</v>
      </c>
      <c r="CL82" s="1657" t="b">
        <f t="shared" si="2"/>
        <v>0</v>
      </c>
      <c r="CM82" s="1657"/>
      <c r="CN82" s="1557"/>
      <c r="CO82" s="1557"/>
      <c r="CP82" s="185"/>
    </row>
    <row r="83" spans="2:94" ht="15" customHeight="1" thickBot="1" x14ac:dyDescent="0.45">
      <c r="T83" s="4"/>
      <c r="U83" s="4"/>
      <c r="V83" s="4"/>
      <c r="W83" s="4"/>
      <c r="X83" s="4"/>
      <c r="Y83" s="4"/>
      <c r="Z83" s="4"/>
      <c r="AA83" s="4"/>
      <c r="AB83" s="4"/>
      <c r="AC83" s="4"/>
      <c r="AD83" s="4"/>
      <c r="AE83" s="4"/>
      <c r="AF83" s="4"/>
      <c r="AG83" s="4"/>
      <c r="AH83" s="4"/>
      <c r="AI83" s="4"/>
      <c r="AJ83" s="4"/>
      <c r="AK83" s="4"/>
      <c r="AL83" s="4"/>
      <c r="AM83" s="4"/>
      <c r="AN83" s="4"/>
      <c r="AO83" s="4"/>
      <c r="AQ83" s="1623"/>
      <c r="AR83" s="1623"/>
      <c r="AS83" s="1623"/>
      <c r="AT83" s="1623"/>
      <c r="AU83" s="1623"/>
      <c r="AV83" s="1623"/>
      <c r="AW83" s="1623"/>
      <c r="AX83" s="1623"/>
      <c r="AY83" s="1645"/>
      <c r="AZ83" s="1623"/>
      <c r="BA83" s="1556"/>
      <c r="BB83" s="1657"/>
      <c r="BC83" s="1657"/>
      <c r="BD83" s="1657"/>
      <c r="BE83" s="1657"/>
      <c r="BF83" s="1657"/>
      <c r="BG83" s="1657"/>
      <c r="BH83" s="1657"/>
      <c r="BI83" s="1657"/>
      <c r="BJ83" s="1657"/>
      <c r="BK83" s="1657"/>
      <c r="BL83" s="1657"/>
      <c r="BM83" s="1657"/>
      <c r="BN83" s="1657"/>
      <c r="BO83" s="1657"/>
      <c r="BP83" s="1657"/>
      <c r="BQ83" s="1657"/>
      <c r="BR83" s="1657"/>
      <c r="BS83" s="1657"/>
      <c r="BT83" s="1657"/>
      <c r="BU83" s="1657"/>
      <c r="BV83" s="1657"/>
      <c r="BW83" s="1657"/>
      <c r="BX83" s="1657"/>
      <c r="BY83" s="1657"/>
      <c r="BZ83" s="1657"/>
      <c r="CA83" s="1657"/>
      <c r="CB83" s="1657"/>
      <c r="CC83" s="1657"/>
      <c r="CD83" s="1657"/>
      <c r="CE83" s="1657"/>
      <c r="CF83" s="1657"/>
      <c r="CG83" s="1657"/>
      <c r="CH83" s="1657"/>
      <c r="CI83" s="1657"/>
      <c r="CJ83" s="1657"/>
      <c r="CK83" s="1657"/>
      <c r="CL83" s="1657"/>
      <c r="CM83" s="1657"/>
      <c r="CN83" s="1557"/>
      <c r="CO83" s="1557"/>
      <c r="CP83" s="185"/>
    </row>
    <row r="84" spans="2:94" ht="44.25" customHeight="1" thickBot="1" x14ac:dyDescent="0.45">
      <c r="T84" s="4"/>
      <c r="U84" s="4"/>
      <c r="V84" s="4"/>
      <c r="W84" s="4"/>
      <c r="X84" s="4"/>
      <c r="Y84" s="4"/>
      <c r="Z84" s="4"/>
      <c r="AA84" s="4"/>
      <c r="AB84" s="4"/>
      <c r="AC84" s="4"/>
      <c r="AD84" s="4"/>
      <c r="AE84" s="4"/>
      <c r="AF84" s="4"/>
      <c r="AG84" s="4"/>
      <c r="AH84" s="4"/>
      <c r="AI84" s="4"/>
      <c r="AJ84" s="4"/>
      <c r="AK84" s="4"/>
      <c r="AL84" s="4"/>
      <c r="AM84" s="4"/>
      <c r="AN84" s="4"/>
      <c r="AO84" s="4"/>
      <c r="AQ84" s="1623"/>
      <c r="AR84" s="1623"/>
      <c r="AS84" s="1623"/>
      <c r="AT84" s="1623"/>
      <c r="AU84" s="1623"/>
      <c r="AV84" s="1623"/>
      <c r="AW84" s="1623"/>
      <c r="AX84" s="1623"/>
      <c r="AY84" s="1645"/>
      <c r="AZ84" s="1561" t="s">
        <v>241</v>
      </c>
      <c r="BA84" s="1658" t="s">
        <v>232</v>
      </c>
      <c r="BB84" s="1659" t="str">
        <f>IF(BB82=1,"17","")</f>
        <v/>
      </c>
      <c r="BC84" s="1660" t="str">
        <f>IF(BC82=2,"16","")</f>
        <v/>
      </c>
      <c r="BD84" s="1660" t="str">
        <f>IF(BD82=3,"15","")</f>
        <v/>
      </c>
      <c r="BE84" s="1660" t="str">
        <f>IF(BE82=4,"14","")</f>
        <v/>
      </c>
      <c r="BF84" s="1660" t="str">
        <f>IF(BF82=5,"13","")</f>
        <v/>
      </c>
      <c r="BG84" s="1660" t="str">
        <f>IF(BG82=6,"12","")</f>
        <v/>
      </c>
      <c r="BH84" s="1660" t="str">
        <f>IF(BH82=7,"11","")</f>
        <v/>
      </c>
      <c r="BI84" s="1660" t="str">
        <f>IF(BI82=8,"10","")</f>
        <v/>
      </c>
      <c r="BJ84" s="1660" t="str">
        <f>IF(BJ82=9,"9","")</f>
        <v/>
      </c>
      <c r="BK84" s="1660" t="str">
        <f>IF(BK82=10,"8","")</f>
        <v/>
      </c>
      <c r="BL84" s="1660" t="str">
        <f>IF(BL82=11,"7","")</f>
        <v/>
      </c>
      <c r="BM84" s="1661" t="str">
        <f>IF(BM82=12,"1","")</f>
        <v/>
      </c>
      <c r="BN84" s="1662" t="str">
        <f>IF(BN82=13,"2","")</f>
        <v/>
      </c>
      <c r="BO84" s="1662" t="str">
        <f>IF(BO82=14,"3","")</f>
        <v>3</v>
      </c>
      <c r="BP84" s="1662" t="str">
        <f>IF(BP82=15,"4","")</f>
        <v/>
      </c>
      <c r="BQ84" s="1662" t="str">
        <f>IF(BQ82=16,"5","")</f>
        <v/>
      </c>
      <c r="BR84" s="1662" t="str">
        <f>IF(BR82=17,"6","")</f>
        <v/>
      </c>
      <c r="BS84" s="1662" t="str">
        <f>IF(BS82=18,"7","")</f>
        <v/>
      </c>
      <c r="BT84" s="1662" t="str">
        <f>IF(BT82=19,"8","")</f>
        <v/>
      </c>
      <c r="BU84" s="1662" t="str">
        <f>IF(BU82=20,"9","")</f>
        <v/>
      </c>
      <c r="BV84" s="1662" t="str">
        <f>IF(BV82=21,"10","")</f>
        <v/>
      </c>
      <c r="BW84" s="1662" t="str">
        <f>IF(BW82=22,"11","")</f>
        <v/>
      </c>
      <c r="BX84" s="1662" t="str">
        <f>IF(BX82=23,"12","")</f>
        <v/>
      </c>
      <c r="BY84" s="1662" t="str">
        <f>IF(BY82=24,"13","")</f>
        <v/>
      </c>
      <c r="BZ84" s="1662" t="str">
        <f>IF(BZ82=25,"14","")</f>
        <v/>
      </c>
      <c r="CA84" s="1662" t="str">
        <f>IF(CA82=26,"15","")</f>
        <v/>
      </c>
      <c r="CB84" s="1662" t="str">
        <f>IF(CB82=27,"16","")</f>
        <v/>
      </c>
      <c r="CC84" s="1663" t="str">
        <f>IF(CC82=28,"17","")</f>
        <v/>
      </c>
      <c r="CD84" s="1664" t="str">
        <f>IF(CD82=29,"9","")</f>
        <v/>
      </c>
      <c r="CE84" s="1664" t="str">
        <f>IF(CE82=30,"10","")</f>
        <v/>
      </c>
      <c r="CF84" s="1664" t="str">
        <f>IF(CF82=31,"11","")</f>
        <v/>
      </c>
      <c r="CG84" s="1664" t="str">
        <f>IF(CG82=32,"12","")</f>
        <v/>
      </c>
      <c r="CH84" s="1664" t="str">
        <f>IF(CH82=33,"13","")</f>
        <v/>
      </c>
      <c r="CI84" s="1664" t="str">
        <f>IF(CI82=34,"14","")</f>
        <v/>
      </c>
      <c r="CJ84" s="1664" t="str">
        <f>IF(CJ82=35,"15","")</f>
        <v/>
      </c>
      <c r="CK84" s="1664" t="str">
        <f>IF(CK82=36,"16","")</f>
        <v/>
      </c>
      <c r="CL84" s="1665" t="str">
        <f>IF(CL82=37,"17","")</f>
        <v/>
      </c>
      <c r="CM84" s="1666"/>
      <c r="CN84" s="1557"/>
      <c r="CO84" s="1557"/>
      <c r="CP84" s="185"/>
    </row>
    <row r="85" spans="2:94" ht="44.25" customHeight="1" thickBot="1" x14ac:dyDescent="0.45">
      <c r="T85" s="4"/>
      <c r="U85" s="4"/>
      <c r="V85" s="4"/>
      <c r="W85" s="4"/>
      <c r="X85" s="4"/>
      <c r="Y85" s="4"/>
      <c r="Z85" s="4"/>
      <c r="AA85" s="4"/>
      <c r="AB85" s="4"/>
      <c r="AC85" s="4"/>
      <c r="AD85" s="4"/>
      <c r="AE85" s="4"/>
      <c r="AF85" s="4"/>
      <c r="AG85" s="4"/>
      <c r="AH85" s="4"/>
      <c r="AI85" s="4"/>
      <c r="AJ85" s="4"/>
      <c r="AK85" s="4"/>
      <c r="AL85" s="4"/>
      <c r="AM85" s="4"/>
      <c r="AN85" s="4"/>
      <c r="AO85" s="4"/>
      <c r="AQ85" s="1623"/>
      <c r="AR85" s="1623"/>
      <c r="AS85" s="1623"/>
      <c r="AT85" s="1623"/>
      <c r="AU85" s="1623"/>
      <c r="AV85" s="1623"/>
      <c r="AW85" s="1623"/>
      <c r="AX85" s="1550" t="b">
        <f>AND(AZ85&gt;=10,$AN$142&gt;=10,$AO$142&gt;=10)</f>
        <v>1</v>
      </c>
      <c r="AY85" s="1570" t="str">
        <f>IF(AX85=TRUE,"O K","OVERLOAD")</f>
        <v>O K</v>
      </c>
      <c r="AZ85" s="1571">
        <f>+$D$8/(BB49)</f>
        <v>100.62893081761007</v>
      </c>
      <c r="BA85" s="1667" t="s">
        <v>233</v>
      </c>
      <c r="BB85" s="1668">
        <v>-10</v>
      </c>
      <c r="BC85" s="1668">
        <v>-9</v>
      </c>
      <c r="BD85" s="1668">
        <v>-8</v>
      </c>
      <c r="BE85" s="1668">
        <v>-7</v>
      </c>
      <c r="BF85" s="1668">
        <v>-6</v>
      </c>
      <c r="BG85" s="1668">
        <v>-5</v>
      </c>
      <c r="BH85" s="1668">
        <v>-4</v>
      </c>
      <c r="BI85" s="1668">
        <v>-3</v>
      </c>
      <c r="BJ85" s="1668">
        <v>-2</v>
      </c>
      <c r="BK85" s="1668">
        <v>-1</v>
      </c>
      <c r="BL85" s="1668">
        <v>0</v>
      </c>
      <c r="BM85" s="1668">
        <v>1</v>
      </c>
      <c r="BN85" s="1668">
        <v>2</v>
      </c>
      <c r="BO85" s="1668">
        <v>3</v>
      </c>
      <c r="BP85" s="1668">
        <v>4</v>
      </c>
      <c r="BQ85" s="1668">
        <v>5</v>
      </c>
      <c r="BR85" s="1668">
        <v>6</v>
      </c>
      <c r="BS85" s="1668">
        <v>7</v>
      </c>
      <c r="BT85" s="1668">
        <v>8</v>
      </c>
      <c r="BU85" s="1668">
        <v>9</v>
      </c>
      <c r="BV85" s="1669">
        <v>10</v>
      </c>
      <c r="BW85" s="1668">
        <v>11</v>
      </c>
      <c r="BX85" s="1668">
        <v>12</v>
      </c>
      <c r="BY85" s="1668">
        <v>13</v>
      </c>
      <c r="BZ85" s="1668">
        <v>14</v>
      </c>
      <c r="CA85" s="1668">
        <v>15</v>
      </c>
      <c r="CB85" s="1668">
        <v>16</v>
      </c>
      <c r="CC85" s="1668">
        <v>17</v>
      </c>
      <c r="CD85" s="1668">
        <v>18</v>
      </c>
      <c r="CE85" s="1668">
        <v>19</v>
      </c>
      <c r="CF85" s="1668">
        <v>20</v>
      </c>
      <c r="CG85" s="1668">
        <v>21</v>
      </c>
      <c r="CH85" s="1668">
        <v>22</v>
      </c>
      <c r="CI85" s="1668">
        <v>23</v>
      </c>
      <c r="CJ85" s="1668">
        <v>24</v>
      </c>
      <c r="CK85" s="1668">
        <v>25</v>
      </c>
      <c r="CL85" s="1670">
        <v>26</v>
      </c>
      <c r="CM85" s="1557"/>
      <c r="CN85" s="1557"/>
      <c r="CO85" s="1557"/>
      <c r="CP85" s="185"/>
    </row>
    <row r="86" spans="2:94" ht="48" hidden="1" customHeight="1" x14ac:dyDescent="0.4">
      <c r="T86" s="4"/>
      <c r="U86" s="4"/>
      <c r="V86" s="4"/>
      <c r="W86" s="4"/>
      <c r="X86" s="4"/>
      <c r="Y86" s="4"/>
      <c r="Z86" s="4"/>
      <c r="AA86" s="4"/>
      <c r="AB86" s="4"/>
      <c r="AC86" s="4"/>
      <c r="AD86" s="4"/>
      <c r="AE86" s="4"/>
      <c r="AF86" s="4"/>
      <c r="AG86" s="4"/>
      <c r="AH86" s="4"/>
      <c r="AI86" s="4"/>
      <c r="AJ86" s="4"/>
      <c r="AK86" s="4"/>
      <c r="AL86" s="4"/>
      <c r="AM86" s="4"/>
      <c r="AN86" s="4"/>
      <c r="AO86" s="4"/>
      <c r="AQ86" s="1623"/>
      <c r="AR86" s="1623"/>
      <c r="AS86" s="1623"/>
      <c r="AT86" s="1623"/>
      <c r="AU86" s="1623"/>
      <c r="AV86" s="1623"/>
      <c r="AW86" s="1623"/>
      <c r="AX86" s="1623"/>
      <c r="AY86" s="1623"/>
      <c r="BA86" s="1557"/>
      <c r="BB86" s="1671">
        <v>1</v>
      </c>
      <c r="BC86" s="1671">
        <v>2</v>
      </c>
      <c r="BD86" s="1671">
        <v>3</v>
      </c>
      <c r="BE86" s="1671">
        <v>4</v>
      </c>
      <c r="BF86" s="1671">
        <v>5</v>
      </c>
      <c r="BG86" s="1671">
        <v>6</v>
      </c>
      <c r="BH86" s="1671">
        <v>7</v>
      </c>
      <c r="BI86" s="1671">
        <v>8</v>
      </c>
      <c r="BJ86" s="1671">
        <v>9</v>
      </c>
      <c r="BK86" s="1671">
        <v>10</v>
      </c>
      <c r="BL86" s="1671">
        <v>11</v>
      </c>
      <c r="BM86" s="1671">
        <v>12</v>
      </c>
      <c r="BN86" s="1671">
        <v>13</v>
      </c>
      <c r="BO86" s="1671">
        <v>14</v>
      </c>
      <c r="BP86" s="1671">
        <v>15</v>
      </c>
      <c r="BQ86" s="1671">
        <v>16</v>
      </c>
      <c r="BR86" s="1671">
        <v>17</v>
      </c>
      <c r="BS86" s="1671">
        <v>18</v>
      </c>
      <c r="BT86" s="1671">
        <v>19</v>
      </c>
      <c r="BU86" s="1671">
        <v>20</v>
      </c>
      <c r="BV86" s="1671">
        <v>21</v>
      </c>
      <c r="BW86" s="1671">
        <v>22</v>
      </c>
      <c r="BX86" s="1671">
        <v>23</v>
      </c>
      <c r="BY86" s="1671">
        <v>24</v>
      </c>
      <c r="BZ86" s="1671">
        <v>25</v>
      </c>
      <c r="CA86" s="1671">
        <v>26</v>
      </c>
      <c r="CB86" s="1671">
        <v>27</v>
      </c>
      <c r="CC86" s="1671">
        <v>28</v>
      </c>
      <c r="CD86" s="1671">
        <v>29</v>
      </c>
      <c r="CE86" s="1671">
        <v>30</v>
      </c>
      <c r="CF86" s="1671">
        <v>31</v>
      </c>
      <c r="CG86" s="1671">
        <v>32</v>
      </c>
      <c r="CH86" s="1671">
        <v>33</v>
      </c>
      <c r="CI86" s="1671">
        <v>34</v>
      </c>
      <c r="CJ86" s="1671">
        <v>35</v>
      </c>
      <c r="CK86" s="1671">
        <v>36</v>
      </c>
      <c r="CL86" s="1671">
        <v>37</v>
      </c>
      <c r="CM86" s="1671"/>
      <c r="CN86" s="1557"/>
      <c r="CO86" s="1557"/>
      <c r="CP86" s="185"/>
    </row>
    <row r="87" spans="2:94" ht="46.5" hidden="1" customHeight="1" thickBot="1" x14ac:dyDescent="0.45">
      <c r="T87" s="4"/>
      <c r="U87" s="4"/>
      <c r="V87" s="4"/>
      <c r="W87" s="4"/>
      <c r="X87" s="4"/>
      <c r="Y87" s="4"/>
      <c r="Z87" s="4"/>
      <c r="AA87" s="4"/>
      <c r="AB87" s="4"/>
      <c r="AC87" s="4"/>
      <c r="AD87" s="4"/>
      <c r="AE87" s="4"/>
      <c r="AF87" s="4"/>
      <c r="AG87" s="4"/>
      <c r="AH87" s="4"/>
      <c r="AI87" s="4"/>
      <c r="AJ87" s="4"/>
      <c r="AK87" s="4"/>
      <c r="AL87" s="4"/>
      <c r="AM87" s="4"/>
      <c r="AN87" s="4"/>
      <c r="AO87" s="4"/>
      <c r="AY87" s="1577"/>
      <c r="AZ87" s="1601"/>
      <c r="BA87" s="1672"/>
      <c r="BB87" s="1673"/>
      <c r="BC87" s="1673"/>
      <c r="BD87" s="1673"/>
      <c r="BE87" s="1673"/>
      <c r="BF87" s="1673"/>
      <c r="BG87" s="1673"/>
      <c r="BH87" s="1673"/>
      <c r="BI87" s="1673"/>
      <c r="BJ87" s="1603"/>
      <c r="BK87" s="1603"/>
      <c r="BL87" s="1604"/>
      <c r="BM87" s="1604"/>
      <c r="BN87" s="1604"/>
      <c r="BO87" s="1604"/>
      <c r="BP87" s="1604"/>
      <c r="BQ87" s="1604"/>
      <c r="BR87" s="1604"/>
      <c r="BS87" s="1604"/>
      <c r="BT87" s="1604"/>
      <c r="BU87" s="1604"/>
      <c r="BV87" s="1604"/>
      <c r="BW87" s="1604"/>
      <c r="BX87" s="1604"/>
      <c r="BY87" s="1605"/>
      <c r="BZ87" s="1606"/>
      <c r="CA87" s="1606"/>
      <c r="CB87" s="1606"/>
      <c r="CC87" s="1606"/>
      <c r="CD87" s="1600"/>
      <c r="CE87" s="1600"/>
      <c r="CF87" s="1600"/>
      <c r="CG87" s="1600"/>
      <c r="CH87" s="1600"/>
      <c r="CI87" s="1600"/>
      <c r="CJ87" s="1600"/>
      <c r="CK87" s="1600"/>
      <c r="CL87" s="1600"/>
      <c r="CM87" s="1600"/>
      <c r="CN87" s="1624"/>
      <c r="CO87" s="1557"/>
      <c r="CP87" s="185"/>
    </row>
    <row r="88" spans="2:94" ht="24.75" hidden="1" customHeight="1" thickBot="1" x14ac:dyDescent="0.45">
      <c r="T88" s="4"/>
      <c r="U88" s="4"/>
      <c r="V88" s="4"/>
      <c r="W88" s="4"/>
      <c r="X88" s="4"/>
      <c r="Y88" s="4"/>
      <c r="Z88" s="4"/>
      <c r="AA88" s="4"/>
      <c r="AB88" s="4"/>
      <c r="AC88" s="4"/>
      <c r="AD88" s="4"/>
      <c r="AE88" s="4"/>
      <c r="AF88" s="4"/>
      <c r="AG88" s="4"/>
      <c r="AH88" s="4"/>
      <c r="AI88" s="4"/>
      <c r="AJ88" s="4"/>
      <c r="AK88" s="4"/>
      <c r="AL88" s="4"/>
      <c r="AM88" s="4"/>
      <c r="AN88" s="4"/>
      <c r="AO88" s="4"/>
      <c r="AY88" s="1577"/>
      <c r="AZ88" s="1601"/>
      <c r="BA88" s="1672">
        <v>36</v>
      </c>
      <c r="BB88" s="1673"/>
      <c r="BC88" s="1673"/>
      <c r="BD88" s="1673"/>
      <c r="BE88" s="1673"/>
      <c r="BF88" s="1673"/>
      <c r="BG88" s="1673"/>
      <c r="BH88" s="1673"/>
      <c r="BI88" s="1673"/>
      <c r="BJ88" s="1603"/>
      <c r="BK88" s="1603"/>
      <c r="BL88" s="1604"/>
      <c r="BM88" s="1604"/>
      <c r="BN88" s="1604"/>
      <c r="BO88" s="1604"/>
      <c r="BP88" s="1604"/>
      <c r="BQ88" s="1604"/>
      <c r="BR88" s="1604"/>
      <c r="BS88" s="1674"/>
      <c r="BT88" s="1675"/>
      <c r="BU88" s="1676"/>
      <c r="BV88" s="1604"/>
      <c r="BW88" s="1604"/>
      <c r="BX88" s="1604"/>
      <c r="BY88" s="1605"/>
      <c r="BZ88" s="1606"/>
      <c r="CA88" s="1606"/>
      <c r="CB88" s="1606"/>
      <c r="CC88" s="1606"/>
      <c r="CD88" s="1600"/>
      <c r="CE88" s="1600"/>
      <c r="CF88" s="1600"/>
      <c r="CG88" s="1600"/>
      <c r="CH88" s="1600"/>
      <c r="CI88" s="1600"/>
      <c r="CJ88" s="1677" t="b">
        <f>IF(CK81=36,35)</f>
        <v>0</v>
      </c>
      <c r="CK88" s="1678"/>
      <c r="CL88" s="1634" t="b">
        <f>IF(CK81=36,37)</f>
        <v>0</v>
      </c>
      <c r="CM88" s="1600"/>
      <c r="CN88" s="1624"/>
      <c r="CO88" s="1557"/>
      <c r="CP88" s="185"/>
    </row>
    <row r="89" spans="2:94" ht="23.4" hidden="1" thickBot="1" x14ac:dyDescent="0.45">
      <c r="T89" s="4"/>
      <c r="U89" s="4"/>
      <c r="V89" s="4"/>
      <c r="W89" s="4"/>
      <c r="X89" s="4"/>
      <c r="Y89" s="4"/>
      <c r="Z89" s="4"/>
      <c r="AA89" s="4"/>
      <c r="AB89" s="4"/>
      <c r="AC89" s="4"/>
      <c r="AD89" s="4"/>
      <c r="AE89" s="4"/>
      <c r="AF89" s="4"/>
      <c r="AG89" s="4"/>
      <c r="AH89" s="4"/>
      <c r="AI89" s="4"/>
      <c r="AJ89" s="4"/>
      <c r="AK89" s="4"/>
      <c r="AL89" s="4"/>
      <c r="AM89" s="4"/>
      <c r="AN89" s="4"/>
      <c r="AO89" s="4"/>
      <c r="AY89" s="1577"/>
      <c r="AZ89" s="1601"/>
      <c r="BA89" s="1672">
        <v>35</v>
      </c>
      <c r="BB89" s="1673"/>
      <c r="BC89" s="1673"/>
      <c r="BD89" s="1673"/>
      <c r="BE89" s="1673"/>
      <c r="BF89" s="1673"/>
      <c r="BG89" s="1673"/>
      <c r="BH89" s="1673"/>
      <c r="BI89" s="1673"/>
      <c r="BJ89" s="1603"/>
      <c r="BK89" s="1603"/>
      <c r="BL89" s="1604"/>
      <c r="BM89" s="1604"/>
      <c r="BN89" s="1604"/>
      <c r="BO89" s="1604"/>
      <c r="BP89" s="1604"/>
      <c r="BQ89" s="1604"/>
      <c r="BR89" s="1604"/>
      <c r="BS89" s="1679"/>
      <c r="BT89" s="1604"/>
      <c r="BU89" s="1680"/>
      <c r="BV89" s="1604"/>
      <c r="BW89" s="1604"/>
      <c r="BX89" s="1604"/>
      <c r="BY89" s="1605"/>
      <c r="BZ89" s="1606"/>
      <c r="CA89" s="1606"/>
      <c r="CB89" s="1606"/>
      <c r="CC89" s="1606"/>
      <c r="CD89" s="1600"/>
      <c r="CE89" s="1600"/>
      <c r="CF89" s="1600"/>
      <c r="CG89" s="1600"/>
      <c r="CH89" s="1677" t="b">
        <f>IF(CJ81=35,33)</f>
        <v>0</v>
      </c>
      <c r="CI89" s="1678"/>
      <c r="CJ89" s="1678"/>
      <c r="CK89" s="1678"/>
      <c r="CL89" s="1634" t="b">
        <f>IF(CJ81=35,37)</f>
        <v>0</v>
      </c>
      <c r="CM89" s="1600"/>
      <c r="CN89" s="1624"/>
      <c r="CO89" s="1557"/>
      <c r="CP89" s="185"/>
    </row>
    <row r="90" spans="2:94" ht="27" hidden="1" customHeight="1" thickTop="1" thickBot="1" x14ac:dyDescent="0.45">
      <c r="B90" s="1533"/>
      <c r="C90" s="1534"/>
      <c r="D90" s="1535"/>
      <c r="E90" s="1533"/>
      <c r="T90" s="4"/>
      <c r="U90" s="4"/>
      <c r="V90" s="4"/>
      <c r="W90" s="4"/>
      <c r="X90" s="4"/>
      <c r="Y90" s="4"/>
      <c r="Z90" s="4"/>
      <c r="AA90" s="4"/>
      <c r="AB90" s="4"/>
      <c r="AC90" s="4"/>
      <c r="AD90" s="4"/>
      <c r="AE90" s="4"/>
      <c r="AF90" s="4"/>
      <c r="AG90" s="4"/>
      <c r="AH90" s="4"/>
      <c r="AI90" s="4"/>
      <c r="AJ90" s="4"/>
      <c r="AK90" s="4"/>
      <c r="AL90" s="4"/>
      <c r="AM90" s="4"/>
      <c r="AN90" s="4"/>
      <c r="AO90" s="4"/>
      <c r="AY90" s="1577"/>
      <c r="AZ90" s="1601"/>
      <c r="BA90" s="1672">
        <v>34</v>
      </c>
      <c r="BB90" s="1673"/>
      <c r="BC90" s="1673"/>
      <c r="BD90" s="1673"/>
      <c r="BE90" s="1673"/>
      <c r="BF90" s="1673"/>
      <c r="BG90" s="1673"/>
      <c r="BH90" s="1673"/>
      <c r="BI90" s="1673"/>
      <c r="BJ90" s="1603"/>
      <c r="BK90" s="1603"/>
      <c r="BL90" s="1604"/>
      <c r="BM90" s="1604"/>
      <c r="BN90" s="1604"/>
      <c r="BO90" s="1604"/>
      <c r="BP90" s="1604"/>
      <c r="BQ90" s="1604"/>
      <c r="BR90" s="1604"/>
      <c r="BS90" s="1679"/>
      <c r="BT90" s="1604"/>
      <c r="BU90" s="1680"/>
      <c r="BV90" s="1604"/>
      <c r="BW90" s="1604"/>
      <c r="BX90" s="1604"/>
      <c r="BY90" s="1605"/>
      <c r="BZ90" s="1606"/>
      <c r="CA90" s="1606"/>
      <c r="CB90" s="1606"/>
      <c r="CC90" s="1606"/>
      <c r="CD90" s="1600"/>
      <c r="CE90" s="1600"/>
      <c r="CF90" s="1677" t="b">
        <f>IF(CI81=34,31)</f>
        <v>0</v>
      </c>
      <c r="CG90" s="1678"/>
      <c r="CH90" s="1678"/>
      <c r="CI90" s="1678"/>
      <c r="CJ90" s="1678"/>
      <c r="CK90" s="1678"/>
      <c r="CL90" s="1634" t="b">
        <f>IF(CI81=34,37)</f>
        <v>0</v>
      </c>
      <c r="CM90" s="1600"/>
      <c r="CN90" s="1624"/>
      <c r="CO90" s="1557"/>
      <c r="CP90" s="185"/>
    </row>
    <row r="91" spans="2:94" ht="24" hidden="1" thickTop="1" thickBot="1" x14ac:dyDescent="0.45">
      <c r="B91" s="1534"/>
      <c r="C91" s="1534"/>
      <c r="D91" s="1536"/>
      <c r="E91" s="1537"/>
      <c r="T91" s="4"/>
      <c r="U91" s="4"/>
      <c r="V91" s="4"/>
      <c r="W91" s="4"/>
      <c r="X91" s="4"/>
      <c r="Y91" s="4"/>
      <c r="Z91" s="4"/>
      <c r="AA91" s="4"/>
      <c r="AB91" s="4"/>
      <c r="AC91" s="4"/>
      <c r="AD91" s="4"/>
      <c r="AE91" s="4"/>
      <c r="AF91" s="4"/>
      <c r="AG91" s="4"/>
      <c r="AH91" s="4"/>
      <c r="AI91" s="4"/>
      <c r="AJ91" s="4"/>
      <c r="AK91" s="4"/>
      <c r="AL91" s="4"/>
      <c r="AM91" s="4"/>
      <c r="AN91" s="4"/>
      <c r="AO91" s="4"/>
      <c r="AY91" s="1577"/>
      <c r="AZ91" s="1601"/>
      <c r="BA91" s="1672">
        <v>33</v>
      </c>
      <c r="BB91" s="1673"/>
      <c r="BC91" s="1673"/>
      <c r="BD91" s="1673"/>
      <c r="BE91" s="1673"/>
      <c r="BF91" s="1673"/>
      <c r="BG91" s="1673"/>
      <c r="BH91" s="1673"/>
      <c r="BI91" s="1673"/>
      <c r="BJ91" s="1603"/>
      <c r="BK91" s="1603"/>
      <c r="BL91" s="1604"/>
      <c r="BM91" s="1604"/>
      <c r="BN91" s="1604"/>
      <c r="BO91" s="1604"/>
      <c r="BP91" s="1604"/>
      <c r="BQ91" s="1604"/>
      <c r="BR91" s="1604"/>
      <c r="BS91" s="1679"/>
      <c r="BT91" s="1604"/>
      <c r="BU91" s="1680"/>
      <c r="BV91" s="1604"/>
      <c r="BW91" s="1604"/>
      <c r="BX91" s="1604"/>
      <c r="BY91" s="1605"/>
      <c r="BZ91" s="1606"/>
      <c r="CA91" s="1606"/>
      <c r="CB91" s="1606"/>
      <c r="CC91" s="1606"/>
      <c r="CD91" s="1677" t="b">
        <f>IF(CH81=33,29)</f>
        <v>0</v>
      </c>
      <c r="CE91" s="1678"/>
      <c r="CF91" s="1678"/>
      <c r="CG91" s="1678"/>
      <c r="CH91" s="1678"/>
      <c r="CI91" s="1678"/>
      <c r="CJ91" s="1678"/>
      <c r="CK91" s="1678"/>
      <c r="CL91" s="1634" t="b">
        <f>IF(CH81=33,37)</f>
        <v>0</v>
      </c>
      <c r="CM91" s="1600"/>
      <c r="CN91" s="1624"/>
      <c r="CO91" s="1557"/>
      <c r="CP91" s="185"/>
    </row>
    <row r="92" spans="2:94" ht="22.2" hidden="1" thickTop="1" thickBot="1" x14ac:dyDescent="0.45">
      <c r="B92" s="1534"/>
      <c r="C92" s="1534"/>
      <c r="D92" s="1536"/>
      <c r="E92" s="1537"/>
      <c r="T92" s="4"/>
      <c r="U92" s="4"/>
      <c r="V92" s="4"/>
      <c r="W92" s="4"/>
      <c r="X92" s="4"/>
      <c r="Y92" s="4"/>
      <c r="Z92" s="4"/>
      <c r="AA92" s="4"/>
      <c r="AB92" s="4"/>
      <c r="AC92" s="4"/>
      <c r="AD92" s="4"/>
      <c r="AE92" s="4"/>
      <c r="AF92" s="4"/>
      <c r="AG92" s="4"/>
      <c r="AH92" s="4"/>
      <c r="AI92" s="4"/>
      <c r="AJ92" s="4"/>
      <c r="AK92" s="4"/>
      <c r="AL92" s="4"/>
      <c r="AM92" s="4"/>
      <c r="AN92" s="4"/>
      <c r="AO92" s="4"/>
      <c r="AY92" s="1577"/>
      <c r="AZ92" s="1551"/>
      <c r="BA92" s="1672">
        <v>32</v>
      </c>
      <c r="BB92" s="1644"/>
      <c r="BC92" s="1644"/>
      <c r="BD92" s="1644"/>
      <c r="BE92" s="1644"/>
      <c r="BF92" s="1644"/>
      <c r="BG92" s="1655"/>
      <c r="BH92" s="1644"/>
      <c r="BI92" s="1644"/>
      <c r="BJ92" s="1644"/>
      <c r="BK92" s="1644"/>
      <c r="BL92" s="1644"/>
      <c r="BM92" s="1644"/>
      <c r="BN92" s="1644"/>
      <c r="BO92" s="1644"/>
      <c r="BP92" s="1644"/>
      <c r="BQ92" s="1644"/>
      <c r="BR92" s="1644"/>
      <c r="BS92" s="1681"/>
      <c r="BT92" s="1644"/>
      <c r="BU92" s="1682"/>
      <c r="BV92" s="1644"/>
      <c r="BW92" s="1644"/>
      <c r="BX92" s="1644"/>
      <c r="BY92" s="1655"/>
      <c r="BZ92" s="1557"/>
      <c r="CA92" s="1557"/>
      <c r="CB92" s="1677" t="b">
        <f>IF(CG81=32,27)</f>
        <v>0</v>
      </c>
      <c r="CC92" s="1642"/>
      <c r="CD92" s="1642"/>
      <c r="CE92" s="1642"/>
      <c r="CF92" s="1642"/>
      <c r="CG92" s="1642"/>
      <c r="CH92" s="1642"/>
      <c r="CI92" s="1642"/>
      <c r="CJ92" s="1642"/>
      <c r="CK92" s="1642"/>
      <c r="CL92" s="1634" t="b">
        <f>IF(CG81=32,37)</f>
        <v>0</v>
      </c>
      <c r="CM92" s="1557"/>
      <c r="CN92" s="1557"/>
      <c r="CO92" s="1557"/>
      <c r="CP92" s="185"/>
    </row>
    <row r="93" spans="2:94" ht="22.2" hidden="1" thickTop="1" thickBot="1" x14ac:dyDescent="0.45">
      <c r="B93" s="1534"/>
      <c r="C93" s="1534"/>
      <c r="D93" s="1536"/>
      <c r="E93" s="1537"/>
      <c r="T93" s="4"/>
      <c r="U93" s="4"/>
      <c r="V93" s="4"/>
      <c r="W93" s="4"/>
      <c r="X93" s="4"/>
      <c r="Y93" s="4"/>
      <c r="Z93" s="4"/>
      <c r="AA93" s="4"/>
      <c r="AB93" s="4"/>
      <c r="AC93" s="4"/>
      <c r="AD93" s="4"/>
      <c r="AE93" s="4"/>
      <c r="AF93" s="4"/>
      <c r="AG93" s="4"/>
      <c r="AH93" s="4"/>
      <c r="AI93" s="4"/>
      <c r="AJ93" s="4"/>
      <c r="AK93" s="4"/>
      <c r="AL93" s="4"/>
      <c r="AM93" s="4"/>
      <c r="AN93" s="4"/>
      <c r="AO93" s="4"/>
      <c r="AY93" s="1577"/>
      <c r="AZ93" s="1551"/>
      <c r="BA93" s="1672">
        <v>31</v>
      </c>
      <c r="BB93" s="1644"/>
      <c r="BC93" s="1644"/>
      <c r="BD93" s="1644"/>
      <c r="BE93" s="1644"/>
      <c r="BF93" s="1644"/>
      <c r="BG93" s="1655"/>
      <c r="BH93" s="1644"/>
      <c r="BI93" s="1644"/>
      <c r="BJ93" s="1644"/>
      <c r="BK93" s="1644"/>
      <c r="BL93" s="1644"/>
      <c r="BM93" s="1644"/>
      <c r="BN93" s="1644"/>
      <c r="BO93" s="1644"/>
      <c r="BP93" s="1644"/>
      <c r="BQ93" s="1644"/>
      <c r="BR93" s="1644"/>
      <c r="BS93" s="1681"/>
      <c r="BT93" s="1644"/>
      <c r="BU93" s="1682"/>
      <c r="BV93" s="1644"/>
      <c r="BW93" s="1644"/>
      <c r="BX93" s="1644"/>
      <c r="BY93" s="1655"/>
      <c r="BZ93" s="1677" t="b">
        <f>IF(CF81=31,25)</f>
        <v>0</v>
      </c>
      <c r="CA93" s="1642"/>
      <c r="CB93" s="1642"/>
      <c r="CC93" s="1642"/>
      <c r="CD93" s="1642"/>
      <c r="CE93" s="1642"/>
      <c r="CF93" s="1642"/>
      <c r="CG93" s="1642"/>
      <c r="CH93" s="1642"/>
      <c r="CI93" s="1642"/>
      <c r="CJ93" s="1642"/>
      <c r="CK93" s="1642"/>
      <c r="CL93" s="1634" t="b">
        <f>IF(CF81=31,37)</f>
        <v>0</v>
      </c>
      <c r="CM93" s="1557"/>
      <c r="CN93" s="1557"/>
      <c r="CO93" s="1557"/>
      <c r="CP93" s="185"/>
    </row>
    <row r="94" spans="2:94" ht="22.2" hidden="1" thickTop="1" thickBot="1" x14ac:dyDescent="0.45">
      <c r="B94" s="1534"/>
      <c r="C94" s="1534"/>
      <c r="D94" s="1536"/>
      <c r="E94" s="1537"/>
      <c r="T94" s="4"/>
      <c r="U94" s="4"/>
      <c r="V94" s="4"/>
      <c r="W94" s="4"/>
      <c r="X94" s="4"/>
      <c r="Y94" s="4"/>
      <c r="Z94" s="4"/>
      <c r="AA94" s="4"/>
      <c r="AB94" s="4"/>
      <c r="AC94" s="4"/>
      <c r="AD94" s="4"/>
      <c r="AE94" s="4"/>
      <c r="AF94" s="4"/>
      <c r="AG94" s="4"/>
      <c r="AH94" s="4"/>
      <c r="AI94" s="4"/>
      <c r="AJ94" s="4"/>
      <c r="AK94" s="4"/>
      <c r="AL94" s="4"/>
      <c r="AM94" s="4"/>
      <c r="AN94" s="4"/>
      <c r="AO94" s="4"/>
      <c r="AY94" s="1577"/>
      <c r="AZ94" s="1551"/>
      <c r="BA94" s="1672">
        <v>30</v>
      </c>
      <c r="BB94" s="1644"/>
      <c r="BC94" s="1644"/>
      <c r="BD94" s="1644"/>
      <c r="BE94" s="1644"/>
      <c r="BF94" s="1644"/>
      <c r="BG94" s="1655"/>
      <c r="BH94" s="1644"/>
      <c r="BI94" s="1644"/>
      <c r="BJ94" s="1644"/>
      <c r="BK94" s="1644"/>
      <c r="BL94" s="1644"/>
      <c r="BM94" s="1644"/>
      <c r="BN94" s="1644"/>
      <c r="BO94" s="1644"/>
      <c r="BP94" s="1644"/>
      <c r="BQ94" s="1644"/>
      <c r="BR94" s="1644"/>
      <c r="BS94" s="1681"/>
      <c r="BT94" s="1644"/>
      <c r="BU94" s="1682"/>
      <c r="BV94" s="1644"/>
      <c r="BW94" s="1644"/>
      <c r="BX94" s="1677" t="b">
        <f>IF(CE81=30,23)</f>
        <v>0</v>
      </c>
      <c r="BY94" s="1683"/>
      <c r="BZ94" s="1642"/>
      <c r="CA94" s="1642"/>
      <c r="CB94" s="1642"/>
      <c r="CC94" s="1642"/>
      <c r="CD94" s="1642"/>
      <c r="CE94" s="1642"/>
      <c r="CF94" s="1642"/>
      <c r="CG94" s="1642"/>
      <c r="CH94" s="1642"/>
      <c r="CI94" s="1642"/>
      <c r="CJ94" s="1642"/>
      <c r="CK94" s="1642"/>
      <c r="CL94" s="1634" t="b">
        <f>IF(CE81=30,37)</f>
        <v>0</v>
      </c>
      <c r="CM94" s="1557"/>
      <c r="CN94" s="1557"/>
      <c r="CO94" s="1557"/>
      <c r="CP94" s="185"/>
    </row>
    <row r="95" spans="2:94" ht="22.2" hidden="1" thickTop="1" thickBot="1" x14ac:dyDescent="0.45">
      <c r="B95" s="1538"/>
      <c r="C95" s="1538"/>
      <c r="D95" s="1536"/>
      <c r="E95" s="1537"/>
      <c r="T95" s="4"/>
      <c r="U95" s="4"/>
      <c r="V95" s="4"/>
      <c r="W95" s="4"/>
      <c r="X95" s="4"/>
      <c r="Y95" s="4"/>
      <c r="Z95" s="4"/>
      <c r="AA95" s="4"/>
      <c r="AB95" s="4"/>
      <c r="AC95" s="4"/>
      <c r="AD95" s="4"/>
      <c r="AE95" s="4"/>
      <c r="AF95" s="4"/>
      <c r="AG95" s="4"/>
      <c r="AH95" s="4"/>
      <c r="AI95" s="4"/>
      <c r="AJ95" s="4"/>
      <c r="AK95" s="4"/>
      <c r="AL95" s="4"/>
      <c r="AM95" s="4"/>
      <c r="AN95" s="4"/>
      <c r="AO95" s="4"/>
      <c r="AQ95" s="1684"/>
      <c r="AR95" s="1684"/>
      <c r="AS95" s="1684"/>
      <c r="AY95" s="1577"/>
      <c r="AZ95" s="1685"/>
      <c r="BA95" s="1672">
        <v>29</v>
      </c>
      <c r="BB95" s="1557"/>
      <c r="BC95" s="1557"/>
      <c r="BD95" s="1557"/>
      <c r="BE95" s="1557"/>
      <c r="BF95" s="1557"/>
      <c r="BG95" s="1557"/>
      <c r="BH95" s="1557"/>
      <c r="BI95" s="1557"/>
      <c r="BJ95" s="1557"/>
      <c r="BK95" s="1557"/>
      <c r="BL95" s="1557"/>
      <c r="BM95" s="1557"/>
      <c r="BN95" s="1557"/>
      <c r="BO95" s="1557"/>
      <c r="BP95" s="1557"/>
      <c r="BQ95" s="1557"/>
      <c r="BR95" s="1557"/>
      <c r="BS95" s="1686"/>
      <c r="BT95" s="1556"/>
      <c r="BU95" s="1687"/>
      <c r="BV95" s="1632" t="b">
        <f>IF(CD81=29,21)</f>
        <v>0</v>
      </c>
      <c r="BW95" s="1642"/>
      <c r="BX95" s="1642"/>
      <c r="BY95" s="1642"/>
      <c r="BZ95" s="1642"/>
      <c r="CA95" s="1642"/>
      <c r="CB95" s="1642"/>
      <c r="CC95" s="1641"/>
      <c r="CD95" s="1642"/>
      <c r="CE95" s="1641"/>
      <c r="CF95" s="1688"/>
      <c r="CG95" s="1688"/>
      <c r="CH95" s="1688"/>
      <c r="CI95" s="1688"/>
      <c r="CJ95" s="1688"/>
      <c r="CK95" s="1688"/>
      <c r="CL95" s="1634" t="b">
        <f>IF(CD81=29,37)</f>
        <v>0</v>
      </c>
      <c r="CM95" s="1554"/>
      <c r="CN95" s="1557"/>
      <c r="CO95" s="1557"/>
      <c r="CP95" s="185"/>
    </row>
    <row r="96" spans="2:94" ht="22.2" hidden="1" thickTop="1" thickBot="1" x14ac:dyDescent="0.45">
      <c r="B96" s="1538"/>
      <c r="C96" s="1538"/>
      <c r="D96" s="1536"/>
      <c r="E96" s="1537"/>
      <c r="T96" s="4"/>
      <c r="U96" s="4"/>
      <c r="V96" s="4"/>
      <c r="W96" s="4"/>
      <c r="X96" s="4"/>
      <c r="Y96" s="4"/>
      <c r="Z96" s="4"/>
      <c r="AA96" s="4"/>
      <c r="AB96" s="4"/>
      <c r="AC96" s="4"/>
      <c r="AD96" s="4"/>
      <c r="AE96" s="4"/>
      <c r="AF96" s="4"/>
      <c r="AG96" s="4"/>
      <c r="AH96" s="4"/>
      <c r="AI96" s="4"/>
      <c r="AJ96" s="4"/>
      <c r="AK96" s="4"/>
      <c r="AL96" s="4"/>
      <c r="AM96" s="4"/>
      <c r="AN96" s="4"/>
      <c r="AO96" s="4"/>
      <c r="AQ96" s="1684"/>
      <c r="AR96" s="1684"/>
      <c r="AS96" s="1684"/>
      <c r="AY96" s="1577"/>
      <c r="AZ96" s="1685"/>
      <c r="BA96" s="1672">
        <v>28</v>
      </c>
      <c r="BB96" s="1557"/>
      <c r="BC96" s="1557"/>
      <c r="BD96" s="1557"/>
      <c r="BE96" s="1557"/>
      <c r="BF96" s="1557"/>
      <c r="BG96" s="1557"/>
      <c r="BH96" s="1557"/>
      <c r="BI96" s="1557"/>
      <c r="BJ96" s="1557"/>
      <c r="BK96" s="1557"/>
      <c r="BL96" s="1557"/>
      <c r="BM96" s="1557"/>
      <c r="BN96" s="1557"/>
      <c r="BO96" s="1557"/>
      <c r="BP96" s="1557"/>
      <c r="BQ96" s="1557"/>
      <c r="BR96" s="1557"/>
      <c r="BS96" s="1686"/>
      <c r="BT96" s="1556"/>
      <c r="BU96" s="1687"/>
      <c r="BV96" s="1643" t="b">
        <f>IF(CC81=28,21)</f>
        <v>0</v>
      </c>
      <c r="BW96" s="1640"/>
      <c r="BX96" s="1640"/>
      <c r="BY96" s="1640"/>
      <c r="BZ96" s="1640"/>
      <c r="CA96" s="1639"/>
      <c r="CB96" s="1640"/>
      <c r="CC96" s="1640"/>
      <c r="CD96" s="1640"/>
      <c r="CE96" s="1639"/>
      <c r="CF96" s="1689"/>
      <c r="CG96" s="1689"/>
      <c r="CH96" s="1689"/>
      <c r="CI96" s="1689"/>
      <c r="CJ96" s="1636" t="b">
        <f>IF(CC81=28,35)</f>
        <v>0</v>
      </c>
      <c r="CK96" s="1554"/>
      <c r="CL96" s="1554"/>
      <c r="CM96" s="1554"/>
      <c r="CN96" s="1557"/>
      <c r="CO96" s="1557"/>
      <c r="CP96" s="185"/>
    </row>
    <row r="97" spans="2:94" ht="22.2" hidden="1" thickTop="1" thickBot="1" x14ac:dyDescent="0.45">
      <c r="B97" s="1534"/>
      <c r="C97" s="1534"/>
      <c r="D97" s="1539"/>
      <c r="E97" s="1537"/>
      <c r="T97" s="4"/>
      <c r="U97" s="4"/>
      <c r="V97" s="4"/>
      <c r="W97" s="4"/>
      <c r="X97" s="4"/>
      <c r="Y97" s="4"/>
      <c r="Z97" s="4"/>
      <c r="AA97" s="4"/>
      <c r="AB97" s="4"/>
      <c r="AC97" s="4"/>
      <c r="AD97" s="4"/>
      <c r="AE97" s="4"/>
      <c r="AF97" s="4"/>
      <c r="AG97" s="4"/>
      <c r="AH97" s="4"/>
      <c r="AI97" s="4"/>
      <c r="AJ97" s="4"/>
      <c r="AK97" s="4"/>
      <c r="AL97" s="4"/>
      <c r="AM97" s="4"/>
      <c r="AN97" s="4"/>
      <c r="AO97" s="4"/>
      <c r="AQ97" s="1684"/>
      <c r="AR97" s="1684"/>
      <c r="AS97" s="1684"/>
      <c r="AY97" s="1577"/>
      <c r="AZ97" s="1685"/>
      <c r="BA97" s="1672">
        <v>27</v>
      </c>
      <c r="BB97" s="1557"/>
      <c r="BC97" s="1557"/>
      <c r="BD97" s="1557"/>
      <c r="BE97" s="1557"/>
      <c r="BF97" s="1557"/>
      <c r="BG97" s="1557"/>
      <c r="BH97" s="1557"/>
      <c r="BI97" s="1557"/>
      <c r="BJ97" s="1557"/>
      <c r="BK97" s="1557"/>
      <c r="BL97" s="1557"/>
      <c r="BM97" s="1557"/>
      <c r="BN97" s="1557"/>
      <c r="BO97" s="1557"/>
      <c r="BP97" s="1557"/>
      <c r="BQ97" s="1557"/>
      <c r="BR97" s="1557"/>
      <c r="BS97" s="1686"/>
      <c r="BT97" s="1556"/>
      <c r="BU97" s="1687"/>
      <c r="BV97" s="1643" t="b">
        <f>IF(CB81=27,21)</f>
        <v>0</v>
      </c>
      <c r="BW97" s="1640"/>
      <c r="BX97" s="1640"/>
      <c r="BY97" s="1639"/>
      <c r="BZ97" s="1640"/>
      <c r="CA97" s="1640"/>
      <c r="CB97" s="1640"/>
      <c r="CC97" s="1640"/>
      <c r="CD97" s="1640"/>
      <c r="CE97" s="1639"/>
      <c r="CF97" s="1689"/>
      <c r="CG97" s="1689"/>
      <c r="CH97" s="1636" t="b">
        <f>IF(CB81=27,33)</f>
        <v>0</v>
      </c>
      <c r="CI97" s="1554"/>
      <c r="CJ97" s="1554"/>
      <c r="CK97" s="1554"/>
      <c r="CL97" s="1554"/>
      <c r="CM97" s="1554"/>
      <c r="CN97" s="1557"/>
      <c r="CO97" s="1557"/>
      <c r="CP97" s="185"/>
    </row>
    <row r="98" spans="2:94" ht="22.2" hidden="1" thickTop="1" thickBot="1" x14ac:dyDescent="0.45">
      <c r="B98" s="1534"/>
      <c r="C98" s="1534"/>
      <c r="D98" s="1539"/>
      <c r="E98" s="1537"/>
      <c r="T98" s="4"/>
      <c r="U98" s="4"/>
      <c r="V98" s="4"/>
      <c r="W98" s="4"/>
      <c r="X98" s="4"/>
      <c r="Y98" s="4"/>
      <c r="Z98" s="4"/>
      <c r="AA98" s="4"/>
      <c r="AB98" s="4"/>
      <c r="AC98" s="4"/>
      <c r="AD98" s="4"/>
      <c r="AE98" s="4"/>
      <c r="AF98" s="4"/>
      <c r="AG98" s="4"/>
      <c r="AH98" s="4"/>
      <c r="AI98" s="4"/>
      <c r="AJ98" s="4"/>
      <c r="AK98" s="4"/>
      <c r="AL98" s="4"/>
      <c r="AM98" s="4"/>
      <c r="AN98" s="4"/>
      <c r="AO98" s="4"/>
      <c r="AY98" s="1577"/>
      <c r="AZ98" s="1551"/>
      <c r="BA98" s="1672">
        <v>26</v>
      </c>
      <c r="BB98" s="1557"/>
      <c r="BC98" s="1557"/>
      <c r="BD98" s="1557"/>
      <c r="BE98" s="1557"/>
      <c r="BF98" s="1557"/>
      <c r="BG98" s="1557"/>
      <c r="BH98" s="1557"/>
      <c r="BI98" s="1557"/>
      <c r="BJ98" s="1557"/>
      <c r="BK98" s="1557"/>
      <c r="BL98" s="1557"/>
      <c r="BM98" s="1557"/>
      <c r="BN98" s="1557"/>
      <c r="BO98" s="1557"/>
      <c r="BP98" s="1557"/>
      <c r="BQ98" s="1557"/>
      <c r="BR98" s="1557"/>
      <c r="BS98" s="1686"/>
      <c r="BT98" s="1556"/>
      <c r="BU98" s="1687"/>
      <c r="BV98" s="1643" t="b">
        <f>IF(CA81=26,21)</f>
        <v>0</v>
      </c>
      <c r="BW98" s="1639"/>
      <c r="BX98" s="1640"/>
      <c r="BY98" s="1640"/>
      <c r="BZ98" s="1640"/>
      <c r="CA98" s="1640"/>
      <c r="CB98" s="1640"/>
      <c r="CC98" s="1640"/>
      <c r="CD98" s="1640"/>
      <c r="CE98" s="1639"/>
      <c r="CF98" s="1636" t="b">
        <f>IF(CA81=26,31)</f>
        <v>0</v>
      </c>
      <c r="CG98" s="1554"/>
      <c r="CH98" s="1554"/>
      <c r="CI98" s="1554"/>
      <c r="CJ98" s="1554"/>
      <c r="CK98" s="1554"/>
      <c r="CL98" s="1554"/>
      <c r="CM98" s="1554"/>
      <c r="CN98" s="1557"/>
      <c r="CO98" s="1557"/>
      <c r="CP98" s="185"/>
    </row>
    <row r="99" spans="2:94" ht="22.2" hidden="1" thickTop="1" thickBot="1" x14ac:dyDescent="0.45">
      <c r="B99" s="1534"/>
      <c r="C99" s="1534"/>
      <c r="D99" s="1539"/>
      <c r="E99" s="1537"/>
      <c r="T99" s="4"/>
      <c r="U99" s="4"/>
      <c r="V99" s="4"/>
      <c r="W99" s="4"/>
      <c r="X99" s="4"/>
      <c r="Y99" s="4"/>
      <c r="Z99" s="4"/>
      <c r="AA99" s="4"/>
      <c r="AB99" s="4"/>
      <c r="AC99" s="4"/>
      <c r="AD99" s="4"/>
      <c r="AE99" s="4"/>
      <c r="AF99" s="4"/>
      <c r="AG99" s="4"/>
      <c r="AH99" s="4"/>
      <c r="AI99" s="4"/>
      <c r="AJ99" s="4"/>
      <c r="AK99" s="4"/>
      <c r="AL99" s="4"/>
      <c r="AM99" s="4"/>
      <c r="AN99" s="4"/>
      <c r="AO99" s="4"/>
      <c r="AQ99" s="1690"/>
      <c r="AR99" s="1690"/>
      <c r="AS99" s="1690"/>
      <c r="AY99" s="1577"/>
      <c r="AZ99" s="1691"/>
      <c r="BA99" s="1672">
        <v>25</v>
      </c>
      <c r="BB99" s="1557"/>
      <c r="BC99" s="1557"/>
      <c r="BD99" s="1557"/>
      <c r="BE99" s="1557"/>
      <c r="BF99" s="1557"/>
      <c r="BG99" s="1557"/>
      <c r="BH99" s="1557"/>
      <c r="BI99" s="1557"/>
      <c r="BJ99" s="1557"/>
      <c r="BK99" s="1557"/>
      <c r="BL99" s="1557"/>
      <c r="BN99" s="1557"/>
      <c r="BO99" s="1557"/>
      <c r="BP99" s="1557"/>
      <c r="BQ99" s="1557"/>
      <c r="BR99" s="1557"/>
      <c r="BS99" s="1686"/>
      <c r="BT99" s="1556"/>
      <c r="BV99" s="1692" t="b">
        <f>IF(BZ81=25,21)</f>
        <v>0</v>
      </c>
      <c r="BW99" s="1640"/>
      <c r="BX99" s="1640"/>
      <c r="BY99" s="1640"/>
      <c r="BZ99" s="1640"/>
      <c r="CA99" s="1640"/>
      <c r="CB99" s="1640"/>
      <c r="CC99" s="1640"/>
      <c r="CD99" s="1636" t="b">
        <f>IF(BZ81=25,29)</f>
        <v>0</v>
      </c>
      <c r="CF99" s="1554"/>
      <c r="CG99" s="1554"/>
      <c r="CH99" s="1554"/>
      <c r="CI99" s="1554"/>
      <c r="CJ99" s="1554"/>
      <c r="CK99" s="1554"/>
      <c r="CL99" s="1554"/>
      <c r="CM99" s="1554"/>
      <c r="CN99" s="1557"/>
      <c r="CO99" s="1557"/>
      <c r="CP99" s="185"/>
    </row>
    <row r="100" spans="2:94" ht="22.2" hidden="1" thickTop="1" thickBot="1" x14ac:dyDescent="0.45">
      <c r="B100" s="1538"/>
      <c r="C100" s="1538"/>
      <c r="D100" s="1536"/>
      <c r="E100" s="1537"/>
      <c r="T100" s="4"/>
      <c r="U100" s="4"/>
      <c r="V100" s="4"/>
      <c r="W100" s="4"/>
      <c r="X100" s="4"/>
      <c r="Y100" s="4"/>
      <c r="Z100" s="4"/>
      <c r="AA100" s="4"/>
      <c r="AB100" s="4"/>
      <c r="AC100" s="4"/>
      <c r="AD100" s="4"/>
      <c r="AE100" s="4"/>
      <c r="AF100" s="4"/>
      <c r="AG100" s="4"/>
      <c r="AH100" s="4"/>
      <c r="AI100" s="4"/>
      <c r="AJ100" s="4"/>
      <c r="AK100" s="4"/>
      <c r="AL100" s="4"/>
      <c r="AM100" s="4"/>
      <c r="AN100" s="4"/>
      <c r="AO100" s="4"/>
      <c r="AQ100" s="1690"/>
      <c r="AR100" s="1690"/>
      <c r="AS100" s="1690"/>
      <c r="AY100" s="1577"/>
      <c r="AZ100" s="1691"/>
      <c r="BA100" s="1693">
        <v>24</v>
      </c>
      <c r="BB100" s="1557"/>
      <c r="BC100" s="1557"/>
      <c r="BD100" s="1557"/>
      <c r="BE100" s="1557"/>
      <c r="BF100" s="1557"/>
      <c r="BG100" s="1557"/>
      <c r="BH100" s="1557"/>
      <c r="BI100" s="1557"/>
      <c r="BJ100" s="1557"/>
      <c r="BK100" s="1557"/>
      <c r="BL100" s="1557"/>
      <c r="BM100" s="1632" t="b">
        <f>IF(BY81=24,12)</f>
        <v>0</v>
      </c>
      <c r="BN100" s="1642"/>
      <c r="BO100" s="1642"/>
      <c r="BP100" s="1642"/>
      <c r="BQ100" s="1642"/>
      <c r="BR100" s="1642"/>
      <c r="BS100" s="1641"/>
      <c r="BT100" s="1642"/>
      <c r="BU100" s="1694"/>
      <c r="BV100" s="1642"/>
      <c r="BW100" s="1642"/>
      <c r="BX100" s="1642"/>
      <c r="BY100" s="1642"/>
      <c r="BZ100" s="1642"/>
      <c r="CA100" s="1642"/>
      <c r="CB100" s="1642"/>
      <c r="CC100" s="1642"/>
      <c r="CD100" s="1642"/>
      <c r="CE100" s="1641"/>
      <c r="CF100" s="1688"/>
      <c r="CG100" s="1688"/>
      <c r="CH100" s="1688"/>
      <c r="CI100" s="1688"/>
      <c r="CJ100" s="1688"/>
      <c r="CK100" s="1634" t="b">
        <f>IF(BY81=24,36)</f>
        <v>0</v>
      </c>
      <c r="CL100" s="1554"/>
      <c r="CM100" s="1554"/>
      <c r="CN100" s="1557"/>
      <c r="CO100" s="1557"/>
      <c r="CP100" s="185"/>
    </row>
    <row r="101" spans="2:94" ht="22.2" hidden="1" thickTop="1" thickBot="1" x14ac:dyDescent="0.45">
      <c r="B101" s="1538"/>
      <c r="C101" s="1534"/>
      <c r="D101" s="1539"/>
      <c r="E101" s="1537"/>
      <c r="T101" s="4"/>
      <c r="U101" s="4"/>
      <c r="V101" s="4"/>
      <c r="W101" s="4"/>
      <c r="X101" s="4"/>
      <c r="Y101" s="4"/>
      <c r="Z101" s="4"/>
      <c r="AA101" s="4"/>
      <c r="AB101" s="4"/>
      <c r="AC101" s="4"/>
      <c r="AD101" s="4"/>
      <c r="AE101" s="4"/>
      <c r="AF101" s="4"/>
      <c r="AG101" s="4"/>
      <c r="AH101" s="4"/>
      <c r="AI101" s="4"/>
      <c r="AJ101" s="4"/>
      <c r="AK101" s="4"/>
      <c r="AL101" s="4"/>
      <c r="AM101" s="4"/>
      <c r="AN101" s="4"/>
      <c r="AO101" s="4"/>
      <c r="AQ101" s="1690"/>
      <c r="AR101" s="1690"/>
      <c r="AS101" s="1690"/>
      <c r="AY101" s="1577"/>
      <c r="AZ101" s="1691"/>
      <c r="BA101" s="1693">
        <v>23</v>
      </c>
      <c r="BB101" s="1557"/>
      <c r="BC101" s="1557"/>
      <c r="BD101" s="1557"/>
      <c r="BE101" s="1557"/>
      <c r="BF101" s="1557"/>
      <c r="BG101" s="1557"/>
      <c r="BH101" s="1557"/>
      <c r="BI101" s="1557"/>
      <c r="BJ101" s="1557"/>
      <c r="BK101" s="1557"/>
      <c r="BL101" s="1557"/>
      <c r="BM101" s="1643" t="b">
        <f>IF(BX81=23,12)</f>
        <v>0</v>
      </c>
      <c r="BN101" s="1640"/>
      <c r="BO101" s="1640"/>
      <c r="BP101" s="1640"/>
      <c r="BQ101" s="1639"/>
      <c r="BR101" s="1640"/>
      <c r="BS101" s="1695"/>
      <c r="BT101" s="1640"/>
      <c r="BU101" s="1696"/>
      <c r="BV101" s="1640"/>
      <c r="BW101" s="1640"/>
      <c r="BX101" s="1640"/>
      <c r="BY101" s="1640"/>
      <c r="BZ101" s="1640"/>
      <c r="CA101" s="1640"/>
      <c r="CB101" s="1640"/>
      <c r="CC101" s="1640"/>
      <c r="CD101" s="1640"/>
      <c r="CE101" s="1639"/>
      <c r="CF101" s="1689"/>
      <c r="CG101" s="1689"/>
      <c r="CH101" s="1689"/>
      <c r="CI101" s="1636" t="b">
        <f>IF(BX81=23,34)</f>
        <v>0</v>
      </c>
      <c r="CJ101" s="1554"/>
      <c r="CK101" s="1554"/>
      <c r="CL101" s="1554"/>
      <c r="CM101" s="1554"/>
      <c r="CN101" s="1557"/>
      <c r="CO101" s="1557"/>
      <c r="CP101" s="185"/>
    </row>
    <row r="102" spans="2:94" ht="22.2" hidden="1" thickTop="1" thickBot="1" x14ac:dyDescent="0.45">
      <c r="B102" s="1540"/>
      <c r="C102" s="1534"/>
      <c r="D102" s="1541"/>
      <c r="E102" s="1537"/>
      <c r="F102" s="690"/>
      <c r="T102" s="4"/>
      <c r="U102" s="4"/>
      <c r="V102" s="4"/>
      <c r="W102" s="4"/>
      <c r="X102" s="4"/>
      <c r="Y102" s="4"/>
      <c r="Z102" s="4"/>
      <c r="AA102" s="4"/>
      <c r="AB102" s="4"/>
      <c r="AC102" s="4"/>
      <c r="AD102" s="4"/>
      <c r="AE102" s="4"/>
      <c r="AF102" s="4"/>
      <c r="AG102" s="4"/>
      <c r="AH102" s="4"/>
      <c r="AI102" s="4"/>
      <c r="AJ102" s="4"/>
      <c r="AK102" s="4"/>
      <c r="AL102" s="4"/>
      <c r="AM102" s="4"/>
      <c r="AN102" s="4"/>
      <c r="AO102" s="4"/>
      <c r="AQ102" s="1690"/>
      <c r="AR102" s="1690"/>
      <c r="AS102" s="1690"/>
      <c r="AY102" s="1577"/>
      <c r="AZ102" s="1691"/>
      <c r="BA102" s="1693">
        <v>22</v>
      </c>
      <c r="BB102" s="1554"/>
      <c r="BC102" s="1554"/>
      <c r="BD102" s="1554"/>
      <c r="BE102" s="1554"/>
      <c r="BF102" s="1554"/>
      <c r="BG102" s="1554"/>
      <c r="BH102" s="1554"/>
      <c r="BI102" s="1554"/>
      <c r="BJ102" s="1554"/>
      <c r="BK102" s="1554"/>
      <c r="BL102" s="1554"/>
      <c r="BM102" s="1643" t="b">
        <f>IF(BW81=22,12)</f>
        <v>0</v>
      </c>
      <c r="BN102" s="1689"/>
      <c r="BO102" s="1689"/>
      <c r="BP102" s="1689"/>
      <c r="BQ102" s="1639"/>
      <c r="BR102" s="1689"/>
      <c r="BS102" s="1697"/>
      <c r="BT102" s="1689"/>
      <c r="BU102" s="1698"/>
      <c r="BV102" s="1689"/>
      <c r="BW102" s="1689"/>
      <c r="BX102" s="1689"/>
      <c r="BY102" s="1689"/>
      <c r="BZ102" s="1640"/>
      <c r="CA102" s="1640"/>
      <c r="CB102" s="1639"/>
      <c r="CC102" s="1640"/>
      <c r="CD102" s="1640"/>
      <c r="CE102" s="1640"/>
      <c r="CF102" s="1640"/>
      <c r="CG102" s="1636" t="b">
        <f>IF(BW81=22,32)</f>
        <v>0</v>
      </c>
      <c r="CH102" s="1557"/>
      <c r="CI102" s="1557"/>
      <c r="CJ102" s="1557"/>
      <c r="CK102" s="1557"/>
      <c r="CL102" s="1557"/>
      <c r="CM102" s="1557"/>
      <c r="CN102" s="1557"/>
      <c r="CO102" s="1557"/>
      <c r="CP102" s="185"/>
    </row>
    <row r="103" spans="2:94" ht="31.2" hidden="1" thickTop="1" thickBot="1" x14ac:dyDescent="0.55000000000000004">
      <c r="B103" s="1542"/>
      <c r="C103" s="1534"/>
      <c r="D103" s="1543"/>
      <c r="E103" s="1544"/>
      <c r="T103" s="4"/>
      <c r="U103" s="4"/>
      <c r="V103" s="4"/>
      <c r="W103" s="4"/>
      <c r="X103" s="4"/>
      <c r="Y103" s="4"/>
      <c r="Z103" s="4"/>
      <c r="AA103" s="4"/>
      <c r="AB103" s="4"/>
      <c r="AC103" s="4"/>
      <c r="AD103" s="4"/>
      <c r="AE103" s="4"/>
      <c r="AF103" s="4"/>
      <c r="AG103" s="4"/>
      <c r="AH103" s="4"/>
      <c r="AI103" s="4"/>
      <c r="AJ103" s="4"/>
      <c r="AK103" s="4"/>
      <c r="AL103" s="4"/>
      <c r="AM103" s="4"/>
      <c r="AN103" s="4"/>
      <c r="AO103" s="4"/>
      <c r="AQ103" s="1690"/>
      <c r="AR103" s="1690"/>
      <c r="AS103" s="1690"/>
      <c r="AY103" s="1577"/>
      <c r="AZ103" s="1691"/>
      <c r="BA103" s="1693">
        <v>21</v>
      </c>
      <c r="BB103" s="1557"/>
      <c r="BC103" s="1557"/>
      <c r="BD103" s="1557"/>
      <c r="BE103" s="1557"/>
      <c r="BF103" s="1557"/>
      <c r="BG103" s="1557"/>
      <c r="BH103" s="1557"/>
      <c r="BI103" s="1557"/>
      <c r="BJ103" s="1557"/>
      <c r="BK103" s="1557"/>
      <c r="BL103" s="1557"/>
      <c r="BM103" s="1643" t="b">
        <f>IF(BV81=21,12)</f>
        <v>0</v>
      </c>
      <c r="BN103" s="1640"/>
      <c r="BO103" s="1640"/>
      <c r="BP103" s="1640"/>
      <c r="BQ103" s="1640"/>
      <c r="BR103" s="1640"/>
      <c r="BS103" s="1695"/>
      <c r="BT103" s="1640"/>
      <c r="BU103" s="1696"/>
      <c r="BV103" s="1640"/>
      <c r="BW103" s="1640"/>
      <c r="BX103" s="1640"/>
      <c r="BY103" s="1640"/>
      <c r="BZ103" s="1640"/>
      <c r="CA103" s="1640"/>
      <c r="CB103" s="1640"/>
      <c r="CC103" s="1640"/>
      <c r="CD103" s="1640"/>
      <c r="CE103" s="1636" t="b">
        <f>IF(BV81=21,30)</f>
        <v>0</v>
      </c>
      <c r="CF103" s="1554"/>
      <c r="CG103" s="1554"/>
      <c r="CH103" s="1554"/>
      <c r="CI103" s="1554"/>
      <c r="CJ103" s="1554"/>
      <c r="CK103" s="1554"/>
      <c r="CL103" s="1554"/>
      <c r="CM103" s="1554"/>
      <c r="CN103" s="1557"/>
      <c r="CO103" s="1557"/>
      <c r="CP103" s="185"/>
    </row>
    <row r="104" spans="2:94" ht="42.75" hidden="1" customHeight="1" thickTop="1" thickBot="1" x14ac:dyDescent="0.45">
      <c r="B104" s="2032"/>
      <c r="C104" s="2033"/>
      <c r="D104" s="2033"/>
      <c r="E104" s="2033"/>
      <c r="T104" s="4"/>
      <c r="U104" s="4"/>
      <c r="V104" s="4"/>
      <c r="W104" s="700"/>
      <c r="X104" s="4"/>
      <c r="Y104" s="4"/>
      <c r="Z104" s="4"/>
      <c r="AA104" s="4"/>
      <c r="AB104" s="4"/>
      <c r="AC104" s="4"/>
      <c r="AD104" s="4"/>
      <c r="AE104" s="4"/>
      <c r="AF104" s="4"/>
      <c r="AG104" s="4"/>
      <c r="AH104" s="4"/>
      <c r="AI104" s="4"/>
      <c r="AJ104" s="4"/>
      <c r="AK104" s="4"/>
      <c r="AL104" s="4"/>
      <c r="AM104" s="4"/>
      <c r="AN104" s="4"/>
      <c r="AO104" s="4"/>
      <c r="AQ104" s="1623"/>
      <c r="AR104" s="1623"/>
      <c r="AS104" s="1623"/>
      <c r="AY104" s="1577"/>
      <c r="AZ104" s="1699"/>
      <c r="BA104" s="1693">
        <v>20</v>
      </c>
      <c r="BB104" s="1557"/>
      <c r="BC104" s="1557"/>
      <c r="BD104" s="1557"/>
      <c r="BE104" s="1557"/>
      <c r="BF104" s="1557"/>
      <c r="BG104" s="1557"/>
      <c r="BH104" s="1557"/>
      <c r="BI104" s="1557"/>
      <c r="BL104" s="1700"/>
      <c r="BM104" s="1632" t="b">
        <f>IF(BU81=20,12)</f>
        <v>0</v>
      </c>
      <c r="BN104" s="1642"/>
      <c r="BO104" s="1642"/>
      <c r="BP104" s="1642"/>
      <c r="BQ104" s="1642"/>
      <c r="BR104" s="1642"/>
      <c r="BS104" s="1701"/>
      <c r="BT104" s="1642"/>
      <c r="BU104" s="1694"/>
      <c r="BV104" s="1642"/>
      <c r="BW104" s="1642"/>
      <c r="BX104" s="1642"/>
      <c r="BY104" s="1642"/>
      <c r="BZ104" s="1642"/>
      <c r="CA104" s="1642"/>
      <c r="CB104" s="1642"/>
      <c r="CC104" s="1634" t="b">
        <f>IF(BU81=20,28)</f>
        <v>0</v>
      </c>
      <c r="CD104" s="1700"/>
      <c r="CF104" s="1554"/>
      <c r="CG104" s="1554"/>
      <c r="CH104" s="1554"/>
      <c r="CI104" s="1554"/>
      <c r="CJ104" s="1554"/>
      <c r="CK104" s="1554"/>
      <c r="CL104" s="1554"/>
      <c r="CM104" s="1554"/>
      <c r="CN104" s="1557"/>
      <c r="CO104" s="1557"/>
      <c r="CP104" s="185"/>
    </row>
    <row r="105" spans="2:94" ht="26.25" hidden="1" customHeight="1" thickTop="1" thickBot="1" x14ac:dyDescent="0.45">
      <c r="B105" s="1545"/>
      <c r="C105" s="1546"/>
      <c r="D105" s="1545"/>
      <c r="E105" s="1545"/>
      <c r="T105" s="4"/>
      <c r="U105" s="4"/>
      <c r="V105" s="4"/>
      <c r="W105" s="4"/>
      <c r="X105" s="4"/>
      <c r="Y105" s="4"/>
      <c r="Z105" s="4"/>
      <c r="AA105" s="4"/>
      <c r="AB105" s="4"/>
      <c r="AC105" s="4"/>
      <c r="AD105" s="4"/>
      <c r="AE105" s="4"/>
      <c r="AF105" s="4"/>
      <c r="AG105" s="4"/>
      <c r="AH105" s="4"/>
      <c r="AI105" s="4"/>
      <c r="AJ105" s="4"/>
      <c r="AK105" s="4"/>
      <c r="AL105" s="4"/>
      <c r="AM105" s="4"/>
      <c r="AN105" s="4"/>
      <c r="AO105" s="4"/>
      <c r="AQ105" s="1623"/>
      <c r="AR105" s="1623"/>
      <c r="AS105" s="1623"/>
      <c r="AY105" s="1577"/>
      <c r="AZ105" s="1699"/>
      <c r="BA105" s="1693">
        <v>19</v>
      </c>
      <c r="BB105" s="1557"/>
      <c r="BC105" s="1557"/>
      <c r="BD105" s="1557"/>
      <c r="BE105" s="1557"/>
      <c r="BF105" s="1557"/>
      <c r="BG105" s="1557"/>
      <c r="BH105" s="1557"/>
      <c r="BI105" s="1557"/>
      <c r="BK105" s="1702"/>
      <c r="BL105" s="1702"/>
      <c r="BM105" s="1632" t="b">
        <f>IF(BT81=19,12)</f>
        <v>0</v>
      </c>
      <c r="BN105" s="1688"/>
      <c r="BO105" s="1688"/>
      <c r="BP105" s="1641"/>
      <c r="BQ105" s="1688"/>
      <c r="BR105" s="1688"/>
      <c r="BS105" s="1703"/>
      <c r="BT105" s="1688"/>
      <c r="BU105" s="1704"/>
      <c r="BV105" s="1641"/>
      <c r="BW105" s="1688"/>
      <c r="BX105" s="1688"/>
      <c r="BY105" s="1688"/>
      <c r="BZ105" s="1642"/>
      <c r="CA105" s="1634" t="b">
        <f>IF(BT81=19,26)</f>
        <v>0</v>
      </c>
      <c r="CB105" s="1705"/>
      <c r="CC105" s="1700"/>
      <c r="CE105" s="1557"/>
      <c r="CF105" s="1557"/>
      <c r="CG105" s="1557"/>
      <c r="CH105" s="1557"/>
      <c r="CI105" s="1557"/>
      <c r="CJ105" s="1557"/>
      <c r="CK105" s="1557"/>
      <c r="CL105" s="1557"/>
      <c r="CM105" s="1557"/>
      <c r="CN105" s="1557"/>
      <c r="CO105" s="1557"/>
      <c r="CP105" s="185"/>
    </row>
    <row r="106" spans="2:94" ht="22.2" hidden="1" thickTop="1" thickBot="1" x14ac:dyDescent="0.45">
      <c r="B106" s="1546"/>
      <c r="C106" s="1546"/>
      <c r="D106" s="1546"/>
      <c r="E106" s="1546"/>
      <c r="T106" s="4"/>
      <c r="U106" s="4"/>
      <c r="V106" s="4"/>
      <c r="W106" s="4"/>
      <c r="X106" s="4"/>
      <c r="Y106" s="4"/>
      <c r="Z106" s="4"/>
      <c r="AA106" s="4"/>
      <c r="AB106" s="4"/>
      <c r="AC106" s="4"/>
      <c r="AD106" s="4"/>
      <c r="AE106" s="4"/>
      <c r="AF106" s="4"/>
      <c r="AG106" s="4"/>
      <c r="AH106" s="4"/>
      <c r="AI106" s="4"/>
      <c r="AJ106" s="4"/>
      <c r="AK106" s="4"/>
      <c r="AL106" s="4"/>
      <c r="AM106" s="4"/>
      <c r="AN106" s="4"/>
      <c r="AO106" s="4"/>
      <c r="AQ106" s="1623"/>
      <c r="AR106" s="1623"/>
      <c r="AS106" s="1623"/>
      <c r="AY106" s="1577"/>
      <c r="AZ106" s="1699"/>
      <c r="BA106" s="1693">
        <v>18</v>
      </c>
      <c r="BB106" s="1554"/>
      <c r="BC106" s="1554"/>
      <c r="BD106" s="1554"/>
      <c r="BE106" s="1554"/>
      <c r="BF106" s="1554"/>
      <c r="BG106" s="1554"/>
      <c r="BH106" s="1554"/>
      <c r="BI106" s="1554"/>
      <c r="BK106" s="1632" t="b">
        <f>IF(BS81=18,10)</f>
        <v>0</v>
      </c>
      <c r="BL106" s="1688"/>
      <c r="BM106" s="1688"/>
      <c r="BN106" s="1688"/>
      <c r="BO106" s="1688"/>
      <c r="BP106" s="1641"/>
      <c r="BQ106" s="1688"/>
      <c r="BR106" s="1688"/>
      <c r="BS106" s="1703"/>
      <c r="BT106" s="1688"/>
      <c r="BU106" s="1704"/>
      <c r="BV106" s="1641"/>
      <c r="BW106" s="1688"/>
      <c r="BX106" s="1688"/>
      <c r="BY106" s="1688"/>
      <c r="BZ106" s="1642"/>
      <c r="CA106" s="1634" t="b">
        <f>IF(BS81=18,26)</f>
        <v>0</v>
      </c>
      <c r="CC106" s="1557"/>
      <c r="CD106" s="1557"/>
      <c r="CE106" s="1557"/>
      <c r="CF106" s="1557"/>
      <c r="CG106" s="1557"/>
      <c r="CH106" s="1557"/>
      <c r="CI106" s="1557"/>
      <c r="CJ106" s="1557"/>
      <c r="CK106" s="1557"/>
      <c r="CL106" s="1557"/>
      <c r="CM106" s="1557"/>
      <c r="CN106" s="1557"/>
      <c r="CO106" s="1557"/>
      <c r="CP106" s="185"/>
    </row>
    <row r="107" spans="2:94" ht="22.2" hidden="1" thickTop="1" thickBot="1" x14ac:dyDescent="0.45">
      <c r="B107" s="1547"/>
      <c r="C107" s="1546"/>
      <c r="D107" s="1547"/>
      <c r="E107" s="1547"/>
      <c r="T107" s="4"/>
      <c r="U107" s="4"/>
      <c r="V107" s="4"/>
      <c r="W107" s="4"/>
      <c r="X107" s="4"/>
      <c r="Y107" s="4"/>
      <c r="Z107" s="4"/>
      <c r="AA107" s="4"/>
      <c r="AB107" s="4"/>
      <c r="AC107" s="4"/>
      <c r="AD107" s="4"/>
      <c r="AE107" s="4"/>
      <c r="AF107" s="4"/>
      <c r="AG107" s="4"/>
      <c r="AH107" s="4"/>
      <c r="AI107" s="4"/>
      <c r="AJ107" s="4"/>
      <c r="AK107" s="4"/>
      <c r="AL107" s="4"/>
      <c r="AM107" s="4"/>
      <c r="AN107" s="4"/>
      <c r="AO107" s="4"/>
      <c r="AQ107" s="1623"/>
      <c r="AR107" s="1623"/>
      <c r="AS107" s="1623"/>
      <c r="AY107" s="1577"/>
      <c r="AZ107" s="1699"/>
      <c r="BA107" s="1706">
        <v>17</v>
      </c>
      <c r="BB107" s="1554"/>
      <c r="BC107" s="1554"/>
      <c r="BD107" s="1554"/>
      <c r="BE107" s="1554"/>
      <c r="BF107" s="1554"/>
      <c r="BG107" s="1554"/>
      <c r="BH107" s="1554"/>
      <c r="BI107" s="1632" t="b">
        <f>IF(BR81=17,8)</f>
        <v>0</v>
      </c>
      <c r="BJ107" s="1641"/>
      <c r="BK107" s="1641"/>
      <c r="BL107" s="1688"/>
      <c r="BM107" s="1688"/>
      <c r="BN107" s="1688"/>
      <c r="BO107" s="1688"/>
      <c r="BP107" s="1688"/>
      <c r="BQ107" s="1688"/>
      <c r="BR107" s="1688"/>
      <c r="BS107" s="1703"/>
      <c r="BT107" s="1688"/>
      <c r="BU107" s="1704"/>
      <c r="BV107" s="1688"/>
      <c r="BW107" s="1688"/>
      <c r="BX107" s="1688"/>
      <c r="BY107" s="1641"/>
      <c r="BZ107" s="1641"/>
      <c r="CA107" s="1634" t="b">
        <f>IF(BR81=17,26)</f>
        <v>0</v>
      </c>
      <c r="CB107" s="1557"/>
      <c r="CC107" s="1557"/>
      <c r="CD107" s="1557"/>
      <c r="CE107" s="1557"/>
      <c r="CF107" s="1557"/>
      <c r="CG107" s="1557"/>
      <c r="CH107" s="1557"/>
      <c r="CI107" s="1557"/>
      <c r="CJ107" s="1557"/>
      <c r="CK107" s="1557"/>
      <c r="CL107" s="1557"/>
      <c r="CM107" s="1557"/>
      <c r="CN107" s="1557"/>
      <c r="CO107" s="1557"/>
      <c r="CP107" s="185"/>
    </row>
    <row r="108" spans="2:94" ht="34.5" hidden="1" customHeight="1" thickTop="1" thickBot="1" x14ac:dyDescent="0.45">
      <c r="B108" s="1545"/>
      <c r="C108" s="1548"/>
      <c r="D108" s="1545"/>
      <c r="E108" s="1549"/>
      <c r="T108" s="4"/>
      <c r="U108" s="4"/>
      <c r="V108" s="4"/>
      <c r="W108" s="4"/>
      <c r="X108" s="4"/>
      <c r="Y108" s="4"/>
      <c r="Z108" s="4"/>
      <c r="AA108" s="4"/>
      <c r="AB108" s="4"/>
      <c r="AC108" s="4"/>
      <c r="AD108" s="4"/>
      <c r="AE108" s="4"/>
      <c r="AF108" s="4"/>
      <c r="AG108" s="4"/>
      <c r="AH108" s="4"/>
      <c r="AI108" s="4"/>
      <c r="AJ108" s="4"/>
      <c r="AK108" s="4"/>
      <c r="AL108" s="4"/>
      <c r="AM108" s="4"/>
      <c r="AN108" s="4"/>
      <c r="AO108" s="4"/>
      <c r="AQ108" s="1623"/>
      <c r="AR108" s="1623"/>
      <c r="AS108" s="1623"/>
      <c r="AY108" s="1577"/>
      <c r="AZ108" s="1699"/>
      <c r="BA108" s="1706">
        <v>16</v>
      </c>
      <c r="BB108" s="1554"/>
      <c r="BC108" s="1554"/>
      <c r="BD108" s="1554"/>
      <c r="BE108" s="1554"/>
      <c r="BF108" s="1554"/>
      <c r="BG108" s="1707" t="b">
        <f>IF(BQ81=16,6)</f>
        <v>0</v>
      </c>
      <c r="BH108" s="1708"/>
      <c r="BI108" s="1709"/>
      <c r="BJ108" s="1709"/>
      <c r="BK108" s="1708"/>
      <c r="BL108" s="1708"/>
      <c r="BM108" s="1708"/>
      <c r="BN108" s="1708"/>
      <c r="BO108" s="1708"/>
      <c r="BP108" s="1708"/>
      <c r="BQ108" s="1708"/>
      <c r="BR108" s="1708"/>
      <c r="BS108" s="1710"/>
      <c r="BT108" s="1708"/>
      <c r="BU108" s="1711"/>
      <c r="BV108" s="1708"/>
      <c r="BW108" s="1708"/>
      <c r="BX108" s="1709"/>
      <c r="BY108" s="1709"/>
      <c r="BZ108" s="1712"/>
      <c r="CA108" s="1713" t="b">
        <f>IF(BQ81=16,26)</f>
        <v>0</v>
      </c>
      <c r="CB108" s="1557"/>
      <c r="CC108" s="1557"/>
      <c r="CD108" s="1557"/>
      <c r="CE108" s="1557"/>
      <c r="CF108" s="1557"/>
      <c r="CG108" s="1557"/>
      <c r="CH108" s="1557"/>
      <c r="CI108" s="1557"/>
      <c r="CJ108" s="1557"/>
      <c r="CK108" s="1557"/>
      <c r="CL108" s="1557"/>
      <c r="CM108" s="1557"/>
      <c r="CN108" s="1557"/>
      <c r="CO108" s="1557"/>
      <c r="CP108" s="185"/>
    </row>
    <row r="109" spans="2:94" ht="22.2" hidden="1" thickTop="1" thickBot="1" x14ac:dyDescent="0.45">
      <c r="B109" s="324"/>
      <c r="C109" s="141"/>
      <c r="T109" s="4"/>
      <c r="U109" s="4"/>
      <c r="V109" s="4"/>
      <c r="W109" s="4"/>
      <c r="X109" s="4"/>
      <c r="Y109" s="4"/>
      <c r="Z109" s="4"/>
      <c r="AA109" s="4"/>
      <c r="AB109" s="4"/>
      <c r="AC109" s="4"/>
      <c r="AD109" s="4"/>
      <c r="AE109" s="4"/>
      <c r="AF109" s="4"/>
      <c r="AG109" s="4"/>
      <c r="AH109" s="4"/>
      <c r="AI109" s="4"/>
      <c r="AJ109" s="4"/>
      <c r="AK109" s="4"/>
      <c r="AL109" s="4"/>
      <c r="AM109" s="4"/>
      <c r="AN109" s="4"/>
      <c r="AO109" s="4"/>
      <c r="AQ109" s="1623"/>
      <c r="AR109" s="1623"/>
      <c r="AS109" s="1623"/>
      <c r="AY109" s="1577"/>
      <c r="AZ109" s="1699"/>
      <c r="BA109" s="1693">
        <v>15</v>
      </c>
      <c r="BB109" s="1554"/>
      <c r="BC109" s="1554"/>
      <c r="BD109" s="1554"/>
      <c r="BE109" s="1632" t="b">
        <f>IF(BP81=15,4)</f>
        <v>0</v>
      </c>
      <c r="BF109" s="1688"/>
      <c r="BG109" s="1688"/>
      <c r="BH109" s="1688"/>
      <c r="BI109" s="1641"/>
      <c r="BJ109" s="1688"/>
      <c r="BK109" s="1688"/>
      <c r="BL109" s="1641"/>
      <c r="BM109" s="1688"/>
      <c r="BN109" s="1688"/>
      <c r="BO109" s="1688"/>
      <c r="BP109" s="1688"/>
      <c r="BQ109" s="1688"/>
      <c r="BR109" s="1688"/>
      <c r="BS109" s="1703"/>
      <c r="BT109" s="1641"/>
      <c r="BU109" s="1704"/>
      <c r="BV109" s="1688"/>
      <c r="BW109" s="1641"/>
      <c r="BX109" s="1688"/>
      <c r="BY109" s="1688"/>
      <c r="BZ109" s="1642"/>
      <c r="CA109" s="1634" t="b">
        <f>IF(BP81=15,26)</f>
        <v>0</v>
      </c>
      <c r="CB109" s="1557"/>
      <c r="CC109" s="1557"/>
      <c r="CD109" s="1557"/>
      <c r="CE109" s="1557"/>
      <c r="CF109" s="1557"/>
      <c r="CG109" s="1557"/>
      <c r="CH109" s="1557"/>
      <c r="CI109" s="1557"/>
      <c r="CJ109" s="1557"/>
      <c r="CK109" s="1557"/>
      <c r="CL109" s="1557"/>
      <c r="CM109" s="1557"/>
      <c r="CN109" s="1557"/>
      <c r="CO109" s="1557"/>
      <c r="CP109" s="185"/>
    </row>
    <row r="110" spans="2:94" ht="21.6" hidden="1" thickBot="1" x14ac:dyDescent="0.45">
      <c r="B110" s="701"/>
      <c r="C110" s="325"/>
      <c r="G110" s="438"/>
      <c r="H110" s="438"/>
      <c r="I110" s="438"/>
      <c r="J110" s="438"/>
      <c r="K110" s="438"/>
      <c r="L110" s="438"/>
      <c r="M110" s="438"/>
      <c r="N110" s="438"/>
      <c r="O110" s="438"/>
      <c r="P110" s="438"/>
      <c r="Q110" s="438"/>
      <c r="R110" s="438"/>
      <c r="S110" s="438"/>
      <c r="T110" s="438"/>
      <c r="U110" s="438"/>
      <c r="V110" s="438"/>
      <c r="W110" s="438"/>
      <c r="X110" s="438"/>
      <c r="Y110" s="438"/>
      <c r="Z110" s="438"/>
      <c r="AA110" s="438"/>
      <c r="AB110" s="438"/>
      <c r="AC110" s="438"/>
      <c r="AD110" s="438"/>
      <c r="AE110" s="438"/>
      <c r="AF110" s="438"/>
      <c r="AG110" s="438"/>
      <c r="AH110" s="438"/>
      <c r="AI110" s="438"/>
      <c r="AJ110" s="438"/>
      <c r="AK110" s="438"/>
      <c r="AL110" s="438"/>
      <c r="AM110" s="438"/>
      <c r="AN110" s="438"/>
      <c r="AO110" s="438"/>
      <c r="AP110" s="438"/>
      <c r="AQ110" s="1623"/>
      <c r="AR110" s="1623"/>
      <c r="AS110" s="1623"/>
      <c r="AY110" s="1577"/>
      <c r="AZ110" s="1699"/>
      <c r="BA110" s="1693">
        <v>14</v>
      </c>
      <c r="BB110" s="1554"/>
      <c r="BC110" s="1632">
        <f>IF(BO81=14,2)</f>
        <v>2</v>
      </c>
      <c r="BD110" s="1688"/>
      <c r="BE110" s="1688"/>
      <c r="BF110" s="1688"/>
      <c r="BG110" s="1641"/>
      <c r="BH110" s="1688"/>
      <c r="BI110" s="1688"/>
      <c r="BJ110" s="1641"/>
      <c r="BK110" s="1688"/>
      <c r="BL110" s="1688"/>
      <c r="BM110" s="1688"/>
      <c r="BN110" s="1688"/>
      <c r="BO110" s="1688"/>
      <c r="BP110" s="1688"/>
      <c r="BQ110" s="1688"/>
      <c r="BR110" s="1688"/>
      <c r="BS110" s="1703"/>
      <c r="BT110" s="1641"/>
      <c r="BU110" s="1704"/>
      <c r="BV110" s="1688"/>
      <c r="BW110" s="1641"/>
      <c r="BX110" s="1688"/>
      <c r="BY110" s="1688"/>
      <c r="BZ110" s="1642"/>
      <c r="CA110" s="1634">
        <f>IF(BO81=14,26)</f>
        <v>26</v>
      </c>
      <c r="CB110" s="1557"/>
      <c r="CC110" s="1557"/>
      <c r="CD110" s="1557"/>
      <c r="CE110" s="1557"/>
      <c r="CF110" s="1557"/>
      <c r="CG110" s="1557"/>
      <c r="CH110" s="1557"/>
      <c r="CI110" s="1557"/>
      <c r="CJ110" s="1557"/>
      <c r="CK110" s="1557"/>
      <c r="CL110" s="1557"/>
      <c r="CM110" s="1557"/>
      <c r="CN110" s="1557"/>
      <c r="CO110" s="1557"/>
    </row>
    <row r="111" spans="2:94" ht="21.6" hidden="1" thickBot="1" x14ac:dyDescent="0.45">
      <c r="B111" s="701"/>
      <c r="C111" s="325"/>
      <c r="G111" s="438"/>
      <c r="H111" s="438"/>
      <c r="I111" s="438"/>
      <c r="J111" s="438"/>
      <c r="K111" s="438"/>
      <c r="L111" s="438"/>
      <c r="M111" s="438"/>
      <c r="N111" s="438"/>
      <c r="O111" s="438"/>
      <c r="P111" s="438"/>
      <c r="Q111" s="438"/>
      <c r="R111" s="438"/>
      <c r="S111" s="438"/>
      <c r="T111" s="438"/>
      <c r="U111" s="438"/>
      <c r="V111" s="438"/>
      <c r="W111" s="438"/>
      <c r="X111" s="438"/>
      <c r="Y111" s="438"/>
      <c r="Z111" s="438"/>
      <c r="AA111" s="438"/>
      <c r="AB111" s="438"/>
      <c r="AC111" s="438"/>
      <c r="AD111" s="438"/>
      <c r="AE111" s="438"/>
      <c r="AF111" s="438"/>
      <c r="AG111" s="438"/>
      <c r="AH111" s="438"/>
      <c r="AI111" s="438"/>
      <c r="AJ111" s="438"/>
      <c r="AK111" s="438"/>
      <c r="AL111" s="438"/>
      <c r="AM111" s="438"/>
      <c r="AN111" s="438"/>
      <c r="AO111" s="438"/>
      <c r="AP111" s="438"/>
      <c r="AQ111" s="1623"/>
      <c r="AR111" s="1623"/>
      <c r="AS111" s="1623"/>
      <c r="AY111" s="1577"/>
      <c r="AZ111" s="1699"/>
      <c r="BA111" s="1693">
        <v>13</v>
      </c>
      <c r="BB111" s="1554"/>
      <c r="BC111" s="1554"/>
      <c r="BD111" s="1554"/>
      <c r="BF111" s="1714"/>
      <c r="BG111" s="1714"/>
      <c r="BH111" s="1715"/>
      <c r="BI111" s="1714"/>
      <c r="BJ111" s="1643" t="b">
        <f>IF(BN81=13,9)</f>
        <v>0</v>
      </c>
      <c r="BK111" s="1689"/>
      <c r="BL111" s="1689"/>
      <c r="BM111" s="1689"/>
      <c r="BN111" s="1689"/>
      <c r="BO111" s="1689"/>
      <c r="BP111" s="1689"/>
      <c r="BQ111" s="1689"/>
      <c r="BR111" s="1636" t="b">
        <f>IF(BN81=13,17)</f>
        <v>0</v>
      </c>
      <c r="BS111" s="1716"/>
      <c r="BT111" s="1715"/>
      <c r="BU111" s="1717"/>
      <c r="BV111" s="1714"/>
      <c r="BX111" s="1554"/>
      <c r="BY111" s="1554"/>
      <c r="BZ111" s="1557"/>
      <c r="CA111" s="1557"/>
      <c r="CB111" s="1557"/>
      <c r="CC111" s="1557"/>
      <c r="CD111" s="1557"/>
      <c r="CE111" s="1557"/>
      <c r="CF111" s="1557"/>
      <c r="CG111" s="1557"/>
      <c r="CH111" s="1557"/>
      <c r="CI111" s="1557"/>
      <c r="CJ111" s="1557"/>
      <c r="CK111" s="1557"/>
      <c r="CL111" s="1557"/>
      <c r="CM111" s="1557"/>
      <c r="CN111" s="1557"/>
      <c r="CO111" s="1557"/>
      <c r="CP111" s="185"/>
    </row>
    <row r="112" spans="2:94" ht="21.6" hidden="1" thickBot="1" x14ac:dyDescent="0.45">
      <c r="B112" s="701"/>
      <c r="C112" s="325"/>
      <c r="G112" s="438"/>
      <c r="H112" s="438"/>
      <c r="I112" s="438"/>
      <c r="J112" s="438"/>
      <c r="K112" s="438"/>
      <c r="L112" s="438"/>
      <c r="M112" s="438"/>
      <c r="N112" s="438"/>
      <c r="O112" s="438"/>
      <c r="P112" s="438"/>
      <c r="Q112" s="438"/>
      <c r="R112" s="438"/>
      <c r="S112" s="438"/>
      <c r="T112" s="438"/>
      <c r="U112" s="438"/>
      <c r="V112" s="438"/>
      <c r="W112" s="438"/>
      <c r="X112" s="438"/>
      <c r="Y112" s="438"/>
      <c r="Z112" s="438"/>
      <c r="AA112" s="438"/>
      <c r="AB112" s="438"/>
      <c r="AC112" s="438"/>
      <c r="AD112" s="438"/>
      <c r="AE112" s="438"/>
      <c r="AF112" s="438"/>
      <c r="AG112" s="438"/>
      <c r="AH112" s="438"/>
      <c r="AI112" s="438"/>
      <c r="AJ112" s="438"/>
      <c r="AK112" s="438"/>
      <c r="AL112" s="438"/>
      <c r="AM112" s="438"/>
      <c r="AN112" s="438"/>
      <c r="AO112" s="438"/>
      <c r="AP112" s="438"/>
      <c r="AQ112" s="1623"/>
      <c r="AR112" s="1623"/>
      <c r="AS112" s="1623"/>
      <c r="AY112" s="1577"/>
      <c r="AZ112" s="1699"/>
      <c r="BA112" s="1693">
        <v>12</v>
      </c>
      <c r="BB112" s="1554"/>
      <c r="BD112" s="1702"/>
      <c r="BE112" s="1702"/>
      <c r="BF112" s="1705"/>
      <c r="BG112" s="1702"/>
      <c r="BH112" s="1632" t="b">
        <f>IF(BM81=12,7)</f>
        <v>0</v>
      </c>
      <c r="BI112" s="1688"/>
      <c r="BJ112" s="1688"/>
      <c r="BK112" s="1688"/>
      <c r="BL112" s="1688"/>
      <c r="BM112" s="1688"/>
      <c r="BN112" s="1688"/>
      <c r="BO112" s="1688"/>
      <c r="BP112" s="1688"/>
      <c r="BQ112" s="1688"/>
      <c r="BR112" s="1634" t="b">
        <f>IF(BM81=12,17)</f>
        <v>0</v>
      </c>
      <c r="BS112" s="1718"/>
      <c r="BT112" s="1705"/>
      <c r="BU112" s="1719"/>
      <c r="BV112" s="1702"/>
      <c r="BX112" s="1554"/>
      <c r="BY112" s="1554"/>
      <c r="BZ112" s="1557"/>
      <c r="CA112" s="1557"/>
      <c r="CB112" s="1557"/>
      <c r="CC112" s="1557"/>
      <c r="CD112" s="1557"/>
      <c r="CE112" s="1557"/>
      <c r="CF112" s="1557"/>
      <c r="CG112" s="1557"/>
      <c r="CH112" s="1557"/>
      <c r="CI112" s="1557"/>
      <c r="CJ112" s="1557"/>
      <c r="CK112" s="1557"/>
      <c r="CL112" s="1557"/>
      <c r="CM112" s="1557"/>
      <c r="CN112" s="1557"/>
      <c r="CO112" s="1557"/>
    </row>
    <row r="113" spans="2:94" ht="21.6" hidden="1" thickBot="1" x14ac:dyDescent="0.45">
      <c r="B113" s="701"/>
      <c r="C113" s="325"/>
      <c r="G113" s="438"/>
      <c r="H113" s="438"/>
      <c r="I113" s="438"/>
      <c r="J113" s="438"/>
      <c r="K113" s="438"/>
      <c r="L113" s="438"/>
      <c r="M113" s="438"/>
      <c r="N113" s="438"/>
      <c r="O113" s="438"/>
      <c r="P113" s="438"/>
      <c r="Q113" s="438"/>
      <c r="R113" s="438"/>
      <c r="S113" s="438"/>
      <c r="T113" s="438"/>
      <c r="U113" s="438"/>
      <c r="V113" s="438"/>
      <c r="W113" s="438"/>
      <c r="X113" s="438"/>
      <c r="Y113" s="438"/>
      <c r="Z113" s="438"/>
      <c r="AA113" s="438"/>
      <c r="AB113" s="438"/>
      <c r="AC113" s="438"/>
      <c r="AD113" s="438"/>
      <c r="AE113" s="438"/>
      <c r="AF113" s="438"/>
      <c r="AG113" s="438"/>
      <c r="AH113" s="438"/>
      <c r="AI113" s="438"/>
      <c r="AJ113" s="438"/>
      <c r="AK113" s="438"/>
      <c r="AL113" s="438"/>
      <c r="AM113" s="438"/>
      <c r="AN113" s="438"/>
      <c r="AO113" s="438"/>
      <c r="AP113" s="438"/>
      <c r="AQ113" s="1623"/>
      <c r="AR113" s="1623"/>
      <c r="AS113" s="1623"/>
      <c r="AY113" s="1577"/>
      <c r="AZ113" s="1699"/>
      <c r="BA113" s="1693">
        <v>11</v>
      </c>
      <c r="BC113" s="1714"/>
      <c r="BD113" s="1715"/>
      <c r="BE113" s="1714"/>
      <c r="BF113" s="1632" t="b">
        <f>IF(BL81=11,5)</f>
        <v>0</v>
      </c>
      <c r="BG113" s="1688"/>
      <c r="BH113" s="1688"/>
      <c r="BI113" s="1688"/>
      <c r="BJ113" s="1688"/>
      <c r="BK113" s="1688"/>
      <c r="BL113" s="1688"/>
      <c r="BM113" s="1688"/>
      <c r="BN113" s="1688"/>
      <c r="BO113" s="1688"/>
      <c r="BP113" s="1688"/>
      <c r="BQ113" s="1688"/>
      <c r="BR113" s="1634" t="b">
        <f>IF(BL81=11,17)</f>
        <v>0</v>
      </c>
      <c r="BS113" s="1716"/>
      <c r="BT113" s="1715"/>
      <c r="BU113" s="1717"/>
      <c r="BW113" s="1554"/>
      <c r="BX113" s="1554"/>
      <c r="BY113" s="1554"/>
      <c r="BZ113" s="1557"/>
      <c r="CA113" s="1557"/>
      <c r="CB113" s="1557"/>
      <c r="CC113" s="1557"/>
      <c r="CD113" s="1557"/>
      <c r="CE113" s="1557"/>
      <c r="CF113" s="1557"/>
      <c r="CG113" s="1557"/>
      <c r="CH113" s="1557"/>
      <c r="CI113" s="1557"/>
      <c r="CJ113" s="1557"/>
      <c r="CK113" s="1557"/>
      <c r="CL113" s="1557"/>
      <c r="CM113" s="1557"/>
      <c r="CN113" s="1557"/>
      <c r="CO113" s="1557"/>
      <c r="CP113" s="440" t="s">
        <v>94</v>
      </c>
    </row>
    <row r="114" spans="2:94" ht="21.6" hidden="1" thickBot="1" x14ac:dyDescent="0.45">
      <c r="B114" s="701"/>
      <c r="C114" s="325"/>
      <c r="G114" s="438"/>
      <c r="H114" s="438"/>
      <c r="I114" s="438"/>
      <c r="J114" s="438"/>
      <c r="K114" s="438"/>
      <c r="L114" s="438"/>
      <c r="M114" s="438"/>
      <c r="N114" s="438"/>
      <c r="O114" s="438"/>
      <c r="P114" s="438"/>
      <c r="Q114" s="438"/>
      <c r="R114" s="438"/>
      <c r="S114" s="438"/>
      <c r="T114" s="438"/>
      <c r="U114" s="438"/>
      <c r="V114" s="438"/>
      <c r="W114" s="438"/>
      <c r="X114" s="438"/>
      <c r="Y114" s="438"/>
      <c r="Z114" s="438"/>
      <c r="AA114" s="438"/>
      <c r="AB114" s="438"/>
      <c r="AC114" s="438"/>
      <c r="AD114" s="438"/>
      <c r="AE114" s="438"/>
      <c r="AF114" s="438"/>
      <c r="AG114" s="438"/>
      <c r="AH114" s="438"/>
      <c r="AI114" s="438"/>
      <c r="AJ114" s="438"/>
      <c r="AK114" s="438"/>
      <c r="AL114" s="438"/>
      <c r="AM114" s="438"/>
      <c r="AN114" s="438"/>
      <c r="AO114" s="438"/>
      <c r="AP114" s="438"/>
      <c r="AQ114" s="1623"/>
      <c r="AR114" s="1623"/>
      <c r="AS114" s="1623"/>
      <c r="AY114" s="1577"/>
      <c r="AZ114" s="1699"/>
      <c r="BA114" s="1693">
        <v>10</v>
      </c>
      <c r="BC114" s="1714"/>
      <c r="BD114" s="1632" t="b">
        <f>IF(BK81=10,3)</f>
        <v>0</v>
      </c>
      <c r="BE114" s="1688"/>
      <c r="BF114" s="1688"/>
      <c r="BG114" s="1688"/>
      <c r="BH114" s="1688"/>
      <c r="BI114" s="1688"/>
      <c r="BJ114" s="1688"/>
      <c r="BK114" s="1688"/>
      <c r="BL114" s="1688"/>
      <c r="BM114" s="1688"/>
      <c r="BN114" s="1688"/>
      <c r="BO114" s="1688"/>
      <c r="BP114" s="1688"/>
      <c r="BQ114" s="1688"/>
      <c r="BR114" s="1634" t="b">
        <f>IF(BK81=10,17)</f>
        <v>0</v>
      </c>
      <c r="BS114" s="1716"/>
      <c r="BU114" s="1720"/>
      <c r="BV114" s="1554"/>
      <c r="BW114" s="1554"/>
      <c r="BX114" s="1554"/>
      <c r="BY114" s="1554"/>
      <c r="BZ114" s="1557"/>
      <c r="CA114" s="1557"/>
      <c r="CB114" s="1557"/>
      <c r="CC114" s="1557"/>
      <c r="CD114" s="1557"/>
      <c r="CE114" s="1557"/>
      <c r="CF114" s="1557"/>
      <c r="CG114" s="1557"/>
      <c r="CH114" s="1557"/>
      <c r="CI114" s="1557"/>
      <c r="CJ114" s="1557"/>
      <c r="CK114" s="1557"/>
      <c r="CL114" s="1557"/>
      <c r="CM114" s="1557"/>
      <c r="CN114" s="1557"/>
      <c r="CO114" s="1557"/>
    </row>
    <row r="115" spans="2:94" ht="21.6" hidden="1" thickBot="1" x14ac:dyDescent="0.45">
      <c r="B115" s="701"/>
      <c r="C115" s="325"/>
      <c r="G115" s="438"/>
      <c r="H115" s="438"/>
      <c r="I115" s="438"/>
      <c r="J115" s="438"/>
      <c r="K115" s="438"/>
      <c r="L115" s="438"/>
      <c r="M115" s="438"/>
      <c r="N115" s="438"/>
      <c r="O115" s="438"/>
      <c r="P115" s="438"/>
      <c r="Q115" s="438"/>
      <c r="R115" s="438"/>
      <c r="S115" s="438"/>
      <c r="T115" s="438"/>
      <c r="U115" s="438"/>
      <c r="V115" s="438"/>
      <c r="W115" s="438"/>
      <c r="X115" s="438"/>
      <c r="Y115" s="438"/>
      <c r="Z115" s="438"/>
      <c r="AA115" s="438"/>
      <c r="AB115" s="438"/>
      <c r="AC115" s="438"/>
      <c r="AD115" s="438"/>
      <c r="AE115" s="438"/>
      <c r="AF115" s="438"/>
      <c r="AG115" s="438"/>
      <c r="AH115" s="438"/>
      <c r="AI115" s="438"/>
      <c r="AJ115" s="438"/>
      <c r="AK115" s="438"/>
      <c r="AL115" s="438"/>
      <c r="AM115" s="438"/>
      <c r="AN115" s="438"/>
      <c r="AO115" s="438"/>
      <c r="AP115" s="438"/>
      <c r="AQ115" s="1623"/>
      <c r="AR115" s="1623"/>
      <c r="AS115" s="1623"/>
      <c r="AY115" s="1577"/>
      <c r="AZ115" s="1699"/>
      <c r="BA115" s="1693">
        <v>9</v>
      </c>
      <c r="BB115" s="1632" t="b">
        <f>IF(BJ81=9,1)</f>
        <v>0</v>
      </c>
      <c r="BC115" s="1688"/>
      <c r="BD115" s="1688"/>
      <c r="BE115" s="1688"/>
      <c r="BF115" s="1688"/>
      <c r="BG115" s="1688"/>
      <c r="BH115" s="1688"/>
      <c r="BI115" s="1688"/>
      <c r="BJ115" s="1688"/>
      <c r="BK115" s="1688"/>
      <c r="BL115" s="1688"/>
      <c r="BM115" s="1688"/>
      <c r="BN115" s="1688"/>
      <c r="BO115" s="1688"/>
      <c r="BP115" s="1688"/>
      <c r="BQ115" s="1688"/>
      <c r="BR115" s="1634" t="b">
        <f>IF(BJ81=9,17)</f>
        <v>0</v>
      </c>
      <c r="BS115" s="1554"/>
      <c r="BT115" s="1554"/>
      <c r="BU115" s="1720"/>
      <c r="BV115" s="1554"/>
      <c r="BW115" s="1554"/>
      <c r="BX115" s="1554"/>
      <c r="BY115" s="1554"/>
      <c r="BZ115" s="1557"/>
      <c r="CA115" s="1557"/>
      <c r="CB115" s="1557"/>
      <c r="CC115" s="1557"/>
      <c r="CD115" s="1557"/>
      <c r="CE115" s="1557"/>
      <c r="CF115" s="1557"/>
      <c r="CG115" s="1557"/>
      <c r="CH115" s="1557"/>
      <c r="CI115" s="1557"/>
      <c r="CJ115" s="1557"/>
      <c r="CK115" s="1557"/>
      <c r="CL115" s="1557"/>
      <c r="CM115" s="1557"/>
      <c r="CN115" s="1557"/>
      <c r="CO115" s="1557"/>
    </row>
    <row r="116" spans="2:94" ht="21.6" hidden="1" thickBot="1" x14ac:dyDescent="0.45">
      <c r="B116" s="701"/>
      <c r="C116" s="325"/>
      <c r="G116" s="438"/>
      <c r="H116" s="438"/>
      <c r="I116" s="438"/>
      <c r="J116" s="438"/>
      <c r="K116" s="438"/>
      <c r="L116" s="438"/>
      <c r="M116" s="438"/>
      <c r="N116" s="438"/>
      <c r="O116" s="438"/>
      <c r="P116" s="438"/>
      <c r="Q116" s="438"/>
      <c r="R116" s="438"/>
      <c r="S116" s="438"/>
      <c r="T116" s="438"/>
      <c r="U116" s="438"/>
      <c r="V116" s="438"/>
      <c r="W116" s="438"/>
      <c r="X116" s="438"/>
      <c r="Y116" s="438"/>
      <c r="Z116" s="438"/>
      <c r="AA116" s="438"/>
      <c r="AB116" s="438"/>
      <c r="AC116" s="438"/>
      <c r="AD116" s="438"/>
      <c r="AE116" s="438"/>
      <c r="AF116" s="438"/>
      <c r="AG116" s="438"/>
      <c r="AH116" s="438"/>
      <c r="AI116" s="438"/>
      <c r="AJ116" s="438"/>
      <c r="AK116" s="438"/>
      <c r="AL116" s="438"/>
      <c r="AM116" s="438"/>
      <c r="AN116" s="438"/>
      <c r="AO116" s="438"/>
      <c r="AP116" s="438"/>
      <c r="AQ116" s="1623"/>
      <c r="AR116" s="1623"/>
      <c r="AS116" s="1623"/>
      <c r="AY116" s="1577"/>
      <c r="AZ116" s="1699"/>
      <c r="BA116" s="1693">
        <v>8</v>
      </c>
      <c r="BB116" s="1632" t="b">
        <f>IF(BI81=8,1)</f>
        <v>0</v>
      </c>
      <c r="BC116" s="1688"/>
      <c r="BD116" s="1641"/>
      <c r="BE116" s="1688"/>
      <c r="BF116" s="1688"/>
      <c r="BG116" s="1688"/>
      <c r="BH116" s="1688"/>
      <c r="BI116" s="1688"/>
      <c r="BJ116" s="1688"/>
      <c r="BK116" s="1688"/>
      <c r="BL116" s="1688"/>
      <c r="BM116" s="1688"/>
      <c r="BN116" s="1641"/>
      <c r="BO116" s="1688"/>
      <c r="BP116" s="1634" t="b">
        <f>IF(BI81=8,15)</f>
        <v>0</v>
      </c>
      <c r="BQ116" s="1554"/>
      <c r="BR116" s="1554"/>
      <c r="BS116" s="1721"/>
      <c r="BT116" s="1554"/>
      <c r="BU116" s="1720"/>
      <c r="BV116" s="1554"/>
      <c r="BW116" s="1554"/>
      <c r="BX116" s="1554"/>
      <c r="BY116" s="1554"/>
      <c r="BZ116" s="1557"/>
      <c r="CA116" s="1557"/>
      <c r="CB116" s="1557"/>
      <c r="CC116" s="1557"/>
      <c r="CD116" s="1557"/>
      <c r="CE116" s="1557"/>
      <c r="CF116" s="1557"/>
      <c r="CG116" s="1557"/>
      <c r="CH116" s="1557"/>
      <c r="CI116" s="1557"/>
      <c r="CJ116" s="1557"/>
      <c r="CK116" s="1557"/>
      <c r="CL116" s="1557"/>
      <c r="CM116" s="1557"/>
      <c r="CN116" s="1557"/>
      <c r="CO116" s="1557"/>
    </row>
    <row r="117" spans="2:94" ht="21.6" hidden="1" thickBot="1" x14ac:dyDescent="0.45">
      <c r="B117" s="701"/>
      <c r="C117" s="325"/>
      <c r="G117" s="438"/>
      <c r="H117" s="438"/>
      <c r="I117" s="438"/>
      <c r="J117" s="438"/>
      <c r="K117" s="438"/>
      <c r="L117" s="438"/>
      <c r="M117" s="438"/>
      <c r="N117" s="438"/>
      <c r="O117" s="438"/>
      <c r="P117" s="438"/>
      <c r="Q117" s="438"/>
      <c r="R117" s="438"/>
      <c r="S117" s="438"/>
      <c r="T117" s="438"/>
      <c r="U117" s="438"/>
      <c r="V117" s="438"/>
      <c r="W117" s="438"/>
      <c r="X117" s="438"/>
      <c r="Y117" s="438"/>
      <c r="Z117" s="438"/>
      <c r="AA117" s="438"/>
      <c r="AB117" s="438"/>
      <c r="AC117" s="438"/>
      <c r="AD117" s="438"/>
      <c r="AE117" s="438"/>
      <c r="AF117" s="438"/>
      <c r="AG117" s="438"/>
      <c r="AH117" s="438"/>
      <c r="AI117" s="438"/>
      <c r="AJ117" s="438"/>
      <c r="AK117" s="438"/>
      <c r="AL117" s="438"/>
      <c r="AM117" s="438"/>
      <c r="AN117" s="438"/>
      <c r="AO117" s="438"/>
      <c r="AP117" s="438"/>
      <c r="AQ117" s="1623"/>
      <c r="AR117" s="1623"/>
      <c r="AS117" s="1623"/>
      <c r="AY117" s="1577"/>
      <c r="AZ117" s="1699"/>
      <c r="BA117" s="1693">
        <v>7</v>
      </c>
      <c r="BB117" s="1632" t="b">
        <f>IF(BH81=7,1)</f>
        <v>0</v>
      </c>
      <c r="BC117" s="1641"/>
      <c r="BD117" s="1688"/>
      <c r="BE117" s="1688"/>
      <c r="BF117" s="1688"/>
      <c r="BG117" s="1688"/>
      <c r="BH117" s="1688"/>
      <c r="BI117" s="1688"/>
      <c r="BJ117" s="1688"/>
      <c r="BK117" s="1688"/>
      <c r="BL117" s="1641"/>
      <c r="BM117" s="1641"/>
      <c r="BN117" s="1634" t="b">
        <f>IF(BH81=7,13)</f>
        <v>0</v>
      </c>
      <c r="BO117" s="1554"/>
      <c r="BP117" s="1554"/>
      <c r="BQ117" s="1554"/>
      <c r="BR117" s="1554"/>
      <c r="BS117" s="1721"/>
      <c r="BT117" s="1554"/>
      <c r="BU117" s="1720"/>
      <c r="BV117" s="1554"/>
      <c r="BW117" s="1554"/>
      <c r="BX117" s="1554"/>
      <c r="BY117" s="1554"/>
      <c r="BZ117" s="1557"/>
      <c r="CA117" s="1557"/>
      <c r="CB117" s="1557"/>
      <c r="CC117" s="1557"/>
      <c r="CD117" s="1557"/>
      <c r="CE117" s="1557"/>
      <c r="CF117" s="1557"/>
      <c r="CG117" s="1557"/>
      <c r="CH117" s="1557"/>
      <c r="CI117" s="1557"/>
      <c r="CJ117" s="1557"/>
      <c r="CK117" s="1557"/>
      <c r="CL117" s="1557"/>
      <c r="CM117" s="1557"/>
      <c r="CN117" s="1557"/>
      <c r="CO117" s="1557"/>
    </row>
    <row r="118" spans="2:94" ht="21.6" hidden="1" thickBot="1" x14ac:dyDescent="0.45">
      <c r="B118" s="701"/>
      <c r="C118" s="325"/>
      <c r="G118" s="438"/>
      <c r="H118" s="438"/>
      <c r="I118" s="438"/>
      <c r="J118" s="438"/>
      <c r="K118" s="438"/>
      <c r="L118" s="438"/>
      <c r="M118" s="438"/>
      <c r="N118" s="438"/>
      <c r="O118" s="438"/>
      <c r="P118" s="438"/>
      <c r="Q118" s="438"/>
      <c r="R118" s="438"/>
      <c r="S118" s="438"/>
      <c r="T118" s="438"/>
      <c r="U118" s="438"/>
      <c r="V118" s="438"/>
      <c r="W118" s="438"/>
      <c r="X118" s="438"/>
      <c r="Y118" s="438"/>
      <c r="Z118" s="438"/>
      <c r="AA118" s="438"/>
      <c r="AB118" s="438"/>
      <c r="AC118" s="438"/>
      <c r="AD118" s="438"/>
      <c r="AE118" s="438"/>
      <c r="AF118" s="438"/>
      <c r="AG118" s="438"/>
      <c r="AH118" s="438"/>
      <c r="AI118" s="438"/>
      <c r="AJ118" s="438"/>
      <c r="AK118" s="438"/>
      <c r="AL118" s="438"/>
      <c r="AM118" s="438"/>
      <c r="AN118" s="438"/>
      <c r="AO118" s="438"/>
      <c r="AP118" s="438"/>
      <c r="AQ118" s="1623"/>
      <c r="AR118" s="1623"/>
      <c r="AS118" s="1623"/>
      <c r="AY118" s="1577"/>
      <c r="AZ118" s="1699"/>
      <c r="BA118" s="1693">
        <v>6</v>
      </c>
      <c r="BB118" s="1643" t="b">
        <f>IF(BG81=6,1)</f>
        <v>0</v>
      </c>
      <c r="BC118" s="1689"/>
      <c r="BD118" s="1689"/>
      <c r="BE118" s="1689"/>
      <c r="BF118" s="1689"/>
      <c r="BG118" s="1689"/>
      <c r="BH118" s="1689"/>
      <c r="BI118" s="1689"/>
      <c r="BJ118" s="1689"/>
      <c r="BK118" s="1689"/>
      <c r="BL118" s="1636" t="b">
        <f>IF(BG81=6,11)</f>
        <v>0</v>
      </c>
      <c r="BM118" s="1554"/>
      <c r="BN118" s="1554"/>
      <c r="BO118" s="1554"/>
      <c r="BP118" s="1554"/>
      <c r="BQ118" s="1554"/>
      <c r="BR118" s="1554"/>
      <c r="BS118" s="1721"/>
      <c r="BT118" s="1554"/>
      <c r="BU118" s="1720"/>
      <c r="BV118" s="1554"/>
      <c r="BW118" s="1554"/>
      <c r="BX118" s="1554"/>
      <c r="BY118" s="1554"/>
      <c r="BZ118" s="1557"/>
      <c r="CA118" s="1557"/>
      <c r="CB118" s="1557"/>
      <c r="CC118" s="1557"/>
      <c r="CD118" s="1557"/>
      <c r="CE118" s="1557"/>
      <c r="CF118" s="1557"/>
      <c r="CG118" s="1557"/>
      <c r="CH118" s="1557"/>
      <c r="CI118" s="1557"/>
      <c r="CJ118" s="1557"/>
      <c r="CK118" s="1557"/>
      <c r="CL118" s="1557"/>
      <c r="CM118" s="1557"/>
      <c r="CN118" s="1557"/>
      <c r="CO118" s="1557"/>
    </row>
    <row r="119" spans="2:94" ht="21.6" hidden="1" thickBot="1" x14ac:dyDescent="0.45">
      <c r="B119" s="701"/>
      <c r="C119" s="325"/>
      <c r="G119" s="438"/>
      <c r="H119" s="438"/>
      <c r="I119" s="438"/>
      <c r="J119" s="438"/>
      <c r="K119" s="438"/>
      <c r="L119" s="438"/>
      <c r="M119" s="438"/>
      <c r="N119" s="438"/>
      <c r="O119" s="438"/>
      <c r="P119" s="438"/>
      <c r="Q119" s="438"/>
      <c r="R119" s="438"/>
      <c r="S119" s="438"/>
      <c r="T119" s="438"/>
      <c r="U119" s="438"/>
      <c r="V119" s="438"/>
      <c r="W119" s="438"/>
      <c r="X119" s="438"/>
      <c r="Y119" s="438"/>
      <c r="Z119" s="438"/>
      <c r="AA119" s="438"/>
      <c r="AB119" s="438"/>
      <c r="AC119" s="438"/>
      <c r="AD119" s="438"/>
      <c r="AE119" s="438"/>
      <c r="AF119" s="438"/>
      <c r="AG119" s="438"/>
      <c r="AH119" s="438"/>
      <c r="AI119" s="438"/>
      <c r="AJ119" s="438"/>
      <c r="AK119" s="438"/>
      <c r="AL119" s="438"/>
      <c r="AM119" s="438"/>
      <c r="AN119" s="438"/>
      <c r="AO119" s="438"/>
      <c r="AP119" s="438"/>
      <c r="AQ119" s="1623"/>
      <c r="AR119" s="1623"/>
      <c r="AS119" s="1623"/>
      <c r="AY119" s="1577"/>
      <c r="AZ119" s="1699"/>
      <c r="BA119" s="1693">
        <v>5</v>
      </c>
      <c r="BB119" s="1643" t="b">
        <f>IF(BF81=5,1)</f>
        <v>0</v>
      </c>
      <c r="BC119" s="1639"/>
      <c r="BD119" s="1689"/>
      <c r="BE119" s="1689"/>
      <c r="BF119" s="1689"/>
      <c r="BG119" s="1689"/>
      <c r="BH119" s="1689"/>
      <c r="BI119" s="1639"/>
      <c r="BJ119" s="1636" t="b">
        <f>IF(BF81=5,9)</f>
        <v>0</v>
      </c>
      <c r="BK119" s="1554"/>
      <c r="BL119" s="1554"/>
      <c r="BM119" s="1554"/>
      <c r="BN119" s="1554"/>
      <c r="BO119" s="1554"/>
      <c r="BP119" s="1554"/>
      <c r="BQ119" s="1554"/>
      <c r="BR119" s="1554"/>
      <c r="BS119" s="1721"/>
      <c r="BT119" s="1554"/>
      <c r="BU119" s="1720"/>
      <c r="BV119" s="1554"/>
      <c r="BW119" s="1554"/>
      <c r="BX119" s="1554"/>
      <c r="BY119" s="1554"/>
      <c r="BZ119" s="1557"/>
      <c r="CA119" s="1557"/>
      <c r="CB119" s="1557"/>
      <c r="CC119" s="1557"/>
      <c r="CD119" s="1557"/>
      <c r="CE119" s="1557"/>
      <c r="CF119" s="1557"/>
      <c r="CG119" s="1557"/>
      <c r="CH119" s="1557"/>
      <c r="CI119" s="1557"/>
      <c r="CJ119" s="1557"/>
      <c r="CK119" s="1557"/>
      <c r="CL119" s="1557"/>
      <c r="CM119" s="1557"/>
      <c r="CN119" s="1557"/>
      <c r="CO119" s="1557"/>
    </row>
    <row r="120" spans="2:94" ht="21.6" hidden="1" thickBot="1" x14ac:dyDescent="0.45">
      <c r="B120" s="701"/>
      <c r="C120" s="325"/>
      <c r="G120" s="438"/>
      <c r="H120" s="438"/>
      <c r="I120" s="438"/>
      <c r="J120" s="438"/>
      <c r="K120" s="438"/>
      <c r="L120" s="438"/>
      <c r="M120" s="438"/>
      <c r="N120" s="438"/>
      <c r="O120" s="438"/>
      <c r="P120" s="438"/>
      <c r="Q120" s="438"/>
      <c r="R120" s="438"/>
      <c r="S120" s="438"/>
      <c r="T120" s="438"/>
      <c r="U120" s="438"/>
      <c r="V120" s="438"/>
      <c r="W120" s="438"/>
      <c r="X120" s="438"/>
      <c r="Y120" s="438"/>
      <c r="Z120" s="438"/>
      <c r="AA120" s="438"/>
      <c r="AB120" s="438"/>
      <c r="AC120" s="438"/>
      <c r="AD120" s="438"/>
      <c r="AE120" s="438"/>
      <c r="AF120" s="438"/>
      <c r="AG120" s="438"/>
      <c r="AH120" s="438"/>
      <c r="AI120" s="438"/>
      <c r="AJ120" s="438"/>
      <c r="AK120" s="438"/>
      <c r="AL120" s="438"/>
      <c r="AM120" s="438"/>
      <c r="AN120" s="438"/>
      <c r="AO120" s="438"/>
      <c r="AP120" s="438"/>
      <c r="AQ120" s="1623"/>
      <c r="AR120" s="1623"/>
      <c r="AS120" s="1623"/>
      <c r="AY120" s="1577"/>
      <c r="AZ120" s="1699"/>
      <c r="BA120" s="1693">
        <v>4</v>
      </c>
      <c r="BB120" s="1643" t="b">
        <f>IF(BE81=4,1)</f>
        <v>0</v>
      </c>
      <c r="BC120" s="1689"/>
      <c r="BD120" s="1689"/>
      <c r="BE120" s="1689"/>
      <c r="BF120" s="1689"/>
      <c r="BG120" s="1689"/>
      <c r="BH120" s="1636" t="b">
        <f>IF(BE81=4,7)</f>
        <v>0</v>
      </c>
      <c r="BI120" s="1554"/>
      <c r="BJ120" s="1722"/>
      <c r="BK120" s="1722"/>
      <c r="BL120" s="1554"/>
      <c r="BM120" s="1722"/>
      <c r="BN120" s="1554"/>
      <c r="BO120" s="1554"/>
      <c r="BP120" s="1554"/>
      <c r="BQ120" s="1554"/>
      <c r="BR120" s="1554"/>
      <c r="BS120" s="1721"/>
      <c r="BT120" s="1554"/>
      <c r="BU120" s="1720"/>
      <c r="BV120" s="1554"/>
      <c r="BW120" s="1554"/>
      <c r="BX120" s="1554"/>
      <c r="BY120" s="1554"/>
      <c r="BZ120" s="1557"/>
      <c r="CA120" s="1557"/>
      <c r="CB120" s="1557"/>
      <c r="CC120" s="1557"/>
      <c r="CD120" s="1557"/>
      <c r="CE120" s="1557"/>
      <c r="CF120" s="1557"/>
      <c r="CG120" s="1557"/>
      <c r="CH120" s="1557"/>
      <c r="CI120" s="1557"/>
      <c r="CJ120" s="1557"/>
      <c r="CK120" s="1557"/>
      <c r="CL120" s="1557"/>
      <c r="CM120" s="1557"/>
      <c r="CN120" s="1557"/>
      <c r="CO120" s="1557"/>
    </row>
    <row r="121" spans="2:94" ht="21.6" hidden="1" thickBot="1" x14ac:dyDescent="0.45">
      <c r="B121" s="701"/>
      <c r="C121" s="325"/>
      <c r="G121" s="438"/>
      <c r="H121" s="438"/>
      <c r="I121" s="438"/>
      <c r="J121" s="438"/>
      <c r="K121" s="438"/>
      <c r="L121" s="438"/>
      <c r="M121" s="438"/>
      <c r="N121" s="438"/>
      <c r="O121" s="438"/>
      <c r="P121" s="438"/>
      <c r="Q121" s="438"/>
      <c r="R121" s="438"/>
      <c r="S121" s="438"/>
      <c r="T121" s="438"/>
      <c r="U121" s="438"/>
      <c r="V121" s="438"/>
      <c r="W121" s="438"/>
      <c r="X121" s="438"/>
      <c r="Y121" s="438"/>
      <c r="Z121" s="438"/>
      <c r="AA121" s="438"/>
      <c r="AB121" s="438"/>
      <c r="AC121" s="438"/>
      <c r="AD121" s="438"/>
      <c r="AE121" s="438"/>
      <c r="AF121" s="438"/>
      <c r="AG121" s="438"/>
      <c r="AH121" s="438"/>
      <c r="AI121" s="438"/>
      <c r="AJ121" s="438"/>
      <c r="AK121" s="438"/>
      <c r="AL121" s="438"/>
      <c r="AM121" s="438"/>
      <c r="AN121" s="438"/>
      <c r="AO121" s="438"/>
      <c r="AP121" s="438"/>
      <c r="AQ121" s="1623"/>
      <c r="AR121" s="1623"/>
      <c r="AS121" s="1623"/>
      <c r="AY121" s="1577"/>
      <c r="AZ121" s="1699"/>
      <c r="BA121" s="1693">
        <v>3</v>
      </c>
      <c r="BB121" s="1643" t="b">
        <f>IF(BD81=3,1)</f>
        <v>0</v>
      </c>
      <c r="BC121" s="1689"/>
      <c r="BD121" s="1689"/>
      <c r="BE121" s="1689"/>
      <c r="BF121" s="1636" t="b">
        <f>IF(BD81=3,5)</f>
        <v>0</v>
      </c>
      <c r="BG121" s="1554"/>
      <c r="BH121" s="1554"/>
      <c r="BI121" s="1554"/>
      <c r="BJ121" s="1554"/>
      <c r="BK121" s="1554"/>
      <c r="BL121" s="1554"/>
      <c r="BM121" s="1554"/>
      <c r="BN121" s="1554"/>
      <c r="BO121" s="1554"/>
      <c r="BP121" s="1554"/>
      <c r="BQ121" s="1554"/>
      <c r="BR121" s="1554"/>
      <c r="BS121" s="1721"/>
      <c r="BT121" s="1554"/>
      <c r="BU121" s="1720"/>
      <c r="BV121" s="1554"/>
      <c r="BW121" s="1554"/>
      <c r="BX121" s="1554"/>
      <c r="BY121" s="1554"/>
      <c r="BZ121" s="1557"/>
      <c r="CA121" s="1557"/>
      <c r="CB121" s="1557"/>
      <c r="CC121" s="1557"/>
      <c r="CD121" s="1557"/>
      <c r="CE121" s="1557"/>
      <c r="CF121" s="1557"/>
      <c r="CG121" s="1557"/>
      <c r="CH121" s="1557"/>
      <c r="CI121" s="1557"/>
      <c r="CJ121" s="1557"/>
      <c r="CK121" s="1557"/>
      <c r="CL121" s="1557"/>
      <c r="CM121" s="1557"/>
      <c r="CN121" s="1557"/>
      <c r="CO121" s="1557"/>
    </row>
    <row r="122" spans="2:94" ht="21" hidden="1" x14ac:dyDescent="0.4">
      <c r="B122" s="701"/>
      <c r="C122" s="325"/>
      <c r="G122" s="438"/>
      <c r="H122" s="438"/>
      <c r="I122" s="438"/>
      <c r="J122" s="438"/>
      <c r="K122" s="438"/>
      <c r="L122" s="438"/>
      <c r="M122" s="438"/>
      <c r="N122" s="438"/>
      <c r="O122" s="438"/>
      <c r="P122" s="438"/>
      <c r="Q122" s="438"/>
      <c r="R122" s="438"/>
      <c r="S122" s="438"/>
      <c r="T122" s="438"/>
      <c r="U122" s="438"/>
      <c r="V122" s="438"/>
      <c r="W122" s="438"/>
      <c r="X122" s="438"/>
      <c r="Y122" s="438"/>
      <c r="Z122" s="438"/>
      <c r="AA122" s="438"/>
      <c r="AB122" s="438"/>
      <c r="AC122" s="438"/>
      <c r="AD122" s="438"/>
      <c r="AE122" s="438"/>
      <c r="AF122" s="438"/>
      <c r="AG122" s="438"/>
      <c r="AH122" s="438"/>
      <c r="AI122" s="438"/>
      <c r="AJ122" s="438"/>
      <c r="AK122" s="438"/>
      <c r="AL122" s="438"/>
      <c r="AM122" s="438"/>
      <c r="AN122" s="438"/>
      <c r="AO122" s="438"/>
      <c r="AP122" s="438"/>
      <c r="AQ122" s="1623"/>
      <c r="AR122" s="1623"/>
      <c r="AS122" s="1623"/>
      <c r="AY122" s="1577"/>
      <c r="AZ122" s="1699"/>
      <c r="BA122" s="1693">
        <v>2</v>
      </c>
      <c r="BB122" s="1723" t="b">
        <f>IF(BC81=2,1)</f>
        <v>0</v>
      </c>
      <c r="BC122" s="1724"/>
      <c r="BD122" s="1725" t="b">
        <f>IF(BC81=2,3)</f>
        <v>0</v>
      </c>
      <c r="BE122" s="1554"/>
      <c r="BF122" s="1554"/>
      <c r="BG122" s="1554"/>
      <c r="BH122" s="1554"/>
      <c r="BI122" s="1554"/>
      <c r="BJ122" s="1554"/>
      <c r="BK122" s="1554"/>
      <c r="BL122" s="1554"/>
      <c r="BM122" s="1554"/>
      <c r="BN122" s="1554"/>
      <c r="BO122" s="1554"/>
      <c r="BP122" s="1554"/>
      <c r="BQ122" s="1554"/>
      <c r="BR122" s="1554"/>
      <c r="BS122" s="1721"/>
      <c r="BT122" s="1554"/>
      <c r="BU122" s="1720"/>
      <c r="BV122" s="1554"/>
      <c r="BW122" s="1554"/>
      <c r="BX122" s="1554"/>
      <c r="BY122" s="1554"/>
      <c r="BZ122" s="1557"/>
      <c r="CA122" s="1557"/>
      <c r="CB122" s="1557"/>
      <c r="CC122" s="1557"/>
      <c r="CD122" s="1557"/>
      <c r="CE122" s="1557"/>
      <c r="CF122" s="1557"/>
      <c r="CG122" s="1557"/>
      <c r="CH122" s="1557"/>
      <c r="CI122" s="1557"/>
      <c r="CJ122" s="1557"/>
      <c r="CK122" s="1557"/>
      <c r="CL122" s="1557"/>
      <c r="CM122" s="1557"/>
      <c r="CN122" s="1557"/>
      <c r="CO122" s="1557"/>
    </row>
    <row r="123" spans="2:94" ht="21.6" hidden="1" thickBot="1" x14ac:dyDescent="0.45">
      <c r="B123" s="701"/>
      <c r="C123" s="325"/>
      <c r="G123" s="438"/>
      <c r="H123" s="438"/>
      <c r="I123" s="438"/>
      <c r="J123" s="438"/>
      <c r="K123" s="438"/>
      <c r="L123" s="438"/>
      <c r="M123" s="438"/>
      <c r="N123" s="438"/>
      <c r="O123" s="438"/>
      <c r="P123" s="438"/>
      <c r="Q123" s="438"/>
      <c r="R123" s="438"/>
      <c r="S123" s="438"/>
      <c r="T123" s="438"/>
      <c r="U123" s="438"/>
      <c r="V123" s="438"/>
      <c r="W123" s="438"/>
      <c r="X123" s="438"/>
      <c r="Y123" s="438"/>
      <c r="Z123" s="438"/>
      <c r="AA123" s="438"/>
      <c r="AB123" s="438"/>
      <c r="AC123" s="438"/>
      <c r="AD123" s="438"/>
      <c r="AE123" s="438"/>
      <c r="AF123" s="438"/>
      <c r="AG123" s="438"/>
      <c r="AH123" s="438"/>
      <c r="AI123" s="438"/>
      <c r="AJ123" s="438"/>
      <c r="AK123" s="438"/>
      <c r="AL123" s="438"/>
      <c r="AM123" s="438"/>
      <c r="AN123" s="438"/>
      <c r="AO123" s="438"/>
      <c r="AP123" s="438"/>
      <c r="AQ123" s="1623"/>
      <c r="AR123" s="1623"/>
      <c r="AS123" s="1623"/>
      <c r="AY123" s="1577"/>
      <c r="AZ123" s="1699"/>
      <c r="BA123" s="1726"/>
      <c r="BB123" s="1727">
        <f t="shared" ref="BB123:BR123" si="3">SUM(BB88:BB122)</f>
        <v>0</v>
      </c>
      <c r="BC123" s="1727">
        <f t="shared" si="3"/>
        <v>2</v>
      </c>
      <c r="BD123" s="1727">
        <f t="shared" si="3"/>
        <v>0</v>
      </c>
      <c r="BE123" s="1727">
        <f t="shared" si="3"/>
        <v>0</v>
      </c>
      <c r="BF123" s="1727">
        <f t="shared" si="3"/>
        <v>0</v>
      </c>
      <c r="BG123" s="1727">
        <f t="shared" si="3"/>
        <v>0</v>
      </c>
      <c r="BH123" s="1727">
        <f t="shared" si="3"/>
        <v>0</v>
      </c>
      <c r="BI123" s="1727">
        <f t="shared" si="3"/>
        <v>0</v>
      </c>
      <c r="BJ123" s="1727">
        <f t="shared" si="3"/>
        <v>0</v>
      </c>
      <c r="BK123" s="1727">
        <f t="shared" si="3"/>
        <v>0</v>
      </c>
      <c r="BL123" s="1727">
        <f t="shared" si="3"/>
        <v>0</v>
      </c>
      <c r="BM123" s="1727">
        <f t="shared" si="3"/>
        <v>0</v>
      </c>
      <c r="BN123" s="1727">
        <f t="shared" si="3"/>
        <v>0</v>
      </c>
      <c r="BO123" s="1727">
        <f t="shared" si="3"/>
        <v>0</v>
      </c>
      <c r="BP123" s="1727">
        <f t="shared" si="3"/>
        <v>0</v>
      </c>
      <c r="BQ123" s="1727">
        <f t="shared" si="3"/>
        <v>0</v>
      </c>
      <c r="BR123" s="1728">
        <f t="shared" si="3"/>
        <v>0</v>
      </c>
      <c r="BS123" s="1729"/>
      <c r="BT123" s="1730"/>
      <c r="BU123" s="1731"/>
      <c r="BV123" s="1732">
        <f t="shared" ref="BV123:CL123" si="4">SUM(BV88:BV122)</f>
        <v>0</v>
      </c>
      <c r="BW123" s="1727">
        <f t="shared" si="4"/>
        <v>0</v>
      </c>
      <c r="BX123" s="1727">
        <f t="shared" si="4"/>
        <v>0</v>
      </c>
      <c r="BY123" s="1727">
        <f t="shared" si="4"/>
        <v>0</v>
      </c>
      <c r="BZ123" s="1727">
        <f t="shared" si="4"/>
        <v>0</v>
      </c>
      <c r="CA123" s="1727">
        <f t="shared" si="4"/>
        <v>26</v>
      </c>
      <c r="CB123" s="1727">
        <f t="shared" si="4"/>
        <v>0</v>
      </c>
      <c r="CC123" s="1727">
        <f t="shared" si="4"/>
        <v>0</v>
      </c>
      <c r="CD123" s="1727">
        <f t="shared" si="4"/>
        <v>0</v>
      </c>
      <c r="CE123" s="1727">
        <f t="shared" si="4"/>
        <v>0</v>
      </c>
      <c r="CF123" s="1727">
        <f t="shared" si="4"/>
        <v>0</v>
      </c>
      <c r="CG123" s="1727">
        <f t="shared" si="4"/>
        <v>0</v>
      </c>
      <c r="CH123" s="1727">
        <f t="shared" si="4"/>
        <v>0</v>
      </c>
      <c r="CI123" s="1727">
        <f t="shared" si="4"/>
        <v>0</v>
      </c>
      <c r="CJ123" s="1727">
        <f t="shared" si="4"/>
        <v>0</v>
      </c>
      <c r="CK123" s="1727">
        <f t="shared" si="4"/>
        <v>0</v>
      </c>
      <c r="CL123" s="1727">
        <f t="shared" si="4"/>
        <v>0</v>
      </c>
      <c r="CM123" s="1557"/>
      <c r="CN123" s="1557"/>
      <c r="CO123" s="1557"/>
    </row>
    <row r="124" spans="2:94" ht="161.25" customHeight="1" thickBot="1" x14ac:dyDescent="0.45">
      <c r="B124" s="701"/>
      <c r="C124" s="325"/>
      <c r="G124" s="438"/>
      <c r="H124" s="438"/>
      <c r="I124" s="438"/>
      <c r="J124" s="438"/>
      <c r="K124" s="438"/>
      <c r="L124" s="438"/>
      <c r="M124" s="438"/>
      <c r="N124" s="438"/>
      <c r="O124" s="438"/>
      <c r="P124" s="438"/>
      <c r="Q124" s="438"/>
      <c r="R124" s="438"/>
      <c r="S124" s="438"/>
      <c r="T124" s="438"/>
      <c r="U124" s="438"/>
      <c r="V124" s="438"/>
      <c r="W124" s="438"/>
      <c r="X124" s="438"/>
      <c r="Y124" s="438"/>
      <c r="Z124" s="438"/>
      <c r="AA124" s="438"/>
      <c r="AB124" s="438"/>
      <c r="AC124" s="438"/>
      <c r="AD124" s="438"/>
      <c r="AE124" s="438"/>
      <c r="AF124" s="438"/>
      <c r="AG124" s="438"/>
      <c r="AH124" s="438"/>
      <c r="AI124" s="438"/>
      <c r="AJ124" s="438"/>
      <c r="AK124" s="438"/>
      <c r="AL124" s="438"/>
      <c r="AM124" s="438"/>
      <c r="AN124" s="438"/>
      <c r="AO124" s="438"/>
      <c r="AP124" s="438"/>
      <c r="AQ124" s="1623"/>
      <c r="AR124" s="1623"/>
      <c r="AS124" s="1623"/>
      <c r="AY124" s="1577"/>
      <c r="AZ124" s="1699"/>
      <c r="BA124" s="1726"/>
      <c r="BB124" s="1733"/>
      <c r="BC124" s="1733"/>
      <c r="BD124" s="1733"/>
      <c r="BE124" s="1733"/>
      <c r="BF124" s="1733"/>
      <c r="BG124" s="1733"/>
      <c r="BH124" s="1733"/>
      <c r="BI124" s="1733"/>
      <c r="BJ124" s="1733"/>
      <c r="BK124" s="1733"/>
      <c r="BL124" s="1733"/>
      <c r="BM124" s="1733"/>
      <c r="BN124" s="1733"/>
      <c r="BO124" s="1733"/>
      <c r="BP124" s="1733"/>
      <c r="BQ124" s="1733"/>
      <c r="BR124" s="1733"/>
      <c r="BS124" s="1733"/>
      <c r="BT124" s="1733"/>
      <c r="BU124" s="1733"/>
      <c r="BV124" s="1733"/>
      <c r="BW124" s="1733"/>
      <c r="BX124" s="1733"/>
      <c r="BY124" s="1733"/>
      <c r="BZ124" s="1733"/>
      <c r="CA124" s="1733"/>
      <c r="CB124" s="1733"/>
      <c r="CC124" s="1733"/>
      <c r="CD124" s="1733"/>
      <c r="CE124" s="1733"/>
      <c r="CF124" s="1733"/>
      <c r="CG124" s="1733"/>
      <c r="CH124" s="1733"/>
      <c r="CI124" s="1733"/>
      <c r="CJ124" s="1733"/>
      <c r="CK124" s="1733"/>
      <c r="CL124" s="1733"/>
      <c r="CM124" s="1557"/>
      <c r="CN124" s="1557"/>
      <c r="CO124" s="1557"/>
    </row>
    <row r="125" spans="2:94" ht="42.6" thickBot="1" x14ac:dyDescent="0.45">
      <c r="B125" s="701"/>
      <c r="C125" s="325"/>
      <c r="G125" s="438"/>
      <c r="H125" s="438"/>
      <c r="I125" s="438"/>
      <c r="J125" s="438"/>
      <c r="K125" s="438"/>
      <c r="L125" s="438"/>
      <c r="M125" s="438"/>
      <c r="N125" s="438"/>
      <c r="O125" s="438"/>
      <c r="P125" s="438"/>
      <c r="Q125" s="438"/>
      <c r="R125" s="438"/>
      <c r="S125" s="438"/>
      <c r="T125" s="438"/>
      <c r="U125" s="438"/>
      <c r="V125" s="438"/>
      <c r="W125" s="438"/>
      <c r="X125" s="438"/>
      <c r="Y125" s="438"/>
      <c r="Z125" s="438"/>
      <c r="AA125" s="438"/>
      <c r="AB125" s="438"/>
      <c r="AC125" s="438"/>
      <c r="AD125" s="438"/>
      <c r="AE125" s="438"/>
      <c r="AF125" s="438"/>
      <c r="AG125" s="438"/>
      <c r="AH125" s="438"/>
      <c r="AI125" s="438"/>
      <c r="AJ125" s="438"/>
      <c r="AK125" s="438"/>
      <c r="AL125" s="438"/>
      <c r="AM125" s="438"/>
      <c r="AN125" s="438"/>
      <c r="AO125" s="438"/>
      <c r="AP125" s="438"/>
      <c r="AQ125" s="1623"/>
      <c r="AR125" s="1623"/>
      <c r="AS125" s="1623"/>
      <c r="AY125" s="1577"/>
      <c r="AZ125" s="1561" t="s">
        <v>241</v>
      </c>
      <c r="BA125" s="1734" t="s">
        <v>234</v>
      </c>
      <c r="BB125" s="1735" t="str">
        <f>IF(BB123=1,"17","")</f>
        <v/>
      </c>
      <c r="BC125" s="1736" t="str">
        <f>IF(BC123=2,"16","")</f>
        <v>16</v>
      </c>
      <c r="BD125" s="1736" t="str">
        <f>IF(BD123=3,"15","")</f>
        <v/>
      </c>
      <c r="BE125" s="1736" t="str">
        <f>IF(BE123=4,"14","")</f>
        <v/>
      </c>
      <c r="BF125" s="1736" t="str">
        <f>IF(BF123=5,"13","")</f>
        <v/>
      </c>
      <c r="BG125" s="1736" t="str">
        <f>IF(BG123=6,"12","")</f>
        <v/>
      </c>
      <c r="BH125" s="1736" t="str">
        <f>IF(BH123=7,"11","")</f>
        <v/>
      </c>
      <c r="BI125" s="1736" t="str">
        <f>IF(BI123=8,"10","")</f>
        <v/>
      </c>
      <c r="BJ125" s="1736" t="str">
        <f>IF(BJ123=9,"9","")</f>
        <v/>
      </c>
      <c r="BK125" s="1736" t="str">
        <f>IF(BK123=10,"8","")</f>
        <v/>
      </c>
      <c r="BL125" s="1736" t="str">
        <f>IF(BL123=11,"7","")</f>
        <v/>
      </c>
      <c r="BM125" s="1737" t="str">
        <f>IF(BM123=12,"6  ADS ","")</f>
        <v/>
      </c>
      <c r="BN125" s="1736" t="str">
        <f>IF(BN123=13,"5","")</f>
        <v/>
      </c>
      <c r="BO125" s="1736" t="str">
        <f>IF(BO123=14,"4","")</f>
        <v/>
      </c>
      <c r="BP125" s="1736" t="str">
        <f>IF(BP123=15,"3","")</f>
        <v/>
      </c>
      <c r="BQ125" s="1736" t="str">
        <f>IF(BQ123=16,"2","")</f>
        <v/>
      </c>
      <c r="BR125" s="1736" t="str">
        <f>IF(BR123=17,"1","")</f>
        <v/>
      </c>
      <c r="BS125" s="1738"/>
      <c r="BT125" s="1739"/>
      <c r="BU125" s="1740"/>
      <c r="BV125" s="1741" t="str">
        <f>IF(BV123=21,"1 ","")</f>
        <v/>
      </c>
      <c r="BW125" s="1742" t="str">
        <f>IF(BW123=22,"2 ","")</f>
        <v/>
      </c>
      <c r="BX125" s="1742" t="str">
        <f>IF(BX123=23,"3 ","")</f>
        <v/>
      </c>
      <c r="BY125" s="1742" t="str">
        <f>IF(BY123=24,"4 ","")</f>
        <v/>
      </c>
      <c r="BZ125" s="1742" t="str">
        <f>IF(BZ123=25,"5 ","")</f>
        <v/>
      </c>
      <c r="CA125" s="1743" t="str">
        <f>IF(CA123=26,"6  ADS ","")</f>
        <v xml:space="preserve">6  ADS </v>
      </c>
      <c r="CB125" s="1742" t="str">
        <f>IF(CB123=27,"7 ","")</f>
        <v/>
      </c>
      <c r="CC125" s="1742" t="str">
        <f>IF(CC123=28,"8 ","")</f>
        <v/>
      </c>
      <c r="CD125" s="1742" t="str">
        <f>IF(CD123=29,"9 ","")</f>
        <v/>
      </c>
      <c r="CE125" s="1742" t="str">
        <f>IF(CE123=30,"10 ","")</f>
        <v/>
      </c>
      <c r="CF125" s="1742" t="str">
        <f>IF(CF123=31,"11 ","")</f>
        <v/>
      </c>
      <c r="CG125" s="1742" t="str">
        <f>IF(CG123=32,"12 ","")</f>
        <v/>
      </c>
      <c r="CH125" s="1742" t="str">
        <f>IF(CH123=33,"13 ","")</f>
        <v/>
      </c>
      <c r="CI125" s="1742" t="str">
        <f>IF(CI123=34,"14 ","")</f>
        <v/>
      </c>
      <c r="CJ125" s="1742" t="str">
        <f>IF(CJ123=35,"15 ","")</f>
        <v/>
      </c>
      <c r="CK125" s="1742" t="str">
        <f>IF(CK123=36,"16 ","")</f>
        <v/>
      </c>
      <c r="CL125" s="1744" t="str">
        <f>IF(CL123=37,"17 ","")</f>
        <v/>
      </c>
      <c r="CM125" s="1745"/>
      <c r="CN125" s="1557"/>
      <c r="CO125" s="1557"/>
    </row>
    <row r="126" spans="2:94" ht="44.25" customHeight="1" thickBot="1" x14ac:dyDescent="0.45">
      <c r="B126" s="701"/>
      <c r="C126" s="325"/>
      <c r="G126" s="438"/>
      <c r="H126" s="438"/>
      <c r="I126" s="438"/>
      <c r="J126" s="438"/>
      <c r="K126" s="438"/>
      <c r="L126" s="438"/>
      <c r="M126" s="438"/>
      <c r="N126" s="438"/>
      <c r="O126" s="438"/>
      <c r="P126" s="438"/>
      <c r="Q126" s="438"/>
      <c r="R126" s="438"/>
      <c r="S126" s="438"/>
      <c r="T126" s="438"/>
      <c r="U126" s="438"/>
      <c r="V126" s="438"/>
      <c r="W126" s="438"/>
      <c r="X126" s="438"/>
      <c r="Y126" s="438"/>
      <c r="Z126" s="438"/>
      <c r="AA126" s="438"/>
      <c r="AB126" s="438"/>
      <c r="AC126" s="438"/>
      <c r="AD126" s="438"/>
      <c r="AE126" s="438"/>
      <c r="AF126" s="438"/>
      <c r="AG126" s="438"/>
      <c r="AH126" s="438"/>
      <c r="AI126" s="438"/>
      <c r="AJ126" s="438"/>
      <c r="AK126" s="438"/>
      <c r="AL126" s="438"/>
      <c r="AM126" s="438"/>
      <c r="AN126" s="438"/>
      <c r="AO126" s="438"/>
      <c r="AP126" s="438"/>
      <c r="AQ126" s="1623"/>
      <c r="AR126" s="1623"/>
      <c r="AS126" s="1623"/>
      <c r="AX126" s="1550" t="b">
        <f>AND(AZ126&gt;=10,$AN$159&gt;=10,$AO$159&gt;=10)</f>
        <v>1</v>
      </c>
      <c r="AY126" s="1570" t="str">
        <f>IF(AX126=TRUE,"O K","OVERLOAD")</f>
        <v>O K</v>
      </c>
      <c r="AZ126" s="1571">
        <f>+$D$8/(BB49/2)</f>
        <v>201.25786163522014</v>
      </c>
      <c r="BA126" s="1667" t="s">
        <v>233</v>
      </c>
      <c r="BB126" s="1668">
        <v>-10</v>
      </c>
      <c r="BC126" s="1668">
        <v>-9</v>
      </c>
      <c r="BD126" s="1668">
        <v>-8</v>
      </c>
      <c r="BE126" s="1668">
        <v>-7</v>
      </c>
      <c r="BF126" s="1668">
        <v>-6</v>
      </c>
      <c r="BG126" s="1668">
        <v>-5</v>
      </c>
      <c r="BH126" s="1668">
        <v>-4</v>
      </c>
      <c r="BI126" s="1668">
        <v>-3</v>
      </c>
      <c r="BJ126" s="1668">
        <v>-2</v>
      </c>
      <c r="BK126" s="1668">
        <v>-1</v>
      </c>
      <c r="BL126" s="1668">
        <v>0</v>
      </c>
      <c r="BM126" s="1668">
        <v>1</v>
      </c>
      <c r="BN126" s="1668">
        <v>2</v>
      </c>
      <c r="BO126" s="1668">
        <v>3</v>
      </c>
      <c r="BP126" s="1668">
        <v>4</v>
      </c>
      <c r="BQ126" s="1668">
        <v>5</v>
      </c>
      <c r="BR126" s="1668">
        <v>6</v>
      </c>
      <c r="BS126" s="1668">
        <v>7</v>
      </c>
      <c r="BT126" s="1668">
        <v>8</v>
      </c>
      <c r="BU126" s="1668">
        <v>9</v>
      </c>
      <c r="BV126" s="1668">
        <v>10</v>
      </c>
      <c r="BW126" s="1668">
        <v>11</v>
      </c>
      <c r="BX126" s="1668">
        <v>12</v>
      </c>
      <c r="BY126" s="1668">
        <v>13</v>
      </c>
      <c r="BZ126" s="1668">
        <v>14</v>
      </c>
      <c r="CA126" s="1668">
        <v>15</v>
      </c>
      <c r="CB126" s="1668">
        <v>16</v>
      </c>
      <c r="CC126" s="1668">
        <v>17</v>
      </c>
      <c r="CD126" s="1668">
        <v>18</v>
      </c>
      <c r="CE126" s="1668">
        <v>19</v>
      </c>
      <c r="CF126" s="1668">
        <v>20</v>
      </c>
      <c r="CG126" s="1668">
        <v>21</v>
      </c>
      <c r="CH126" s="1668">
        <v>22</v>
      </c>
      <c r="CI126" s="1668">
        <v>23</v>
      </c>
      <c r="CJ126" s="1668">
        <v>24</v>
      </c>
      <c r="CK126" s="1668">
        <v>25</v>
      </c>
      <c r="CL126" s="1670">
        <v>26</v>
      </c>
      <c r="CM126" s="1557"/>
      <c r="CN126" s="1557"/>
      <c r="CO126" s="1557"/>
    </row>
    <row r="127" spans="2:94" ht="21" hidden="1" x14ac:dyDescent="0.4">
      <c r="B127" s="701"/>
      <c r="C127" s="325"/>
      <c r="G127" s="438"/>
      <c r="H127" s="438"/>
      <c r="I127" s="438"/>
      <c r="J127" s="438"/>
      <c r="K127" s="438"/>
      <c r="L127" s="438"/>
      <c r="M127" s="438"/>
      <c r="N127" s="438"/>
      <c r="O127" s="438"/>
      <c r="P127" s="438"/>
      <c r="Q127" s="438"/>
      <c r="R127" s="438"/>
      <c r="S127" s="438"/>
      <c r="T127" s="438"/>
      <c r="U127" s="438"/>
      <c r="V127" s="438"/>
      <c r="W127" s="438"/>
      <c r="X127" s="438"/>
      <c r="Y127" s="438"/>
      <c r="Z127" s="438"/>
      <c r="AA127" s="438"/>
      <c r="AB127" s="438"/>
      <c r="AC127" s="438"/>
      <c r="AD127" s="438"/>
      <c r="AE127" s="438"/>
      <c r="AF127" s="438"/>
      <c r="AG127" s="438"/>
      <c r="AH127" s="438"/>
      <c r="AI127" s="438"/>
      <c r="AJ127" s="438"/>
      <c r="AK127" s="438"/>
      <c r="AL127" s="438"/>
      <c r="AM127" s="438"/>
      <c r="AN127" s="438"/>
      <c r="AO127" s="438"/>
      <c r="AP127" s="438"/>
      <c r="AQ127" s="1623"/>
      <c r="AR127" s="1623"/>
      <c r="AS127" s="1623"/>
      <c r="AW127" s="1623"/>
      <c r="AX127" s="1623"/>
      <c r="AY127" s="1623"/>
      <c r="AZ127" s="1623"/>
      <c r="BA127" s="1557"/>
      <c r="BB127" s="1671"/>
      <c r="BC127" s="1671"/>
      <c r="BD127" s="1671"/>
      <c r="BE127" s="1671"/>
      <c r="BF127" s="1671"/>
      <c r="BG127" s="1671"/>
      <c r="BH127" s="1671"/>
      <c r="BI127" s="1671"/>
      <c r="BJ127" s="1671"/>
      <c r="BK127" s="1671"/>
      <c r="BL127" s="1671"/>
      <c r="BM127" s="1746"/>
      <c r="BN127" s="1671"/>
      <c r="BO127" s="1671"/>
      <c r="BP127" s="1671"/>
      <c r="BQ127" s="1671"/>
      <c r="BR127" s="1671"/>
      <c r="BS127" s="1671"/>
      <c r="BT127" s="1671"/>
      <c r="BU127" s="1671"/>
      <c r="BV127" s="1671"/>
      <c r="BW127" s="1671"/>
      <c r="BX127" s="1671"/>
      <c r="BY127" s="1671"/>
      <c r="BZ127" s="1671"/>
      <c r="CA127" s="1671"/>
      <c r="CB127" s="1671"/>
      <c r="CC127" s="1671"/>
      <c r="CD127" s="1671"/>
      <c r="CE127" s="1671"/>
      <c r="CF127" s="1671"/>
      <c r="CG127" s="1671"/>
      <c r="CH127" s="1671"/>
      <c r="CI127" s="1671"/>
      <c r="CJ127" s="1671"/>
      <c r="CK127" s="1671"/>
      <c r="CL127" s="1671"/>
      <c r="CM127" s="1671"/>
    </row>
    <row r="128" spans="2:94" ht="21" hidden="1" x14ac:dyDescent="0.4">
      <c r="B128" s="701"/>
      <c r="C128" s="325"/>
      <c r="G128" s="438"/>
      <c r="H128" s="438"/>
      <c r="I128" s="438"/>
      <c r="J128" s="438"/>
      <c r="K128" s="438"/>
      <c r="L128" s="438"/>
      <c r="M128" s="438"/>
      <c r="N128" s="438"/>
      <c r="O128" s="438"/>
      <c r="P128" s="438"/>
      <c r="Q128" s="438"/>
      <c r="R128" s="438"/>
      <c r="S128" s="438"/>
      <c r="T128" s="438"/>
      <c r="U128" s="438"/>
      <c r="V128" s="438"/>
      <c r="W128" s="438"/>
      <c r="X128" s="438"/>
      <c r="Y128" s="438"/>
      <c r="Z128" s="438"/>
      <c r="AA128" s="438"/>
      <c r="AB128" s="438"/>
      <c r="AC128" s="438"/>
      <c r="AD128" s="438"/>
      <c r="AE128" s="438"/>
      <c r="AF128" s="438"/>
      <c r="AG128" s="438"/>
      <c r="AH128" s="438"/>
      <c r="AI128" s="438"/>
      <c r="AJ128" s="438"/>
      <c r="AK128" s="438"/>
      <c r="AL128" s="438"/>
      <c r="AM128" s="438"/>
      <c r="AN128" s="438"/>
      <c r="AO128" s="438"/>
      <c r="AP128" s="438"/>
      <c r="AQ128" s="1623"/>
      <c r="AR128" s="1623"/>
      <c r="AS128" s="1623"/>
      <c r="AW128" s="1623"/>
      <c r="AX128" s="1623"/>
      <c r="AY128" s="1623"/>
      <c r="AZ128" s="1623"/>
      <c r="BA128" s="1554"/>
      <c r="BB128" s="1554"/>
      <c r="BC128" s="1554"/>
      <c r="BD128" s="1554"/>
      <c r="BE128" s="1554"/>
      <c r="BF128" s="1554"/>
      <c r="BG128" s="1747"/>
      <c r="BH128" s="1747"/>
      <c r="BI128" s="1747"/>
      <c r="BJ128" s="1747"/>
      <c r="BK128" s="1747"/>
      <c r="BL128" s="1747"/>
      <c r="BM128" s="1747"/>
      <c r="BN128" s="1747"/>
      <c r="BO128" s="1747"/>
      <c r="BP128" s="1747"/>
      <c r="BQ128" s="1747"/>
      <c r="BR128" s="1747"/>
      <c r="BS128" s="1747"/>
      <c r="BT128" s="1747"/>
      <c r="BU128" s="1556"/>
      <c r="BV128" s="1557"/>
      <c r="BW128" s="1557"/>
      <c r="BX128" s="1557"/>
      <c r="BY128" s="1557"/>
      <c r="BZ128" s="1557"/>
      <c r="CA128" s="1557"/>
      <c r="CB128" s="1557"/>
      <c r="CC128" s="1557"/>
      <c r="CD128" s="1557"/>
      <c r="CE128" s="1557"/>
      <c r="CF128" s="1557"/>
      <c r="CG128" s="1557"/>
      <c r="CH128" s="1557"/>
      <c r="CI128" s="1557"/>
      <c r="CJ128" s="1557"/>
      <c r="CK128" s="1557"/>
      <c r="CL128" s="1557"/>
      <c r="CM128" s="1557"/>
      <c r="CN128" s="1557"/>
      <c r="CO128" s="1557"/>
    </row>
    <row r="129" spans="2:93" ht="17.399999999999999" hidden="1" x14ac:dyDescent="0.3">
      <c r="B129" s="701"/>
      <c r="C129" s="325"/>
      <c r="G129" s="438"/>
      <c r="H129" s="438"/>
      <c r="I129" s="438"/>
      <c r="J129" s="438"/>
      <c r="K129" s="438"/>
      <c r="L129" s="438"/>
      <c r="M129" s="438"/>
      <c r="N129" s="438"/>
      <c r="O129" s="438"/>
      <c r="P129" s="438"/>
      <c r="Q129" s="438"/>
      <c r="R129" s="438"/>
      <c r="S129" s="438"/>
      <c r="T129" s="438"/>
      <c r="U129" s="438"/>
      <c r="V129" s="438"/>
      <c r="W129" s="438"/>
      <c r="X129" s="438"/>
      <c r="Y129" s="438"/>
      <c r="Z129" s="438"/>
      <c r="AA129" s="438"/>
      <c r="AB129" s="438"/>
      <c r="AC129" s="438"/>
      <c r="AD129" s="438"/>
      <c r="AE129" s="438"/>
      <c r="AF129" s="438"/>
      <c r="AG129" s="438"/>
      <c r="AH129" s="438"/>
      <c r="AI129" s="438"/>
      <c r="AJ129" s="438"/>
      <c r="AK129" s="438"/>
      <c r="AL129" s="438"/>
      <c r="AM129" s="438"/>
      <c r="AN129" s="438"/>
      <c r="AO129" s="438"/>
      <c r="AP129" s="438"/>
      <c r="AQ129" s="1623"/>
      <c r="AR129" s="1623"/>
      <c r="AS129" s="1623"/>
      <c r="AW129" s="1623"/>
      <c r="AX129" s="1623"/>
      <c r="AY129" s="1623"/>
      <c r="AZ129" s="1623"/>
      <c r="BA129" s="1748"/>
      <c r="BB129" s="1748"/>
      <c r="BC129" s="1748"/>
      <c r="BD129" s="1748"/>
      <c r="BE129" s="1748"/>
      <c r="BF129" s="1748"/>
      <c r="BG129" s="1749"/>
      <c r="BH129" s="1749"/>
      <c r="BI129" s="1749"/>
      <c r="BJ129" s="1749"/>
      <c r="BK129" s="1749"/>
      <c r="BL129" s="1749"/>
      <c r="BM129" s="1749"/>
      <c r="BN129" s="1749"/>
      <c r="BO129" s="1749"/>
      <c r="BP129" s="1749"/>
      <c r="BQ129" s="1749"/>
      <c r="BR129" s="1749"/>
      <c r="BS129" s="1749"/>
      <c r="BT129" s="1749"/>
      <c r="BU129" s="1750"/>
    </row>
    <row r="130" spans="2:93" ht="17.399999999999999" hidden="1" x14ac:dyDescent="0.3">
      <c r="B130" s="701"/>
      <c r="C130" s="325"/>
      <c r="G130" s="438"/>
      <c r="H130" s="438"/>
      <c r="I130" s="438"/>
      <c r="J130" s="438"/>
      <c r="K130" s="438"/>
      <c r="L130" s="438"/>
      <c r="M130" s="438"/>
      <c r="N130" s="438"/>
      <c r="O130" s="438"/>
      <c r="P130" s="438"/>
      <c r="Q130" s="438"/>
      <c r="R130" s="438"/>
      <c r="S130" s="438"/>
      <c r="T130" s="438"/>
      <c r="U130" s="438"/>
      <c r="V130" s="438"/>
      <c r="W130" s="438"/>
      <c r="X130" s="438"/>
      <c r="Y130" s="438"/>
      <c r="Z130" s="438"/>
      <c r="AA130" s="438"/>
      <c r="AB130" s="438"/>
      <c r="AC130" s="438"/>
      <c r="AD130" s="438"/>
      <c r="AE130" s="438"/>
      <c r="AF130" s="438"/>
      <c r="AG130" s="438"/>
      <c r="AH130" s="438"/>
      <c r="AI130" s="438"/>
      <c r="AJ130" s="438"/>
      <c r="AK130" s="438"/>
      <c r="AL130" s="438"/>
      <c r="AM130" s="438"/>
      <c r="AN130" s="438"/>
      <c r="AO130" s="438"/>
      <c r="AP130" s="438"/>
      <c r="AQ130" s="1623"/>
      <c r="AR130" s="1623"/>
      <c r="AS130" s="1623"/>
      <c r="AW130" s="1751" t="s">
        <v>95</v>
      </c>
      <c r="AX130" s="1623"/>
      <c r="AY130" s="1752"/>
      <c r="AZ130" s="1623"/>
      <c r="BA130" s="1552"/>
      <c r="BD130" s="1748"/>
      <c r="BE130" s="1748"/>
      <c r="BF130" s="1748"/>
      <c r="BG130" s="1749"/>
      <c r="BH130" s="1749"/>
      <c r="BI130" s="1749"/>
      <c r="BJ130" s="1749"/>
      <c r="BK130" s="1749"/>
      <c r="BL130" s="1749"/>
      <c r="BM130" s="1749"/>
      <c r="BN130" s="1749"/>
      <c r="BO130" s="1749"/>
      <c r="BP130" s="1749"/>
      <c r="BQ130" s="1749"/>
      <c r="BR130" s="1749"/>
      <c r="BS130" s="1749"/>
      <c r="BT130" s="1749"/>
      <c r="BU130" s="1750"/>
      <c r="CC130" s="1552"/>
      <c r="CO130" s="1751" t="s">
        <v>94</v>
      </c>
    </row>
    <row r="131" spans="2:93" ht="17.399999999999999" hidden="1" x14ac:dyDescent="0.3">
      <c r="B131" s="701"/>
      <c r="C131" s="325"/>
      <c r="G131" s="438"/>
      <c r="H131" s="438"/>
      <c r="I131" s="438"/>
      <c r="J131" s="438"/>
      <c r="K131" s="438"/>
      <c r="L131" s="438"/>
      <c r="M131" s="438"/>
      <c r="N131" s="438"/>
      <c r="O131" s="438"/>
      <c r="P131" s="438"/>
      <c r="Q131" s="438"/>
      <c r="R131" s="438"/>
      <c r="S131" s="438"/>
      <c r="T131" s="438"/>
      <c r="U131" s="438"/>
      <c r="V131" s="438"/>
      <c r="W131" s="438"/>
      <c r="X131" s="438"/>
      <c r="Y131" s="438"/>
      <c r="Z131" s="438"/>
      <c r="AA131" s="438"/>
      <c r="AB131" s="438"/>
      <c r="AC131" s="438"/>
      <c r="AD131" s="438"/>
      <c r="AE131" s="438"/>
      <c r="AF131" s="438"/>
      <c r="AG131" s="438"/>
      <c r="AH131" s="438"/>
      <c r="AI131" s="438"/>
      <c r="AJ131" s="438"/>
      <c r="AK131" s="438"/>
      <c r="AL131" s="438"/>
      <c r="AM131" s="438"/>
      <c r="AN131" s="438"/>
      <c r="AO131" s="438"/>
      <c r="AP131" s="438"/>
      <c r="AQ131" s="1623"/>
      <c r="AR131" s="1623"/>
      <c r="AS131" s="1623"/>
      <c r="AW131" s="1751">
        <f>-+AL191</f>
        <v>571.99998629739707</v>
      </c>
      <c r="AX131" s="1623"/>
      <c r="AY131" s="1752"/>
      <c r="AZ131" s="1623"/>
      <c r="BA131" s="1552"/>
      <c r="BD131" s="1748"/>
      <c r="BE131" s="1748"/>
      <c r="BF131" s="1748"/>
      <c r="BG131" s="1749"/>
      <c r="BH131" s="1749"/>
      <c r="BI131" s="1749"/>
      <c r="BJ131" s="1749"/>
      <c r="BK131" s="1749"/>
      <c r="BL131" s="1749"/>
      <c r="BM131" s="1749"/>
      <c r="BN131" s="1749"/>
      <c r="BO131" s="1749"/>
      <c r="BP131" s="1749"/>
      <c r="BQ131" s="1749"/>
      <c r="BR131" s="1749"/>
      <c r="BS131" s="1749"/>
      <c r="BT131" s="1749"/>
      <c r="BU131" s="1750"/>
      <c r="CA131" s="1753"/>
      <c r="CC131" s="1552"/>
      <c r="CO131" s="1751">
        <f>+-AL227</f>
        <v>-976.00001370260293</v>
      </c>
    </row>
    <row r="132" spans="2:93" ht="30" hidden="1" x14ac:dyDescent="0.3">
      <c r="D132" s="74"/>
      <c r="E132" s="74"/>
      <c r="F132" s="74"/>
      <c r="G132" s="74"/>
      <c r="H132" s="78"/>
      <c r="I132" s="78"/>
      <c r="J132" s="78"/>
      <c r="K132" s="78"/>
      <c r="L132" s="78"/>
      <c r="M132" s="78"/>
      <c r="N132" s="78"/>
      <c r="O132" s="78"/>
      <c r="P132" s="78"/>
      <c r="Q132" s="78"/>
      <c r="R132" s="78"/>
      <c r="S132" s="78"/>
      <c r="T132" s="78"/>
      <c r="U132" s="78"/>
      <c r="V132" s="78"/>
      <c r="W132" s="78"/>
      <c r="X132" s="78"/>
      <c r="Y132" s="78"/>
      <c r="Z132" s="78"/>
      <c r="AA132" s="78"/>
      <c r="AB132" s="78"/>
      <c r="AC132" s="78"/>
      <c r="AD132" s="78"/>
      <c r="AE132" s="78"/>
      <c r="AF132" s="78"/>
      <c r="AG132" s="78"/>
      <c r="AH132" s="78"/>
      <c r="AI132" s="78"/>
      <c r="AJ132" s="78"/>
      <c r="AK132" s="78"/>
      <c r="AL132" s="78"/>
      <c r="AM132" s="78"/>
      <c r="AN132" s="78"/>
      <c r="AO132" s="78"/>
      <c r="AP132" s="78"/>
      <c r="AQ132" s="1623"/>
      <c r="AR132" s="1623"/>
      <c r="AS132" s="1623"/>
    </row>
    <row r="133" spans="2:93" ht="40.5" hidden="1" customHeight="1" thickBot="1" x14ac:dyDescent="0.35">
      <c r="D133" s="74"/>
      <c r="E133" s="74"/>
      <c r="F133" s="74"/>
      <c r="G133" s="74"/>
      <c r="H133" s="7"/>
      <c r="I133" s="7"/>
      <c r="J133" s="7"/>
      <c r="K133" s="7"/>
      <c r="L133" s="7"/>
      <c r="M133" s="7"/>
      <c r="N133" s="7"/>
      <c r="O133" s="7"/>
      <c r="P133" s="7"/>
      <c r="Q133" s="7"/>
      <c r="R133" s="7"/>
      <c r="S133" s="7"/>
      <c r="T133" s="10"/>
      <c r="U133" s="10"/>
      <c r="V133" s="10"/>
      <c r="W133" s="10"/>
      <c r="X133" s="10"/>
      <c r="Y133" s="10"/>
      <c r="Z133" s="10"/>
      <c r="AA133" s="10"/>
      <c r="AB133" s="10"/>
      <c r="AC133" s="10"/>
      <c r="AD133" s="10"/>
      <c r="AE133" s="10"/>
      <c r="AF133" s="10"/>
      <c r="AG133" s="10"/>
      <c r="AH133" s="10"/>
      <c r="AI133" s="10"/>
      <c r="AJ133" s="10"/>
      <c r="AK133" s="10"/>
      <c r="AL133" s="10"/>
      <c r="AM133" s="10"/>
      <c r="AN133" s="10"/>
      <c r="AO133" s="10"/>
      <c r="AP133" s="7"/>
      <c r="AQ133" s="1623"/>
      <c r="AR133" s="1623"/>
      <c r="AS133" s="1623"/>
    </row>
    <row r="134" spans="2:93" ht="18" hidden="1" customHeight="1" thickBot="1" x14ac:dyDescent="0.35">
      <c r="B134" s="1370"/>
      <c r="D134" s="74"/>
      <c r="E134" s="74"/>
      <c r="F134" s="74"/>
      <c r="G134" s="74"/>
      <c r="H134" s="7"/>
      <c r="I134" s="7"/>
      <c r="J134" s="7"/>
      <c r="K134" s="7"/>
      <c r="L134" s="7"/>
      <c r="M134" s="7"/>
      <c r="N134" s="7"/>
      <c r="O134" s="7"/>
      <c r="P134" s="7"/>
      <c r="Q134" s="7"/>
      <c r="R134" s="7"/>
      <c r="S134" s="7"/>
      <c r="T134" s="10"/>
      <c r="U134" s="10"/>
      <c r="V134" s="10"/>
      <c r="W134" s="10"/>
      <c r="X134" s="10"/>
      <c r="Y134" s="10"/>
      <c r="Z134" s="10"/>
      <c r="AA134" s="10"/>
      <c r="AB134" s="10"/>
      <c r="AC134" s="10"/>
      <c r="AD134" s="10"/>
      <c r="AE134" s="10"/>
      <c r="AF134" s="10"/>
      <c r="AG134" s="10"/>
      <c r="AH134" s="10"/>
      <c r="AI134" s="10"/>
      <c r="AJ134" s="10"/>
      <c r="AK134" s="10"/>
      <c r="AL134" s="10"/>
      <c r="AM134" s="10"/>
      <c r="AN134" s="10"/>
      <c r="AO134" s="10"/>
      <c r="AP134" s="7"/>
      <c r="AQ134" s="1623"/>
      <c r="AR134" s="1623"/>
      <c r="AS134" s="1623"/>
    </row>
    <row r="135" spans="2:93" ht="62.25" customHeight="1" thickBot="1" x14ac:dyDescent="0.4">
      <c r="B135" s="1497" t="s">
        <v>239</v>
      </c>
      <c r="C135" s="105"/>
      <c r="D135" s="416" t="str">
        <f>IF(AW131&gt;0," ","change the angle of frame or of cabinets")</f>
        <v xml:space="preserve"> </v>
      </c>
      <c r="E135" s="114"/>
      <c r="F135" s="114"/>
      <c r="G135" s="114"/>
      <c r="H135" s="112"/>
      <c r="I135" s="112"/>
      <c r="J135" s="112"/>
      <c r="K135" s="112"/>
      <c r="L135" s="112"/>
      <c r="M135" s="112"/>
      <c r="N135" s="112"/>
      <c r="O135" s="112"/>
      <c r="P135" s="112"/>
      <c r="Q135" s="112"/>
      <c r="R135" s="112"/>
      <c r="S135" s="112"/>
      <c r="T135" s="112"/>
      <c r="U135" s="112"/>
      <c r="V135" s="79"/>
      <c r="W135" s="79"/>
      <c r="X135" s="79"/>
      <c r="Y135" s="79"/>
      <c r="Z135" s="79"/>
      <c r="AA135" s="79"/>
      <c r="AB135" s="79"/>
      <c r="AC135" s="79"/>
      <c r="AD135" s="79"/>
      <c r="AE135" s="79"/>
      <c r="AF135" s="79"/>
      <c r="AG135" s="79"/>
      <c r="AH135" s="79"/>
      <c r="AI135" s="79"/>
      <c r="AJ135" s="79"/>
      <c r="AK135" s="79"/>
      <c r="AL135" s="79"/>
      <c r="AM135" s="79"/>
      <c r="AN135" s="79"/>
      <c r="AO135" s="79"/>
      <c r="AP135" s="111"/>
      <c r="AQ135" s="1623"/>
      <c r="AR135" s="1623"/>
      <c r="AS135" s="1623"/>
    </row>
    <row r="136" spans="2:93" ht="62.25" customHeight="1" thickBot="1" x14ac:dyDescent="0.45">
      <c r="B136" s="736">
        <v>0</v>
      </c>
      <c r="D136" s="416" t="str">
        <f>IF(CO131&lt;0," ","change the angle of frame or of cabinets")</f>
        <v xml:space="preserve"> </v>
      </c>
      <c r="E136" s="114"/>
      <c r="F136" s="114"/>
      <c r="G136" s="114"/>
      <c r="H136" s="112"/>
      <c r="I136" s="112"/>
      <c r="J136" s="112"/>
      <c r="K136" s="112"/>
      <c r="L136" s="112"/>
      <c r="M136" s="112"/>
      <c r="N136" s="112"/>
      <c r="O136" s="112"/>
      <c r="P136" s="112"/>
      <c r="Q136" s="112"/>
      <c r="R136" s="112"/>
      <c r="S136" s="112"/>
      <c r="T136" s="112"/>
      <c r="U136" s="112"/>
      <c r="V136" s="79"/>
      <c r="W136" s="79"/>
      <c r="X136" s="79"/>
      <c r="Y136" s="79"/>
      <c r="Z136" s="79"/>
      <c r="AA136" s="79"/>
      <c r="AB136" s="79"/>
      <c r="AC136" s="79"/>
      <c r="AD136" s="79"/>
      <c r="AE136" s="79"/>
      <c r="AF136" s="79"/>
      <c r="AG136" s="79"/>
      <c r="AH136" s="79"/>
      <c r="AI136" s="79"/>
      <c r="AJ136" s="79"/>
      <c r="AK136" s="79"/>
      <c r="AL136" s="79"/>
      <c r="AM136" s="79"/>
      <c r="AN136" s="79"/>
      <c r="AO136" s="79"/>
      <c r="AP136" s="111"/>
      <c r="AQ136" s="1623"/>
      <c r="AR136" s="1623"/>
      <c r="AS136" s="1623"/>
    </row>
    <row r="137" spans="2:93" ht="62.25" customHeight="1" thickTop="1" thickBot="1" x14ac:dyDescent="0.5">
      <c r="B137" s="1996" t="s">
        <v>42</v>
      </c>
      <c r="C137" s="749"/>
      <c r="D137" s="1775" t="str">
        <f>IF(AW131&gt;(+COS(($B$136*-1)*3.14159265358979/180)*451.5)," ","USE EXBAR AR AT THE FRONT")</f>
        <v xml:space="preserve"> </v>
      </c>
      <c r="E137" s="114"/>
      <c r="F137" s="114"/>
      <c r="G137" s="114"/>
      <c r="H137" s="112"/>
      <c r="I137" s="112"/>
      <c r="J137" s="112"/>
      <c r="K137" s="112"/>
      <c r="L137" s="112"/>
      <c r="M137" s="112"/>
      <c r="N137" s="112"/>
      <c r="O137" s="112"/>
      <c r="P137" s="112"/>
      <c r="Q137" s="112"/>
      <c r="R137" s="112"/>
      <c r="S137" s="112"/>
      <c r="T137" s="112"/>
      <c r="U137" s="112"/>
      <c r="V137" s="79"/>
      <c r="W137" s="79"/>
      <c r="X137" s="79"/>
      <c r="Y137" s="79"/>
      <c r="Z137" s="79"/>
      <c r="AA137" s="79"/>
      <c r="AB137" s="79"/>
      <c r="AC137" s="79"/>
      <c r="AD137" s="79"/>
      <c r="AE137" s="79"/>
      <c r="AF137" s="79"/>
      <c r="AG137" s="79"/>
      <c r="AH137" s="79"/>
      <c r="AI137" s="79"/>
      <c r="AJ137" s="79"/>
      <c r="AK137" s="79"/>
      <c r="AL137" s="79"/>
      <c r="AM137" s="79"/>
      <c r="AN137" s="79"/>
      <c r="AO137" s="79"/>
      <c r="AP137" s="111"/>
      <c r="AQ137" s="1623"/>
      <c r="AR137" s="1623"/>
      <c r="AS137" s="1623"/>
    </row>
    <row r="138" spans="2:93" ht="62.25" customHeight="1" thickBot="1" x14ac:dyDescent="0.4">
      <c r="B138" s="1997"/>
      <c r="C138" s="749"/>
      <c r="D138" s="1776" t="str">
        <f>IF(CO131&lt;-(+COS(($B$136*-1)*3.14159265358979/180)*365.5)," ","USE EXBAR AR AT THE BACK")</f>
        <v xml:space="preserve"> </v>
      </c>
      <c r="E138" s="114"/>
      <c r="F138" s="114"/>
      <c r="G138" s="114"/>
      <c r="H138" s="112"/>
      <c r="I138" s="112"/>
      <c r="J138" s="112"/>
      <c r="K138" s="112"/>
      <c r="L138" s="112"/>
      <c r="M138" s="112"/>
      <c r="N138" s="112"/>
      <c r="O138" s="112"/>
      <c r="P138" s="112"/>
      <c r="Q138" s="112"/>
      <c r="R138" s="112"/>
      <c r="S138" s="112"/>
      <c r="T138" s="112"/>
      <c r="U138" s="112"/>
      <c r="V138" s="79"/>
      <c r="W138" s="79"/>
      <c r="X138" s="79"/>
      <c r="Y138" s="79"/>
      <c r="Z138" s="79"/>
      <c r="AA138" s="79"/>
      <c r="AB138" s="79"/>
      <c r="AC138" s="79"/>
      <c r="AD138" s="79"/>
      <c r="AE138" s="79"/>
      <c r="AF138" s="79"/>
      <c r="AG138" s="79"/>
      <c r="AH138" s="79"/>
      <c r="AI138" s="79"/>
      <c r="AJ138" s="79"/>
      <c r="AK138" s="79"/>
      <c r="AL138" s="79"/>
      <c r="AM138" s="79"/>
      <c r="AN138" s="79"/>
      <c r="AO138" s="79"/>
      <c r="AP138" s="113"/>
      <c r="AQ138" s="1623"/>
      <c r="AR138" s="1623"/>
      <c r="AS138" s="1623"/>
    </row>
    <row r="139" spans="2:93" ht="25.8" thickTop="1" thickBot="1" x14ac:dyDescent="0.45">
      <c r="B139" s="737">
        <v>1</v>
      </c>
      <c r="C139" s="671"/>
      <c r="D139" s="686" t="s">
        <v>71</v>
      </c>
      <c r="E139" s="127"/>
      <c r="F139" s="127"/>
      <c r="G139" s="127"/>
      <c r="H139" s="138"/>
      <c r="I139" s="138"/>
      <c r="J139" s="138"/>
      <c r="K139" s="138"/>
      <c r="L139" s="138"/>
      <c r="M139" s="138"/>
      <c r="N139" s="138"/>
      <c r="O139" s="138"/>
      <c r="P139" s="138"/>
      <c r="Q139" s="138"/>
      <c r="R139" s="138"/>
      <c r="S139" s="138"/>
      <c r="T139" s="138"/>
      <c r="U139" s="38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2000" t="s">
        <v>68</v>
      </c>
      <c r="AO139" s="2001"/>
      <c r="AP139" s="115"/>
      <c r="AQ139" s="1623"/>
      <c r="AR139" s="1623"/>
      <c r="AS139" s="1623"/>
    </row>
    <row r="140" spans="2:93" ht="36" hidden="1" customHeight="1" thickTop="1" thickBot="1" x14ac:dyDescent="0.35">
      <c r="B140" s="672"/>
      <c r="C140" s="71"/>
      <c r="D140" s="669"/>
      <c r="F140" s="441"/>
      <c r="H140" s="178" t="s">
        <v>4</v>
      </c>
      <c r="I140" s="178" t="s">
        <v>1</v>
      </c>
      <c r="J140" s="155" t="s">
        <v>0</v>
      </c>
      <c r="K140" s="155" t="s">
        <v>2</v>
      </c>
      <c r="L140" s="155" t="s">
        <v>3</v>
      </c>
      <c r="M140" s="155" t="s">
        <v>8</v>
      </c>
      <c r="N140" s="155" t="s">
        <v>5</v>
      </c>
      <c r="O140" s="155" t="s">
        <v>6</v>
      </c>
      <c r="P140" s="155" t="s">
        <v>7</v>
      </c>
      <c r="Q140" s="155" t="s">
        <v>9</v>
      </c>
      <c r="R140" s="176" t="s">
        <v>10</v>
      </c>
      <c r="S140" s="155" t="s">
        <v>11</v>
      </c>
      <c r="T140" s="156" t="s">
        <v>12</v>
      </c>
      <c r="U140" s="6"/>
      <c r="V140" s="6"/>
      <c r="W140" s="442"/>
      <c r="X140" s="6"/>
      <c r="Y140" s="6"/>
      <c r="Z140" s="6"/>
      <c r="AA140" s="6"/>
      <c r="AB140" s="6"/>
      <c r="AC140" s="6"/>
      <c r="AD140" s="6"/>
      <c r="AE140" s="6"/>
      <c r="AF140" s="6"/>
      <c r="AG140" s="6"/>
      <c r="AH140" s="6"/>
      <c r="AI140" s="6"/>
      <c r="AJ140" s="6"/>
      <c r="AK140" s="6"/>
      <c r="AL140" s="442" t="s">
        <v>57</v>
      </c>
      <c r="AM140" s="442" t="s">
        <v>57</v>
      </c>
      <c r="AP140" s="7"/>
      <c r="AQ140" s="1623"/>
      <c r="AR140" s="1623"/>
      <c r="AS140" s="1623"/>
    </row>
    <row r="141" spans="2:93" ht="24" customHeight="1" thickTop="1" thickBot="1" x14ac:dyDescent="0.4">
      <c r="B141" s="29"/>
      <c r="C141" s="667"/>
      <c r="D141" s="670" t="s">
        <v>24</v>
      </c>
      <c r="E141" s="114"/>
      <c r="F141" s="382" t="s">
        <v>58</v>
      </c>
      <c r="H141" s="160"/>
      <c r="I141" s="161"/>
      <c r="J141" s="7"/>
      <c r="K141" s="7"/>
      <c r="L141" s="7"/>
      <c r="M141" s="7"/>
      <c r="N141" s="7"/>
      <c r="O141" s="7"/>
      <c r="P141" s="7"/>
      <c r="Q141" s="7"/>
      <c r="R141" s="177"/>
      <c r="S141" s="7"/>
      <c r="T141" s="34"/>
      <c r="U141" s="6"/>
      <c r="V141" s="6"/>
      <c r="W141" s="6"/>
      <c r="X141" s="6" t="s">
        <v>51</v>
      </c>
      <c r="Y141" s="95" t="s">
        <v>44</v>
      </c>
      <c r="Z141" s="175" t="s">
        <v>96</v>
      </c>
      <c r="AA141" s="96" t="s">
        <v>45</v>
      </c>
      <c r="AB141" s="172" t="s">
        <v>46</v>
      </c>
      <c r="AC141" s="175" t="s">
        <v>97</v>
      </c>
      <c r="AD141" s="93" t="s">
        <v>47</v>
      </c>
      <c r="AE141" s="172" t="s">
        <v>48</v>
      </c>
      <c r="AF141" s="179" t="s">
        <v>49</v>
      </c>
      <c r="AG141" s="91" t="s">
        <v>50</v>
      </c>
      <c r="AH141" s="91" t="s">
        <v>52</v>
      </c>
      <c r="AI141" s="91" t="s">
        <v>53</v>
      </c>
      <c r="AJ141" s="99" t="s">
        <v>54</v>
      </c>
      <c r="AK141" s="99" t="s">
        <v>55</v>
      </c>
      <c r="AL141" s="101" t="s">
        <v>25</v>
      </c>
      <c r="AM141" s="101" t="s">
        <v>26</v>
      </c>
      <c r="AN141" s="373" t="s">
        <v>25</v>
      </c>
      <c r="AO141" s="373" t="s">
        <v>26</v>
      </c>
      <c r="AP141" s="7"/>
      <c r="AQ141" s="1623"/>
      <c r="AR141" s="1623"/>
      <c r="AS141" s="1623"/>
    </row>
    <row r="142" spans="2:93" ht="21" customHeight="1" thickBot="1" x14ac:dyDescent="0.35">
      <c r="B142" s="87">
        <v>1</v>
      </c>
      <c r="C142" s="668">
        <f>+($B$136*-1)+D142</f>
        <v>0</v>
      </c>
      <c r="D142" s="738">
        <v>0</v>
      </c>
      <c r="E142" s="333" t="s">
        <v>73</v>
      </c>
      <c r="F142" s="104">
        <f>+G142</f>
        <v>0</v>
      </c>
      <c r="G142" s="81">
        <f>+D142</f>
        <v>0</v>
      </c>
      <c r="H142" s="158">
        <v>190.76</v>
      </c>
      <c r="I142" s="159">
        <v>79.651040199999997</v>
      </c>
      <c r="J142" s="2">
        <f>+I142-C142</f>
        <v>79.651040199999997</v>
      </c>
      <c r="K142" s="2">
        <f t="shared" ref="K142:K165" si="5">+J142/2</f>
        <v>39.825520099999999</v>
      </c>
      <c r="L142" s="2">
        <f t="shared" ref="L142:L165" si="6">SIN(K142*3.14159265358979/180)</f>
        <v>0.64045183696587837</v>
      </c>
      <c r="M142" s="2">
        <f t="shared" ref="M142:M165" si="7">+L142*H142</f>
        <v>122.17259241961095</v>
      </c>
      <c r="N142" s="2">
        <f t="shared" ref="N142:N165" si="8">+M142*2</f>
        <v>244.3451848392219</v>
      </c>
      <c r="O142" s="2">
        <f>+C142/2</f>
        <v>0</v>
      </c>
      <c r="P142" s="2">
        <f t="shared" ref="P142:P165" si="9">SIN(O142*3.14159265358979/180)</f>
        <v>0</v>
      </c>
      <c r="Q142" s="2">
        <f t="shared" ref="Q142:Q165" si="10">+P142*N142</f>
        <v>0</v>
      </c>
      <c r="R142" s="157">
        <v>146.5</v>
      </c>
      <c r="S142" s="2">
        <f>+R142+Q142</f>
        <v>146.5</v>
      </c>
      <c r="T142" s="3">
        <f t="shared" ref="T142:T165" si="11">+S142</f>
        <v>146.5</v>
      </c>
      <c r="V142" s="23">
        <f t="shared" ref="V142:V165" si="12">IF(B142&lt;($B$139+1),T142,0)</f>
        <v>146.5</v>
      </c>
      <c r="W142" s="81" t="str">
        <f>IF(AM142&lt;0,"pin in groundstacking hole"," ")</f>
        <v xml:space="preserve"> </v>
      </c>
      <c r="X142" s="23">
        <f>SUM(V142:V165)/($B$139)</f>
        <v>146.5</v>
      </c>
      <c r="Y142" s="97">
        <f>+C142</f>
        <v>0</v>
      </c>
      <c r="Z142" s="173">
        <f>69.3447148-Y142</f>
        <v>69.344714800000006</v>
      </c>
      <c r="AA142" s="98">
        <f t="shared" ref="AA142:AA165" si="13">SIN(Z142*3.14159265358979/180)</f>
        <v>0.93571960494171247</v>
      </c>
      <c r="AB142" s="174">
        <f>+AA142*192.42</f>
        <v>180.0511663828843</v>
      </c>
      <c r="AC142" s="173">
        <f>50.1744799+Y142</f>
        <v>50.174479900000001</v>
      </c>
      <c r="AD142" s="94">
        <f>SIN(AC142*3.14159265358979/180)</f>
        <v>0.76799833627881664</v>
      </c>
      <c r="AE142" s="174">
        <f>+AD142*190.76</f>
        <v>146.50336262854705</v>
      </c>
      <c r="AF142" s="174">
        <f>25.5*B139</f>
        <v>25.5</v>
      </c>
      <c r="AG142" s="92">
        <f>+AE142+AB142</f>
        <v>326.55452901143133</v>
      </c>
      <c r="AH142" s="92">
        <f>+V142-AE142</f>
        <v>-3.3626285470518269E-3</v>
      </c>
      <c r="AI142" s="92">
        <f>+X142-AH142</f>
        <v>146.50336262854705</v>
      </c>
      <c r="AJ142" s="100">
        <f>+((AG142-AI142)/AG142)*AF142</f>
        <v>14.059840960291279</v>
      </c>
      <c r="AK142" s="100">
        <f>+(AI142/AG142)*AF142</f>
        <v>11.440159039708721</v>
      </c>
      <c r="AL142" s="109">
        <f t="shared" ref="AL142:AL165" si="14">2*$C$7/AJ142</f>
        <v>825.04489437408847</v>
      </c>
      <c r="AM142" s="110">
        <f t="shared" ref="AM142:AM165" si="15">$D$7/AK142</f>
        <v>874.11372213358766</v>
      </c>
      <c r="AN142" s="134">
        <f>ABS(AL142)</f>
        <v>825.04489437408847</v>
      </c>
      <c r="AO142" s="134">
        <f>ABS(AM142)</f>
        <v>874.11372213358766</v>
      </c>
      <c r="AP142" s="2" t="s">
        <v>56</v>
      </c>
      <c r="AQ142" s="1623"/>
      <c r="AR142" s="1623"/>
      <c r="AS142" s="1623"/>
    </row>
    <row r="143" spans="2:93" ht="21" customHeight="1" thickBot="1" x14ac:dyDescent="0.35">
      <c r="B143" s="88">
        <v>2</v>
      </c>
      <c r="C143" s="20"/>
      <c r="D143" s="738">
        <v>0</v>
      </c>
      <c r="E143" s="333" t="s">
        <v>72</v>
      </c>
      <c r="F143" s="117" t="e">
        <f t="shared" ref="F143:F165" si="16">+G143</f>
        <v>#DIV/0!</v>
      </c>
      <c r="G143" s="118" t="e">
        <f t="shared" ref="G143:G165" si="17">+D143+AP143</f>
        <v>#DIV/0!</v>
      </c>
      <c r="H143" s="158">
        <v>190.76</v>
      </c>
      <c r="I143" s="159">
        <v>79.651040199999997</v>
      </c>
      <c r="J143" s="2">
        <f t="shared" ref="J143:J165" si="18">+I143-D143</f>
        <v>79.651040199999997</v>
      </c>
      <c r="K143" s="2">
        <f t="shared" si="5"/>
        <v>39.825520099999999</v>
      </c>
      <c r="L143" s="2">
        <f>SIN(K143*3.14159265358979/180)</f>
        <v>0.64045183696587837</v>
      </c>
      <c r="M143" s="2">
        <f t="shared" si="7"/>
        <v>122.17259241961095</v>
      </c>
      <c r="N143" s="2">
        <f t="shared" si="8"/>
        <v>244.3451848392219</v>
      </c>
      <c r="O143" s="2">
        <f>+C142+(D143/2)</f>
        <v>0</v>
      </c>
      <c r="P143" s="2">
        <f t="shared" si="9"/>
        <v>0</v>
      </c>
      <c r="Q143" s="2">
        <f t="shared" si="10"/>
        <v>0</v>
      </c>
      <c r="R143" s="2">
        <f t="shared" ref="R143:R165" si="19">+T142</f>
        <v>146.5</v>
      </c>
      <c r="S143" s="2">
        <f>+R143+Q143</f>
        <v>146.5</v>
      </c>
      <c r="T143" s="3">
        <f t="shared" si="11"/>
        <v>146.5</v>
      </c>
      <c r="V143" s="23">
        <f t="shared" si="12"/>
        <v>0</v>
      </c>
      <c r="W143" s="81" t="e">
        <f t="shared" ref="W143:W165" si="20">IF(AM143&lt;0,"pin in groundstacking hole"," ")</f>
        <v>#DIV/0!</v>
      </c>
      <c r="X143" s="23" t="e">
        <f>SUM(V143:V165)/($B$139-B142)</f>
        <v>#DIV/0!</v>
      </c>
      <c r="Y143" s="97">
        <f>SUM(D143)+$C$142</f>
        <v>0</v>
      </c>
      <c r="Z143" s="173">
        <f t="shared" ref="Z143:Z165" si="21">69.3447148-Y143</f>
        <v>69.344714800000006</v>
      </c>
      <c r="AA143" s="98">
        <f t="shared" si="13"/>
        <v>0.93571960494171247</v>
      </c>
      <c r="AB143" s="174">
        <f t="shared" ref="AB143:AB165" si="22">+AA143*192.42</f>
        <v>180.0511663828843</v>
      </c>
      <c r="AC143" s="173">
        <f t="shared" ref="AC143:AC165" si="23">50.1744799+Y143</f>
        <v>50.174479900000001</v>
      </c>
      <c r="AD143" s="94">
        <f t="shared" ref="AD143:AD165" si="24">SIN(AC143*3.14159265358979/180)</f>
        <v>0.76799833627881664</v>
      </c>
      <c r="AE143" s="174">
        <f t="shared" ref="AE143:AE165" si="25">+AD143*190.76</f>
        <v>146.50336262854705</v>
      </c>
      <c r="AF143" s="174">
        <f t="shared" ref="AF143:AF165" si="26">25.5*($B$139-B142)</f>
        <v>0</v>
      </c>
      <c r="AG143" s="92">
        <f t="shared" ref="AG143:AG165" si="27">+AE143+AB143</f>
        <v>326.55452901143133</v>
      </c>
      <c r="AH143" s="92">
        <f>+V143-AE143</f>
        <v>-146.50336262854705</v>
      </c>
      <c r="AI143" s="92" t="e">
        <f>+X143-AH143</f>
        <v>#DIV/0!</v>
      </c>
      <c r="AJ143" s="100" t="e">
        <f t="shared" ref="AJ143:AJ165" si="28">+((AG143-AI143)/AG143)*AF143</f>
        <v>#DIV/0!</v>
      </c>
      <c r="AK143" s="100" t="e">
        <f t="shared" ref="AK143:AK165" si="29">+(AI143/AG143)*AF143</f>
        <v>#DIV/0!</v>
      </c>
      <c r="AL143" s="109" t="e">
        <f t="shared" si="14"/>
        <v>#DIV/0!</v>
      </c>
      <c r="AM143" s="110" t="e">
        <f t="shared" si="15"/>
        <v>#DIV/0!</v>
      </c>
      <c r="AN143" s="137" t="e">
        <f t="shared" ref="AN143:AO159" si="30">ABS(AL143)</f>
        <v>#DIV/0!</v>
      </c>
      <c r="AO143" s="137" t="e">
        <f t="shared" si="30"/>
        <v>#DIV/0!</v>
      </c>
      <c r="AP143" t="e">
        <f t="shared" ref="AP143:AP165" si="31">IF(AM143&lt;0,0.3,0)</f>
        <v>#DIV/0!</v>
      </c>
      <c r="AQ143" s="1623"/>
      <c r="AR143" s="1623"/>
      <c r="AS143" s="1623"/>
    </row>
    <row r="144" spans="2:93" ht="21" customHeight="1" thickBot="1" x14ac:dyDescent="0.35">
      <c r="B144" s="88">
        <v>3</v>
      </c>
      <c r="C144" s="20"/>
      <c r="D144" s="738">
        <v>0</v>
      </c>
      <c r="E144" s="333" t="s">
        <v>72</v>
      </c>
      <c r="F144" s="104">
        <f t="shared" si="16"/>
        <v>0.3</v>
      </c>
      <c r="G144" s="118">
        <f t="shared" si="17"/>
        <v>0.3</v>
      </c>
      <c r="H144" s="158">
        <v>190.76</v>
      </c>
      <c r="I144" s="159">
        <v>79.651040199999997</v>
      </c>
      <c r="J144" s="2">
        <f t="shared" si="18"/>
        <v>79.651040199999997</v>
      </c>
      <c r="K144" s="2">
        <f t="shared" si="5"/>
        <v>39.825520099999999</v>
      </c>
      <c r="L144" s="2">
        <f t="shared" si="6"/>
        <v>0.64045183696587837</v>
      </c>
      <c r="M144" s="2">
        <f t="shared" si="7"/>
        <v>122.17259241961095</v>
      </c>
      <c r="N144" s="2">
        <f t="shared" si="8"/>
        <v>244.3451848392219</v>
      </c>
      <c r="O144" s="2">
        <f>+C142+D143+(D144/2)</f>
        <v>0</v>
      </c>
      <c r="P144" s="2">
        <f t="shared" si="9"/>
        <v>0</v>
      </c>
      <c r="Q144" s="2">
        <f t="shared" si="10"/>
        <v>0</v>
      </c>
      <c r="R144" s="2">
        <f t="shared" si="19"/>
        <v>146.5</v>
      </c>
      <c r="S144" s="2">
        <f t="shared" ref="S144:S165" si="32">+S143+Q144</f>
        <v>146.5</v>
      </c>
      <c r="T144" s="3">
        <f t="shared" si="11"/>
        <v>146.5</v>
      </c>
      <c r="V144" s="23">
        <f t="shared" si="12"/>
        <v>0</v>
      </c>
      <c r="W144" s="81" t="str">
        <f t="shared" si="20"/>
        <v>pin in groundstacking hole</v>
      </c>
      <c r="X144" s="23">
        <f>SUM(V144:V165)/($B$139-B143)</f>
        <v>0</v>
      </c>
      <c r="Y144" s="97">
        <f>SUM(D143:D144)+$C$142</f>
        <v>0</v>
      </c>
      <c r="Z144" s="173">
        <f t="shared" si="21"/>
        <v>69.344714800000006</v>
      </c>
      <c r="AA144" s="98">
        <f t="shared" si="13"/>
        <v>0.93571960494171247</v>
      </c>
      <c r="AB144" s="174">
        <f t="shared" si="22"/>
        <v>180.0511663828843</v>
      </c>
      <c r="AC144" s="173">
        <f t="shared" si="23"/>
        <v>50.174479900000001</v>
      </c>
      <c r="AD144" s="94">
        <f t="shared" si="24"/>
        <v>0.76799833627881664</v>
      </c>
      <c r="AE144" s="174">
        <f t="shared" si="25"/>
        <v>146.50336262854705</v>
      </c>
      <c r="AF144" s="174">
        <f t="shared" si="26"/>
        <v>-25.5</v>
      </c>
      <c r="AG144" s="92">
        <f t="shared" si="27"/>
        <v>326.55452901143133</v>
      </c>
      <c r="AH144" s="92">
        <f>+V144-AE144</f>
        <v>-146.50336262854705</v>
      </c>
      <c r="AI144" s="92">
        <f>+X144-AH144</f>
        <v>146.50336262854705</v>
      </c>
      <c r="AJ144" s="100">
        <f t="shared" si="28"/>
        <v>-14.059840960291279</v>
      </c>
      <c r="AK144" s="100">
        <f t="shared" si="29"/>
        <v>-11.440159039708721</v>
      </c>
      <c r="AL144" s="109">
        <f t="shared" si="14"/>
        <v>-825.04489437408847</v>
      </c>
      <c r="AM144" s="110">
        <f t="shared" si="15"/>
        <v>-874.11372213358766</v>
      </c>
      <c r="AN144" s="137">
        <f t="shared" si="30"/>
        <v>825.04489437408847</v>
      </c>
      <c r="AO144" s="137">
        <f t="shared" si="30"/>
        <v>874.11372213358766</v>
      </c>
      <c r="AP144">
        <f t="shared" si="31"/>
        <v>0.3</v>
      </c>
      <c r="AQ144" s="1623"/>
      <c r="AR144" s="1623"/>
      <c r="AS144" s="1623"/>
    </row>
    <row r="145" spans="1:90" ht="21" customHeight="1" thickBot="1" x14ac:dyDescent="0.35">
      <c r="B145" s="88">
        <v>4</v>
      </c>
      <c r="C145" s="20"/>
      <c r="D145" s="738">
        <v>0</v>
      </c>
      <c r="E145" s="333" t="s">
        <v>72</v>
      </c>
      <c r="F145" s="104">
        <f t="shared" si="16"/>
        <v>0.3</v>
      </c>
      <c r="G145" s="118">
        <f t="shared" si="17"/>
        <v>0.3</v>
      </c>
      <c r="H145" s="158">
        <v>190.76</v>
      </c>
      <c r="I145" s="159">
        <v>79.651040199999997</v>
      </c>
      <c r="J145" s="2">
        <f t="shared" si="18"/>
        <v>79.651040199999997</v>
      </c>
      <c r="K145" s="2">
        <f t="shared" si="5"/>
        <v>39.825520099999999</v>
      </c>
      <c r="L145" s="2">
        <f t="shared" si="6"/>
        <v>0.64045183696587837</v>
      </c>
      <c r="M145" s="2">
        <f t="shared" si="7"/>
        <v>122.17259241961095</v>
      </c>
      <c r="N145" s="2">
        <f t="shared" si="8"/>
        <v>244.3451848392219</v>
      </c>
      <c r="O145" s="2">
        <f>+C142+D143+D144+(D145/2)</f>
        <v>0</v>
      </c>
      <c r="P145" s="2">
        <f t="shared" si="9"/>
        <v>0</v>
      </c>
      <c r="Q145" s="2">
        <f t="shared" si="10"/>
        <v>0</v>
      </c>
      <c r="R145" s="2">
        <f t="shared" si="19"/>
        <v>146.5</v>
      </c>
      <c r="S145" s="2">
        <f t="shared" si="32"/>
        <v>146.5</v>
      </c>
      <c r="T145" s="3">
        <f t="shared" si="11"/>
        <v>146.5</v>
      </c>
      <c r="V145" s="23">
        <f t="shared" si="12"/>
        <v>0</v>
      </c>
      <c r="W145" s="81" t="str">
        <f t="shared" si="20"/>
        <v>pin in groundstacking hole</v>
      </c>
      <c r="X145" s="23">
        <f>SUM(V145:V165)/($B$139-B144)</f>
        <v>0</v>
      </c>
      <c r="Y145" s="97">
        <f>SUM(D143:D145)+$C$142</f>
        <v>0</v>
      </c>
      <c r="Z145" s="173">
        <f t="shared" si="21"/>
        <v>69.344714800000006</v>
      </c>
      <c r="AA145" s="98">
        <f t="shared" si="13"/>
        <v>0.93571960494171247</v>
      </c>
      <c r="AB145" s="174">
        <f t="shared" si="22"/>
        <v>180.0511663828843</v>
      </c>
      <c r="AC145" s="173">
        <f t="shared" si="23"/>
        <v>50.174479900000001</v>
      </c>
      <c r="AD145" s="94">
        <f t="shared" si="24"/>
        <v>0.76799833627881664</v>
      </c>
      <c r="AE145" s="174">
        <f t="shared" si="25"/>
        <v>146.50336262854705</v>
      </c>
      <c r="AF145" s="174">
        <f t="shared" si="26"/>
        <v>-51</v>
      </c>
      <c r="AG145" s="92">
        <f t="shared" si="27"/>
        <v>326.55452901143133</v>
      </c>
      <c r="AH145" s="92">
        <f>+V145-AE145</f>
        <v>-146.50336262854705</v>
      </c>
      <c r="AI145" s="92">
        <f t="shared" ref="AI145:AI165" si="33">+X145-AH145</f>
        <v>146.50336262854705</v>
      </c>
      <c r="AJ145" s="100">
        <f t="shared" si="28"/>
        <v>-28.119681920582558</v>
      </c>
      <c r="AK145" s="100">
        <f t="shared" si="29"/>
        <v>-22.880318079417442</v>
      </c>
      <c r="AL145" s="109">
        <f t="shared" si="14"/>
        <v>-412.52244718704424</v>
      </c>
      <c r="AM145" s="110">
        <f t="shared" si="15"/>
        <v>-437.05686106679383</v>
      </c>
      <c r="AN145" s="137">
        <f t="shared" si="30"/>
        <v>412.52244718704424</v>
      </c>
      <c r="AO145" s="137">
        <f t="shared" si="30"/>
        <v>437.05686106679383</v>
      </c>
      <c r="AP145">
        <f t="shared" si="31"/>
        <v>0.3</v>
      </c>
      <c r="AQ145" s="1623"/>
      <c r="AR145" s="1623"/>
      <c r="AS145" s="1623"/>
    </row>
    <row r="146" spans="1:90" ht="21" customHeight="1" thickBot="1" x14ac:dyDescent="0.35">
      <c r="B146" s="88">
        <v>5</v>
      </c>
      <c r="C146" s="20"/>
      <c r="D146" s="738">
        <v>0</v>
      </c>
      <c r="E146" s="333" t="s">
        <v>72</v>
      </c>
      <c r="F146" s="104">
        <f t="shared" si="16"/>
        <v>0.3</v>
      </c>
      <c r="G146" s="118">
        <f t="shared" si="17"/>
        <v>0.3</v>
      </c>
      <c r="H146" s="158">
        <v>190.76</v>
      </c>
      <c r="I146" s="159">
        <v>79.651040199999997</v>
      </c>
      <c r="J146" s="2">
        <f t="shared" si="18"/>
        <v>79.651040199999997</v>
      </c>
      <c r="K146" s="2">
        <f t="shared" si="5"/>
        <v>39.825520099999999</v>
      </c>
      <c r="L146" s="2">
        <f t="shared" si="6"/>
        <v>0.64045183696587837</v>
      </c>
      <c r="M146" s="2">
        <f t="shared" si="7"/>
        <v>122.17259241961095</v>
      </c>
      <c r="N146" s="2">
        <f t="shared" si="8"/>
        <v>244.3451848392219</v>
      </c>
      <c r="O146" s="2">
        <f>+C142+D143+D144+D145+(D146/2)</f>
        <v>0</v>
      </c>
      <c r="P146" s="2">
        <f t="shared" si="9"/>
        <v>0</v>
      </c>
      <c r="Q146" s="2">
        <f t="shared" si="10"/>
        <v>0</v>
      </c>
      <c r="R146" s="2">
        <f t="shared" si="19"/>
        <v>146.5</v>
      </c>
      <c r="S146" s="2">
        <f t="shared" si="32"/>
        <v>146.5</v>
      </c>
      <c r="T146" s="3">
        <f t="shared" si="11"/>
        <v>146.5</v>
      </c>
      <c r="V146" s="23">
        <f t="shared" si="12"/>
        <v>0</v>
      </c>
      <c r="W146" s="81" t="str">
        <f t="shared" si="20"/>
        <v>pin in groundstacking hole</v>
      </c>
      <c r="X146" s="23">
        <f>SUM(V146:V165)/($B$139-B145)</f>
        <v>0</v>
      </c>
      <c r="Y146" s="97">
        <f>SUM(D143:D146)+$C$142</f>
        <v>0</v>
      </c>
      <c r="Z146" s="173">
        <f t="shared" si="21"/>
        <v>69.344714800000006</v>
      </c>
      <c r="AA146" s="98">
        <f t="shared" si="13"/>
        <v>0.93571960494171247</v>
      </c>
      <c r="AB146" s="174">
        <f t="shared" si="22"/>
        <v>180.0511663828843</v>
      </c>
      <c r="AC146" s="173">
        <f t="shared" si="23"/>
        <v>50.174479900000001</v>
      </c>
      <c r="AD146" s="94">
        <f t="shared" si="24"/>
        <v>0.76799833627881664</v>
      </c>
      <c r="AE146" s="174">
        <f t="shared" si="25"/>
        <v>146.50336262854705</v>
      </c>
      <c r="AF146" s="174">
        <f t="shared" si="26"/>
        <v>-76.5</v>
      </c>
      <c r="AG146" s="92">
        <f t="shared" si="27"/>
        <v>326.55452901143133</v>
      </c>
      <c r="AH146" s="92">
        <f t="shared" ref="AH146:AH165" si="34">+V146-AE146</f>
        <v>-146.50336262854705</v>
      </c>
      <c r="AI146" s="92">
        <f t="shared" si="33"/>
        <v>146.50336262854705</v>
      </c>
      <c r="AJ146" s="100">
        <f t="shared" si="28"/>
        <v>-42.17952288087384</v>
      </c>
      <c r="AK146" s="100">
        <f t="shared" si="29"/>
        <v>-34.32047711912616</v>
      </c>
      <c r="AL146" s="109">
        <f t="shared" si="14"/>
        <v>-275.01496479136279</v>
      </c>
      <c r="AM146" s="110">
        <f t="shared" si="15"/>
        <v>-291.37124071119592</v>
      </c>
      <c r="AN146" s="137">
        <f t="shared" si="30"/>
        <v>275.01496479136279</v>
      </c>
      <c r="AO146" s="137">
        <f t="shared" si="30"/>
        <v>291.37124071119592</v>
      </c>
      <c r="AP146">
        <f t="shared" si="31"/>
        <v>0.3</v>
      </c>
      <c r="AQ146" s="1623"/>
      <c r="AR146" s="1623"/>
      <c r="AS146" s="1623"/>
    </row>
    <row r="147" spans="1:90" ht="21" customHeight="1" thickBot="1" x14ac:dyDescent="0.35">
      <c r="B147" s="88">
        <v>6</v>
      </c>
      <c r="C147" s="20"/>
      <c r="D147" s="738">
        <v>0</v>
      </c>
      <c r="E147" s="333" t="s">
        <v>72</v>
      </c>
      <c r="F147" s="104">
        <f t="shared" si="16"/>
        <v>0.3</v>
      </c>
      <c r="G147" s="118">
        <f t="shared" si="17"/>
        <v>0.3</v>
      </c>
      <c r="H147" s="158">
        <v>190.76</v>
      </c>
      <c r="I147" s="159">
        <v>79.651040199999997</v>
      </c>
      <c r="J147" s="2">
        <f t="shared" si="18"/>
        <v>79.651040199999997</v>
      </c>
      <c r="K147" s="2">
        <f t="shared" si="5"/>
        <v>39.825520099999999</v>
      </c>
      <c r="L147" s="2">
        <f t="shared" si="6"/>
        <v>0.64045183696587837</v>
      </c>
      <c r="M147" s="2">
        <f t="shared" si="7"/>
        <v>122.17259241961095</v>
      </c>
      <c r="N147" s="2">
        <f t="shared" si="8"/>
        <v>244.3451848392219</v>
      </c>
      <c r="O147" s="2">
        <f>+C142+D143+D144+D145+D146+(D147/2)</f>
        <v>0</v>
      </c>
      <c r="P147" s="2">
        <f t="shared" si="9"/>
        <v>0</v>
      </c>
      <c r="Q147" s="2">
        <f t="shared" si="10"/>
        <v>0</v>
      </c>
      <c r="R147" s="2">
        <f t="shared" si="19"/>
        <v>146.5</v>
      </c>
      <c r="S147" s="2">
        <f t="shared" si="32"/>
        <v>146.5</v>
      </c>
      <c r="T147" s="3">
        <f t="shared" si="11"/>
        <v>146.5</v>
      </c>
      <c r="V147" s="23">
        <f t="shared" si="12"/>
        <v>0</v>
      </c>
      <c r="W147" s="81" t="str">
        <f t="shared" si="20"/>
        <v>pin in groundstacking hole</v>
      </c>
      <c r="X147" s="23">
        <f>SUM(V147:V165)/($B$139-B146)</f>
        <v>0</v>
      </c>
      <c r="Y147" s="97">
        <f>SUM(D143:D147)+$C$142</f>
        <v>0</v>
      </c>
      <c r="Z147" s="173">
        <f t="shared" si="21"/>
        <v>69.344714800000006</v>
      </c>
      <c r="AA147" s="98">
        <f t="shared" si="13"/>
        <v>0.93571960494171247</v>
      </c>
      <c r="AB147" s="174">
        <f t="shared" si="22"/>
        <v>180.0511663828843</v>
      </c>
      <c r="AC147" s="173">
        <f t="shared" si="23"/>
        <v>50.174479900000001</v>
      </c>
      <c r="AD147" s="94">
        <f t="shared" si="24"/>
        <v>0.76799833627881664</v>
      </c>
      <c r="AE147" s="174">
        <f t="shared" si="25"/>
        <v>146.50336262854705</v>
      </c>
      <c r="AF147" s="174">
        <f t="shared" si="26"/>
        <v>-102</v>
      </c>
      <c r="AG147" s="92">
        <f t="shared" si="27"/>
        <v>326.55452901143133</v>
      </c>
      <c r="AH147" s="92">
        <f t="shared" si="34"/>
        <v>-146.50336262854705</v>
      </c>
      <c r="AI147" s="92">
        <f t="shared" si="33"/>
        <v>146.50336262854705</v>
      </c>
      <c r="AJ147" s="100">
        <f t="shared" si="28"/>
        <v>-56.239363841165115</v>
      </c>
      <c r="AK147" s="100">
        <f t="shared" si="29"/>
        <v>-45.760636158834885</v>
      </c>
      <c r="AL147" s="109">
        <f t="shared" si="14"/>
        <v>-206.26122359352212</v>
      </c>
      <c r="AM147" s="110">
        <f t="shared" si="15"/>
        <v>-218.52843053339691</v>
      </c>
      <c r="AN147" s="137">
        <f t="shared" si="30"/>
        <v>206.26122359352212</v>
      </c>
      <c r="AO147" s="137">
        <f t="shared" si="30"/>
        <v>218.52843053339691</v>
      </c>
      <c r="AP147">
        <f t="shared" si="31"/>
        <v>0.3</v>
      </c>
      <c r="AQ147" s="1623"/>
      <c r="AR147" s="1623"/>
      <c r="AS147" s="1623"/>
    </row>
    <row r="148" spans="1:90" ht="21" customHeight="1" thickBot="1" x14ac:dyDescent="0.35">
      <c r="B148" s="88">
        <v>7</v>
      </c>
      <c r="C148" s="20"/>
      <c r="D148" s="738">
        <v>0</v>
      </c>
      <c r="E148" s="333" t="s">
        <v>72</v>
      </c>
      <c r="F148" s="104">
        <f t="shared" si="16"/>
        <v>0.3</v>
      </c>
      <c r="G148" s="118">
        <f t="shared" si="17"/>
        <v>0.3</v>
      </c>
      <c r="H148" s="158">
        <v>190.76</v>
      </c>
      <c r="I148" s="159">
        <v>79.651040199999997</v>
      </c>
      <c r="J148" s="2">
        <f t="shared" si="18"/>
        <v>79.651040199999997</v>
      </c>
      <c r="K148" s="2">
        <f t="shared" si="5"/>
        <v>39.825520099999999</v>
      </c>
      <c r="L148" s="2">
        <f t="shared" si="6"/>
        <v>0.64045183696587837</v>
      </c>
      <c r="M148" s="2">
        <f t="shared" si="7"/>
        <v>122.17259241961095</v>
      </c>
      <c r="N148" s="2">
        <f t="shared" si="8"/>
        <v>244.3451848392219</v>
      </c>
      <c r="O148" s="2">
        <f>+C142+D143+D144+D145+D146+D147+(D148/2)</f>
        <v>0</v>
      </c>
      <c r="P148" s="2">
        <f t="shared" si="9"/>
        <v>0</v>
      </c>
      <c r="Q148" s="2">
        <f t="shared" si="10"/>
        <v>0</v>
      </c>
      <c r="R148" s="2">
        <f t="shared" si="19"/>
        <v>146.5</v>
      </c>
      <c r="S148" s="2">
        <f t="shared" si="32"/>
        <v>146.5</v>
      </c>
      <c r="T148" s="3">
        <f t="shared" si="11"/>
        <v>146.5</v>
      </c>
      <c r="V148" s="23">
        <f t="shared" si="12"/>
        <v>0</v>
      </c>
      <c r="W148" s="81" t="str">
        <f t="shared" si="20"/>
        <v>pin in groundstacking hole</v>
      </c>
      <c r="X148" s="23">
        <f t="shared" ref="X148:X165" si="35">SUM(V148:V165)/($B$139-B147)</f>
        <v>0</v>
      </c>
      <c r="Y148" s="97">
        <f>SUM(D143:D148)+$C$142</f>
        <v>0</v>
      </c>
      <c r="Z148" s="173">
        <f t="shared" si="21"/>
        <v>69.344714800000006</v>
      </c>
      <c r="AA148" s="98">
        <f t="shared" si="13"/>
        <v>0.93571960494171247</v>
      </c>
      <c r="AB148" s="174">
        <f t="shared" si="22"/>
        <v>180.0511663828843</v>
      </c>
      <c r="AC148" s="173">
        <f t="shared" si="23"/>
        <v>50.174479900000001</v>
      </c>
      <c r="AD148" s="94">
        <f t="shared" si="24"/>
        <v>0.76799833627881664</v>
      </c>
      <c r="AE148" s="174">
        <f t="shared" si="25"/>
        <v>146.50336262854705</v>
      </c>
      <c r="AF148" s="174">
        <f t="shared" si="26"/>
        <v>-127.5</v>
      </c>
      <c r="AG148" s="92">
        <f t="shared" si="27"/>
        <v>326.55452901143133</v>
      </c>
      <c r="AH148" s="92">
        <f t="shared" si="34"/>
        <v>-146.50336262854705</v>
      </c>
      <c r="AI148" s="92">
        <f t="shared" si="33"/>
        <v>146.50336262854705</v>
      </c>
      <c r="AJ148" s="100">
        <f t="shared" si="28"/>
        <v>-70.299204801456398</v>
      </c>
      <c r="AK148" s="100">
        <f t="shared" si="29"/>
        <v>-57.200795198543602</v>
      </c>
      <c r="AL148" s="109">
        <f t="shared" si="14"/>
        <v>-165.00897887481767</v>
      </c>
      <c r="AM148" s="110">
        <f t="shared" si="15"/>
        <v>-174.82274442671755</v>
      </c>
      <c r="AN148" s="137">
        <f t="shared" si="30"/>
        <v>165.00897887481767</v>
      </c>
      <c r="AO148" s="137">
        <f t="shared" si="30"/>
        <v>174.82274442671755</v>
      </c>
      <c r="AP148">
        <f t="shared" si="31"/>
        <v>0.3</v>
      </c>
      <c r="AQ148" s="1623"/>
      <c r="AR148" s="1623"/>
      <c r="AS148" s="1623"/>
      <c r="AT148" s="1623"/>
      <c r="AU148" s="1623"/>
      <c r="AV148" s="1623"/>
    </row>
    <row r="149" spans="1:90" ht="21" customHeight="1" thickBot="1" x14ac:dyDescent="0.35">
      <c r="B149" s="88">
        <v>8</v>
      </c>
      <c r="C149" s="20"/>
      <c r="D149" s="738">
        <v>0</v>
      </c>
      <c r="E149" s="333" t="s">
        <v>72</v>
      </c>
      <c r="F149" s="104">
        <f t="shared" si="16"/>
        <v>0.3</v>
      </c>
      <c r="G149" s="118">
        <f t="shared" si="17"/>
        <v>0.3</v>
      </c>
      <c r="H149" s="158">
        <v>190.76</v>
      </c>
      <c r="I149" s="159">
        <v>79.651040199999997</v>
      </c>
      <c r="J149" s="2">
        <f t="shared" si="18"/>
        <v>79.651040199999997</v>
      </c>
      <c r="K149" s="2">
        <f t="shared" si="5"/>
        <v>39.825520099999999</v>
      </c>
      <c r="L149" s="2">
        <f t="shared" si="6"/>
        <v>0.64045183696587837</v>
      </c>
      <c r="M149" s="2">
        <f t="shared" si="7"/>
        <v>122.17259241961095</v>
      </c>
      <c r="N149" s="2">
        <f t="shared" si="8"/>
        <v>244.3451848392219</v>
      </c>
      <c r="O149" s="2">
        <f>+C142+D143+D144+D145+D146+D147+D148+(D149/2)</f>
        <v>0</v>
      </c>
      <c r="P149" s="2">
        <f t="shared" si="9"/>
        <v>0</v>
      </c>
      <c r="Q149" s="2">
        <f t="shared" si="10"/>
        <v>0</v>
      </c>
      <c r="R149" s="2">
        <f t="shared" si="19"/>
        <v>146.5</v>
      </c>
      <c r="S149" s="2">
        <f t="shared" si="32"/>
        <v>146.5</v>
      </c>
      <c r="T149" s="3">
        <f t="shared" si="11"/>
        <v>146.5</v>
      </c>
      <c r="V149" s="23">
        <f t="shared" si="12"/>
        <v>0</v>
      </c>
      <c r="W149" s="81" t="str">
        <f t="shared" si="20"/>
        <v>pin in groundstacking hole</v>
      </c>
      <c r="X149" s="23">
        <f t="shared" si="35"/>
        <v>0</v>
      </c>
      <c r="Y149" s="97">
        <f>SUM(D143:D149)+$C$142</f>
        <v>0</v>
      </c>
      <c r="Z149" s="173">
        <f t="shared" si="21"/>
        <v>69.344714800000006</v>
      </c>
      <c r="AA149" s="98">
        <f t="shared" si="13"/>
        <v>0.93571960494171247</v>
      </c>
      <c r="AB149" s="174">
        <f t="shared" si="22"/>
        <v>180.0511663828843</v>
      </c>
      <c r="AC149" s="173">
        <f t="shared" si="23"/>
        <v>50.174479900000001</v>
      </c>
      <c r="AD149" s="94">
        <f t="shared" si="24"/>
        <v>0.76799833627881664</v>
      </c>
      <c r="AE149" s="174">
        <f t="shared" si="25"/>
        <v>146.50336262854705</v>
      </c>
      <c r="AF149" s="174">
        <f t="shared" si="26"/>
        <v>-153</v>
      </c>
      <c r="AG149" s="92">
        <f t="shared" si="27"/>
        <v>326.55452901143133</v>
      </c>
      <c r="AH149" s="92">
        <f t="shared" si="34"/>
        <v>-146.50336262854705</v>
      </c>
      <c r="AI149" s="92">
        <f t="shared" si="33"/>
        <v>146.50336262854705</v>
      </c>
      <c r="AJ149" s="100">
        <f t="shared" si="28"/>
        <v>-84.35904576174768</v>
      </c>
      <c r="AK149" s="100">
        <f t="shared" si="29"/>
        <v>-68.64095423825232</v>
      </c>
      <c r="AL149" s="109">
        <f t="shared" si="14"/>
        <v>-137.50748239568139</v>
      </c>
      <c r="AM149" s="110">
        <f t="shared" si="15"/>
        <v>-145.68562035559796</v>
      </c>
      <c r="AN149" s="137">
        <f t="shared" si="30"/>
        <v>137.50748239568139</v>
      </c>
      <c r="AO149" s="137">
        <f t="shared" si="30"/>
        <v>145.68562035559796</v>
      </c>
      <c r="AP149">
        <f t="shared" si="31"/>
        <v>0.3</v>
      </c>
      <c r="AQ149" s="1623"/>
      <c r="AR149" s="1623"/>
      <c r="AS149" s="1623"/>
      <c r="AT149" s="1623"/>
      <c r="AU149" s="1623"/>
      <c r="AV149" s="1623"/>
    </row>
    <row r="150" spans="1:90" ht="21" customHeight="1" thickBot="1" x14ac:dyDescent="0.35">
      <c r="B150" s="88">
        <v>9</v>
      </c>
      <c r="C150" s="20"/>
      <c r="D150" s="738">
        <v>0</v>
      </c>
      <c r="E150" s="333" t="s">
        <v>72</v>
      </c>
      <c r="F150" s="104">
        <f t="shared" si="16"/>
        <v>0.3</v>
      </c>
      <c r="G150" s="118">
        <f t="shared" si="17"/>
        <v>0.3</v>
      </c>
      <c r="H150" s="158">
        <v>190.76</v>
      </c>
      <c r="I150" s="159">
        <v>79.651040199999997</v>
      </c>
      <c r="J150" s="2">
        <f t="shared" si="18"/>
        <v>79.651040199999997</v>
      </c>
      <c r="K150" s="2">
        <f t="shared" si="5"/>
        <v>39.825520099999999</v>
      </c>
      <c r="L150" s="2">
        <f t="shared" si="6"/>
        <v>0.64045183696587837</v>
      </c>
      <c r="M150" s="2">
        <f t="shared" si="7"/>
        <v>122.17259241961095</v>
      </c>
      <c r="N150" s="2">
        <f t="shared" si="8"/>
        <v>244.3451848392219</v>
      </c>
      <c r="O150" s="2">
        <f>+C142+D143+D144+D145+D146+D147+D148+D149+(D150/2)</f>
        <v>0</v>
      </c>
      <c r="P150" s="2">
        <f t="shared" si="9"/>
        <v>0</v>
      </c>
      <c r="Q150" s="2">
        <f t="shared" si="10"/>
        <v>0</v>
      </c>
      <c r="R150" s="2">
        <f t="shared" si="19"/>
        <v>146.5</v>
      </c>
      <c r="S150" s="2">
        <f t="shared" si="32"/>
        <v>146.5</v>
      </c>
      <c r="T150" s="3">
        <f t="shared" si="11"/>
        <v>146.5</v>
      </c>
      <c r="V150" s="23">
        <f t="shared" si="12"/>
        <v>0</v>
      </c>
      <c r="W150" s="81" t="str">
        <f t="shared" si="20"/>
        <v>pin in groundstacking hole</v>
      </c>
      <c r="X150" s="23">
        <f t="shared" si="35"/>
        <v>0</v>
      </c>
      <c r="Y150" s="97">
        <f>SUM(D143:D150)+$C$142</f>
        <v>0</v>
      </c>
      <c r="Z150" s="173">
        <f t="shared" si="21"/>
        <v>69.344714800000006</v>
      </c>
      <c r="AA150" s="98">
        <f t="shared" si="13"/>
        <v>0.93571960494171247</v>
      </c>
      <c r="AB150" s="174">
        <f t="shared" si="22"/>
        <v>180.0511663828843</v>
      </c>
      <c r="AC150" s="173">
        <f t="shared" si="23"/>
        <v>50.174479900000001</v>
      </c>
      <c r="AD150" s="94">
        <f t="shared" si="24"/>
        <v>0.76799833627881664</v>
      </c>
      <c r="AE150" s="174">
        <f t="shared" si="25"/>
        <v>146.50336262854705</v>
      </c>
      <c r="AF150" s="174">
        <f t="shared" si="26"/>
        <v>-178.5</v>
      </c>
      <c r="AG150" s="92">
        <f t="shared" si="27"/>
        <v>326.55452901143133</v>
      </c>
      <c r="AH150" s="92">
        <f t="shared" si="34"/>
        <v>-146.50336262854705</v>
      </c>
      <c r="AI150" s="92">
        <f t="shared" si="33"/>
        <v>146.50336262854705</v>
      </c>
      <c r="AJ150" s="100">
        <f t="shared" si="28"/>
        <v>-98.418886722038962</v>
      </c>
      <c r="AK150" s="100">
        <f t="shared" si="29"/>
        <v>-80.081113277961038</v>
      </c>
      <c r="AL150" s="109">
        <f t="shared" si="14"/>
        <v>-117.86355633915548</v>
      </c>
      <c r="AM150" s="110">
        <f t="shared" si="15"/>
        <v>-124.87338887622683</v>
      </c>
      <c r="AN150" s="137">
        <f t="shared" si="30"/>
        <v>117.86355633915548</v>
      </c>
      <c r="AO150" s="137">
        <f t="shared" si="30"/>
        <v>124.87338887622683</v>
      </c>
      <c r="AP150">
        <f t="shared" si="31"/>
        <v>0.3</v>
      </c>
      <c r="AQ150" s="1623"/>
      <c r="AR150" s="1623"/>
      <c r="AS150" s="1623"/>
      <c r="AT150" s="1623"/>
      <c r="AU150" s="1623"/>
      <c r="AV150" s="1623"/>
    </row>
    <row r="151" spans="1:90" ht="21" customHeight="1" thickBot="1" x14ac:dyDescent="0.35">
      <c r="B151" s="88">
        <v>10</v>
      </c>
      <c r="C151" s="20"/>
      <c r="D151" s="738">
        <v>0</v>
      </c>
      <c r="E151" s="333" t="s">
        <v>72</v>
      </c>
      <c r="F151" s="104">
        <f t="shared" si="16"/>
        <v>0.3</v>
      </c>
      <c r="G151" s="118">
        <f t="shared" si="17"/>
        <v>0.3</v>
      </c>
      <c r="H151" s="158">
        <v>190.76</v>
      </c>
      <c r="I151" s="159">
        <v>79.651040199999997</v>
      </c>
      <c r="J151" s="2">
        <f t="shared" si="18"/>
        <v>79.651040199999997</v>
      </c>
      <c r="K151" s="2">
        <f t="shared" si="5"/>
        <v>39.825520099999999</v>
      </c>
      <c r="L151" s="2">
        <f t="shared" si="6"/>
        <v>0.64045183696587837</v>
      </c>
      <c r="M151" s="2">
        <f t="shared" si="7"/>
        <v>122.17259241961095</v>
      </c>
      <c r="N151" s="2">
        <f t="shared" si="8"/>
        <v>244.3451848392219</v>
      </c>
      <c r="O151" s="2">
        <f>+C142+D143+D144+D145+D146+D147+D148+D149+D150+(D151/2)</f>
        <v>0</v>
      </c>
      <c r="P151" s="2">
        <f t="shared" si="9"/>
        <v>0</v>
      </c>
      <c r="Q151" s="2">
        <f t="shared" si="10"/>
        <v>0</v>
      </c>
      <c r="R151" s="2">
        <f t="shared" si="19"/>
        <v>146.5</v>
      </c>
      <c r="S151" s="2">
        <f t="shared" si="32"/>
        <v>146.5</v>
      </c>
      <c r="T151" s="3">
        <f t="shared" si="11"/>
        <v>146.5</v>
      </c>
      <c r="V151" s="23">
        <f t="shared" si="12"/>
        <v>0</v>
      </c>
      <c r="W151" s="81" t="str">
        <f t="shared" si="20"/>
        <v>pin in groundstacking hole</v>
      </c>
      <c r="X151" s="23">
        <f t="shared" si="35"/>
        <v>0</v>
      </c>
      <c r="Y151" s="97">
        <f>SUM(D143:D151)+$C$142</f>
        <v>0</v>
      </c>
      <c r="Z151" s="173">
        <f t="shared" si="21"/>
        <v>69.344714800000006</v>
      </c>
      <c r="AA151" s="98">
        <f t="shared" si="13"/>
        <v>0.93571960494171247</v>
      </c>
      <c r="AB151" s="174">
        <f t="shared" si="22"/>
        <v>180.0511663828843</v>
      </c>
      <c r="AC151" s="173">
        <f t="shared" si="23"/>
        <v>50.174479900000001</v>
      </c>
      <c r="AD151" s="94">
        <f t="shared" si="24"/>
        <v>0.76799833627881664</v>
      </c>
      <c r="AE151" s="174">
        <f t="shared" si="25"/>
        <v>146.50336262854705</v>
      </c>
      <c r="AF151" s="174">
        <f t="shared" si="26"/>
        <v>-204</v>
      </c>
      <c r="AG151" s="92">
        <f t="shared" si="27"/>
        <v>326.55452901143133</v>
      </c>
      <c r="AH151" s="92">
        <f t="shared" si="34"/>
        <v>-146.50336262854705</v>
      </c>
      <c r="AI151" s="92">
        <f t="shared" si="33"/>
        <v>146.50336262854705</v>
      </c>
      <c r="AJ151" s="100">
        <f t="shared" si="28"/>
        <v>-112.47872768233023</v>
      </c>
      <c r="AK151" s="100">
        <f t="shared" si="29"/>
        <v>-91.521272317669769</v>
      </c>
      <c r="AL151" s="109">
        <f t="shared" si="14"/>
        <v>-103.13061179676106</v>
      </c>
      <c r="AM151" s="110">
        <f t="shared" si="15"/>
        <v>-109.26421526669846</v>
      </c>
      <c r="AN151" s="137">
        <f t="shared" si="30"/>
        <v>103.13061179676106</v>
      </c>
      <c r="AO151" s="137">
        <f t="shared" si="30"/>
        <v>109.26421526669846</v>
      </c>
      <c r="AP151">
        <f t="shared" si="31"/>
        <v>0.3</v>
      </c>
      <c r="AQ151" s="1623"/>
      <c r="AR151" s="1623"/>
      <c r="AS151" s="1623"/>
      <c r="AT151" s="1623"/>
      <c r="AU151" s="1623"/>
    </row>
    <row r="152" spans="1:90" ht="21" customHeight="1" thickBot="1" x14ac:dyDescent="0.35">
      <c r="A152" s="9"/>
      <c r="B152" s="88">
        <v>11</v>
      </c>
      <c r="C152" s="20"/>
      <c r="D152" s="738">
        <v>0</v>
      </c>
      <c r="E152" s="333" t="s">
        <v>72</v>
      </c>
      <c r="F152" s="104">
        <f t="shared" si="16"/>
        <v>0.3</v>
      </c>
      <c r="G152" s="118">
        <f t="shared" si="17"/>
        <v>0.3</v>
      </c>
      <c r="H152" s="158">
        <v>190.76</v>
      </c>
      <c r="I152" s="159">
        <v>79.651040199999997</v>
      </c>
      <c r="J152" s="2">
        <f t="shared" si="18"/>
        <v>79.651040199999997</v>
      </c>
      <c r="K152" s="2">
        <f t="shared" si="5"/>
        <v>39.825520099999999</v>
      </c>
      <c r="L152" s="2">
        <f t="shared" si="6"/>
        <v>0.64045183696587837</v>
      </c>
      <c r="M152" s="2">
        <f t="shared" si="7"/>
        <v>122.17259241961095</v>
      </c>
      <c r="N152" s="2">
        <f t="shared" si="8"/>
        <v>244.3451848392219</v>
      </c>
      <c r="O152" s="2">
        <f>+C142+D143+D144+D145+D146+D147+D148+D149+D150+D151+(D152/2)</f>
        <v>0</v>
      </c>
      <c r="P152" s="2">
        <f t="shared" si="9"/>
        <v>0</v>
      </c>
      <c r="Q152" s="2">
        <f t="shared" si="10"/>
        <v>0</v>
      </c>
      <c r="R152" s="2">
        <f t="shared" si="19"/>
        <v>146.5</v>
      </c>
      <c r="S152" s="2">
        <f t="shared" si="32"/>
        <v>146.5</v>
      </c>
      <c r="T152" s="3">
        <f t="shared" si="11"/>
        <v>146.5</v>
      </c>
      <c r="V152" s="23">
        <f t="shared" si="12"/>
        <v>0</v>
      </c>
      <c r="W152" s="81" t="str">
        <f t="shared" si="20"/>
        <v>pin in groundstacking hole</v>
      </c>
      <c r="X152" s="23">
        <f t="shared" si="35"/>
        <v>0</v>
      </c>
      <c r="Y152" s="97">
        <f>SUM(D143:D152)+$C$142</f>
        <v>0</v>
      </c>
      <c r="Z152" s="173">
        <f t="shared" si="21"/>
        <v>69.344714800000006</v>
      </c>
      <c r="AA152" s="98">
        <f t="shared" si="13"/>
        <v>0.93571960494171247</v>
      </c>
      <c r="AB152" s="174">
        <f t="shared" si="22"/>
        <v>180.0511663828843</v>
      </c>
      <c r="AC152" s="173">
        <f t="shared" si="23"/>
        <v>50.174479900000001</v>
      </c>
      <c r="AD152" s="94">
        <f t="shared" si="24"/>
        <v>0.76799833627881664</v>
      </c>
      <c r="AE152" s="174">
        <f t="shared" si="25"/>
        <v>146.50336262854705</v>
      </c>
      <c r="AF152" s="174">
        <f t="shared" si="26"/>
        <v>-229.5</v>
      </c>
      <c r="AG152" s="92">
        <f t="shared" si="27"/>
        <v>326.55452901143133</v>
      </c>
      <c r="AH152" s="92">
        <f t="shared" si="34"/>
        <v>-146.50336262854705</v>
      </c>
      <c r="AI152" s="92">
        <f t="shared" si="33"/>
        <v>146.50336262854705</v>
      </c>
      <c r="AJ152" s="100">
        <f t="shared" si="28"/>
        <v>-126.53856864262151</v>
      </c>
      <c r="AK152" s="100">
        <f t="shared" si="29"/>
        <v>-102.96143135737849</v>
      </c>
      <c r="AL152" s="109">
        <f t="shared" si="14"/>
        <v>-91.671654930454267</v>
      </c>
      <c r="AM152" s="110">
        <f t="shared" si="15"/>
        <v>-97.12374690373197</v>
      </c>
      <c r="AN152" s="137">
        <f t="shared" si="30"/>
        <v>91.671654930454267</v>
      </c>
      <c r="AO152" s="137">
        <f t="shared" si="30"/>
        <v>97.12374690373197</v>
      </c>
      <c r="AP152">
        <f t="shared" si="31"/>
        <v>0.3</v>
      </c>
      <c r="AQ152" s="1623"/>
      <c r="AR152" s="1623"/>
      <c r="AS152" s="1623"/>
      <c r="AT152" s="1623"/>
      <c r="AU152" s="1623"/>
      <c r="AV152" s="1753"/>
    </row>
    <row r="153" spans="1:90" ht="21" customHeight="1" thickBot="1" x14ac:dyDescent="0.35">
      <c r="A153" s="9"/>
      <c r="B153" s="88">
        <v>12</v>
      </c>
      <c r="C153" s="20"/>
      <c r="D153" s="738">
        <v>0</v>
      </c>
      <c r="E153" s="333" t="s">
        <v>72</v>
      </c>
      <c r="F153" s="104">
        <f t="shared" si="16"/>
        <v>0.3</v>
      </c>
      <c r="G153" s="118">
        <f t="shared" si="17"/>
        <v>0.3</v>
      </c>
      <c r="H153" s="158">
        <v>190.76</v>
      </c>
      <c r="I153" s="159">
        <v>79.651040199999997</v>
      </c>
      <c r="J153" s="2">
        <f t="shared" si="18"/>
        <v>79.651040199999997</v>
      </c>
      <c r="K153" s="2">
        <f t="shared" si="5"/>
        <v>39.825520099999999</v>
      </c>
      <c r="L153" s="2">
        <f t="shared" si="6"/>
        <v>0.64045183696587837</v>
      </c>
      <c r="M153" s="2">
        <f t="shared" si="7"/>
        <v>122.17259241961095</v>
      </c>
      <c r="N153" s="2">
        <f t="shared" si="8"/>
        <v>244.3451848392219</v>
      </c>
      <c r="O153" s="2">
        <f>+C142+D143+D144+D145+D146+D147+D148+D149+D150+D151+D152+(D153/2)</f>
        <v>0</v>
      </c>
      <c r="P153" s="2">
        <f t="shared" si="9"/>
        <v>0</v>
      </c>
      <c r="Q153" s="2">
        <f t="shared" si="10"/>
        <v>0</v>
      </c>
      <c r="R153" s="2">
        <f t="shared" si="19"/>
        <v>146.5</v>
      </c>
      <c r="S153" s="2">
        <f t="shared" si="32"/>
        <v>146.5</v>
      </c>
      <c r="T153" s="3">
        <f t="shared" si="11"/>
        <v>146.5</v>
      </c>
      <c r="V153" s="23">
        <f t="shared" si="12"/>
        <v>0</v>
      </c>
      <c r="W153" s="81" t="str">
        <f t="shared" si="20"/>
        <v>pin in groundstacking hole</v>
      </c>
      <c r="X153" s="23">
        <f t="shared" si="35"/>
        <v>0</v>
      </c>
      <c r="Y153" s="97">
        <f>SUM(D143:D153)+$C$142</f>
        <v>0</v>
      </c>
      <c r="Z153" s="173">
        <f t="shared" si="21"/>
        <v>69.344714800000006</v>
      </c>
      <c r="AA153" s="98">
        <f t="shared" si="13"/>
        <v>0.93571960494171247</v>
      </c>
      <c r="AB153" s="174">
        <f t="shared" si="22"/>
        <v>180.0511663828843</v>
      </c>
      <c r="AC153" s="173">
        <f t="shared" si="23"/>
        <v>50.174479900000001</v>
      </c>
      <c r="AD153" s="94">
        <f t="shared" si="24"/>
        <v>0.76799833627881664</v>
      </c>
      <c r="AE153" s="174">
        <f t="shared" si="25"/>
        <v>146.50336262854705</v>
      </c>
      <c r="AF153" s="174">
        <f t="shared" si="26"/>
        <v>-255</v>
      </c>
      <c r="AG153" s="92">
        <f t="shared" si="27"/>
        <v>326.55452901143133</v>
      </c>
      <c r="AH153" s="92">
        <f t="shared" si="34"/>
        <v>-146.50336262854705</v>
      </c>
      <c r="AI153" s="92">
        <f t="shared" si="33"/>
        <v>146.50336262854705</v>
      </c>
      <c r="AJ153" s="100">
        <f t="shared" si="28"/>
        <v>-140.5984096029128</v>
      </c>
      <c r="AK153" s="100">
        <f t="shared" si="29"/>
        <v>-114.4015903970872</v>
      </c>
      <c r="AL153" s="109">
        <f t="shared" si="14"/>
        <v>-82.504489437408836</v>
      </c>
      <c r="AM153" s="110">
        <f t="shared" si="15"/>
        <v>-87.411372213358774</v>
      </c>
      <c r="AN153" s="137">
        <f t="shared" si="30"/>
        <v>82.504489437408836</v>
      </c>
      <c r="AO153" s="137">
        <f t="shared" si="30"/>
        <v>87.411372213358774</v>
      </c>
      <c r="AP153">
        <f t="shared" si="31"/>
        <v>0.3</v>
      </c>
      <c r="AX153" s="1623"/>
      <c r="AY153" s="1623"/>
      <c r="AZ153" s="1623"/>
      <c r="BA153" s="1748"/>
      <c r="BB153" s="1748"/>
      <c r="BC153" s="1748"/>
      <c r="BD153" s="1748"/>
      <c r="BE153" s="1748"/>
      <c r="BF153" s="1748"/>
      <c r="BG153" s="1749"/>
      <c r="BH153" s="1749"/>
      <c r="BI153" s="1749"/>
      <c r="BJ153" s="1749"/>
      <c r="BK153" s="1749"/>
      <c r="BL153" s="1749"/>
      <c r="BM153" s="1749"/>
      <c r="BN153" s="1749"/>
      <c r="BO153" s="1749"/>
      <c r="BP153" s="1749"/>
      <c r="BQ153" s="1749"/>
      <c r="BR153" s="1749"/>
      <c r="BS153" s="1749"/>
      <c r="BT153" s="1749"/>
      <c r="BU153" s="1750"/>
    </row>
    <row r="154" spans="1:90" ht="21" customHeight="1" thickBot="1" x14ac:dyDescent="0.5">
      <c r="B154" s="88">
        <v>13</v>
      </c>
      <c r="C154" s="20"/>
      <c r="D154" s="738">
        <v>0</v>
      </c>
      <c r="E154" s="333" t="s">
        <v>72</v>
      </c>
      <c r="F154" s="104">
        <f t="shared" si="16"/>
        <v>0.3</v>
      </c>
      <c r="G154" s="118">
        <f t="shared" si="17"/>
        <v>0.3</v>
      </c>
      <c r="H154" s="158">
        <v>190.76</v>
      </c>
      <c r="I154" s="159">
        <v>79.651040199999997</v>
      </c>
      <c r="J154" s="2">
        <f t="shared" si="18"/>
        <v>79.651040199999997</v>
      </c>
      <c r="K154" s="2">
        <f t="shared" si="5"/>
        <v>39.825520099999999</v>
      </c>
      <c r="L154" s="2">
        <f t="shared" si="6"/>
        <v>0.64045183696587837</v>
      </c>
      <c r="M154" s="2">
        <f t="shared" si="7"/>
        <v>122.17259241961095</v>
      </c>
      <c r="N154" s="2">
        <f t="shared" si="8"/>
        <v>244.3451848392219</v>
      </c>
      <c r="O154" s="2">
        <f>+C142+D143+D144+D145+D146+D147+D148+D149+D150+D151+D152+D153+(D154/2)</f>
        <v>0</v>
      </c>
      <c r="P154" s="2">
        <f t="shared" si="9"/>
        <v>0</v>
      </c>
      <c r="Q154" s="2">
        <f t="shared" si="10"/>
        <v>0</v>
      </c>
      <c r="R154" s="2">
        <f t="shared" si="19"/>
        <v>146.5</v>
      </c>
      <c r="S154" s="2">
        <f t="shared" si="32"/>
        <v>146.5</v>
      </c>
      <c r="T154" s="3">
        <f t="shared" si="11"/>
        <v>146.5</v>
      </c>
      <c r="V154" s="23">
        <f t="shared" si="12"/>
        <v>0</v>
      </c>
      <c r="W154" s="81" t="str">
        <f t="shared" si="20"/>
        <v>pin in groundstacking hole</v>
      </c>
      <c r="X154" s="23">
        <f t="shared" si="35"/>
        <v>0</v>
      </c>
      <c r="Y154" s="97">
        <f>SUM(D143:D154)+$C$142</f>
        <v>0</v>
      </c>
      <c r="Z154" s="173">
        <f t="shared" si="21"/>
        <v>69.344714800000006</v>
      </c>
      <c r="AA154" s="98">
        <f t="shared" si="13"/>
        <v>0.93571960494171247</v>
      </c>
      <c r="AB154" s="174">
        <f t="shared" si="22"/>
        <v>180.0511663828843</v>
      </c>
      <c r="AC154" s="173">
        <f t="shared" si="23"/>
        <v>50.174479900000001</v>
      </c>
      <c r="AD154" s="94">
        <f t="shared" si="24"/>
        <v>0.76799833627881664</v>
      </c>
      <c r="AE154" s="174">
        <f t="shared" si="25"/>
        <v>146.50336262854705</v>
      </c>
      <c r="AF154" s="174">
        <f t="shared" si="26"/>
        <v>-280.5</v>
      </c>
      <c r="AG154" s="92">
        <f t="shared" si="27"/>
        <v>326.55452901143133</v>
      </c>
      <c r="AH154" s="92">
        <f t="shared" si="34"/>
        <v>-146.50336262854705</v>
      </c>
      <c r="AI154" s="92">
        <f t="shared" si="33"/>
        <v>146.50336262854705</v>
      </c>
      <c r="AJ154" s="100">
        <f t="shared" si="28"/>
        <v>-154.65825056320406</v>
      </c>
      <c r="AK154" s="100">
        <f t="shared" si="29"/>
        <v>-125.84174943679592</v>
      </c>
      <c r="AL154" s="109">
        <f t="shared" si="14"/>
        <v>-75.004081306735316</v>
      </c>
      <c r="AM154" s="110">
        <f t="shared" si="15"/>
        <v>-79.464883830326158</v>
      </c>
      <c r="AN154" s="137">
        <f t="shared" si="30"/>
        <v>75.004081306735316</v>
      </c>
      <c r="AO154" s="137">
        <f t="shared" si="30"/>
        <v>79.464883830326158</v>
      </c>
      <c r="AP154">
        <f t="shared" si="31"/>
        <v>0.3</v>
      </c>
      <c r="AX154" s="1754"/>
      <c r="AY154" s="1754"/>
      <c r="AZ154" s="1754"/>
      <c r="BA154" s="1748"/>
      <c r="BB154" s="1748"/>
      <c r="BC154" s="1748"/>
      <c r="BD154" s="1748"/>
      <c r="BE154" s="1748"/>
      <c r="BF154" s="1748"/>
      <c r="BG154" s="1749"/>
      <c r="BH154" s="1749"/>
      <c r="BI154" s="1749"/>
      <c r="BJ154" s="1749"/>
      <c r="BK154" s="1749"/>
      <c r="BL154" s="1749"/>
      <c r="BM154" s="1749"/>
      <c r="BN154" s="1749"/>
      <c r="BO154" s="1749"/>
      <c r="BP154" s="1749"/>
      <c r="BQ154" s="1749"/>
      <c r="BR154" s="1749"/>
      <c r="BS154" s="1749"/>
      <c r="BT154" s="1749"/>
      <c r="BU154" s="1750"/>
    </row>
    <row r="155" spans="1:90" ht="21" customHeight="1" thickBot="1" x14ac:dyDescent="0.5">
      <c r="B155" s="88">
        <v>14</v>
      </c>
      <c r="C155" s="20"/>
      <c r="D155" s="738">
        <v>0</v>
      </c>
      <c r="E155" s="333" t="s">
        <v>72</v>
      </c>
      <c r="F155" s="104">
        <f t="shared" si="16"/>
        <v>0.3</v>
      </c>
      <c r="G155" s="118">
        <f t="shared" si="17"/>
        <v>0.3</v>
      </c>
      <c r="H155" s="158">
        <v>190.76</v>
      </c>
      <c r="I155" s="159">
        <v>79.651040199999997</v>
      </c>
      <c r="J155" s="2">
        <f t="shared" si="18"/>
        <v>79.651040199999997</v>
      </c>
      <c r="K155" s="2">
        <f t="shared" si="5"/>
        <v>39.825520099999999</v>
      </c>
      <c r="L155" s="2">
        <f t="shared" si="6"/>
        <v>0.64045183696587837</v>
      </c>
      <c r="M155" s="2">
        <f t="shared" si="7"/>
        <v>122.17259241961095</v>
      </c>
      <c r="N155" s="2">
        <f t="shared" si="8"/>
        <v>244.3451848392219</v>
      </c>
      <c r="O155" s="2">
        <f>+C142+D143+D144+D145+D146+D147+D148+D149+D150+D151+D152+D153+D154+(D155/2)</f>
        <v>0</v>
      </c>
      <c r="P155" s="2">
        <f t="shared" si="9"/>
        <v>0</v>
      </c>
      <c r="Q155" s="2">
        <f t="shared" si="10"/>
        <v>0</v>
      </c>
      <c r="R155" s="2">
        <f t="shared" si="19"/>
        <v>146.5</v>
      </c>
      <c r="S155" s="2">
        <f t="shared" si="32"/>
        <v>146.5</v>
      </c>
      <c r="T155" s="3">
        <f t="shared" si="11"/>
        <v>146.5</v>
      </c>
      <c r="V155" s="23">
        <f t="shared" si="12"/>
        <v>0</v>
      </c>
      <c r="W155" s="81" t="str">
        <f t="shared" si="20"/>
        <v>pin in groundstacking hole</v>
      </c>
      <c r="X155" s="23">
        <f t="shared" si="35"/>
        <v>0</v>
      </c>
      <c r="Y155" s="97">
        <f>SUM(D143:D155)+$C$142</f>
        <v>0</v>
      </c>
      <c r="Z155" s="173">
        <f t="shared" si="21"/>
        <v>69.344714800000006</v>
      </c>
      <c r="AA155" s="98">
        <f t="shared" si="13"/>
        <v>0.93571960494171247</v>
      </c>
      <c r="AB155" s="174">
        <f t="shared" si="22"/>
        <v>180.0511663828843</v>
      </c>
      <c r="AC155" s="173">
        <f t="shared" si="23"/>
        <v>50.174479900000001</v>
      </c>
      <c r="AD155" s="94">
        <f t="shared" si="24"/>
        <v>0.76799833627881664</v>
      </c>
      <c r="AE155" s="174">
        <f t="shared" si="25"/>
        <v>146.50336262854705</v>
      </c>
      <c r="AF155" s="174">
        <f t="shared" si="26"/>
        <v>-306</v>
      </c>
      <c r="AG155" s="92">
        <f t="shared" si="27"/>
        <v>326.55452901143133</v>
      </c>
      <c r="AH155" s="92">
        <f t="shared" si="34"/>
        <v>-146.50336262854705</v>
      </c>
      <c r="AI155" s="92">
        <f t="shared" si="33"/>
        <v>146.50336262854705</v>
      </c>
      <c r="AJ155" s="100">
        <f t="shared" si="28"/>
        <v>-168.71809152349536</v>
      </c>
      <c r="AK155" s="100">
        <f t="shared" si="29"/>
        <v>-137.28190847650464</v>
      </c>
      <c r="AL155" s="109">
        <f t="shared" si="14"/>
        <v>-68.753741197840696</v>
      </c>
      <c r="AM155" s="110">
        <f t="shared" si="15"/>
        <v>-72.842810177798981</v>
      </c>
      <c r="AN155" s="137">
        <f t="shared" si="30"/>
        <v>68.753741197840696</v>
      </c>
      <c r="AO155" s="137">
        <f t="shared" si="30"/>
        <v>72.842810177798981</v>
      </c>
      <c r="AP155">
        <f t="shared" si="31"/>
        <v>0.3</v>
      </c>
      <c r="AX155" s="1754"/>
      <c r="AY155" s="1754"/>
      <c r="AZ155" s="1754"/>
      <c r="BA155" s="1748"/>
      <c r="BB155" s="1748"/>
      <c r="BC155" s="1748"/>
      <c r="BD155" s="1748"/>
      <c r="BE155" s="1748"/>
      <c r="BF155" s="1748"/>
      <c r="BG155" s="1749"/>
      <c r="BH155" s="1749"/>
      <c r="BI155" s="1749"/>
      <c r="BJ155" s="1749"/>
      <c r="BK155" s="1749"/>
      <c r="BL155" s="1749"/>
      <c r="BM155" s="1749"/>
      <c r="BN155" s="1749"/>
      <c r="BO155" s="1749"/>
      <c r="BP155" s="1749"/>
      <c r="BQ155" s="1749"/>
      <c r="BR155" s="1749"/>
      <c r="BS155" s="1749"/>
      <c r="BT155" s="1749"/>
      <c r="BU155" s="1750"/>
    </row>
    <row r="156" spans="1:90" ht="21" customHeight="1" thickBot="1" x14ac:dyDescent="0.5">
      <c r="B156" s="88">
        <v>15</v>
      </c>
      <c r="C156" s="20"/>
      <c r="D156" s="738">
        <v>0</v>
      </c>
      <c r="E156" s="333" t="s">
        <v>72</v>
      </c>
      <c r="F156" s="104">
        <f t="shared" si="16"/>
        <v>0.3</v>
      </c>
      <c r="G156" s="118">
        <f t="shared" si="17"/>
        <v>0.3</v>
      </c>
      <c r="H156" s="158">
        <v>190.76</v>
      </c>
      <c r="I156" s="159">
        <v>79.651040199999997</v>
      </c>
      <c r="J156" s="2">
        <f t="shared" si="18"/>
        <v>79.651040199999997</v>
      </c>
      <c r="K156" s="2">
        <f t="shared" si="5"/>
        <v>39.825520099999999</v>
      </c>
      <c r="L156" s="2">
        <f t="shared" si="6"/>
        <v>0.64045183696587837</v>
      </c>
      <c r="M156" s="2">
        <f t="shared" si="7"/>
        <v>122.17259241961095</v>
      </c>
      <c r="N156" s="2">
        <f t="shared" si="8"/>
        <v>244.3451848392219</v>
      </c>
      <c r="O156" s="2">
        <f>+C142+D143+D144+D145+D146+D147+D148+D149+D150+D151+D152+D153+D154+D155+(D156/2)</f>
        <v>0</v>
      </c>
      <c r="P156" s="2">
        <f t="shared" si="9"/>
        <v>0</v>
      </c>
      <c r="Q156" s="2">
        <f t="shared" si="10"/>
        <v>0</v>
      </c>
      <c r="R156" s="2">
        <f t="shared" si="19"/>
        <v>146.5</v>
      </c>
      <c r="S156" s="2">
        <f t="shared" si="32"/>
        <v>146.5</v>
      </c>
      <c r="T156" s="3">
        <f t="shared" si="11"/>
        <v>146.5</v>
      </c>
      <c r="V156" s="23">
        <f t="shared" si="12"/>
        <v>0</v>
      </c>
      <c r="W156" s="81" t="str">
        <f t="shared" si="20"/>
        <v>pin in groundstacking hole</v>
      </c>
      <c r="X156" s="23">
        <f t="shared" si="35"/>
        <v>0</v>
      </c>
      <c r="Y156" s="97">
        <f>SUM(D143:D156)+$C$142</f>
        <v>0</v>
      </c>
      <c r="Z156" s="173">
        <f t="shared" si="21"/>
        <v>69.344714800000006</v>
      </c>
      <c r="AA156" s="98">
        <f t="shared" si="13"/>
        <v>0.93571960494171247</v>
      </c>
      <c r="AB156" s="174">
        <f t="shared" si="22"/>
        <v>180.0511663828843</v>
      </c>
      <c r="AC156" s="173">
        <f t="shared" si="23"/>
        <v>50.174479900000001</v>
      </c>
      <c r="AD156" s="94">
        <f t="shared" si="24"/>
        <v>0.76799833627881664</v>
      </c>
      <c r="AE156" s="174">
        <f t="shared" si="25"/>
        <v>146.50336262854705</v>
      </c>
      <c r="AF156" s="174">
        <f t="shared" si="26"/>
        <v>-331.5</v>
      </c>
      <c r="AG156" s="92">
        <f t="shared" si="27"/>
        <v>326.55452901143133</v>
      </c>
      <c r="AH156" s="92">
        <f t="shared" si="34"/>
        <v>-146.50336262854705</v>
      </c>
      <c r="AI156" s="92">
        <f t="shared" si="33"/>
        <v>146.50336262854705</v>
      </c>
      <c r="AJ156" s="100">
        <f t="shared" si="28"/>
        <v>-182.77793248378663</v>
      </c>
      <c r="AK156" s="100">
        <f t="shared" si="29"/>
        <v>-148.72206751621337</v>
      </c>
      <c r="AL156" s="109">
        <f t="shared" si="14"/>
        <v>-63.464991874929879</v>
      </c>
      <c r="AM156" s="110">
        <f t="shared" si="15"/>
        <v>-67.239517087199047</v>
      </c>
      <c r="AN156" s="137">
        <f t="shared" si="30"/>
        <v>63.464991874929879</v>
      </c>
      <c r="AO156" s="137">
        <f t="shared" si="30"/>
        <v>67.239517087199047</v>
      </c>
      <c r="AP156">
        <f t="shared" si="31"/>
        <v>0.3</v>
      </c>
      <c r="AX156" s="1754"/>
      <c r="AY156" s="1754"/>
      <c r="AZ156" s="1754"/>
      <c r="BA156" s="1748"/>
      <c r="BB156" s="1748"/>
      <c r="BC156" s="1748"/>
      <c r="BD156" s="1748"/>
      <c r="BE156" s="1748"/>
      <c r="BF156" s="1748"/>
      <c r="BG156" s="1748"/>
      <c r="BH156" s="1748"/>
      <c r="BI156" s="1748"/>
      <c r="BJ156" s="1748"/>
      <c r="BK156" s="1748"/>
      <c r="BL156" s="1748"/>
      <c r="BM156" s="1748"/>
      <c r="BN156" s="1748"/>
      <c r="BO156" s="1748"/>
      <c r="BP156" s="1748"/>
      <c r="BQ156" s="1748"/>
      <c r="BR156" s="1748"/>
      <c r="BS156" s="1748"/>
      <c r="BT156" s="1748"/>
      <c r="BU156" s="1748"/>
      <c r="BV156" s="1748"/>
      <c r="BW156" s="1748"/>
      <c r="BX156" s="1748"/>
      <c r="BY156" s="1748"/>
      <c r="BZ156" s="1748"/>
      <c r="CA156" s="1748"/>
      <c r="CB156" s="1748"/>
      <c r="CC156" s="1748"/>
      <c r="CD156" s="1748"/>
      <c r="CE156" s="1748"/>
      <c r="CF156" s="1748"/>
      <c r="CG156" s="1748"/>
      <c r="CH156" s="1748"/>
      <c r="CI156" s="1748"/>
      <c r="CJ156" s="1748"/>
      <c r="CK156" s="1748"/>
      <c r="CL156" s="1748"/>
    </row>
    <row r="157" spans="1:90" ht="21" customHeight="1" thickBot="1" x14ac:dyDescent="0.5">
      <c r="B157" s="88">
        <v>16</v>
      </c>
      <c r="C157" s="20"/>
      <c r="D157" s="738">
        <v>0</v>
      </c>
      <c r="E157" s="333" t="s">
        <v>72</v>
      </c>
      <c r="F157" s="104">
        <v>0</v>
      </c>
      <c r="G157" s="118">
        <f>+D157+AP157</f>
        <v>0.3</v>
      </c>
      <c r="H157" s="158">
        <v>190.76</v>
      </c>
      <c r="I157" s="159">
        <v>79.651040199999997</v>
      </c>
      <c r="J157" s="2">
        <f t="shared" si="18"/>
        <v>79.651040199999997</v>
      </c>
      <c r="K157" s="2">
        <f t="shared" si="5"/>
        <v>39.825520099999999</v>
      </c>
      <c r="L157" s="2">
        <f t="shared" si="6"/>
        <v>0.64045183696587837</v>
      </c>
      <c r="M157" s="2">
        <f t="shared" si="7"/>
        <v>122.17259241961095</v>
      </c>
      <c r="N157" s="2">
        <f t="shared" si="8"/>
        <v>244.3451848392219</v>
      </c>
      <c r="O157" s="2">
        <f>+C142+D143+D144+D145+D146+D147+D148+D149+D150+D151+D152+D153+D154+D155+D156+(D157/2)</f>
        <v>0</v>
      </c>
      <c r="P157" s="2">
        <f t="shared" si="9"/>
        <v>0</v>
      </c>
      <c r="Q157" s="2">
        <f t="shared" si="10"/>
        <v>0</v>
      </c>
      <c r="R157" s="2">
        <f t="shared" si="19"/>
        <v>146.5</v>
      </c>
      <c r="S157" s="2">
        <f t="shared" si="32"/>
        <v>146.5</v>
      </c>
      <c r="T157" s="3">
        <f t="shared" si="11"/>
        <v>146.5</v>
      </c>
      <c r="V157" s="23">
        <f t="shared" si="12"/>
        <v>0</v>
      </c>
      <c r="W157" s="81" t="str">
        <f t="shared" si="20"/>
        <v>pin in groundstacking hole</v>
      </c>
      <c r="X157" s="23">
        <f t="shared" si="35"/>
        <v>0</v>
      </c>
      <c r="Y157" s="97">
        <f>SUM(D143:D157)+$C$142</f>
        <v>0</v>
      </c>
      <c r="Z157" s="173">
        <f t="shared" si="21"/>
        <v>69.344714800000006</v>
      </c>
      <c r="AA157" s="98">
        <f t="shared" si="13"/>
        <v>0.93571960494171247</v>
      </c>
      <c r="AB157" s="174">
        <f t="shared" si="22"/>
        <v>180.0511663828843</v>
      </c>
      <c r="AC157" s="173">
        <f t="shared" si="23"/>
        <v>50.174479900000001</v>
      </c>
      <c r="AD157" s="94">
        <f t="shared" si="24"/>
        <v>0.76799833627881664</v>
      </c>
      <c r="AE157" s="174">
        <f t="shared" si="25"/>
        <v>146.50336262854705</v>
      </c>
      <c r="AF157" s="174">
        <f t="shared" si="26"/>
        <v>-357</v>
      </c>
      <c r="AG157" s="92">
        <f t="shared" si="27"/>
        <v>326.55452901143133</v>
      </c>
      <c r="AH157" s="92">
        <f t="shared" si="34"/>
        <v>-146.50336262854705</v>
      </c>
      <c r="AI157" s="92">
        <f t="shared" si="33"/>
        <v>146.50336262854705</v>
      </c>
      <c r="AJ157" s="100">
        <f t="shared" si="28"/>
        <v>-196.83777344407792</v>
      </c>
      <c r="AK157" s="100">
        <f t="shared" si="29"/>
        <v>-160.16222655592208</v>
      </c>
      <c r="AL157" s="109">
        <f t="shared" si="14"/>
        <v>-58.93177816957774</v>
      </c>
      <c r="AM157" s="110">
        <f t="shared" si="15"/>
        <v>-62.436694438113413</v>
      </c>
      <c r="AN157" s="137">
        <f t="shared" si="30"/>
        <v>58.93177816957774</v>
      </c>
      <c r="AO157" s="137">
        <f t="shared" si="30"/>
        <v>62.436694438113413</v>
      </c>
      <c r="AP157">
        <f t="shared" si="31"/>
        <v>0.3</v>
      </c>
      <c r="AX157" s="1754"/>
      <c r="AY157" s="1754"/>
      <c r="AZ157" s="1754"/>
      <c r="BT157" s="1755"/>
      <c r="BU157" s="1755"/>
      <c r="BV157" s="1755"/>
      <c r="BW157" s="1755"/>
      <c r="BX157" s="1755"/>
      <c r="BY157" s="1755"/>
    </row>
    <row r="158" spans="1:90" ht="21" customHeight="1" thickBot="1" x14ac:dyDescent="0.5">
      <c r="B158" s="88">
        <v>17</v>
      </c>
      <c r="C158" s="20"/>
      <c r="D158" s="738">
        <v>0</v>
      </c>
      <c r="E158" s="333" t="s">
        <v>72</v>
      </c>
      <c r="F158" s="104">
        <f t="shared" si="16"/>
        <v>0.3</v>
      </c>
      <c r="G158" s="118">
        <f t="shared" si="17"/>
        <v>0.3</v>
      </c>
      <c r="H158" s="158">
        <v>190.76</v>
      </c>
      <c r="I158" s="159">
        <v>79.651040199999997</v>
      </c>
      <c r="J158" s="2">
        <f t="shared" si="18"/>
        <v>79.651040199999997</v>
      </c>
      <c r="K158" s="2">
        <f t="shared" si="5"/>
        <v>39.825520099999999</v>
      </c>
      <c r="L158" s="2">
        <f t="shared" si="6"/>
        <v>0.64045183696587837</v>
      </c>
      <c r="M158" s="2">
        <f t="shared" si="7"/>
        <v>122.17259241961095</v>
      </c>
      <c r="N158" s="2">
        <f t="shared" si="8"/>
        <v>244.3451848392219</v>
      </c>
      <c r="O158" s="2">
        <f>+C142+D143+D144+D145+D146+D147+D148+D149+D150+D151+D152+D153+D154+D155+D156+D157+(D158/2)</f>
        <v>0</v>
      </c>
      <c r="P158" s="2">
        <f t="shared" si="9"/>
        <v>0</v>
      </c>
      <c r="Q158" s="2">
        <f t="shared" si="10"/>
        <v>0</v>
      </c>
      <c r="R158" s="2">
        <f t="shared" si="19"/>
        <v>146.5</v>
      </c>
      <c r="S158" s="2">
        <f t="shared" si="32"/>
        <v>146.5</v>
      </c>
      <c r="T158" s="3">
        <f t="shared" si="11"/>
        <v>146.5</v>
      </c>
      <c r="V158" s="23">
        <f t="shared" si="12"/>
        <v>0</v>
      </c>
      <c r="W158" s="81" t="str">
        <f t="shared" si="20"/>
        <v>pin in groundstacking hole</v>
      </c>
      <c r="X158" s="23">
        <f t="shared" si="35"/>
        <v>0</v>
      </c>
      <c r="Y158" s="97">
        <f>SUM(D143:D158)+$C$142</f>
        <v>0</v>
      </c>
      <c r="Z158" s="173">
        <f t="shared" si="21"/>
        <v>69.344714800000006</v>
      </c>
      <c r="AA158" s="98">
        <f t="shared" si="13"/>
        <v>0.93571960494171247</v>
      </c>
      <c r="AB158" s="174">
        <f t="shared" si="22"/>
        <v>180.0511663828843</v>
      </c>
      <c r="AC158" s="173">
        <f t="shared" si="23"/>
        <v>50.174479900000001</v>
      </c>
      <c r="AD158" s="94">
        <f t="shared" si="24"/>
        <v>0.76799833627881664</v>
      </c>
      <c r="AE158" s="174">
        <f t="shared" si="25"/>
        <v>146.50336262854705</v>
      </c>
      <c r="AF158" s="174">
        <f t="shared" si="26"/>
        <v>-382.5</v>
      </c>
      <c r="AG158" s="92">
        <f t="shared" si="27"/>
        <v>326.55452901143133</v>
      </c>
      <c r="AH158" s="92">
        <f t="shared" si="34"/>
        <v>-146.50336262854705</v>
      </c>
      <c r="AI158" s="92">
        <f t="shared" si="33"/>
        <v>146.50336262854705</v>
      </c>
      <c r="AJ158" s="100">
        <f t="shared" si="28"/>
        <v>-210.89761440436919</v>
      </c>
      <c r="AK158" s="100">
        <f t="shared" si="29"/>
        <v>-171.60238559563081</v>
      </c>
      <c r="AL158" s="109">
        <f t="shared" si="14"/>
        <v>-55.002992958272557</v>
      </c>
      <c r="AM158" s="110">
        <f t="shared" si="15"/>
        <v>-58.27424814223918</v>
      </c>
      <c r="AN158" s="137">
        <f t="shared" si="30"/>
        <v>55.002992958272557</v>
      </c>
      <c r="AO158" s="137">
        <f t="shared" si="30"/>
        <v>58.27424814223918</v>
      </c>
      <c r="AP158">
        <f t="shared" si="31"/>
        <v>0.3</v>
      </c>
      <c r="AX158" s="1754"/>
      <c r="AY158" s="1754"/>
      <c r="AZ158" s="1754"/>
    </row>
    <row r="159" spans="1:90" ht="21" customHeight="1" thickBot="1" x14ac:dyDescent="0.5">
      <c r="B159" s="88">
        <v>18</v>
      </c>
      <c r="C159" s="20"/>
      <c r="D159" s="738">
        <v>0</v>
      </c>
      <c r="E159" s="333" t="s">
        <v>72</v>
      </c>
      <c r="F159" s="104">
        <f t="shared" si="16"/>
        <v>0.3</v>
      </c>
      <c r="G159" s="118">
        <f t="shared" si="17"/>
        <v>0.3</v>
      </c>
      <c r="H159" s="158">
        <v>190.76</v>
      </c>
      <c r="I159" s="159">
        <v>79.651040199999997</v>
      </c>
      <c r="J159" s="2">
        <f t="shared" si="18"/>
        <v>79.651040199999997</v>
      </c>
      <c r="K159" s="2">
        <f t="shared" si="5"/>
        <v>39.825520099999999</v>
      </c>
      <c r="L159" s="2">
        <f t="shared" si="6"/>
        <v>0.64045183696587837</v>
      </c>
      <c r="M159" s="2">
        <f t="shared" si="7"/>
        <v>122.17259241961095</v>
      </c>
      <c r="N159" s="2">
        <f t="shared" si="8"/>
        <v>244.3451848392219</v>
      </c>
      <c r="O159" s="2">
        <f>+C142+D143+D144+D145+D146+D147+D148+D149+D150+D151+D152+D153+D154+D155+D156+D157+D158+(D159/2)</f>
        <v>0</v>
      </c>
      <c r="P159" s="2">
        <f t="shared" si="9"/>
        <v>0</v>
      </c>
      <c r="Q159" s="2">
        <f t="shared" si="10"/>
        <v>0</v>
      </c>
      <c r="R159" s="2">
        <f t="shared" si="19"/>
        <v>146.5</v>
      </c>
      <c r="S159" s="2">
        <f t="shared" si="32"/>
        <v>146.5</v>
      </c>
      <c r="T159" s="3">
        <f t="shared" si="11"/>
        <v>146.5</v>
      </c>
      <c r="V159" s="23">
        <f t="shared" si="12"/>
        <v>0</v>
      </c>
      <c r="W159" s="81" t="str">
        <f t="shared" si="20"/>
        <v>pin in groundstacking hole</v>
      </c>
      <c r="X159" s="23">
        <f t="shared" si="35"/>
        <v>0</v>
      </c>
      <c r="Y159" s="97">
        <f>SUM(D143:D159)+$C$142</f>
        <v>0</v>
      </c>
      <c r="Z159" s="173">
        <f t="shared" si="21"/>
        <v>69.344714800000006</v>
      </c>
      <c r="AA159" s="98">
        <f t="shared" si="13"/>
        <v>0.93571960494171247</v>
      </c>
      <c r="AB159" s="174">
        <f t="shared" si="22"/>
        <v>180.0511663828843</v>
      </c>
      <c r="AC159" s="173">
        <f t="shared" si="23"/>
        <v>50.174479900000001</v>
      </c>
      <c r="AD159" s="94">
        <f t="shared" si="24"/>
        <v>0.76799833627881664</v>
      </c>
      <c r="AE159" s="174">
        <f t="shared" si="25"/>
        <v>146.50336262854705</v>
      </c>
      <c r="AF159" s="174">
        <f t="shared" si="26"/>
        <v>-408</v>
      </c>
      <c r="AG159" s="92">
        <f t="shared" si="27"/>
        <v>326.55452901143133</v>
      </c>
      <c r="AH159" s="92">
        <f t="shared" si="34"/>
        <v>-146.50336262854705</v>
      </c>
      <c r="AI159" s="92">
        <f t="shared" si="33"/>
        <v>146.50336262854705</v>
      </c>
      <c r="AJ159" s="100">
        <f t="shared" si="28"/>
        <v>-224.95745536466046</v>
      </c>
      <c r="AK159" s="100">
        <f t="shared" si="29"/>
        <v>-183.04254463533954</v>
      </c>
      <c r="AL159" s="109">
        <f t="shared" si="14"/>
        <v>-51.565305898380529</v>
      </c>
      <c r="AM159" s="110">
        <f t="shared" si="15"/>
        <v>-54.632107633349229</v>
      </c>
      <c r="AN159" s="137">
        <f t="shared" si="30"/>
        <v>51.565305898380529</v>
      </c>
      <c r="AO159" s="137">
        <f t="shared" si="30"/>
        <v>54.632107633349229</v>
      </c>
      <c r="AP159">
        <f t="shared" si="31"/>
        <v>0.3</v>
      </c>
      <c r="AX159" s="1754"/>
      <c r="AY159" s="1754"/>
      <c r="AZ159" s="1754"/>
    </row>
    <row r="160" spans="1:90" ht="21" customHeight="1" thickBot="1" x14ac:dyDescent="0.5">
      <c r="B160" s="88">
        <v>19</v>
      </c>
      <c r="D160" s="738">
        <v>0</v>
      </c>
      <c r="E160" s="333" t="s">
        <v>72</v>
      </c>
      <c r="F160" s="104">
        <f t="shared" si="16"/>
        <v>0.3</v>
      </c>
      <c r="G160" s="118">
        <f t="shared" si="17"/>
        <v>0.3</v>
      </c>
      <c r="H160" s="158">
        <v>190.76</v>
      </c>
      <c r="I160" s="159">
        <v>79.651040199999997</v>
      </c>
      <c r="J160" s="2">
        <f t="shared" si="18"/>
        <v>79.651040199999997</v>
      </c>
      <c r="K160" s="2">
        <f t="shared" si="5"/>
        <v>39.825520099999999</v>
      </c>
      <c r="L160" s="2">
        <f t="shared" si="6"/>
        <v>0.64045183696587837</v>
      </c>
      <c r="M160" s="2">
        <f t="shared" si="7"/>
        <v>122.17259241961095</v>
      </c>
      <c r="N160" s="2">
        <f t="shared" si="8"/>
        <v>244.3451848392219</v>
      </c>
      <c r="O160" s="2">
        <f t="shared" ref="O160:O165" si="36">+C143+D144+D145+D146+D147+D148+D149+D150+D151+D152+D153+D154+D155+D156+D157+D158+D159+(D160/2)</f>
        <v>0</v>
      </c>
      <c r="P160" s="2">
        <f t="shared" si="9"/>
        <v>0</v>
      </c>
      <c r="Q160" s="2">
        <f t="shared" si="10"/>
        <v>0</v>
      </c>
      <c r="R160" s="2">
        <f t="shared" si="19"/>
        <v>146.5</v>
      </c>
      <c r="S160" s="2">
        <f t="shared" si="32"/>
        <v>146.5</v>
      </c>
      <c r="T160" s="3">
        <f t="shared" si="11"/>
        <v>146.5</v>
      </c>
      <c r="V160" s="23">
        <f t="shared" si="12"/>
        <v>0</v>
      </c>
      <c r="W160" s="81" t="str">
        <f t="shared" si="20"/>
        <v>pin in groundstacking hole</v>
      </c>
      <c r="X160" s="23">
        <f t="shared" si="35"/>
        <v>0</v>
      </c>
      <c r="Y160" s="97">
        <f>SUM(D143:D160)+$C$142</f>
        <v>0</v>
      </c>
      <c r="Z160" s="173">
        <f t="shared" si="21"/>
        <v>69.344714800000006</v>
      </c>
      <c r="AA160" s="98">
        <f t="shared" si="13"/>
        <v>0.93571960494171247</v>
      </c>
      <c r="AB160" s="174">
        <f t="shared" si="22"/>
        <v>180.0511663828843</v>
      </c>
      <c r="AC160" s="173">
        <f t="shared" si="23"/>
        <v>50.174479900000001</v>
      </c>
      <c r="AD160" s="94">
        <f t="shared" si="24"/>
        <v>0.76799833627881664</v>
      </c>
      <c r="AE160" s="174">
        <f t="shared" si="25"/>
        <v>146.50336262854705</v>
      </c>
      <c r="AF160" s="174">
        <f t="shared" si="26"/>
        <v>-433.5</v>
      </c>
      <c r="AG160" s="92">
        <f t="shared" si="27"/>
        <v>326.55452901143133</v>
      </c>
      <c r="AH160" s="92">
        <f t="shared" si="34"/>
        <v>-146.50336262854705</v>
      </c>
      <c r="AI160" s="92">
        <f t="shared" si="33"/>
        <v>146.50336262854705</v>
      </c>
      <c r="AJ160" s="100">
        <f t="shared" si="28"/>
        <v>-239.01729632495176</v>
      </c>
      <c r="AK160" s="100">
        <f t="shared" si="29"/>
        <v>-194.48270367504824</v>
      </c>
      <c r="AL160" s="109">
        <f t="shared" si="14"/>
        <v>-48.532052610240491</v>
      </c>
      <c r="AM160" s="110">
        <f t="shared" si="15"/>
        <v>-51.418454243152219</v>
      </c>
      <c r="AN160" s="137">
        <f t="shared" ref="AN160:AO165" si="37">ABS(AL160)</f>
        <v>48.532052610240491</v>
      </c>
      <c r="AO160" s="137">
        <f t="shared" si="37"/>
        <v>51.418454243152219</v>
      </c>
      <c r="AP160">
        <f t="shared" si="31"/>
        <v>0.3</v>
      </c>
      <c r="AX160" s="1754"/>
      <c r="AY160" s="1754"/>
      <c r="AZ160" s="1754"/>
    </row>
    <row r="161" spans="2:53" ht="21" customHeight="1" thickBot="1" x14ac:dyDescent="0.5">
      <c r="B161" s="88">
        <v>20</v>
      </c>
      <c r="D161" s="738">
        <v>0</v>
      </c>
      <c r="E161" s="333" t="s">
        <v>72</v>
      </c>
      <c r="F161" s="104">
        <f t="shared" si="16"/>
        <v>0.3</v>
      </c>
      <c r="G161" s="118">
        <f t="shared" si="17"/>
        <v>0.3</v>
      </c>
      <c r="H161" s="158">
        <v>190.76</v>
      </c>
      <c r="I161" s="159">
        <v>79.651040199999997</v>
      </c>
      <c r="J161" s="2">
        <f t="shared" si="18"/>
        <v>79.651040199999997</v>
      </c>
      <c r="K161" s="2">
        <f t="shared" si="5"/>
        <v>39.825520099999999</v>
      </c>
      <c r="L161" s="2">
        <f t="shared" si="6"/>
        <v>0.64045183696587837</v>
      </c>
      <c r="M161" s="2">
        <f t="shared" si="7"/>
        <v>122.17259241961095</v>
      </c>
      <c r="N161" s="2">
        <f t="shared" si="8"/>
        <v>244.3451848392219</v>
      </c>
      <c r="O161" s="2">
        <f t="shared" si="36"/>
        <v>0</v>
      </c>
      <c r="P161" s="2">
        <f t="shared" si="9"/>
        <v>0</v>
      </c>
      <c r="Q161" s="2">
        <f t="shared" si="10"/>
        <v>0</v>
      </c>
      <c r="R161" s="2">
        <f t="shared" si="19"/>
        <v>146.5</v>
      </c>
      <c r="S161" s="2">
        <f t="shared" si="32"/>
        <v>146.5</v>
      </c>
      <c r="T161" s="3">
        <f t="shared" si="11"/>
        <v>146.5</v>
      </c>
      <c r="V161" s="23">
        <f t="shared" si="12"/>
        <v>0</v>
      </c>
      <c r="W161" s="81" t="str">
        <f t="shared" si="20"/>
        <v>pin in groundstacking hole</v>
      </c>
      <c r="X161" s="23">
        <f t="shared" si="35"/>
        <v>0</v>
      </c>
      <c r="Y161" s="97">
        <f>SUM(D143:D161)+$C$142</f>
        <v>0</v>
      </c>
      <c r="Z161" s="173">
        <f t="shared" si="21"/>
        <v>69.344714800000006</v>
      </c>
      <c r="AA161" s="98">
        <f t="shared" si="13"/>
        <v>0.93571960494171247</v>
      </c>
      <c r="AB161" s="174">
        <f t="shared" si="22"/>
        <v>180.0511663828843</v>
      </c>
      <c r="AC161" s="173">
        <f t="shared" si="23"/>
        <v>50.174479900000001</v>
      </c>
      <c r="AD161" s="94">
        <f t="shared" si="24"/>
        <v>0.76799833627881664</v>
      </c>
      <c r="AE161" s="174">
        <f t="shared" si="25"/>
        <v>146.50336262854705</v>
      </c>
      <c r="AF161" s="174">
        <f t="shared" si="26"/>
        <v>-459</v>
      </c>
      <c r="AG161" s="92">
        <f t="shared" si="27"/>
        <v>326.55452901143133</v>
      </c>
      <c r="AH161" s="92">
        <f t="shared" si="34"/>
        <v>-146.50336262854705</v>
      </c>
      <c r="AI161" s="92">
        <f t="shared" si="33"/>
        <v>146.50336262854705</v>
      </c>
      <c r="AJ161" s="100">
        <f t="shared" si="28"/>
        <v>-253.07713728524303</v>
      </c>
      <c r="AK161" s="100">
        <f t="shared" si="29"/>
        <v>-205.92286271475697</v>
      </c>
      <c r="AL161" s="109">
        <f t="shared" si="14"/>
        <v>-45.835827465227133</v>
      </c>
      <c r="AM161" s="110">
        <f t="shared" si="15"/>
        <v>-48.561873451865985</v>
      </c>
      <c r="AN161" s="137">
        <f t="shared" si="37"/>
        <v>45.835827465227133</v>
      </c>
      <c r="AO161" s="137">
        <f t="shared" si="37"/>
        <v>48.561873451865985</v>
      </c>
      <c r="AP161">
        <f t="shared" si="31"/>
        <v>0.3</v>
      </c>
      <c r="AX161" s="1754"/>
      <c r="AY161" s="1754"/>
      <c r="AZ161" s="1754"/>
      <c r="BA161" s="1551"/>
    </row>
    <row r="162" spans="2:53" ht="21" customHeight="1" thickBot="1" x14ac:dyDescent="0.5">
      <c r="B162" s="88">
        <v>21</v>
      </c>
      <c r="D162" s="738">
        <v>0</v>
      </c>
      <c r="E162" s="333" t="s">
        <v>72</v>
      </c>
      <c r="F162" s="104">
        <f t="shared" si="16"/>
        <v>0.3</v>
      </c>
      <c r="G162" s="118">
        <f t="shared" si="17"/>
        <v>0.3</v>
      </c>
      <c r="H162" s="158">
        <v>190.76</v>
      </c>
      <c r="I162" s="159">
        <v>79.651040199999997</v>
      </c>
      <c r="J162" s="2">
        <f t="shared" si="18"/>
        <v>79.651040199999997</v>
      </c>
      <c r="K162" s="2">
        <f t="shared" si="5"/>
        <v>39.825520099999999</v>
      </c>
      <c r="L162" s="2">
        <f t="shared" si="6"/>
        <v>0.64045183696587837</v>
      </c>
      <c r="M162" s="2">
        <f t="shared" si="7"/>
        <v>122.17259241961095</v>
      </c>
      <c r="N162" s="2">
        <f t="shared" si="8"/>
        <v>244.3451848392219</v>
      </c>
      <c r="O162" s="2">
        <f t="shared" si="36"/>
        <v>0</v>
      </c>
      <c r="P162" s="2">
        <f t="shared" si="9"/>
        <v>0</v>
      </c>
      <c r="Q162" s="2">
        <f t="shared" si="10"/>
        <v>0</v>
      </c>
      <c r="R162" s="2">
        <f t="shared" si="19"/>
        <v>146.5</v>
      </c>
      <c r="S162" s="2">
        <f t="shared" si="32"/>
        <v>146.5</v>
      </c>
      <c r="T162" s="3">
        <f t="shared" si="11"/>
        <v>146.5</v>
      </c>
      <c r="V162" s="23">
        <f t="shared" si="12"/>
        <v>0</v>
      </c>
      <c r="W162" s="81" t="str">
        <f t="shared" si="20"/>
        <v>pin in groundstacking hole</v>
      </c>
      <c r="X162" s="23">
        <f t="shared" si="35"/>
        <v>0</v>
      </c>
      <c r="Y162" s="97">
        <f>SUM(D143:D162)+$C$142</f>
        <v>0</v>
      </c>
      <c r="Z162" s="173">
        <f t="shared" si="21"/>
        <v>69.344714800000006</v>
      </c>
      <c r="AA162" s="98">
        <f t="shared" si="13"/>
        <v>0.93571960494171247</v>
      </c>
      <c r="AB162" s="174">
        <f t="shared" si="22"/>
        <v>180.0511663828843</v>
      </c>
      <c r="AC162" s="173">
        <f t="shared" si="23"/>
        <v>50.174479900000001</v>
      </c>
      <c r="AD162" s="94">
        <f t="shared" si="24"/>
        <v>0.76799833627881664</v>
      </c>
      <c r="AE162" s="174">
        <f t="shared" si="25"/>
        <v>146.50336262854705</v>
      </c>
      <c r="AF162" s="174">
        <f t="shared" si="26"/>
        <v>-484.5</v>
      </c>
      <c r="AG162" s="92">
        <f t="shared" si="27"/>
        <v>326.55452901143133</v>
      </c>
      <c r="AH162" s="92">
        <f t="shared" si="34"/>
        <v>-146.50336262854705</v>
      </c>
      <c r="AI162" s="92">
        <f t="shared" si="33"/>
        <v>146.50336262854705</v>
      </c>
      <c r="AJ162" s="100">
        <f t="shared" si="28"/>
        <v>-267.13697824553429</v>
      </c>
      <c r="AK162" s="100">
        <f t="shared" si="29"/>
        <v>-217.36302175446571</v>
      </c>
      <c r="AL162" s="109">
        <f t="shared" si="14"/>
        <v>-43.423415493373078</v>
      </c>
      <c r="AM162" s="110">
        <f t="shared" si="15"/>
        <v>-46.005985375451978</v>
      </c>
      <c r="AN162" s="137">
        <f t="shared" si="37"/>
        <v>43.423415493373078</v>
      </c>
      <c r="AO162" s="137">
        <f t="shared" si="37"/>
        <v>46.005985375451978</v>
      </c>
      <c r="AP162">
        <f t="shared" si="31"/>
        <v>0.3</v>
      </c>
      <c r="AX162" s="1754"/>
      <c r="AY162" s="1754"/>
      <c r="AZ162" s="1754"/>
      <c r="BA162" s="1551"/>
    </row>
    <row r="163" spans="2:53" ht="21" customHeight="1" thickBot="1" x14ac:dyDescent="0.5">
      <c r="B163" s="88">
        <v>22</v>
      </c>
      <c r="D163" s="738">
        <v>0</v>
      </c>
      <c r="E163" s="333" t="s">
        <v>72</v>
      </c>
      <c r="F163" s="104">
        <f t="shared" si="16"/>
        <v>0.3</v>
      </c>
      <c r="G163" s="118">
        <f t="shared" si="17"/>
        <v>0.3</v>
      </c>
      <c r="H163" s="158">
        <v>190.76</v>
      </c>
      <c r="I163" s="159">
        <v>79.651040199999997</v>
      </c>
      <c r="J163" s="2">
        <f t="shared" si="18"/>
        <v>79.651040199999997</v>
      </c>
      <c r="K163" s="2">
        <f t="shared" si="5"/>
        <v>39.825520099999999</v>
      </c>
      <c r="L163" s="2">
        <f t="shared" si="6"/>
        <v>0.64045183696587837</v>
      </c>
      <c r="M163" s="2">
        <f t="shared" si="7"/>
        <v>122.17259241961095</v>
      </c>
      <c r="N163" s="2">
        <f t="shared" si="8"/>
        <v>244.3451848392219</v>
      </c>
      <c r="O163" s="2">
        <f t="shared" si="36"/>
        <v>0</v>
      </c>
      <c r="P163" s="2">
        <f t="shared" si="9"/>
        <v>0</v>
      </c>
      <c r="Q163" s="2">
        <f t="shared" si="10"/>
        <v>0</v>
      </c>
      <c r="R163" s="2">
        <f t="shared" si="19"/>
        <v>146.5</v>
      </c>
      <c r="S163" s="2">
        <f t="shared" si="32"/>
        <v>146.5</v>
      </c>
      <c r="T163" s="3">
        <f t="shared" si="11"/>
        <v>146.5</v>
      </c>
      <c r="V163" s="23">
        <f t="shared" si="12"/>
        <v>0</v>
      </c>
      <c r="W163" s="81" t="str">
        <f t="shared" si="20"/>
        <v>pin in groundstacking hole</v>
      </c>
      <c r="X163" s="23">
        <f t="shared" si="35"/>
        <v>0</v>
      </c>
      <c r="Y163" s="97">
        <f>SUM(D143:D163)+$C$142</f>
        <v>0</v>
      </c>
      <c r="Z163" s="173">
        <f t="shared" si="21"/>
        <v>69.344714800000006</v>
      </c>
      <c r="AA163" s="98">
        <f t="shared" si="13"/>
        <v>0.93571960494171247</v>
      </c>
      <c r="AB163" s="174">
        <f t="shared" si="22"/>
        <v>180.0511663828843</v>
      </c>
      <c r="AC163" s="173">
        <f t="shared" si="23"/>
        <v>50.174479900000001</v>
      </c>
      <c r="AD163" s="94">
        <f t="shared" si="24"/>
        <v>0.76799833627881664</v>
      </c>
      <c r="AE163" s="174">
        <f t="shared" si="25"/>
        <v>146.50336262854705</v>
      </c>
      <c r="AF163" s="174">
        <f t="shared" si="26"/>
        <v>-510</v>
      </c>
      <c r="AG163" s="92">
        <f t="shared" si="27"/>
        <v>326.55452901143133</v>
      </c>
      <c r="AH163" s="92">
        <f t="shared" si="34"/>
        <v>-146.50336262854705</v>
      </c>
      <c r="AI163" s="92">
        <f t="shared" si="33"/>
        <v>146.50336262854705</v>
      </c>
      <c r="AJ163" s="100">
        <f t="shared" si="28"/>
        <v>-281.19681920582559</v>
      </c>
      <c r="AK163" s="100">
        <f t="shared" si="29"/>
        <v>-228.80318079417441</v>
      </c>
      <c r="AL163" s="109">
        <f t="shared" si="14"/>
        <v>-41.252244718704418</v>
      </c>
      <c r="AM163" s="110">
        <f t="shared" si="15"/>
        <v>-43.705686106679387</v>
      </c>
      <c r="AN163" s="137">
        <f t="shared" si="37"/>
        <v>41.252244718704418</v>
      </c>
      <c r="AO163" s="137">
        <f t="shared" si="37"/>
        <v>43.705686106679387</v>
      </c>
      <c r="AP163">
        <f t="shared" si="31"/>
        <v>0.3</v>
      </c>
      <c r="AX163" s="1754"/>
      <c r="AY163" s="1754"/>
      <c r="AZ163" s="1754"/>
      <c r="BA163" s="1551"/>
    </row>
    <row r="164" spans="2:53" ht="21" customHeight="1" thickBot="1" x14ac:dyDescent="0.5">
      <c r="B164" s="88">
        <v>23</v>
      </c>
      <c r="D164" s="738">
        <v>0</v>
      </c>
      <c r="E164" s="333" t="s">
        <v>72</v>
      </c>
      <c r="F164" s="104">
        <f t="shared" si="16"/>
        <v>0.3</v>
      </c>
      <c r="G164" s="118">
        <f t="shared" si="17"/>
        <v>0.3</v>
      </c>
      <c r="H164" s="158">
        <v>190.76</v>
      </c>
      <c r="I164" s="159">
        <v>79.651040199999997</v>
      </c>
      <c r="J164" s="2">
        <f t="shared" si="18"/>
        <v>79.651040199999997</v>
      </c>
      <c r="K164" s="2">
        <f t="shared" si="5"/>
        <v>39.825520099999999</v>
      </c>
      <c r="L164" s="2">
        <f t="shared" si="6"/>
        <v>0.64045183696587837</v>
      </c>
      <c r="M164" s="2">
        <f t="shared" si="7"/>
        <v>122.17259241961095</v>
      </c>
      <c r="N164" s="2">
        <f t="shared" si="8"/>
        <v>244.3451848392219</v>
      </c>
      <c r="O164" s="2">
        <f t="shared" si="36"/>
        <v>0</v>
      </c>
      <c r="P164" s="2">
        <f t="shared" si="9"/>
        <v>0</v>
      </c>
      <c r="Q164" s="2">
        <f t="shared" si="10"/>
        <v>0</v>
      </c>
      <c r="R164" s="2">
        <f t="shared" si="19"/>
        <v>146.5</v>
      </c>
      <c r="S164" s="2">
        <f t="shared" si="32"/>
        <v>146.5</v>
      </c>
      <c r="T164" s="3">
        <f t="shared" si="11"/>
        <v>146.5</v>
      </c>
      <c r="V164" s="23">
        <f t="shared" si="12"/>
        <v>0</v>
      </c>
      <c r="W164" s="81" t="str">
        <f t="shared" si="20"/>
        <v>pin in groundstacking hole</v>
      </c>
      <c r="X164" s="23">
        <f t="shared" si="35"/>
        <v>0</v>
      </c>
      <c r="Y164" s="97">
        <f>SUM(D143:D164)+$C$142</f>
        <v>0</v>
      </c>
      <c r="Z164" s="173">
        <f t="shared" si="21"/>
        <v>69.344714800000006</v>
      </c>
      <c r="AA164" s="98">
        <f t="shared" si="13"/>
        <v>0.93571960494171247</v>
      </c>
      <c r="AB164" s="174">
        <f t="shared" si="22"/>
        <v>180.0511663828843</v>
      </c>
      <c r="AC164" s="173">
        <f t="shared" si="23"/>
        <v>50.174479900000001</v>
      </c>
      <c r="AD164" s="94">
        <f t="shared" si="24"/>
        <v>0.76799833627881664</v>
      </c>
      <c r="AE164" s="174">
        <f t="shared" si="25"/>
        <v>146.50336262854705</v>
      </c>
      <c r="AF164" s="174">
        <f t="shared" si="26"/>
        <v>-535.5</v>
      </c>
      <c r="AG164" s="92">
        <f t="shared" si="27"/>
        <v>326.55452901143133</v>
      </c>
      <c r="AH164" s="92">
        <f t="shared" si="34"/>
        <v>-146.50336262854705</v>
      </c>
      <c r="AI164" s="92">
        <f t="shared" si="33"/>
        <v>146.50336262854705</v>
      </c>
      <c r="AJ164" s="100">
        <f t="shared" si="28"/>
        <v>-295.25666016611689</v>
      </c>
      <c r="AK164" s="100">
        <f t="shared" si="29"/>
        <v>-240.24333983388314</v>
      </c>
      <c r="AL164" s="109">
        <f t="shared" si="14"/>
        <v>-39.287852113051827</v>
      </c>
      <c r="AM164" s="110">
        <f t="shared" si="15"/>
        <v>-41.624462958742271</v>
      </c>
      <c r="AN164" s="137">
        <f t="shared" si="37"/>
        <v>39.287852113051827</v>
      </c>
      <c r="AO164" s="137">
        <f t="shared" si="37"/>
        <v>41.624462958742271</v>
      </c>
      <c r="AP164">
        <f t="shared" si="31"/>
        <v>0.3</v>
      </c>
      <c r="AX164" s="1754"/>
      <c r="AY164" s="1754"/>
      <c r="AZ164" s="1754"/>
      <c r="BA164" s="1551"/>
    </row>
    <row r="165" spans="2:53" ht="21" customHeight="1" thickBot="1" x14ac:dyDescent="0.5">
      <c r="B165" s="88">
        <v>24</v>
      </c>
      <c r="D165" s="738">
        <v>0</v>
      </c>
      <c r="E165" s="333" t="s">
        <v>72</v>
      </c>
      <c r="F165" s="104">
        <f t="shared" si="16"/>
        <v>0.3</v>
      </c>
      <c r="G165" s="118">
        <f t="shared" si="17"/>
        <v>0.3</v>
      </c>
      <c r="H165" s="158">
        <v>190.76</v>
      </c>
      <c r="I165" s="159">
        <v>79.651040199999997</v>
      </c>
      <c r="J165" s="2">
        <f t="shared" si="18"/>
        <v>79.651040199999997</v>
      </c>
      <c r="K165" s="2">
        <f t="shared" si="5"/>
        <v>39.825520099999999</v>
      </c>
      <c r="L165" s="2">
        <f t="shared" si="6"/>
        <v>0.64045183696587837</v>
      </c>
      <c r="M165" s="2">
        <f t="shared" si="7"/>
        <v>122.17259241961095</v>
      </c>
      <c r="N165" s="2">
        <f t="shared" si="8"/>
        <v>244.3451848392219</v>
      </c>
      <c r="O165" s="2">
        <f t="shared" si="36"/>
        <v>0</v>
      </c>
      <c r="P165" s="2">
        <f t="shared" si="9"/>
        <v>0</v>
      </c>
      <c r="Q165" s="2">
        <f t="shared" si="10"/>
        <v>0</v>
      </c>
      <c r="R165" s="2">
        <f t="shared" si="19"/>
        <v>146.5</v>
      </c>
      <c r="S165" s="2">
        <f t="shared" si="32"/>
        <v>146.5</v>
      </c>
      <c r="T165" s="3">
        <f t="shared" si="11"/>
        <v>146.5</v>
      </c>
      <c r="V165" s="23">
        <f t="shared" si="12"/>
        <v>0</v>
      </c>
      <c r="W165" s="81" t="str">
        <f t="shared" si="20"/>
        <v>pin in groundstacking hole</v>
      </c>
      <c r="X165" s="23">
        <f t="shared" si="35"/>
        <v>0</v>
      </c>
      <c r="Y165" s="97">
        <f>SUM(D143:D165)+$C$142</f>
        <v>0</v>
      </c>
      <c r="Z165" s="173">
        <f t="shared" si="21"/>
        <v>69.344714800000006</v>
      </c>
      <c r="AA165" s="98">
        <f t="shared" si="13"/>
        <v>0.93571960494171247</v>
      </c>
      <c r="AB165" s="174">
        <f t="shared" si="22"/>
        <v>180.0511663828843</v>
      </c>
      <c r="AC165" s="173">
        <f t="shared" si="23"/>
        <v>50.174479900000001</v>
      </c>
      <c r="AD165" s="94">
        <f t="shared" si="24"/>
        <v>0.76799833627881664</v>
      </c>
      <c r="AE165" s="174">
        <f t="shared" si="25"/>
        <v>146.50336262854705</v>
      </c>
      <c r="AF165" s="174">
        <f t="shared" si="26"/>
        <v>-561</v>
      </c>
      <c r="AG165" s="92">
        <f t="shared" si="27"/>
        <v>326.55452901143133</v>
      </c>
      <c r="AH165" s="92">
        <f t="shared" si="34"/>
        <v>-146.50336262854705</v>
      </c>
      <c r="AI165" s="92">
        <f t="shared" si="33"/>
        <v>146.50336262854705</v>
      </c>
      <c r="AJ165" s="100">
        <f t="shared" si="28"/>
        <v>-309.31650112640813</v>
      </c>
      <c r="AK165" s="100">
        <f t="shared" si="29"/>
        <v>-251.68349887359184</v>
      </c>
      <c r="AL165" s="109">
        <f t="shared" si="14"/>
        <v>-37.502040653367658</v>
      </c>
      <c r="AM165" s="110">
        <f t="shared" si="15"/>
        <v>-39.732441915163079</v>
      </c>
      <c r="AN165" s="137">
        <f t="shared" si="37"/>
        <v>37.502040653367658</v>
      </c>
      <c r="AO165" s="137">
        <f t="shared" si="37"/>
        <v>39.732441915163079</v>
      </c>
      <c r="AP165">
        <f t="shared" si="31"/>
        <v>0.3</v>
      </c>
      <c r="AX165" s="1754"/>
      <c r="AY165" s="1754"/>
      <c r="AZ165" s="1754"/>
      <c r="BA165" s="1551"/>
    </row>
    <row r="166" spans="2:53" ht="18.600000000000001" x14ac:dyDescent="0.45">
      <c r="AX166" s="1754"/>
      <c r="AY166" s="1754"/>
      <c r="AZ166" s="1754"/>
      <c r="BA166" s="1551"/>
    </row>
    <row r="167" spans="2:53" ht="18.600000000000001" x14ac:dyDescent="0.45">
      <c r="AX167" s="1754"/>
      <c r="AY167" s="1754"/>
      <c r="AZ167" s="1754"/>
      <c r="BA167" s="1551"/>
    </row>
    <row r="168" spans="2:53" ht="18.600000000000001" x14ac:dyDescent="0.45">
      <c r="AX168" s="1754"/>
      <c r="AY168" s="1754"/>
      <c r="AZ168" s="1754"/>
    </row>
    <row r="169" spans="2:53" ht="18.600000000000001" x14ac:dyDescent="0.45">
      <c r="AX169" s="1754"/>
      <c r="AY169" s="1754"/>
      <c r="AZ169" s="1754"/>
    </row>
    <row r="170" spans="2:53" ht="18.600000000000001" x14ac:dyDescent="0.45">
      <c r="AX170" s="1754"/>
      <c r="AY170" s="1754"/>
      <c r="AZ170" s="1754"/>
    </row>
    <row r="171" spans="2:53" ht="18.600000000000001" x14ac:dyDescent="0.45">
      <c r="AX171" s="1754"/>
      <c r="AY171" s="1754"/>
      <c r="AZ171" s="1754"/>
    </row>
    <row r="172" spans="2:53" ht="18.600000000000001" x14ac:dyDescent="0.45">
      <c r="AX172" s="1754"/>
      <c r="AY172" s="1754"/>
      <c r="AZ172" s="1754"/>
    </row>
    <row r="173" spans="2:53" ht="18.600000000000001" x14ac:dyDescent="0.45">
      <c r="AX173" s="1754"/>
      <c r="AY173" s="1754"/>
      <c r="AZ173" s="1754"/>
    </row>
    <row r="174" spans="2:53" ht="18.600000000000001" x14ac:dyDescent="0.45">
      <c r="AX174" s="1754"/>
      <c r="AY174" s="1754"/>
      <c r="AZ174" s="1754"/>
    </row>
    <row r="175" spans="2:53" ht="18.600000000000001" x14ac:dyDescent="0.45">
      <c r="AX175" s="1754"/>
      <c r="AY175" s="1754"/>
      <c r="AZ175" s="1754"/>
    </row>
    <row r="176" spans="2:53" ht="18.600000000000001" x14ac:dyDescent="0.45">
      <c r="AX176" s="1754"/>
      <c r="AY176" s="1754"/>
      <c r="AZ176" s="1754"/>
    </row>
    <row r="177" spans="35:52" ht="18.600000000000001" x14ac:dyDescent="0.45">
      <c r="AX177" s="1754"/>
      <c r="AY177" s="1754"/>
      <c r="AZ177" s="1754"/>
    </row>
    <row r="178" spans="35:52" ht="18.600000000000001" x14ac:dyDescent="0.45">
      <c r="AX178" s="1754"/>
      <c r="AY178" s="1754"/>
      <c r="AZ178" s="1754"/>
    </row>
    <row r="179" spans="35:52" ht="18.600000000000001" x14ac:dyDescent="0.45">
      <c r="AX179" s="1754"/>
      <c r="AY179" s="1754"/>
      <c r="AZ179" s="1754"/>
    </row>
    <row r="180" spans="35:52" ht="18.600000000000001" x14ac:dyDescent="0.45">
      <c r="AX180" s="1754"/>
      <c r="AY180" s="1754"/>
      <c r="AZ180" s="1754"/>
    </row>
    <row r="181" spans="35:52" ht="18.600000000000001" x14ac:dyDescent="0.45">
      <c r="AX181" s="1754"/>
      <c r="AY181" s="1754"/>
      <c r="AZ181" s="1754"/>
    </row>
    <row r="182" spans="35:52" ht="18.600000000000001" x14ac:dyDescent="0.45">
      <c r="AX182" s="1754"/>
      <c r="AY182" s="1754"/>
      <c r="AZ182" s="1754"/>
    </row>
    <row r="183" spans="35:52" ht="18.600000000000001" x14ac:dyDescent="0.45">
      <c r="AX183" s="1754"/>
      <c r="AY183" s="1754"/>
      <c r="AZ183" s="1754"/>
    </row>
    <row r="184" spans="35:52" ht="18.600000000000001" x14ac:dyDescent="0.45">
      <c r="AX184" s="1754"/>
      <c r="AY184" s="1754"/>
      <c r="AZ184" s="1754"/>
    </row>
    <row r="185" spans="35:52" ht="18.600000000000001" hidden="1" x14ac:dyDescent="0.45">
      <c r="AX185" s="1754"/>
      <c r="AY185" s="1754"/>
      <c r="AZ185" s="1754"/>
    </row>
    <row r="186" spans="35:52" ht="18.600000000000001" hidden="1" x14ac:dyDescent="0.45">
      <c r="AX186" s="1754"/>
      <c r="AY186" s="1754"/>
      <c r="AZ186" s="1754"/>
    </row>
    <row r="187" spans="35:52" hidden="1" x14ac:dyDescent="0.3"/>
    <row r="188" spans="35:52" hidden="1" x14ac:dyDescent="0.3"/>
    <row r="189" spans="35:52" hidden="1" x14ac:dyDescent="0.3"/>
    <row r="190" spans="35:52" ht="17.399999999999999" hidden="1" x14ac:dyDescent="0.3">
      <c r="AI190" s="1623"/>
      <c r="AJ190" s="1623"/>
      <c r="AK190" s="1756" t="s">
        <v>235</v>
      </c>
      <c r="AL190" s="1623"/>
      <c r="AM190" s="1623"/>
      <c r="AN190" s="1623"/>
      <c r="AO190" s="1623"/>
      <c r="AP190" s="1623"/>
    </row>
    <row r="191" spans="35:52" ht="19.2" hidden="1" x14ac:dyDescent="0.45">
      <c r="AI191" s="1757">
        <v>1</v>
      </c>
      <c r="AJ191" s="1758">
        <v>-473</v>
      </c>
      <c r="AK191" s="1759">
        <f>+COS(($B$136*-1)*3.14159265358979/180)*AJ191</f>
        <v>-473</v>
      </c>
      <c r="AL191" s="1760">
        <f t="shared" ref="AL191:AL227" si="38">+AK191-D$3</f>
        <v>-571.99998629739707</v>
      </c>
      <c r="AM191" s="1761">
        <f t="shared" ref="AM191:AM227" si="39">ABS(AL191)</f>
        <v>571.99998629739707</v>
      </c>
      <c r="AN191" s="1762">
        <f>MIN(AM191:AM227)</f>
        <v>12.999986297397044</v>
      </c>
      <c r="AO191" s="1761" t="b">
        <f>IF(AN191=AM191,AI191)</f>
        <v>0</v>
      </c>
      <c r="AP191" s="1763">
        <v>1</v>
      </c>
    </row>
    <row r="192" spans="35:52" ht="19.2" hidden="1" x14ac:dyDescent="0.45">
      <c r="AI192" s="1757">
        <v>2</v>
      </c>
      <c r="AJ192" s="1758">
        <f>+AJ191+43</f>
        <v>-430</v>
      </c>
      <c r="AK192" s="1764">
        <f>+AK191+$E$2</f>
        <v>-430</v>
      </c>
      <c r="AL192" s="1760">
        <f t="shared" si="38"/>
        <v>-528.99998629739707</v>
      </c>
      <c r="AM192" s="1761">
        <f t="shared" si="39"/>
        <v>528.99998629739707</v>
      </c>
      <c r="AN192" s="1761">
        <f>+AN191</f>
        <v>12.999986297397044</v>
      </c>
      <c r="AO192" s="1761" t="b">
        <f t="shared" ref="AO192:AO227" si="40">IF(AN192=AM192,AI192)</f>
        <v>0</v>
      </c>
      <c r="AP192" s="1763">
        <v>2</v>
      </c>
    </row>
    <row r="193" spans="35:78" ht="19.2" hidden="1" x14ac:dyDescent="0.45">
      <c r="AI193" s="1757">
        <v>3</v>
      </c>
      <c r="AJ193" s="1758">
        <f t="shared" ref="AJ193:AJ227" si="41">+AJ192+43</f>
        <v>-387</v>
      </c>
      <c r="AK193" s="1764">
        <f t="shared" ref="AK193:AK227" si="42">+AK192+$E$2</f>
        <v>-387</v>
      </c>
      <c r="AL193" s="1760">
        <f t="shared" si="38"/>
        <v>-485.99998629739707</v>
      </c>
      <c r="AM193" s="1761">
        <f t="shared" si="39"/>
        <v>485.99998629739707</v>
      </c>
      <c r="AN193" s="1761">
        <f t="shared" ref="AN193:AN227" si="43">+AN192</f>
        <v>12.999986297397044</v>
      </c>
      <c r="AO193" s="1761" t="b">
        <f t="shared" si="40"/>
        <v>0</v>
      </c>
      <c r="AP193" s="1763">
        <v>3</v>
      </c>
    </row>
    <row r="194" spans="35:78" ht="19.2" hidden="1" x14ac:dyDescent="0.45">
      <c r="AI194" s="1757">
        <v>4</v>
      </c>
      <c r="AJ194" s="1758">
        <f t="shared" si="41"/>
        <v>-344</v>
      </c>
      <c r="AK194" s="1764">
        <f t="shared" si="42"/>
        <v>-344</v>
      </c>
      <c r="AL194" s="1760">
        <f t="shared" si="38"/>
        <v>-442.99998629739707</v>
      </c>
      <c r="AM194" s="1761">
        <f t="shared" si="39"/>
        <v>442.99998629739707</v>
      </c>
      <c r="AN194" s="1761">
        <f t="shared" si="43"/>
        <v>12.999986297397044</v>
      </c>
      <c r="AO194" s="1761" t="b">
        <f t="shared" si="40"/>
        <v>0</v>
      </c>
      <c r="AP194" s="1763">
        <v>4</v>
      </c>
    </row>
    <row r="195" spans="35:78" ht="19.2" hidden="1" x14ac:dyDescent="0.45">
      <c r="AI195" s="1757">
        <v>5</v>
      </c>
      <c r="AJ195" s="1758">
        <f t="shared" si="41"/>
        <v>-301</v>
      </c>
      <c r="AK195" s="1764">
        <f t="shared" si="42"/>
        <v>-301</v>
      </c>
      <c r="AL195" s="1760">
        <f t="shared" si="38"/>
        <v>-399.99998629739707</v>
      </c>
      <c r="AM195" s="1761">
        <f t="shared" si="39"/>
        <v>399.99998629739707</v>
      </c>
      <c r="AN195" s="1761">
        <f t="shared" si="43"/>
        <v>12.999986297397044</v>
      </c>
      <c r="AO195" s="1761" t="b">
        <f t="shared" si="40"/>
        <v>0</v>
      </c>
      <c r="AP195" s="1763">
        <v>5</v>
      </c>
    </row>
    <row r="196" spans="35:78" ht="19.2" hidden="1" x14ac:dyDescent="0.45">
      <c r="AI196" s="1757">
        <v>6</v>
      </c>
      <c r="AJ196" s="1758">
        <f t="shared" si="41"/>
        <v>-258</v>
      </c>
      <c r="AK196" s="1764">
        <f t="shared" si="42"/>
        <v>-258</v>
      </c>
      <c r="AL196" s="1760">
        <f t="shared" si="38"/>
        <v>-356.99998629739707</v>
      </c>
      <c r="AM196" s="1761">
        <f t="shared" si="39"/>
        <v>356.99998629739707</v>
      </c>
      <c r="AN196" s="1761">
        <f t="shared" si="43"/>
        <v>12.999986297397044</v>
      </c>
      <c r="AO196" s="1761" t="b">
        <f t="shared" si="40"/>
        <v>0</v>
      </c>
      <c r="AP196" s="1763">
        <v>6</v>
      </c>
    </row>
    <row r="197" spans="35:78" ht="19.2" hidden="1" x14ac:dyDescent="0.45">
      <c r="AI197" s="1757">
        <v>7</v>
      </c>
      <c r="AJ197" s="1758">
        <f t="shared" si="41"/>
        <v>-215</v>
      </c>
      <c r="AK197" s="1764">
        <f t="shared" si="42"/>
        <v>-215</v>
      </c>
      <c r="AL197" s="1760">
        <f t="shared" si="38"/>
        <v>-313.99998629739707</v>
      </c>
      <c r="AM197" s="1761">
        <f t="shared" si="39"/>
        <v>313.99998629739707</v>
      </c>
      <c r="AN197" s="1761">
        <f t="shared" si="43"/>
        <v>12.999986297397044</v>
      </c>
      <c r="AO197" s="1761" t="b">
        <f t="shared" si="40"/>
        <v>0</v>
      </c>
      <c r="AP197" s="1763">
        <v>7</v>
      </c>
    </row>
    <row r="198" spans="35:78" ht="19.2" hidden="1" x14ac:dyDescent="0.45">
      <c r="AI198" s="1757">
        <v>8</v>
      </c>
      <c r="AJ198" s="1758">
        <f t="shared" si="41"/>
        <v>-172</v>
      </c>
      <c r="AK198" s="1764">
        <f t="shared" si="42"/>
        <v>-172</v>
      </c>
      <c r="AL198" s="1760">
        <f t="shared" si="38"/>
        <v>-270.99998629739707</v>
      </c>
      <c r="AM198" s="1761">
        <f t="shared" si="39"/>
        <v>270.99998629739707</v>
      </c>
      <c r="AN198" s="1761">
        <f t="shared" si="43"/>
        <v>12.999986297397044</v>
      </c>
      <c r="AO198" s="1761" t="b">
        <f t="shared" si="40"/>
        <v>0</v>
      </c>
      <c r="AP198" s="1763">
        <v>8</v>
      </c>
    </row>
    <row r="199" spans="35:78" ht="19.2" hidden="1" x14ac:dyDescent="0.45">
      <c r="AI199" s="1757">
        <v>9</v>
      </c>
      <c r="AJ199" s="1758">
        <f t="shared" si="41"/>
        <v>-129</v>
      </c>
      <c r="AK199" s="1764">
        <f t="shared" si="42"/>
        <v>-129</v>
      </c>
      <c r="AL199" s="1760">
        <f t="shared" si="38"/>
        <v>-227.99998629739704</v>
      </c>
      <c r="AM199" s="1761">
        <f t="shared" si="39"/>
        <v>227.99998629739704</v>
      </c>
      <c r="AN199" s="1761">
        <f t="shared" si="43"/>
        <v>12.999986297397044</v>
      </c>
      <c r="AO199" s="1761" t="b">
        <f t="shared" si="40"/>
        <v>0</v>
      </c>
      <c r="AP199" s="1763">
        <v>9</v>
      </c>
      <c r="BA199" s="1765"/>
      <c r="BB199" s="1765"/>
      <c r="BC199" s="1765"/>
      <c r="BD199" s="1765"/>
      <c r="BE199" s="1765"/>
      <c r="BF199" s="1765"/>
      <c r="BG199" s="2010"/>
      <c r="BH199" s="2010"/>
      <c r="BI199" s="2010"/>
      <c r="BJ199" s="1748"/>
      <c r="BK199" s="1750"/>
      <c r="BL199" s="1750"/>
      <c r="BM199" s="1750"/>
      <c r="BN199" s="1750"/>
      <c r="BO199" s="1750"/>
      <c r="BP199" s="1750"/>
      <c r="BQ199" s="1750"/>
      <c r="BR199" s="1750"/>
      <c r="BS199" s="1750"/>
      <c r="BT199" s="1750"/>
      <c r="BU199" s="1750"/>
      <c r="BV199" s="1750"/>
      <c r="BW199" s="1750"/>
      <c r="BX199" s="1750"/>
      <c r="BY199" s="1750"/>
      <c r="BZ199" s="1750"/>
    </row>
    <row r="200" spans="35:78" ht="19.2" hidden="1" x14ac:dyDescent="0.45">
      <c r="AI200" s="1757">
        <v>10</v>
      </c>
      <c r="AJ200" s="1758">
        <f t="shared" si="41"/>
        <v>-86</v>
      </c>
      <c r="AK200" s="1764">
        <f t="shared" si="42"/>
        <v>-86</v>
      </c>
      <c r="AL200" s="1760">
        <f t="shared" si="38"/>
        <v>-184.99998629739704</v>
      </c>
      <c r="AM200" s="1761">
        <f t="shared" si="39"/>
        <v>184.99998629739704</v>
      </c>
      <c r="AN200" s="1761">
        <f t="shared" si="43"/>
        <v>12.999986297397044</v>
      </c>
      <c r="AO200" s="1761" t="b">
        <f t="shared" si="40"/>
        <v>0</v>
      </c>
      <c r="AP200" s="1763">
        <v>10</v>
      </c>
      <c r="BA200" s="1750"/>
      <c r="BB200" s="1750"/>
      <c r="BC200" s="1750"/>
      <c r="BD200" s="1750"/>
      <c r="BE200" s="1750"/>
      <c r="BF200" s="1750"/>
      <c r="BG200" s="1766"/>
      <c r="BH200" s="1750"/>
      <c r="BI200" s="1750"/>
      <c r="BJ200" s="1750"/>
      <c r="BK200" s="1750"/>
      <c r="BL200" s="1750"/>
      <c r="BM200" s="1750"/>
      <c r="BN200" s="1750"/>
      <c r="BO200" s="1750"/>
      <c r="BP200" s="1750"/>
      <c r="BQ200" s="1750"/>
      <c r="BR200" s="1750"/>
      <c r="BS200" s="1750"/>
      <c r="BT200" s="1766"/>
      <c r="BU200" s="1750"/>
      <c r="BV200" s="1750"/>
      <c r="BW200" s="1750"/>
      <c r="BX200" s="1750"/>
      <c r="BY200" s="1750"/>
      <c r="BZ200" s="1750"/>
    </row>
    <row r="201" spans="35:78" ht="19.2" hidden="1" x14ac:dyDescent="0.45">
      <c r="AI201" s="1757">
        <v>11</v>
      </c>
      <c r="AJ201" s="1758">
        <f t="shared" si="41"/>
        <v>-43</v>
      </c>
      <c r="AK201" s="1764">
        <f t="shared" si="42"/>
        <v>-43</v>
      </c>
      <c r="AL201" s="1760">
        <f t="shared" si="38"/>
        <v>-141.99998629739704</v>
      </c>
      <c r="AM201" s="1761">
        <f t="shared" si="39"/>
        <v>141.99998629739704</v>
      </c>
      <c r="AN201" s="1761">
        <f t="shared" si="43"/>
        <v>12.999986297397044</v>
      </c>
      <c r="AO201" s="1761" t="b">
        <f t="shared" si="40"/>
        <v>0</v>
      </c>
      <c r="AP201" s="1763">
        <v>11</v>
      </c>
      <c r="BA201" s="1767"/>
      <c r="BB201" s="1767"/>
      <c r="BC201" s="1767"/>
      <c r="BD201" s="1767"/>
      <c r="BE201" s="1767"/>
      <c r="BF201" s="1767"/>
      <c r="BG201" s="2011"/>
      <c r="BH201" s="2011"/>
      <c r="BI201" s="1750"/>
      <c r="BJ201" s="1750"/>
      <c r="BK201" s="1750"/>
      <c r="BL201" s="1750"/>
      <c r="BM201" s="1750"/>
      <c r="BN201" s="1750"/>
      <c r="BO201" s="1750"/>
      <c r="BP201" s="1750"/>
      <c r="BQ201" s="1750"/>
      <c r="BR201" s="1750"/>
      <c r="BS201" s="2012"/>
      <c r="BT201" s="2012"/>
      <c r="BU201" s="1750"/>
      <c r="BV201" s="1750"/>
      <c r="BW201" s="1750"/>
      <c r="BX201" s="1750"/>
      <c r="BY201" s="1750"/>
      <c r="BZ201" s="1750"/>
    </row>
    <row r="202" spans="35:78" ht="19.2" hidden="1" x14ac:dyDescent="0.45">
      <c r="AI202" s="1757">
        <v>12</v>
      </c>
      <c r="AJ202" s="1758">
        <f t="shared" si="41"/>
        <v>0</v>
      </c>
      <c r="AK202" s="1764">
        <f t="shared" si="42"/>
        <v>0</v>
      </c>
      <c r="AL202" s="1760">
        <f t="shared" si="38"/>
        <v>-98.999986297397044</v>
      </c>
      <c r="AM202" s="1761">
        <f t="shared" si="39"/>
        <v>98.999986297397044</v>
      </c>
      <c r="AN202" s="1761">
        <f t="shared" si="43"/>
        <v>12.999986297397044</v>
      </c>
      <c r="AO202" s="1761" t="b">
        <f t="shared" si="40"/>
        <v>0</v>
      </c>
      <c r="AP202" s="1763">
        <v>12</v>
      </c>
      <c r="BA202" s="1750"/>
      <c r="BB202" s="1750"/>
      <c r="BC202" s="1750"/>
      <c r="BD202" s="1750"/>
      <c r="BE202" s="1750"/>
      <c r="BF202" s="1750"/>
      <c r="BG202" s="1750"/>
      <c r="BH202" s="1750"/>
      <c r="BI202" s="1750"/>
      <c r="BJ202" s="1750"/>
      <c r="BK202" s="1750"/>
      <c r="BL202" s="1750"/>
      <c r="BM202" s="1750"/>
      <c r="BN202" s="1750"/>
      <c r="BO202" s="1750"/>
      <c r="BP202" s="1750"/>
      <c r="BQ202" s="1750"/>
      <c r="BR202" s="1750"/>
      <c r="BS202" s="1750"/>
      <c r="BT202" s="1750"/>
      <c r="BU202" s="1750"/>
      <c r="BV202" s="1750"/>
      <c r="BW202" s="1750"/>
      <c r="BX202" s="1750"/>
      <c r="BY202" s="1750"/>
      <c r="BZ202" s="1750"/>
    </row>
    <row r="203" spans="35:78" ht="19.2" hidden="1" x14ac:dyDescent="0.45">
      <c r="AI203" s="1757">
        <v>13</v>
      </c>
      <c r="AJ203" s="1758">
        <f t="shared" si="41"/>
        <v>43</v>
      </c>
      <c r="AK203" s="1764">
        <f t="shared" si="42"/>
        <v>43</v>
      </c>
      <c r="AL203" s="1760">
        <f t="shared" si="38"/>
        <v>-55.999986297397044</v>
      </c>
      <c r="AM203" s="1761">
        <f t="shared" si="39"/>
        <v>55.999986297397044</v>
      </c>
      <c r="AN203" s="1761">
        <f t="shared" si="43"/>
        <v>12.999986297397044</v>
      </c>
      <c r="AO203" s="1761" t="b">
        <f t="shared" si="40"/>
        <v>0</v>
      </c>
      <c r="AP203" s="1763">
        <v>13</v>
      </c>
      <c r="BA203" s="1750"/>
      <c r="BB203" s="1750"/>
      <c r="BC203" s="1750"/>
      <c r="BD203" s="1750"/>
      <c r="BE203" s="1750"/>
      <c r="BF203" s="1750"/>
      <c r="BG203" s="1750"/>
      <c r="BH203" s="1750"/>
      <c r="BI203" s="1750"/>
      <c r="BJ203" s="1750"/>
      <c r="BK203" s="1750"/>
      <c r="BL203" s="1750"/>
      <c r="BM203" s="1750"/>
      <c r="BN203" s="1750"/>
      <c r="BO203" s="1750"/>
      <c r="BP203" s="1750"/>
      <c r="BQ203" s="1750"/>
      <c r="BR203" s="1750"/>
      <c r="BS203" s="1750"/>
      <c r="BT203" s="1750"/>
      <c r="BU203" s="1750"/>
      <c r="BV203" s="1750"/>
      <c r="BW203" s="1750"/>
      <c r="BX203" s="1750"/>
      <c r="BY203" s="1750"/>
      <c r="BZ203" s="1750"/>
    </row>
    <row r="204" spans="35:78" ht="19.2" hidden="1" x14ac:dyDescent="0.45">
      <c r="AI204" s="1757">
        <v>14</v>
      </c>
      <c r="AJ204" s="1758">
        <f t="shared" si="41"/>
        <v>86</v>
      </c>
      <c r="AK204" s="1764">
        <f t="shared" si="42"/>
        <v>86</v>
      </c>
      <c r="AL204" s="1760">
        <f t="shared" si="38"/>
        <v>-12.999986297397044</v>
      </c>
      <c r="AM204" s="1761">
        <f t="shared" si="39"/>
        <v>12.999986297397044</v>
      </c>
      <c r="AN204" s="1761">
        <f t="shared" si="43"/>
        <v>12.999986297397044</v>
      </c>
      <c r="AO204" s="1761">
        <f t="shared" si="40"/>
        <v>14</v>
      </c>
      <c r="AP204" s="1763">
        <v>14</v>
      </c>
      <c r="BA204" s="1750"/>
      <c r="BB204" s="1750"/>
      <c r="BC204" s="1750"/>
      <c r="BD204" s="1750"/>
      <c r="BE204" s="1750"/>
      <c r="BF204" s="1750"/>
      <c r="BG204" s="1750"/>
      <c r="BH204" s="1750"/>
      <c r="BI204" s="1750"/>
      <c r="BJ204" s="1750"/>
      <c r="BK204" s="1750"/>
      <c r="BL204" s="1750"/>
      <c r="BM204" s="1750"/>
      <c r="BN204" s="1750"/>
      <c r="BO204" s="1750"/>
      <c r="BP204" s="1750"/>
      <c r="BQ204" s="1750"/>
      <c r="BR204" s="1750"/>
      <c r="BS204" s="1750"/>
      <c r="BT204" s="1750"/>
      <c r="BU204" s="1750"/>
      <c r="BV204" s="1750"/>
      <c r="BW204" s="1750"/>
      <c r="BX204" s="1750"/>
      <c r="BY204" s="1750"/>
      <c r="BZ204" s="1750"/>
    </row>
    <row r="205" spans="35:78" ht="19.2" hidden="1" x14ac:dyDescent="0.45">
      <c r="AI205" s="1757">
        <v>15</v>
      </c>
      <c r="AJ205" s="1758">
        <f t="shared" si="41"/>
        <v>129</v>
      </c>
      <c r="AK205" s="1764">
        <f t="shared" si="42"/>
        <v>129</v>
      </c>
      <c r="AL205" s="1760">
        <f t="shared" si="38"/>
        <v>30.000013702602956</v>
      </c>
      <c r="AM205" s="1761">
        <f t="shared" si="39"/>
        <v>30.000013702602956</v>
      </c>
      <c r="AN205" s="1761">
        <f t="shared" si="43"/>
        <v>12.999986297397044</v>
      </c>
      <c r="AO205" s="1761" t="b">
        <f t="shared" si="40"/>
        <v>0</v>
      </c>
      <c r="AP205" s="1763">
        <v>15</v>
      </c>
      <c r="BA205" s="1750"/>
      <c r="BB205" s="1750"/>
      <c r="BC205" s="1750"/>
      <c r="BD205" s="1750"/>
      <c r="BE205" s="1750"/>
      <c r="BF205" s="1750"/>
      <c r="BG205" s="1750"/>
      <c r="BH205" s="1750"/>
      <c r="BI205" s="1750"/>
      <c r="BJ205" s="1750"/>
      <c r="BK205" s="1750"/>
      <c r="BL205" s="1750"/>
      <c r="BM205" s="1750"/>
      <c r="BN205" s="1750"/>
      <c r="BO205" s="1750"/>
      <c r="BP205" s="1750"/>
      <c r="BQ205" s="1750"/>
      <c r="BR205" s="1750"/>
      <c r="BS205" s="1750"/>
      <c r="BT205" s="1750"/>
      <c r="BU205" s="1750"/>
      <c r="BV205" s="1750"/>
      <c r="BW205" s="1750"/>
      <c r="BX205" s="1750"/>
      <c r="BY205" s="1750"/>
      <c r="BZ205" s="1750"/>
    </row>
    <row r="206" spans="35:78" ht="19.2" hidden="1" x14ac:dyDescent="0.45">
      <c r="AI206" s="1757">
        <v>16</v>
      </c>
      <c r="AJ206" s="1758">
        <f t="shared" si="41"/>
        <v>172</v>
      </c>
      <c r="AK206" s="1764">
        <f t="shared" si="42"/>
        <v>172</v>
      </c>
      <c r="AL206" s="1760">
        <f t="shared" si="38"/>
        <v>73.000013702602956</v>
      </c>
      <c r="AM206" s="1761">
        <f t="shared" si="39"/>
        <v>73.000013702602956</v>
      </c>
      <c r="AN206" s="1761">
        <f t="shared" si="43"/>
        <v>12.999986297397044</v>
      </c>
      <c r="AO206" s="1761" t="b">
        <f t="shared" si="40"/>
        <v>0</v>
      </c>
      <c r="AP206" s="1763">
        <v>16</v>
      </c>
      <c r="BA206" s="1750"/>
      <c r="BB206" s="1750"/>
      <c r="BC206" s="1750"/>
      <c r="BD206" s="1750"/>
      <c r="BE206" s="1750"/>
      <c r="BF206" s="1750"/>
      <c r="BG206" s="1750"/>
      <c r="BH206" s="1750"/>
      <c r="BI206" s="1750"/>
      <c r="BJ206" s="1750"/>
      <c r="BK206" s="1750"/>
      <c r="BL206" s="1750"/>
      <c r="BM206" s="1750"/>
      <c r="BN206" s="1750"/>
      <c r="BO206" s="1750"/>
      <c r="BP206" s="1750"/>
      <c r="BQ206" s="1750"/>
      <c r="BR206" s="1750"/>
      <c r="BS206" s="1750"/>
      <c r="BT206" s="1750"/>
      <c r="BU206" s="1750"/>
      <c r="BV206" s="1750"/>
      <c r="BW206" s="1750"/>
      <c r="BX206" s="1750"/>
      <c r="BY206" s="1750"/>
      <c r="BZ206" s="1750"/>
    </row>
    <row r="207" spans="35:78" ht="19.2" hidden="1" x14ac:dyDescent="0.45">
      <c r="AI207" s="1757">
        <v>17</v>
      </c>
      <c r="AJ207" s="1758">
        <f t="shared" si="41"/>
        <v>215</v>
      </c>
      <c r="AK207" s="1764">
        <f t="shared" si="42"/>
        <v>215</v>
      </c>
      <c r="AL207" s="1760">
        <f t="shared" si="38"/>
        <v>116.00001370260296</v>
      </c>
      <c r="AM207" s="1761">
        <f t="shared" si="39"/>
        <v>116.00001370260296</v>
      </c>
      <c r="AN207" s="1761">
        <f t="shared" si="43"/>
        <v>12.999986297397044</v>
      </c>
      <c r="AO207" s="1761" t="b">
        <f t="shared" si="40"/>
        <v>0</v>
      </c>
      <c r="AP207" s="1763">
        <v>17</v>
      </c>
      <c r="BA207" s="1750"/>
      <c r="BB207" s="1750"/>
      <c r="BC207" s="1750"/>
      <c r="BD207" s="1750"/>
      <c r="BE207" s="1750"/>
      <c r="BF207" s="1750"/>
      <c r="BG207" s="1750"/>
      <c r="BH207" s="1750"/>
      <c r="BI207" s="1750"/>
      <c r="BJ207" s="1750"/>
      <c r="BK207" s="1750"/>
      <c r="BL207" s="1750"/>
      <c r="BM207" s="1750"/>
      <c r="BN207" s="1750"/>
      <c r="BO207" s="1750"/>
      <c r="BP207" s="1750"/>
      <c r="BQ207" s="1750"/>
      <c r="BR207" s="1750"/>
      <c r="BS207" s="1750"/>
      <c r="BT207" s="1750"/>
      <c r="BU207" s="1750"/>
      <c r="BV207" s="1750"/>
      <c r="BW207" s="1750"/>
      <c r="BX207" s="1750"/>
      <c r="BY207" s="1750"/>
      <c r="BZ207" s="1750"/>
    </row>
    <row r="208" spans="35:78" ht="19.2" hidden="1" x14ac:dyDescent="0.45">
      <c r="AI208" s="1757">
        <v>18</v>
      </c>
      <c r="AJ208" s="1758">
        <f t="shared" si="41"/>
        <v>258</v>
      </c>
      <c r="AK208" s="1764">
        <f t="shared" si="42"/>
        <v>258</v>
      </c>
      <c r="AL208" s="1760">
        <f t="shared" si="38"/>
        <v>159.00001370260296</v>
      </c>
      <c r="AM208" s="1761">
        <f t="shared" si="39"/>
        <v>159.00001370260296</v>
      </c>
      <c r="AN208" s="1761">
        <f t="shared" si="43"/>
        <v>12.999986297397044</v>
      </c>
      <c r="AO208" s="1761" t="b">
        <f t="shared" si="40"/>
        <v>0</v>
      </c>
      <c r="AP208" s="1763">
        <v>18</v>
      </c>
      <c r="BA208" s="1750"/>
      <c r="BB208" s="1750"/>
      <c r="BC208" s="1750"/>
      <c r="BD208" s="1750"/>
      <c r="BE208" s="1750"/>
      <c r="BF208" s="1750"/>
      <c r="BG208" s="1750"/>
      <c r="BH208" s="1750"/>
      <c r="BI208" s="1750"/>
      <c r="BJ208" s="1750"/>
      <c r="BK208" s="1750"/>
      <c r="BL208" s="1750"/>
      <c r="BM208" s="1750"/>
      <c r="BN208" s="1750"/>
      <c r="BO208" s="1750"/>
      <c r="BP208" s="1750"/>
      <c r="BQ208" s="1750"/>
      <c r="BR208" s="1750"/>
      <c r="BS208" s="1750"/>
      <c r="BT208" s="1750"/>
      <c r="BU208" s="1750"/>
      <c r="BV208" s="1750"/>
      <c r="BW208" s="1750"/>
      <c r="BX208" s="1750"/>
      <c r="BY208" s="1750"/>
      <c r="BZ208" s="1750"/>
    </row>
    <row r="209" spans="35:78" ht="19.2" hidden="1" x14ac:dyDescent="0.45">
      <c r="AI209" s="1757">
        <v>19</v>
      </c>
      <c r="AJ209" s="1758">
        <f t="shared" si="41"/>
        <v>301</v>
      </c>
      <c r="AK209" s="1764">
        <f t="shared" si="42"/>
        <v>301</v>
      </c>
      <c r="AL209" s="1760">
        <f t="shared" si="38"/>
        <v>202.00001370260296</v>
      </c>
      <c r="AM209" s="1761">
        <f t="shared" si="39"/>
        <v>202.00001370260296</v>
      </c>
      <c r="AN209" s="1761">
        <f t="shared" si="43"/>
        <v>12.999986297397044</v>
      </c>
      <c r="AO209" s="1761" t="b">
        <f t="shared" si="40"/>
        <v>0</v>
      </c>
      <c r="AP209" s="1763">
        <v>19</v>
      </c>
      <c r="BA209" s="1750"/>
      <c r="BB209" s="1750"/>
      <c r="BC209" s="1750"/>
      <c r="BD209" s="1750"/>
      <c r="BE209" s="1750"/>
      <c r="BF209" s="1750"/>
      <c r="BG209" s="1750"/>
      <c r="BH209" s="1750"/>
      <c r="BI209" s="1750"/>
      <c r="BJ209" s="1750"/>
      <c r="BK209" s="1750"/>
      <c r="BL209" s="1750"/>
      <c r="BM209" s="1750"/>
      <c r="BN209" s="1750"/>
      <c r="BO209" s="1750"/>
      <c r="BP209" s="1750"/>
      <c r="BQ209" s="1750"/>
      <c r="BR209" s="1750"/>
      <c r="BS209" s="1750"/>
      <c r="BT209" s="1750"/>
      <c r="BU209" s="1750"/>
      <c r="BV209" s="1750"/>
      <c r="BW209" s="1750"/>
      <c r="BX209" s="1750"/>
      <c r="BY209" s="1750"/>
      <c r="BZ209" s="1750"/>
    </row>
    <row r="210" spans="35:78" ht="19.2" hidden="1" x14ac:dyDescent="0.45">
      <c r="AI210" s="1757">
        <v>20</v>
      </c>
      <c r="AJ210" s="1758">
        <f t="shared" si="41"/>
        <v>344</v>
      </c>
      <c r="AK210" s="1764">
        <f t="shared" si="42"/>
        <v>344</v>
      </c>
      <c r="AL210" s="1760">
        <f t="shared" si="38"/>
        <v>245.00001370260296</v>
      </c>
      <c r="AM210" s="1761">
        <f t="shared" si="39"/>
        <v>245.00001370260296</v>
      </c>
      <c r="AN210" s="1761">
        <f t="shared" si="43"/>
        <v>12.999986297397044</v>
      </c>
      <c r="AO210" s="1761" t="b">
        <f t="shared" si="40"/>
        <v>0</v>
      </c>
      <c r="AP210" s="1763">
        <v>20</v>
      </c>
      <c r="BA210" s="1750"/>
      <c r="BB210" s="1750"/>
      <c r="BC210" s="1750"/>
      <c r="BD210" s="1750"/>
      <c r="BE210" s="1750"/>
      <c r="BF210" s="1750"/>
      <c r="BG210" s="1750"/>
      <c r="BH210" s="1750"/>
      <c r="BI210" s="1750"/>
      <c r="BJ210" s="1750"/>
      <c r="BK210" s="1750"/>
      <c r="BL210" s="1750"/>
      <c r="BM210" s="1750"/>
      <c r="BN210" s="1750"/>
      <c r="BO210" s="1750"/>
      <c r="BP210" s="1750"/>
      <c r="BQ210" s="1750"/>
      <c r="BR210" s="1750"/>
      <c r="BS210" s="1750"/>
      <c r="BT210" s="1750"/>
      <c r="BU210" s="1750"/>
      <c r="BV210" s="1750"/>
      <c r="BW210" s="1750"/>
      <c r="BX210" s="1750"/>
      <c r="BY210" s="1750"/>
      <c r="BZ210" s="1750"/>
    </row>
    <row r="211" spans="35:78" ht="19.2" hidden="1" x14ac:dyDescent="0.45">
      <c r="AI211" s="1757">
        <v>21</v>
      </c>
      <c r="AJ211" s="1758">
        <f t="shared" si="41"/>
        <v>387</v>
      </c>
      <c r="AK211" s="1764">
        <f t="shared" si="42"/>
        <v>387</v>
      </c>
      <c r="AL211" s="1760">
        <f t="shared" si="38"/>
        <v>288.00001370260293</v>
      </c>
      <c r="AM211" s="1761">
        <f t="shared" si="39"/>
        <v>288.00001370260293</v>
      </c>
      <c r="AN211" s="1761">
        <f t="shared" si="43"/>
        <v>12.999986297397044</v>
      </c>
      <c r="AO211" s="1761" t="b">
        <f t="shared" si="40"/>
        <v>0</v>
      </c>
      <c r="AP211" s="1763">
        <v>21</v>
      </c>
      <c r="BA211" s="1750"/>
      <c r="BB211" s="1750"/>
      <c r="BC211" s="1750"/>
      <c r="BD211" s="1750"/>
      <c r="BE211" s="1750"/>
      <c r="BF211" s="1750"/>
      <c r="BG211" s="1750"/>
      <c r="BH211" s="1750"/>
      <c r="BI211" s="1750"/>
      <c r="BJ211" s="1750"/>
      <c r="BK211" s="1750"/>
      <c r="BL211" s="1750"/>
      <c r="BM211" s="1750"/>
      <c r="BN211" s="1750"/>
      <c r="BO211" s="1750"/>
      <c r="BP211" s="1750"/>
      <c r="BQ211" s="1750"/>
      <c r="BR211" s="1750"/>
      <c r="BS211" s="1750"/>
      <c r="BT211" s="1750"/>
      <c r="BU211" s="1750"/>
      <c r="BV211" s="1750"/>
      <c r="BW211" s="1750"/>
      <c r="BX211" s="1750"/>
      <c r="BY211" s="1750"/>
      <c r="BZ211" s="1750"/>
    </row>
    <row r="212" spans="35:78" ht="19.2" hidden="1" x14ac:dyDescent="0.45">
      <c r="AI212" s="1757">
        <v>22</v>
      </c>
      <c r="AJ212" s="1758">
        <f t="shared" si="41"/>
        <v>430</v>
      </c>
      <c r="AK212" s="1764">
        <f t="shared" si="42"/>
        <v>430</v>
      </c>
      <c r="AL212" s="1760">
        <f t="shared" si="38"/>
        <v>331.00001370260293</v>
      </c>
      <c r="AM212" s="1761">
        <f t="shared" si="39"/>
        <v>331.00001370260293</v>
      </c>
      <c r="AN212" s="1761">
        <f t="shared" si="43"/>
        <v>12.999986297397044</v>
      </c>
      <c r="AO212" s="1761" t="b">
        <f t="shared" si="40"/>
        <v>0</v>
      </c>
      <c r="AP212" s="1763">
        <v>22</v>
      </c>
      <c r="BA212" s="1750"/>
      <c r="BB212" s="1750"/>
      <c r="BC212" s="1750"/>
      <c r="BD212" s="1750"/>
      <c r="BE212" s="1750"/>
      <c r="BF212" s="1750"/>
      <c r="BG212" s="1750"/>
      <c r="BH212" s="1750"/>
      <c r="BI212" s="1750"/>
      <c r="BJ212" s="1750"/>
      <c r="BK212" s="1750"/>
      <c r="BL212" s="1750"/>
      <c r="BM212" s="1750"/>
      <c r="BN212" s="1750"/>
      <c r="BO212" s="1750"/>
      <c r="BP212" s="1750"/>
      <c r="BQ212" s="1750"/>
      <c r="BR212" s="1750"/>
      <c r="BS212" s="1750"/>
      <c r="BT212" s="1750"/>
      <c r="BU212" s="1750"/>
      <c r="BV212" s="1750"/>
      <c r="BW212" s="1750"/>
      <c r="BX212" s="1750"/>
      <c r="BY212" s="1750"/>
      <c r="BZ212" s="1750"/>
    </row>
    <row r="213" spans="35:78" ht="19.2" hidden="1" x14ac:dyDescent="0.45">
      <c r="AI213" s="1757">
        <v>23</v>
      </c>
      <c r="AJ213" s="1758">
        <f t="shared" si="41"/>
        <v>473</v>
      </c>
      <c r="AK213" s="1764">
        <f t="shared" si="42"/>
        <v>473</v>
      </c>
      <c r="AL213" s="1760">
        <f t="shared" si="38"/>
        <v>374.00001370260293</v>
      </c>
      <c r="AM213" s="1761">
        <f t="shared" si="39"/>
        <v>374.00001370260293</v>
      </c>
      <c r="AN213" s="1761">
        <f t="shared" si="43"/>
        <v>12.999986297397044</v>
      </c>
      <c r="AO213" s="1761" t="b">
        <f t="shared" si="40"/>
        <v>0</v>
      </c>
      <c r="AP213" s="1763">
        <v>23</v>
      </c>
      <c r="BA213" s="1750"/>
      <c r="BB213" s="1750"/>
      <c r="BC213" s="1750"/>
      <c r="BD213" s="1750"/>
      <c r="BE213" s="1750"/>
      <c r="BF213" s="1750"/>
      <c r="BG213" s="1750"/>
      <c r="BH213" s="1750"/>
      <c r="BI213" s="1750"/>
      <c r="BJ213" s="1750"/>
      <c r="BK213" s="1750"/>
      <c r="BL213" s="1750"/>
      <c r="BM213" s="1750"/>
      <c r="BN213" s="1750"/>
      <c r="BO213" s="1750"/>
      <c r="BP213" s="1750"/>
      <c r="BQ213" s="1750"/>
      <c r="BR213" s="1750"/>
      <c r="BS213" s="1750"/>
      <c r="BT213" s="1750"/>
      <c r="BU213" s="1750"/>
      <c r="BV213" s="1750"/>
      <c r="BW213" s="1750"/>
      <c r="BX213" s="1750"/>
      <c r="BY213" s="1750"/>
      <c r="BZ213" s="1750"/>
    </row>
    <row r="214" spans="35:78" ht="19.2" hidden="1" x14ac:dyDescent="0.45">
      <c r="AI214" s="1757">
        <v>24</v>
      </c>
      <c r="AJ214" s="1758">
        <f t="shared" si="41"/>
        <v>516</v>
      </c>
      <c r="AK214" s="1764">
        <f t="shared" si="42"/>
        <v>516</v>
      </c>
      <c r="AL214" s="1760">
        <f t="shared" si="38"/>
        <v>417.00001370260293</v>
      </c>
      <c r="AM214" s="1761">
        <f t="shared" si="39"/>
        <v>417.00001370260293</v>
      </c>
      <c r="AN214" s="1761">
        <f t="shared" si="43"/>
        <v>12.999986297397044</v>
      </c>
      <c r="AO214" s="1761" t="b">
        <f t="shared" si="40"/>
        <v>0</v>
      </c>
      <c r="AP214" s="1763">
        <v>24</v>
      </c>
      <c r="BA214" s="1750"/>
      <c r="BB214" s="1750"/>
      <c r="BC214" s="1750"/>
      <c r="BD214" s="1750"/>
      <c r="BE214" s="1750"/>
      <c r="BF214" s="1581"/>
      <c r="BG214" s="1581"/>
      <c r="BH214" s="1581"/>
      <c r="BI214" s="1581"/>
      <c r="BJ214" s="1581"/>
      <c r="BK214" s="1581"/>
      <c r="BL214" s="1581"/>
      <c r="BM214" s="1581"/>
      <c r="BN214" s="1581"/>
      <c r="BO214" s="1581"/>
      <c r="BP214" s="1750"/>
      <c r="BQ214" s="1750"/>
      <c r="BR214" s="1750"/>
      <c r="BS214" s="1750"/>
      <c r="BT214" s="1750"/>
      <c r="BU214" s="1750"/>
      <c r="BV214" s="1750"/>
      <c r="BW214" s="1750"/>
      <c r="BX214" s="1750"/>
      <c r="BY214" s="1750"/>
      <c r="BZ214" s="1750"/>
    </row>
    <row r="215" spans="35:78" ht="19.2" hidden="1" x14ac:dyDescent="0.45">
      <c r="AI215" s="1757">
        <v>25</v>
      </c>
      <c r="AJ215" s="1758">
        <f t="shared" si="41"/>
        <v>559</v>
      </c>
      <c r="AK215" s="1764">
        <f t="shared" si="42"/>
        <v>559</v>
      </c>
      <c r="AL215" s="1760">
        <f t="shared" si="38"/>
        <v>460.00001370260293</v>
      </c>
      <c r="AM215" s="1761">
        <f t="shared" si="39"/>
        <v>460.00001370260293</v>
      </c>
      <c r="AN215" s="1761">
        <f t="shared" si="43"/>
        <v>12.999986297397044</v>
      </c>
      <c r="AO215" s="1761" t="b">
        <f t="shared" si="40"/>
        <v>0</v>
      </c>
      <c r="AP215" s="1763">
        <v>25</v>
      </c>
      <c r="BA215" s="1750"/>
      <c r="BB215" s="1750"/>
      <c r="BC215" s="1750"/>
      <c r="BD215" s="1750"/>
      <c r="BE215" s="1750"/>
      <c r="BF215" s="1581"/>
      <c r="BG215" s="1581"/>
      <c r="BH215" s="1581"/>
      <c r="BI215" s="1581"/>
      <c r="BJ215" s="1581"/>
      <c r="BK215" s="1581"/>
      <c r="BL215" s="1581"/>
      <c r="BM215" s="1581"/>
      <c r="BN215" s="1581"/>
      <c r="BO215" s="1581"/>
      <c r="BP215" s="1750"/>
      <c r="BQ215" s="1750"/>
      <c r="BR215" s="1750"/>
      <c r="BS215" s="1750"/>
      <c r="BT215" s="1750"/>
      <c r="BU215" s="1750"/>
      <c r="BV215" s="1750"/>
      <c r="BW215" s="1750"/>
      <c r="BX215" s="1750"/>
      <c r="BY215" s="1750"/>
      <c r="BZ215" s="1750"/>
    </row>
    <row r="216" spans="35:78" ht="19.2" hidden="1" x14ac:dyDescent="0.45">
      <c r="AI216" s="1757">
        <v>26</v>
      </c>
      <c r="AJ216" s="1758">
        <f t="shared" si="41"/>
        <v>602</v>
      </c>
      <c r="AK216" s="1764">
        <f t="shared" si="42"/>
        <v>602</v>
      </c>
      <c r="AL216" s="1760">
        <f t="shared" si="38"/>
        <v>503.00001370260293</v>
      </c>
      <c r="AM216" s="1761">
        <f t="shared" si="39"/>
        <v>503.00001370260293</v>
      </c>
      <c r="AN216" s="1761">
        <f t="shared" si="43"/>
        <v>12.999986297397044</v>
      </c>
      <c r="AO216" s="1761" t="b">
        <f t="shared" si="40"/>
        <v>0</v>
      </c>
      <c r="AP216" s="1763">
        <v>26</v>
      </c>
      <c r="BA216" s="1750"/>
      <c r="BB216" s="1750"/>
      <c r="BC216" s="1750"/>
      <c r="BD216" s="1750"/>
      <c r="BE216" s="1750"/>
      <c r="BF216" s="1581"/>
      <c r="BG216" s="1581"/>
      <c r="BH216" s="1581"/>
      <c r="BI216" s="1581"/>
      <c r="BJ216" s="1581"/>
      <c r="BK216" s="1581"/>
      <c r="BL216" s="1581"/>
      <c r="BM216" s="1581"/>
      <c r="BN216" s="1581"/>
      <c r="BO216" s="1581"/>
      <c r="BP216" s="1750"/>
      <c r="BQ216" s="1750"/>
      <c r="BR216" s="1750"/>
      <c r="BS216" s="1750"/>
      <c r="BT216" s="1750"/>
      <c r="BU216" s="1750"/>
      <c r="BV216" s="1750"/>
      <c r="BW216" s="1750"/>
      <c r="BX216" s="1750"/>
      <c r="BY216" s="1750"/>
      <c r="BZ216" s="1750"/>
    </row>
    <row r="217" spans="35:78" ht="19.2" hidden="1" x14ac:dyDescent="0.45">
      <c r="AI217" s="1757">
        <v>27</v>
      </c>
      <c r="AJ217" s="1758">
        <f t="shared" si="41"/>
        <v>645</v>
      </c>
      <c r="AK217" s="1764">
        <f t="shared" si="42"/>
        <v>645</v>
      </c>
      <c r="AL217" s="1760">
        <f t="shared" si="38"/>
        <v>546.00001370260293</v>
      </c>
      <c r="AM217" s="1761">
        <f t="shared" si="39"/>
        <v>546.00001370260293</v>
      </c>
      <c r="AN217" s="1761">
        <f t="shared" si="43"/>
        <v>12.999986297397044</v>
      </c>
      <c r="AO217" s="1761" t="b">
        <f t="shared" si="40"/>
        <v>0</v>
      </c>
      <c r="AP217" s="1763">
        <v>27</v>
      </c>
      <c r="BA217" s="1750"/>
      <c r="BB217" s="1750"/>
      <c r="BC217" s="1750"/>
      <c r="BD217" s="1750"/>
      <c r="BE217" s="1750"/>
      <c r="BF217" s="1581"/>
      <c r="BG217" s="1581"/>
      <c r="BH217" s="1581"/>
      <c r="BI217" s="1581"/>
      <c r="BJ217" s="1581"/>
      <c r="BK217" s="1581"/>
      <c r="BL217" s="1581"/>
      <c r="BM217" s="1581"/>
      <c r="BN217" s="1581"/>
      <c r="BO217" s="1581"/>
      <c r="BP217" s="1750"/>
      <c r="BQ217" s="1750"/>
      <c r="BR217" s="1750"/>
      <c r="BS217" s="1750"/>
      <c r="BT217" s="1750"/>
      <c r="BU217" s="1750"/>
      <c r="BV217" s="1750"/>
      <c r="BW217" s="1750"/>
      <c r="BX217" s="1750"/>
      <c r="BY217" s="1750"/>
      <c r="BZ217" s="1750"/>
    </row>
    <row r="218" spans="35:78" ht="19.2" hidden="1" x14ac:dyDescent="0.45">
      <c r="AI218" s="1757">
        <v>28</v>
      </c>
      <c r="AJ218" s="1758">
        <f t="shared" si="41"/>
        <v>688</v>
      </c>
      <c r="AK218" s="1764">
        <f t="shared" si="42"/>
        <v>688</v>
      </c>
      <c r="AL218" s="1760">
        <f t="shared" si="38"/>
        <v>589.00001370260293</v>
      </c>
      <c r="AM218" s="1761">
        <f t="shared" si="39"/>
        <v>589.00001370260293</v>
      </c>
      <c r="AN218" s="1761">
        <f t="shared" si="43"/>
        <v>12.999986297397044</v>
      </c>
      <c r="AO218" s="1761" t="b">
        <f t="shared" si="40"/>
        <v>0</v>
      </c>
      <c r="AP218" s="1763">
        <v>28</v>
      </c>
      <c r="BA218" s="1748"/>
      <c r="BB218" s="1750"/>
      <c r="BC218" s="1748"/>
      <c r="BD218" s="1750"/>
      <c r="BE218" s="1748"/>
      <c r="BF218" s="1581"/>
      <c r="BG218" s="1581"/>
      <c r="BH218" s="1581"/>
      <c r="BI218" s="1581"/>
      <c r="BJ218" s="1581"/>
      <c r="BK218" s="1581"/>
      <c r="BL218" s="1581"/>
      <c r="BM218" s="1581"/>
      <c r="BN218" s="1581"/>
      <c r="BO218" s="1581"/>
      <c r="BP218" s="1750"/>
      <c r="BQ218" s="1750"/>
      <c r="BR218" s="1750"/>
      <c r="BS218" s="1750"/>
      <c r="BT218" s="1750"/>
      <c r="BU218" s="1750"/>
      <c r="BV218" s="1750"/>
      <c r="BW218" s="1750"/>
      <c r="BX218" s="1750"/>
      <c r="BY218" s="1750"/>
      <c r="BZ218" s="1750"/>
    </row>
    <row r="219" spans="35:78" ht="19.2" hidden="1" x14ac:dyDescent="0.45">
      <c r="AI219" s="1757">
        <v>29</v>
      </c>
      <c r="AJ219" s="1758">
        <f t="shared" si="41"/>
        <v>731</v>
      </c>
      <c r="AK219" s="1764">
        <f t="shared" si="42"/>
        <v>731</v>
      </c>
      <c r="AL219" s="1760">
        <f t="shared" si="38"/>
        <v>632.00001370260293</v>
      </c>
      <c r="AM219" s="1761">
        <f t="shared" si="39"/>
        <v>632.00001370260293</v>
      </c>
      <c r="AN219" s="1761">
        <f t="shared" si="43"/>
        <v>12.999986297397044</v>
      </c>
      <c r="AO219" s="1761" t="b">
        <f t="shared" si="40"/>
        <v>0</v>
      </c>
      <c r="AP219" s="1763">
        <v>29</v>
      </c>
      <c r="BA219" s="1748"/>
      <c r="BB219" s="1750"/>
      <c r="BC219" s="1750"/>
      <c r="BD219" s="1750"/>
      <c r="BE219" s="1748"/>
      <c r="BF219" s="1581"/>
      <c r="BG219" s="1581"/>
      <c r="BH219" s="1581"/>
      <c r="BI219" s="1581"/>
      <c r="BJ219" s="1581"/>
      <c r="BK219" s="1581"/>
      <c r="BL219" s="1581"/>
      <c r="BM219" s="1581"/>
      <c r="BN219" s="1581"/>
      <c r="BO219" s="1581"/>
      <c r="BP219" s="1750"/>
      <c r="BQ219" s="1750"/>
      <c r="BR219" s="1750"/>
      <c r="BS219" s="1750"/>
      <c r="BT219" s="1750"/>
      <c r="BU219" s="1750"/>
      <c r="BV219" s="1750"/>
      <c r="BW219" s="1750"/>
      <c r="BX219" s="1750"/>
      <c r="BY219" s="1750"/>
      <c r="BZ219" s="1750"/>
    </row>
    <row r="220" spans="35:78" ht="19.2" hidden="1" x14ac:dyDescent="0.45">
      <c r="AI220" s="1757">
        <v>30</v>
      </c>
      <c r="AJ220" s="1758">
        <f t="shared" si="41"/>
        <v>774</v>
      </c>
      <c r="AK220" s="1764">
        <f t="shared" si="42"/>
        <v>774</v>
      </c>
      <c r="AL220" s="1760">
        <f t="shared" si="38"/>
        <v>675.00001370260293</v>
      </c>
      <c r="AM220" s="1761">
        <f t="shared" si="39"/>
        <v>675.00001370260293</v>
      </c>
      <c r="AN220" s="1761">
        <f t="shared" si="43"/>
        <v>12.999986297397044</v>
      </c>
      <c r="AO220" s="1761" t="b">
        <f t="shared" si="40"/>
        <v>0</v>
      </c>
      <c r="AP220" s="1763">
        <v>30</v>
      </c>
      <c r="BA220" s="1748"/>
      <c r="BB220" s="1771"/>
      <c r="BC220" s="1771"/>
      <c r="BD220" s="1771"/>
      <c r="BE220" s="1771"/>
      <c r="BF220" s="1771"/>
      <c r="BG220" s="1771"/>
      <c r="BH220" s="1771"/>
      <c r="BI220" s="1771"/>
      <c r="BJ220" s="1771"/>
      <c r="BK220" s="1771"/>
      <c r="BL220" s="1771"/>
      <c r="BM220" s="1771"/>
      <c r="BN220" s="1771"/>
      <c r="BO220" s="1771"/>
      <c r="BP220" s="1771"/>
      <c r="BQ220" s="1771"/>
      <c r="BR220" s="1771"/>
      <c r="BS220" s="1771"/>
      <c r="BT220" s="1771"/>
      <c r="BU220" s="1771"/>
      <c r="BV220" s="1771"/>
      <c r="BW220" s="1771"/>
      <c r="BX220" s="1771"/>
      <c r="BY220" s="1771"/>
      <c r="BZ220" s="1750"/>
    </row>
    <row r="221" spans="35:78" ht="19.2" hidden="1" x14ac:dyDescent="0.45">
      <c r="AI221" s="1757">
        <v>31</v>
      </c>
      <c r="AJ221" s="1758">
        <f t="shared" si="41"/>
        <v>817</v>
      </c>
      <c r="AK221" s="1764">
        <f t="shared" si="42"/>
        <v>817</v>
      </c>
      <c r="AL221" s="1760">
        <f t="shared" si="38"/>
        <v>718.00001370260293</v>
      </c>
      <c r="AM221" s="1761">
        <f t="shared" si="39"/>
        <v>718.00001370260293</v>
      </c>
      <c r="AN221" s="1761">
        <f t="shared" si="43"/>
        <v>12.999986297397044</v>
      </c>
      <c r="AO221" s="1761" t="b">
        <f t="shared" si="40"/>
        <v>0</v>
      </c>
      <c r="AP221" s="1763">
        <v>31</v>
      </c>
      <c r="BA221" s="1748"/>
      <c r="BB221" s="1750"/>
      <c r="BC221" s="1750"/>
      <c r="BD221" s="1750"/>
      <c r="BE221" s="1750"/>
      <c r="BF221" s="1750"/>
      <c r="BG221" s="1750"/>
      <c r="BH221" s="1750"/>
      <c r="BI221" s="1750"/>
      <c r="BJ221" s="1750"/>
      <c r="BK221" s="1750"/>
      <c r="BL221" s="1750"/>
      <c r="BM221" s="1750"/>
      <c r="BN221" s="1750"/>
      <c r="BO221" s="1750"/>
      <c r="BP221" s="1750"/>
      <c r="BQ221" s="1750"/>
      <c r="BR221" s="1750"/>
      <c r="BS221" s="1750"/>
      <c r="BT221" s="1750"/>
      <c r="BU221" s="1750"/>
      <c r="BV221" s="1750"/>
      <c r="BW221" s="1750"/>
      <c r="BX221" s="1750"/>
      <c r="BY221" s="1750"/>
      <c r="BZ221" s="1750"/>
    </row>
    <row r="222" spans="35:78" ht="19.2" hidden="1" x14ac:dyDescent="0.45">
      <c r="AI222" s="1757">
        <v>32</v>
      </c>
      <c r="AJ222" s="1758">
        <f t="shared" si="41"/>
        <v>860</v>
      </c>
      <c r="AK222" s="1764">
        <f t="shared" si="42"/>
        <v>860</v>
      </c>
      <c r="AL222" s="1760">
        <f t="shared" si="38"/>
        <v>761.00001370260293</v>
      </c>
      <c r="AM222" s="1761">
        <f t="shared" si="39"/>
        <v>761.00001370260293</v>
      </c>
      <c r="AN222" s="1761">
        <f t="shared" si="43"/>
        <v>12.999986297397044</v>
      </c>
      <c r="AO222" s="1761" t="b">
        <f t="shared" si="40"/>
        <v>0</v>
      </c>
      <c r="AP222" s="1763">
        <v>32</v>
      </c>
      <c r="BA222" s="1772"/>
      <c r="BB222" s="1773"/>
      <c r="BC222" s="1773"/>
      <c r="BD222" s="1773"/>
      <c r="BE222" s="1773"/>
      <c r="BF222" s="1773"/>
      <c r="BG222" s="1773"/>
      <c r="BH222" s="1773"/>
      <c r="BI222" s="1773"/>
      <c r="BJ222" s="1773"/>
      <c r="BK222" s="1773"/>
      <c r="BL222" s="1773"/>
      <c r="BM222" s="1773"/>
      <c r="BN222" s="1773"/>
      <c r="BO222" s="1773"/>
      <c r="BP222" s="1773"/>
      <c r="BQ222" s="1773"/>
      <c r="BR222" s="1773"/>
      <c r="BS222" s="1773"/>
      <c r="BT222" s="1773"/>
      <c r="BU222" s="1773"/>
      <c r="BV222" s="1773"/>
      <c r="BW222" s="1773"/>
      <c r="BX222" s="1773"/>
      <c r="BY222" s="1773"/>
      <c r="BZ222" s="1750"/>
    </row>
    <row r="223" spans="35:78" ht="19.2" hidden="1" x14ac:dyDescent="0.45">
      <c r="AI223" s="1757">
        <v>33</v>
      </c>
      <c r="AJ223" s="1758">
        <f t="shared" si="41"/>
        <v>903</v>
      </c>
      <c r="AK223" s="1764">
        <f t="shared" si="42"/>
        <v>903</v>
      </c>
      <c r="AL223" s="1760">
        <f t="shared" si="38"/>
        <v>804.00001370260293</v>
      </c>
      <c r="AM223" s="1761">
        <f t="shared" si="39"/>
        <v>804.00001370260293</v>
      </c>
      <c r="AN223" s="1761">
        <f t="shared" si="43"/>
        <v>12.999986297397044</v>
      </c>
      <c r="AO223" s="1761" t="b">
        <f t="shared" si="40"/>
        <v>0</v>
      </c>
      <c r="AP223" s="1763">
        <v>33</v>
      </c>
      <c r="BA223" s="1748"/>
      <c r="BB223" s="1749"/>
      <c r="BC223" s="1749"/>
      <c r="BD223" s="1749"/>
      <c r="BE223" s="1749"/>
      <c r="BF223" s="1749"/>
      <c r="BG223" s="1749"/>
      <c r="BH223" s="1749"/>
      <c r="BI223" s="1749"/>
      <c r="BJ223" s="1749"/>
      <c r="BK223" s="1749"/>
      <c r="BL223" s="1749"/>
      <c r="BM223" s="1749"/>
      <c r="BN223" s="1749"/>
      <c r="BO223" s="1749"/>
      <c r="BP223" s="1749"/>
      <c r="BQ223" s="1749"/>
      <c r="BR223" s="1749"/>
      <c r="BS223" s="1749"/>
      <c r="BT223" s="1749"/>
      <c r="BU223" s="1749"/>
      <c r="BV223" s="1749"/>
      <c r="BW223" s="1749"/>
      <c r="BX223" s="1749"/>
      <c r="BY223" s="1749"/>
      <c r="BZ223" s="1750"/>
    </row>
    <row r="224" spans="35:78" ht="19.2" hidden="1" x14ac:dyDescent="0.45">
      <c r="AI224" s="1757">
        <v>34</v>
      </c>
      <c r="AJ224" s="1758">
        <f t="shared" si="41"/>
        <v>946</v>
      </c>
      <c r="AK224" s="1764">
        <f t="shared" si="42"/>
        <v>946</v>
      </c>
      <c r="AL224" s="1760">
        <f t="shared" si="38"/>
        <v>847.00001370260293</v>
      </c>
      <c r="AM224" s="1761">
        <f t="shared" si="39"/>
        <v>847.00001370260293</v>
      </c>
      <c r="AN224" s="1761">
        <f t="shared" si="43"/>
        <v>12.999986297397044</v>
      </c>
      <c r="AO224" s="1761" t="b">
        <f t="shared" si="40"/>
        <v>0</v>
      </c>
      <c r="AP224" s="1763">
        <v>34</v>
      </c>
      <c r="BA224" s="1750"/>
      <c r="BB224" s="1750"/>
      <c r="BC224" s="1750"/>
      <c r="BD224" s="1750"/>
      <c r="BE224" s="1750"/>
      <c r="BF224" s="1750"/>
      <c r="BG224" s="1750"/>
      <c r="BH224" s="1750"/>
      <c r="BI224" s="1750"/>
      <c r="BJ224" s="1750"/>
      <c r="BK224" s="1750"/>
      <c r="BL224" s="1750"/>
      <c r="BM224" s="1750"/>
      <c r="BN224" s="1750"/>
      <c r="BO224" s="1750"/>
      <c r="BP224" s="1750"/>
      <c r="BQ224" s="1750"/>
      <c r="BR224" s="1750"/>
      <c r="BS224" s="1750"/>
      <c r="BT224" s="1750"/>
      <c r="BU224" s="1750"/>
      <c r="BV224" s="1750"/>
      <c r="BW224" s="1750"/>
      <c r="BX224" s="1750"/>
      <c r="BY224" s="1750"/>
      <c r="BZ224" s="1750"/>
    </row>
    <row r="225" spans="35:78" ht="19.2" hidden="1" x14ac:dyDescent="0.45">
      <c r="AI225" s="1757">
        <v>35</v>
      </c>
      <c r="AJ225" s="1758">
        <f t="shared" si="41"/>
        <v>989</v>
      </c>
      <c r="AK225" s="1764">
        <f t="shared" si="42"/>
        <v>989</v>
      </c>
      <c r="AL225" s="1760">
        <f t="shared" si="38"/>
        <v>890.00001370260293</v>
      </c>
      <c r="AM225" s="1761">
        <f t="shared" si="39"/>
        <v>890.00001370260293</v>
      </c>
      <c r="AN225" s="1761">
        <f t="shared" si="43"/>
        <v>12.999986297397044</v>
      </c>
      <c r="AO225" s="1761" t="b">
        <f t="shared" si="40"/>
        <v>0</v>
      </c>
      <c r="AP225" s="1763">
        <v>35</v>
      </c>
      <c r="BA225" s="1750"/>
      <c r="BB225" s="1774"/>
      <c r="BC225" s="1774"/>
      <c r="BD225" s="1774"/>
      <c r="BE225" s="1774"/>
      <c r="BF225" s="1774"/>
      <c r="BG225" s="1774"/>
      <c r="BH225" s="1748"/>
      <c r="BI225" s="1748"/>
      <c r="BJ225" s="1748"/>
      <c r="BK225" s="1748"/>
      <c r="BL225" s="1748"/>
      <c r="BM225" s="1774"/>
      <c r="BN225" s="1774"/>
      <c r="BO225" s="1774"/>
      <c r="BP225" s="1748"/>
      <c r="BQ225" s="1748"/>
      <c r="BR225" s="1748"/>
      <c r="BS225" s="1748"/>
      <c r="BT225" s="1748"/>
      <c r="BU225" s="1748"/>
      <c r="BV225" s="1748"/>
      <c r="BW225" s="1748"/>
      <c r="BX225" s="1748"/>
      <c r="BY225" s="1748"/>
      <c r="BZ225" s="1750"/>
    </row>
    <row r="226" spans="35:78" ht="19.2" hidden="1" x14ac:dyDescent="0.45">
      <c r="AI226" s="1757">
        <v>36</v>
      </c>
      <c r="AJ226" s="1758">
        <f t="shared" si="41"/>
        <v>1032</v>
      </c>
      <c r="AK226" s="1764">
        <f t="shared" si="42"/>
        <v>1032</v>
      </c>
      <c r="AL226" s="1760">
        <f t="shared" si="38"/>
        <v>933.00001370260293</v>
      </c>
      <c r="AM226" s="1761">
        <f t="shared" si="39"/>
        <v>933.00001370260293</v>
      </c>
      <c r="AN226" s="1761">
        <f t="shared" si="43"/>
        <v>12.999986297397044</v>
      </c>
      <c r="AO226" s="1761" t="b">
        <f t="shared" si="40"/>
        <v>0</v>
      </c>
      <c r="AP226" s="1763">
        <v>36</v>
      </c>
      <c r="BA226" s="1750"/>
      <c r="BB226" s="1774"/>
      <c r="BC226" s="1774"/>
      <c r="BD226" s="1774"/>
      <c r="BE226" s="1774"/>
      <c r="BF226" s="1774"/>
      <c r="BG226" s="1774"/>
      <c r="BH226" s="1750"/>
      <c r="BI226" s="1750"/>
      <c r="BJ226" s="1750"/>
      <c r="BK226" s="1750"/>
      <c r="BL226" s="1774"/>
      <c r="BM226" s="1774"/>
      <c r="BN226" s="1774"/>
      <c r="BO226" s="1774"/>
      <c r="BP226" s="1750"/>
      <c r="BQ226" s="1750"/>
      <c r="BR226" s="1750"/>
      <c r="BS226" s="1750"/>
      <c r="BT226" s="1774"/>
      <c r="BU226" s="1774"/>
      <c r="BV226" s="1774"/>
      <c r="BW226" s="1774"/>
      <c r="BX226" s="1774"/>
      <c r="BY226" s="1774"/>
      <c r="BZ226" s="1750"/>
    </row>
    <row r="227" spans="35:78" ht="19.2" hidden="1" x14ac:dyDescent="0.45">
      <c r="AI227" s="1768">
        <v>37</v>
      </c>
      <c r="AJ227" s="1769">
        <f t="shared" si="41"/>
        <v>1075</v>
      </c>
      <c r="AK227" s="1764">
        <f t="shared" si="42"/>
        <v>1075</v>
      </c>
      <c r="AL227" s="1760">
        <f t="shared" si="38"/>
        <v>976.00001370260293</v>
      </c>
      <c r="AM227" s="1761">
        <f t="shared" si="39"/>
        <v>976.00001370260293</v>
      </c>
      <c r="AN227" s="1761">
        <f t="shared" si="43"/>
        <v>12.999986297397044</v>
      </c>
      <c r="AO227" s="1761" t="b">
        <f t="shared" si="40"/>
        <v>0</v>
      </c>
      <c r="AP227" s="1770">
        <v>37</v>
      </c>
      <c r="BA227" s="1750"/>
      <c r="BB227" s="1750"/>
      <c r="BC227" s="1750"/>
      <c r="BD227" s="1750"/>
      <c r="BE227" s="1750"/>
      <c r="BF227" s="1750"/>
      <c r="BG227" s="1750"/>
      <c r="BH227" s="1750"/>
      <c r="BI227" s="1750"/>
      <c r="BJ227" s="1750"/>
      <c r="BK227" s="1750"/>
      <c r="BL227" s="1750"/>
      <c r="BM227" s="1750"/>
      <c r="BN227" s="1750"/>
      <c r="BO227" s="1750"/>
      <c r="BP227" s="1750"/>
      <c r="BQ227" s="1750"/>
      <c r="BR227" s="1750"/>
      <c r="BS227" s="1750"/>
      <c r="BT227" s="1750"/>
      <c r="BU227" s="1750"/>
      <c r="BV227" s="1750"/>
      <c r="BW227" s="1750"/>
      <c r="BX227" s="1750"/>
      <c r="BY227" s="1750"/>
      <c r="BZ227" s="1750"/>
    </row>
    <row r="228" spans="35:78" hidden="1" x14ac:dyDescent="0.3">
      <c r="AI228" s="7"/>
      <c r="AJ228" s="7"/>
      <c r="AK228" s="7"/>
      <c r="BA228" s="1750"/>
      <c r="BB228" s="1750"/>
      <c r="BC228" s="1750"/>
      <c r="BD228" s="1750"/>
      <c r="BE228" s="1750"/>
      <c r="BF228" s="1750"/>
      <c r="BG228" s="1750"/>
      <c r="BH228" s="1750"/>
      <c r="BI228" s="1750"/>
      <c r="BJ228" s="1750"/>
      <c r="BK228" s="1750"/>
      <c r="BL228" s="1750"/>
      <c r="BM228" s="1750"/>
      <c r="BN228" s="1750"/>
      <c r="BO228" s="1750"/>
      <c r="BP228" s="1750"/>
      <c r="BQ228" s="1750"/>
      <c r="BR228" s="1750"/>
      <c r="BS228" s="1750"/>
      <c r="BT228" s="1750"/>
      <c r="BU228" s="1750"/>
      <c r="BV228" s="1750"/>
      <c r="BW228" s="1750"/>
      <c r="BX228" s="1750"/>
      <c r="BY228" s="1750"/>
      <c r="BZ228" s="1750"/>
    </row>
    <row r="229" spans="35:78" hidden="1" x14ac:dyDescent="0.3"/>
    <row r="230" spans="35:78" hidden="1" x14ac:dyDescent="0.3"/>
    <row r="231" spans="35:78" hidden="1" x14ac:dyDescent="0.3"/>
    <row r="232" spans="35:78" hidden="1" x14ac:dyDescent="0.3"/>
    <row r="233" spans="35:78" hidden="1" x14ac:dyDescent="0.3"/>
  </sheetData>
  <sheetProtection algorithmName="SHA-512" hashValue="e4/cwjLqGybsdMQP/MuLYZm0t5zxrKDibT/CFUBBPMTnlSqa0K+6rlbL8qrqSyvC3PJGDzrzGSOqqfSwARrcBQ==" saltValue="SPciBJk3gIMKJadgEM89Zg==" spinCount="100000" sheet="1" objects="1" scenarios="1"/>
  <protectedRanges>
    <protectedRange sqref="B136 B139 D142:D165" name="Range1"/>
  </protectedRanges>
  <mergeCells count="17">
    <mergeCell ref="BB49:BC49"/>
    <mergeCell ref="CB50:CL51"/>
    <mergeCell ref="BB51:BC51"/>
    <mergeCell ref="BZ51:CA51"/>
    <mergeCell ref="BB53:BL54"/>
    <mergeCell ref="BM54:BN54"/>
    <mergeCell ref="CK54:CL54"/>
    <mergeCell ref="CD56:CL57"/>
    <mergeCell ref="BM57:BN57"/>
    <mergeCell ref="CB57:CC57"/>
    <mergeCell ref="B104:E104"/>
    <mergeCell ref="B137:B138"/>
    <mergeCell ref="AN139:AO139"/>
    <mergeCell ref="BG199:BI199"/>
    <mergeCell ref="BG201:BH201"/>
    <mergeCell ref="BS201:BT201"/>
    <mergeCell ref="BB56:BL57"/>
  </mergeCells>
  <conditionalFormatting sqref="E138:G138">
    <cfRule type="cellIs" dxfId="1150" priority="68" stopIfTrue="1" operator="equal">
      <formula>"USE EXBAR VR AT THE BACK"</formula>
    </cfRule>
  </conditionalFormatting>
  <conditionalFormatting sqref="E137:G137 E138">
    <cfRule type="cellIs" dxfId="1149" priority="67" stopIfTrue="1" operator="equal">
      <formula>"USE EXBAR VR AT THE FRONT"</formula>
    </cfRule>
  </conditionalFormatting>
  <conditionalFormatting sqref="W142 AL142:AO142 F143 D142:G142">
    <cfRule type="expression" dxfId="1148" priority="64" stopIfTrue="1">
      <formula>$B$139&lt;1</formula>
    </cfRule>
  </conditionalFormatting>
  <conditionalFormatting sqref="W143 AL143:AO143 D143:G143 E144:E159">
    <cfRule type="expression" dxfId="1147" priority="63" stopIfTrue="1">
      <formula>$B$139&lt;2</formula>
    </cfRule>
  </conditionalFormatting>
  <conditionalFormatting sqref="W144 AL144:AO144 D144:G144">
    <cfRule type="expression" dxfId="1146" priority="62" stopIfTrue="1">
      <formula>$B$139&lt;3</formula>
    </cfRule>
  </conditionalFormatting>
  <conditionalFormatting sqref="W145 AL145:AO145 D145:G145">
    <cfRule type="expression" dxfId="1145" priority="61" stopIfTrue="1">
      <formula>$B$139&lt;4</formula>
    </cfRule>
  </conditionalFormatting>
  <conditionalFormatting sqref="W146 AL146:AO146 D146:G146">
    <cfRule type="expression" dxfId="1144" priority="60" stopIfTrue="1">
      <formula>$B$139&lt;5</formula>
    </cfRule>
  </conditionalFormatting>
  <conditionalFormatting sqref="W147 AL147:AO147 D147:G147">
    <cfRule type="expression" dxfId="1143" priority="59">
      <formula>$B$139&lt;6</formula>
    </cfRule>
  </conditionalFormatting>
  <conditionalFormatting sqref="W148 AL148:AO148 D148:G148">
    <cfRule type="expression" dxfId="1142" priority="58">
      <formula>$B$139&lt;7</formula>
    </cfRule>
  </conditionalFormatting>
  <conditionalFormatting sqref="W149 AL149:AO149 D149:G149">
    <cfRule type="expression" dxfId="1141" priority="57">
      <formula>$B$139&lt;8</formula>
    </cfRule>
  </conditionalFormatting>
  <conditionalFormatting sqref="W150 AL150:AO150 D150:G150">
    <cfRule type="expression" dxfId="1140" priority="56">
      <formula>$B$139&lt;9</formula>
    </cfRule>
  </conditionalFormatting>
  <conditionalFormatting sqref="W151 AL151:AO151 D151:G151">
    <cfRule type="expression" dxfId="1139" priority="55">
      <formula>$B$139&lt;10</formula>
    </cfRule>
  </conditionalFormatting>
  <conditionalFormatting sqref="W152 AL152:AO152 D152:G152">
    <cfRule type="expression" dxfId="1138" priority="54">
      <formula>$B$139&lt;11</formula>
    </cfRule>
  </conditionalFormatting>
  <conditionalFormatting sqref="W153 AL153:AO153 D153:G153">
    <cfRule type="expression" dxfId="1137" priority="53">
      <formula>$B$139&lt;12</formula>
    </cfRule>
  </conditionalFormatting>
  <conditionalFormatting sqref="W154 AL154:AO154 D154:G154">
    <cfRule type="expression" dxfId="1136" priority="52">
      <formula>$B$139&lt;13</formula>
    </cfRule>
  </conditionalFormatting>
  <conditionalFormatting sqref="W155 AL155:AO155 D155:G155">
    <cfRule type="expression" dxfId="1135" priority="51">
      <formula>$B$139&lt;14</formula>
    </cfRule>
  </conditionalFormatting>
  <conditionalFormatting sqref="W156 AL156:AO156 D156:G156">
    <cfRule type="expression" dxfId="1134" priority="50">
      <formula>$B$139&lt;15</formula>
    </cfRule>
  </conditionalFormatting>
  <conditionalFormatting sqref="W157 AL157:AO157 D157:G157">
    <cfRule type="expression" dxfId="1133" priority="49">
      <formula>$B$139&lt;16</formula>
    </cfRule>
  </conditionalFormatting>
  <conditionalFormatting sqref="W158 AL158:AO158 D158:G158">
    <cfRule type="expression" dxfId="1132" priority="46">
      <formula>$B$139&lt;17</formula>
    </cfRule>
  </conditionalFormatting>
  <conditionalFormatting sqref="W159 AL159:AO159 D159:G159">
    <cfRule type="expression" dxfId="1131" priority="44">
      <formula>$B$139&lt;18</formula>
    </cfRule>
  </conditionalFormatting>
  <conditionalFormatting sqref="D135:G136">
    <cfRule type="cellIs" dxfId="1130" priority="48" stopIfTrue="1" operator="equal">
      <formula>"change the angle of frame or of cabinets"</formula>
    </cfRule>
  </conditionalFormatting>
  <conditionalFormatting sqref="B142:B165">
    <cfRule type="cellIs" dxfId="1129" priority="47" stopIfTrue="1" operator="greaterThan">
      <formula>$B$139</formula>
    </cfRule>
  </conditionalFormatting>
  <conditionalFormatting sqref="W142:W159">
    <cfRule type="cellIs" dxfId="1128" priority="66" stopIfTrue="1" operator="equal">
      <formula>"pin in groundstacking hole"</formula>
    </cfRule>
  </conditionalFormatting>
  <conditionalFormatting sqref="AN142:AO159 D108 B108">
    <cfRule type="cellIs" dxfId="1127" priority="45" stopIfTrue="1" operator="lessThan">
      <formula>10</formula>
    </cfRule>
  </conditionalFormatting>
  <conditionalFormatting sqref="D142:D159">
    <cfRule type="cellIs" dxfId="1126" priority="65" stopIfTrue="1" operator="notEqual">
      <formula>0</formula>
    </cfRule>
  </conditionalFormatting>
  <conditionalFormatting sqref="E103">
    <cfRule type="cellIs" dxfId="1125" priority="42" stopIfTrue="1" operator="between">
      <formula>"OVERLOAD"</formula>
      <formula>"OVERLOAD"</formula>
    </cfRule>
  </conditionalFormatting>
  <conditionalFormatting sqref="B103">
    <cfRule type="cellIs" dxfId="1124" priority="43" stopIfTrue="1" operator="equal">
      <formula>"overload"</formula>
    </cfRule>
  </conditionalFormatting>
  <conditionalFormatting sqref="E141">
    <cfRule type="cellIs" dxfId="1123" priority="41" stopIfTrue="1" operator="equal">
      <formula>"USE EXBAR VR AT THE BACK"</formula>
    </cfRule>
  </conditionalFormatting>
  <conditionalFormatting sqref="E141">
    <cfRule type="cellIs" dxfId="1122" priority="40" stopIfTrue="1" operator="equal">
      <formula>"USE EXBAR VR AT THE FRONT"</formula>
    </cfRule>
  </conditionalFormatting>
  <conditionalFormatting sqref="E108">
    <cfRule type="cellIs" dxfId="1121" priority="39" stopIfTrue="1" operator="lessThan">
      <formula>10</formula>
    </cfRule>
  </conditionalFormatting>
  <conditionalFormatting sqref="D160:D165">
    <cfRule type="cellIs" dxfId="1120" priority="38" stopIfTrue="1" operator="notEqual">
      <formula>0</formula>
    </cfRule>
  </conditionalFormatting>
  <conditionalFormatting sqref="E160:E165">
    <cfRule type="expression" dxfId="1119" priority="37" stopIfTrue="1">
      <formula>$B$139&lt;2</formula>
    </cfRule>
  </conditionalFormatting>
  <conditionalFormatting sqref="W160:W165">
    <cfRule type="cellIs" dxfId="1118" priority="36" stopIfTrue="1" operator="equal">
      <formula>"pin in groundstacking hole"</formula>
    </cfRule>
  </conditionalFormatting>
  <conditionalFormatting sqref="D161:AO161">
    <cfRule type="expression" dxfId="1117" priority="34">
      <formula>$B$139&lt;20</formula>
    </cfRule>
  </conditionalFormatting>
  <conditionalFormatting sqref="AN160:AO165">
    <cfRule type="cellIs" dxfId="1116" priority="35" stopIfTrue="1" operator="lessThan">
      <formula>10</formula>
    </cfRule>
  </conditionalFormatting>
  <conditionalFormatting sqref="D160:AO160">
    <cfRule type="expression" dxfId="1115" priority="33">
      <formula>$B$139&lt;19</formula>
    </cfRule>
  </conditionalFormatting>
  <conditionalFormatting sqref="D162:AO162">
    <cfRule type="expression" dxfId="1114" priority="32">
      <formula>$B$139&lt;21</formula>
    </cfRule>
  </conditionalFormatting>
  <conditionalFormatting sqref="D163:AO163">
    <cfRule type="expression" dxfId="1113" priority="31">
      <formula>$B$139&lt;22</formula>
    </cfRule>
  </conditionalFormatting>
  <conditionalFormatting sqref="D164:AO164">
    <cfRule type="expression" dxfId="1112" priority="30">
      <formula>$B$139&lt;23</formula>
    </cfRule>
  </conditionalFormatting>
  <conditionalFormatting sqref="D165:AO165">
    <cfRule type="expression" dxfId="1111" priority="29">
      <formula>$B$139&lt;24</formula>
    </cfRule>
  </conditionalFormatting>
  <conditionalFormatting sqref="BB125:BR125">
    <cfRule type="expression" dxfId="1110" priority="22">
      <formula>$B$136=0</formula>
    </cfRule>
  </conditionalFormatting>
  <conditionalFormatting sqref="BM79:CC79">
    <cfRule type="cellIs" dxfId="1109" priority="18" operator="equal">
      <formula>0</formula>
    </cfRule>
    <cfRule type="expression" dxfId="1108" priority="21">
      <formula>$B$136=0</formula>
    </cfRule>
  </conditionalFormatting>
  <conditionalFormatting sqref="AY126 AZ125:AZ126 AY80 AZ79:AZ80">
    <cfRule type="expression" dxfId="1107" priority="1">
      <formula>$B$136&lt;&gt;0</formula>
    </cfRule>
  </conditionalFormatting>
  <conditionalFormatting sqref="BV125:CL125">
    <cfRule type="expression" dxfId="1106" priority="19">
      <formula>$B$136=0</formula>
    </cfRule>
  </conditionalFormatting>
  <conditionalFormatting sqref="D137">
    <cfRule type="cellIs" dxfId="1105" priority="17" stopIfTrue="1" operator="equal">
      <formula>"USE EXBAR AR AT THE FRONT"</formula>
    </cfRule>
  </conditionalFormatting>
  <conditionalFormatting sqref="D138">
    <cfRule type="cellIs" dxfId="1104" priority="16" stopIfTrue="1" operator="equal">
      <formula>"USE EXBAR AR AT THE BACK"</formula>
    </cfRule>
  </conditionalFormatting>
  <conditionalFormatting sqref="B103 E103 D108:E108 B108">
    <cfRule type="expression" dxfId="1103" priority="69">
      <formula>#REF!=0</formula>
    </cfRule>
  </conditionalFormatting>
  <conditionalFormatting sqref="AY51">
    <cfRule type="cellIs" dxfId="1102" priority="14" operator="equal">
      <formula>"""OK"""</formula>
    </cfRule>
    <cfRule type="cellIs" dxfId="1101" priority="15" stopIfTrue="1" operator="equal">
      <formula>"overload"</formula>
    </cfRule>
  </conditionalFormatting>
  <conditionalFormatting sqref="AY50">
    <cfRule type="cellIs" dxfId="1100" priority="12" operator="equal">
      <formula>"""OK"""</formula>
    </cfRule>
    <cfRule type="cellIs" dxfId="1099" priority="13" stopIfTrue="1" operator="equal">
      <formula>"negative force at the motor"</formula>
    </cfRule>
  </conditionalFormatting>
  <conditionalFormatting sqref="AY54">
    <cfRule type="cellIs" dxfId="1098" priority="10" operator="equal">
      <formula>"""OK"""</formula>
    </cfRule>
    <cfRule type="cellIs" dxfId="1097" priority="11" stopIfTrue="1" operator="equal">
      <formula>"overload"</formula>
    </cfRule>
  </conditionalFormatting>
  <conditionalFormatting sqref="AY53">
    <cfRule type="cellIs" dxfId="1096" priority="8" operator="equal">
      <formula>"""OK"""</formula>
    </cfRule>
    <cfRule type="cellIs" dxfId="1095" priority="9" stopIfTrue="1" operator="equal">
      <formula>"negative force at the motor"</formula>
    </cfRule>
  </conditionalFormatting>
  <conditionalFormatting sqref="AY57">
    <cfRule type="cellIs" dxfId="1094" priority="6" operator="equal">
      <formula>"""OK"""</formula>
    </cfRule>
    <cfRule type="cellIs" dxfId="1093" priority="7" stopIfTrue="1" operator="equal">
      <formula>"overload"</formula>
    </cfRule>
  </conditionalFormatting>
  <conditionalFormatting sqref="AY56">
    <cfRule type="cellIs" dxfId="1092" priority="4" operator="equal">
      <formula>"""OK"""</formula>
    </cfRule>
    <cfRule type="cellIs" dxfId="1091" priority="5" stopIfTrue="1" operator="equal">
      <formula>"negative force at the motor"</formula>
    </cfRule>
  </conditionalFormatting>
  <conditionalFormatting sqref="AY85">
    <cfRule type="cellIs" dxfId="1090" priority="2" operator="equal">
      <formula>"""OK"""</formula>
    </cfRule>
    <cfRule type="cellIs" dxfId="1089" priority="3" stopIfTrue="1" operator="equal">
      <formula>"overload"</formula>
    </cfRule>
  </conditionalFormatting>
  <conditionalFormatting sqref="AY80 AY126">
    <cfRule type="cellIs" dxfId="1088" priority="20" operator="equal">
      <formula>"overload"</formula>
    </cfRule>
  </conditionalFormatting>
  <dataValidations count="6">
    <dataValidation type="whole" allowBlank="1" showInputMessage="1" showErrorMessage="1" sqref="D143:D165" xr:uid="{00000000-0002-0000-0300-000000000000}">
      <formula1>0</formula1>
      <formula2>10</formula2>
    </dataValidation>
    <dataValidation type="whole" allowBlank="1" showInputMessage="1" showErrorMessage="1" sqref="D142" xr:uid="{00000000-0002-0000-0300-000001000000}">
      <formula1>0</formula1>
      <formula2>5</formula2>
    </dataValidation>
    <dataValidation type="decimal" allowBlank="1" showInputMessage="1" showErrorMessage="1" sqref="G143:G165 F144:F165" xr:uid="{00000000-0002-0000-0300-000002000000}">
      <formula1>0</formula1>
      <formula2>8</formula2>
    </dataValidation>
    <dataValidation type="decimal" allowBlank="1" showInputMessage="1" showErrorMessage="1" sqref="F142:G142" xr:uid="{00000000-0002-0000-0300-000003000000}">
      <formula1>0</formula1>
      <formula2>4</formula2>
    </dataValidation>
    <dataValidation type="whole" allowBlank="1" showInputMessage="1" showErrorMessage="1" errorTitle="Coda Audio" error="YOU HAVE ENTERED A WRONG NUMBER OF CABINETS" promptTitle="Coda Audio" prompt="ENTER THE NUMBER OF CABINETS FROM 1 UP TO 18" sqref="B139" xr:uid="{00000000-0002-0000-0300-000004000000}">
      <formula1>1</formula1>
      <formula2>24</formula2>
    </dataValidation>
    <dataValidation type="decimal" allowBlank="1" showInputMessage="1" showErrorMessage="1" sqref="B136" xr:uid="{00000000-0002-0000-0300-000005000000}">
      <formula1>-89.9</formula1>
      <formula2>89.9</formula2>
    </dataValidation>
  </dataValidations>
  <pageMargins left="0.75" right="0.75" top="1" bottom="1" header="0.5" footer="0.5"/>
  <pageSetup paperSize="9" orientation="portrait" horizontalDpi="4294967293" verticalDpi="200" r:id="rId1"/>
  <headerFooter alignWithMargins="0"/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2"/>
  <dimension ref="B1:DF288"/>
  <sheetViews>
    <sheetView topLeftCell="A26" zoomScale="50" zoomScaleNormal="50" workbookViewId="0">
      <selection activeCell="B109" sqref="B109"/>
    </sheetView>
  </sheetViews>
  <sheetFormatPr baseColWidth="10" defaultColWidth="8.88671875" defaultRowHeight="15.6" x14ac:dyDescent="0.3"/>
  <cols>
    <col min="1" max="1" width="3.44140625" customWidth="1"/>
    <col min="2" max="2" width="27.109375" style="13" customWidth="1"/>
    <col min="3" max="3" width="22.33203125" hidden="1" customWidth="1"/>
    <col min="4" max="5" width="27.109375" customWidth="1"/>
    <col min="6" max="6" width="26" hidden="1" customWidth="1"/>
    <col min="7" max="14" width="11" hidden="1" customWidth="1"/>
    <col min="15" max="15" width="13.88671875" hidden="1" customWidth="1"/>
    <col min="16" max="16" width="19.6640625" hidden="1" customWidth="1"/>
    <col min="17" max="17" width="12.6640625" hidden="1" customWidth="1"/>
    <col min="18" max="20" width="11" hidden="1" customWidth="1"/>
    <col min="21" max="21" width="16.5546875" hidden="1" customWidth="1"/>
    <col min="22" max="22" width="17.5546875" hidden="1" customWidth="1"/>
    <col min="23" max="23" width="5.88671875" hidden="1" customWidth="1"/>
    <col min="24" max="24" width="24.109375" hidden="1" customWidth="1"/>
    <col min="25" max="25" width="7.88671875" hidden="1" customWidth="1"/>
    <col min="26" max="26" width="16.5546875" hidden="1" customWidth="1"/>
    <col min="27" max="27" width="15.5546875" hidden="1" customWidth="1"/>
    <col min="28" max="29" width="16.5546875" hidden="1" customWidth="1"/>
    <col min="30" max="30" width="15.5546875" hidden="1" customWidth="1"/>
    <col min="31" max="31" width="16.5546875" hidden="1" customWidth="1"/>
    <col min="32" max="32" width="19.6640625" hidden="1" customWidth="1"/>
    <col min="33" max="33" width="16.5546875" hidden="1" customWidth="1"/>
    <col min="34" max="35" width="17.5546875" hidden="1" customWidth="1"/>
    <col min="36" max="36" width="18.5546875" hidden="1" customWidth="1"/>
    <col min="37" max="37" width="17.5546875" hidden="1" customWidth="1"/>
    <col min="38" max="38" width="27.109375" hidden="1" customWidth="1"/>
    <col min="39" max="39" width="17.5546875" hidden="1" customWidth="1"/>
    <col min="40" max="40" width="13.109375" bestFit="1" customWidth="1"/>
    <col min="41" max="41" width="14.6640625" bestFit="1" customWidth="1"/>
    <col min="42" max="42" width="9.109375" hidden="1" customWidth="1"/>
    <col min="43" max="49" width="13.109375" hidden="1" customWidth="1"/>
    <col min="50" max="50" width="14.6640625" hidden="1" customWidth="1"/>
    <col min="51" max="51" width="25.33203125" hidden="1" customWidth="1"/>
    <col min="52" max="52" width="43.5546875" customWidth="1"/>
    <col min="53" max="53" width="7.44140625" customWidth="1"/>
    <col min="54" max="60" width="6.6640625" customWidth="1"/>
    <col min="61" max="61" width="8" customWidth="1"/>
    <col min="62" max="81" width="6.6640625" customWidth="1"/>
    <col min="82" max="82" width="7.33203125" customWidth="1"/>
    <col min="83" max="85" width="13.33203125" hidden="1" customWidth="1"/>
    <col min="86" max="100" width="0" hidden="1" customWidth="1"/>
  </cols>
  <sheetData>
    <row r="1" spans="2:6" ht="18" hidden="1" customHeight="1" x14ac:dyDescent="0.3">
      <c r="D1" s="745" t="s">
        <v>202</v>
      </c>
      <c r="E1" s="745" t="s">
        <v>203</v>
      </c>
      <c r="F1" s="745" t="s">
        <v>204</v>
      </c>
    </row>
    <row r="2" spans="2:6" ht="21" hidden="1" x14ac:dyDescent="0.4">
      <c r="B2" s="326" t="s">
        <v>29</v>
      </c>
      <c r="C2" s="331">
        <v>650</v>
      </c>
      <c r="D2" s="750">
        <f>+COS(($B$108*-1)*3.14159265358979/180)*C2</f>
        <v>650</v>
      </c>
      <c r="E2" s="746">
        <f>+COS(($B$108*-1)*3.14159265358979/180)*50</f>
        <v>50</v>
      </c>
      <c r="F2" s="746">
        <f>+COS((($B$108*-1)+58.1516306)*3.14159265358979/180)*91.9127</f>
        <v>48.499858560820385</v>
      </c>
    </row>
    <row r="3" spans="2:6" ht="20.25" hidden="1" customHeight="1" x14ac:dyDescent="0.4">
      <c r="B3" s="326" t="s">
        <v>99</v>
      </c>
      <c r="C3" s="331">
        <f>+C10-48.5</f>
        <v>294.99989132317432</v>
      </c>
      <c r="D3" s="750">
        <f>+C10-F2</f>
        <v>295.00003276235395</v>
      </c>
    </row>
    <row r="4" spans="2:6" ht="84" hidden="1" x14ac:dyDescent="0.4">
      <c r="B4" s="327" t="s">
        <v>40</v>
      </c>
      <c r="C4" s="332">
        <v>1050</v>
      </c>
      <c r="D4" s="750">
        <f>+COS(($B$108*-1)*3.14159265358979/180)*C4</f>
        <v>1050</v>
      </c>
    </row>
    <row r="5" spans="2:6" ht="63" hidden="1" x14ac:dyDescent="0.4">
      <c r="B5" s="327" t="s">
        <v>206</v>
      </c>
      <c r="C5" s="328">
        <f>+C10+401.5</f>
        <v>744.99989132317432</v>
      </c>
      <c r="D5" s="750">
        <f>+(COS(($B$108*-1)*3.14159265358979/180)*400)+$D$3</f>
        <v>695.00003276235395</v>
      </c>
    </row>
    <row r="6" spans="2:6" ht="21" hidden="1" x14ac:dyDescent="0.4">
      <c r="B6" s="329"/>
      <c r="C6" s="185"/>
    </row>
    <row r="7" spans="2:6" ht="21" hidden="1" x14ac:dyDescent="0.4">
      <c r="B7" s="753" t="s">
        <v>16</v>
      </c>
      <c r="C7" s="754">
        <f>+B111*57+30+30+4.3</f>
        <v>121.3</v>
      </c>
    </row>
    <row r="8" spans="2:6" ht="21" hidden="1" x14ac:dyDescent="0.4">
      <c r="B8" s="753" t="s">
        <v>15</v>
      </c>
      <c r="C8" s="754">
        <f>+AG114</f>
        <v>747.0023123282715</v>
      </c>
    </row>
    <row r="9" spans="2:6" ht="20.399999999999999" hidden="1" x14ac:dyDescent="0.35">
      <c r="B9" s="330" t="s">
        <v>66</v>
      </c>
      <c r="C9" s="330" t="s">
        <v>109</v>
      </c>
    </row>
    <row r="10" spans="2:6" ht="21" hidden="1" x14ac:dyDescent="0.4">
      <c r="B10" s="753" t="s">
        <v>14</v>
      </c>
      <c r="C10" s="753">
        <f>+X114</f>
        <v>343.49989132317432</v>
      </c>
    </row>
    <row r="11" spans="2:6" hidden="1" x14ac:dyDescent="0.3"/>
    <row r="12" spans="2:6" ht="17.399999999999999" hidden="1" x14ac:dyDescent="0.3">
      <c r="C12" s="305"/>
    </row>
    <row r="13" spans="2:6" ht="18" hidden="1" x14ac:dyDescent="0.35">
      <c r="C13" s="26" t="str">
        <f>IF(D91&gt;=10,"O K ","OVERLOAD")</f>
        <v xml:space="preserve">O K </v>
      </c>
    </row>
    <row r="14" spans="2:6" ht="17.399999999999999" hidden="1" x14ac:dyDescent="0.3">
      <c r="B14" s="305"/>
      <c r="C14" s="305"/>
    </row>
    <row r="15" spans="2:6" ht="34.799999999999997" hidden="1" x14ac:dyDescent="0.3">
      <c r="B15" s="305">
        <v>5800</v>
      </c>
      <c r="C15" s="305">
        <v>5800</v>
      </c>
      <c r="E15" s="162" t="s">
        <v>121</v>
      </c>
    </row>
    <row r="16" spans="2:6" ht="34.799999999999997" hidden="1" x14ac:dyDescent="0.3">
      <c r="B16" s="305">
        <v>8000</v>
      </c>
      <c r="C16" s="305">
        <v>8000</v>
      </c>
      <c r="D16" s="163">
        <v>8000</v>
      </c>
      <c r="E16" s="162" t="s">
        <v>169</v>
      </c>
    </row>
    <row r="17" spans="2:83" ht="17.399999999999999" hidden="1" x14ac:dyDescent="0.3">
      <c r="B17" s="1349" t="s">
        <v>22</v>
      </c>
      <c r="C17" s="1349" t="s">
        <v>23</v>
      </c>
    </row>
    <row r="18" spans="2:83" ht="17.399999999999999" hidden="1" x14ac:dyDescent="0.25">
      <c r="B18" s="1350">
        <f>+((C8-C10)/C8)*C7</f>
        <v>65.521676252066797</v>
      </c>
      <c r="C18" s="1351">
        <f>+(C10/C8)*C7</f>
        <v>55.778323747933207</v>
      </c>
    </row>
    <row r="19" spans="2:83" hidden="1" x14ac:dyDescent="0.3"/>
    <row r="20" spans="2:83" hidden="1" x14ac:dyDescent="0.3"/>
    <row r="21" spans="2:83" hidden="1" x14ac:dyDescent="0.3"/>
    <row r="22" spans="2:83" hidden="1" x14ac:dyDescent="0.3"/>
    <row r="23" spans="2:83" hidden="1" x14ac:dyDescent="0.3"/>
    <row r="24" spans="2:83" hidden="1" x14ac:dyDescent="0.3"/>
    <row r="25" spans="2:83" ht="20.399999999999999" hidden="1" x14ac:dyDescent="0.35">
      <c r="AZ25" s="185"/>
      <c r="BA25" s="185"/>
      <c r="BB25" s="185"/>
      <c r="BC25" s="185"/>
      <c r="BD25" s="185"/>
      <c r="BE25" s="185"/>
      <c r="BF25" s="185"/>
      <c r="BG25" s="185"/>
      <c r="BH25" s="185"/>
      <c r="BI25" s="185"/>
      <c r="BJ25" s="185"/>
      <c r="BK25" s="185"/>
      <c r="BL25" s="185"/>
      <c r="BM25" s="185"/>
      <c r="BN25" s="185"/>
      <c r="BO25" s="185"/>
      <c r="BP25" s="185"/>
      <c r="BQ25" s="185"/>
      <c r="BR25" s="185"/>
      <c r="BS25" s="185"/>
      <c r="BT25" s="185"/>
      <c r="BU25" s="185"/>
      <c r="BV25" s="185"/>
      <c r="BW25" s="185"/>
      <c r="BX25" s="185"/>
      <c r="BY25" s="185"/>
      <c r="BZ25" s="185"/>
    </row>
    <row r="26" spans="2:83" s="143" customFormat="1" ht="28.5" customHeight="1" thickBot="1" x14ac:dyDescent="0.45">
      <c r="L26" s="762"/>
      <c r="M26" s="2037"/>
      <c r="N26" s="2037"/>
      <c r="O26" s="2037"/>
      <c r="P26" s="145"/>
      <c r="Q26" s="145"/>
      <c r="R26" s="145"/>
      <c r="S26" s="145"/>
      <c r="T26" s="145"/>
      <c r="U26" s="145"/>
      <c r="V26" s="146"/>
      <c r="W26" s="146"/>
      <c r="X26" s="146"/>
      <c r="AZ26" s="181" t="s">
        <v>28</v>
      </c>
      <c r="BA26" s="1994">
        <f>+C7</f>
        <v>121.3</v>
      </c>
      <c r="BB26" s="1994"/>
      <c r="BC26" s="182" t="s">
        <v>17</v>
      </c>
      <c r="BD26" s="182"/>
      <c r="BE26" s="183" t="s">
        <v>114</v>
      </c>
      <c r="BF26" s="184"/>
      <c r="BG26" s="184"/>
      <c r="BH26" s="184"/>
      <c r="BI26" s="184"/>
      <c r="BJ26" s="184"/>
      <c r="BK26" s="184"/>
      <c r="BL26" s="184"/>
      <c r="BM26" s="184"/>
      <c r="BN26" s="184"/>
      <c r="BO26" s="184"/>
      <c r="BP26" s="184"/>
      <c r="BQ26" s="184"/>
      <c r="BR26" s="184"/>
      <c r="BS26" s="184"/>
      <c r="BT26" s="184"/>
      <c r="BU26" s="184"/>
      <c r="BV26" s="184"/>
      <c r="BW26" s="184"/>
      <c r="BX26" s="184"/>
      <c r="BY26" s="185"/>
      <c r="BZ26" s="185"/>
    </row>
    <row r="27" spans="2:83" ht="21" x14ac:dyDescent="0.4">
      <c r="L27" s="64"/>
      <c r="M27" s="761"/>
      <c r="N27" s="761"/>
      <c r="O27" s="761"/>
      <c r="P27" s="10"/>
      <c r="Q27" s="10"/>
      <c r="R27" s="10"/>
      <c r="S27" s="10"/>
      <c r="T27" s="10"/>
      <c r="U27" s="10"/>
      <c r="V27" s="7"/>
      <c r="W27" s="7"/>
      <c r="X27" s="7"/>
      <c r="AZ27" s="186" t="s">
        <v>30</v>
      </c>
      <c r="BA27" s="238" t="s">
        <v>31</v>
      </c>
      <c r="BB27" s="187"/>
      <c r="BC27" s="187"/>
      <c r="BD27" s="187"/>
      <c r="BE27" s="187"/>
      <c r="BF27" s="187"/>
      <c r="BG27" s="187"/>
      <c r="BH27" s="187"/>
      <c r="BI27" s="187"/>
      <c r="BJ27" s="187"/>
      <c r="BK27" s="187"/>
      <c r="BL27" s="187"/>
      <c r="BM27" s="187"/>
      <c r="BN27" s="187"/>
      <c r="BO27" s="187"/>
      <c r="BP27" s="187"/>
      <c r="BQ27" s="187"/>
      <c r="BR27" s="187"/>
      <c r="BS27" s="239"/>
      <c r="BT27" s="232"/>
      <c r="BU27" s="1"/>
      <c r="BV27" s="188" t="s">
        <v>32</v>
      </c>
      <c r="BW27" s="1978"/>
      <c r="BX27" s="1979"/>
      <c r="BY27" s="1979"/>
      <c r="BZ27" s="1979"/>
      <c r="CA27" s="1979"/>
      <c r="CB27" s="1979"/>
      <c r="CC27" s="1979"/>
      <c r="CD27" s="1980"/>
    </row>
    <row r="28" spans="2:83" ht="23.4" thickBot="1" x14ac:dyDescent="0.45">
      <c r="L28" s="64"/>
      <c r="M28" s="761"/>
      <c r="N28" s="761"/>
      <c r="O28" s="761"/>
      <c r="P28" s="10"/>
      <c r="Q28" s="10"/>
      <c r="R28" s="10"/>
      <c r="S28" s="10"/>
      <c r="T28" s="10"/>
      <c r="U28" s="10"/>
      <c r="V28" s="7"/>
      <c r="W28" s="7"/>
      <c r="X28" s="7"/>
      <c r="AY28" s="1347">
        <f>+IF(AND(BU28&gt;0,BA28&gt;0),BA28)</f>
        <v>41.010948596120443</v>
      </c>
      <c r="AZ28" s="677" t="s">
        <v>39</v>
      </c>
      <c r="BA28" s="2007">
        <f>+((D4-D5)/D4)*C7</f>
        <v>41.010948596120443</v>
      </c>
      <c r="BB28" s="2008"/>
      <c r="BC28" s="240"/>
      <c r="BD28" s="240"/>
      <c r="BE28" s="240"/>
      <c r="BF28" s="240"/>
      <c r="BG28" s="240"/>
      <c r="BH28" s="240"/>
      <c r="BI28" s="240"/>
      <c r="BJ28" s="240"/>
      <c r="BK28" s="240"/>
      <c r="BL28" s="240"/>
      <c r="BM28" s="240"/>
      <c r="BN28" s="240"/>
      <c r="BO28" s="240"/>
      <c r="BP28" s="240"/>
      <c r="BQ28" s="240"/>
      <c r="BR28" s="240"/>
      <c r="BS28" s="2"/>
      <c r="BT28" s="230"/>
      <c r="BU28" s="1991">
        <f>(D5/D4)*C7</f>
        <v>80.289051403879554</v>
      </c>
      <c r="BV28" s="1992"/>
      <c r="BW28" s="1981"/>
      <c r="BX28" s="1982"/>
      <c r="BY28" s="1982"/>
      <c r="BZ28" s="1982"/>
      <c r="CA28" s="1982"/>
      <c r="CB28" s="1982"/>
      <c r="CC28" s="1982"/>
      <c r="CD28" s="1983"/>
      <c r="CE28" s="1347">
        <f>+IF(AND(BA28&gt;0,BU28&gt;0),BU28)</f>
        <v>80.289051403879554</v>
      </c>
    </row>
    <row r="29" spans="2:83" ht="16.2" thickBot="1" x14ac:dyDescent="0.35">
      <c r="L29" s="64"/>
      <c r="M29" s="761"/>
      <c r="N29" s="761"/>
      <c r="O29" s="761"/>
      <c r="P29" s="10"/>
      <c r="Q29" s="10"/>
      <c r="R29" s="10"/>
      <c r="S29" s="10"/>
      <c r="T29" s="10"/>
      <c r="U29" s="10"/>
      <c r="V29" s="7"/>
      <c r="W29" s="7"/>
      <c r="X29" s="7"/>
    </row>
    <row r="30" spans="2:83" ht="21" x14ac:dyDescent="0.4">
      <c r="L30" s="64"/>
      <c r="M30" s="761"/>
      <c r="N30" s="761"/>
      <c r="O30" s="761"/>
      <c r="P30" s="10"/>
      <c r="Q30" s="10"/>
      <c r="R30" s="10"/>
      <c r="S30" s="10"/>
      <c r="T30" s="10"/>
      <c r="U30" s="10"/>
      <c r="V30" s="7"/>
      <c r="W30" s="7"/>
      <c r="X30" s="7"/>
      <c r="AZ30" s="189" t="s">
        <v>30</v>
      </c>
      <c r="BA30" s="1978"/>
      <c r="BB30" s="1979"/>
      <c r="BC30" s="1979"/>
      <c r="BD30" s="1979"/>
      <c r="BE30" s="1979"/>
      <c r="BF30" s="1979"/>
      <c r="BG30" s="1979"/>
      <c r="BH30" s="1980"/>
      <c r="BI30" s="421" t="s">
        <v>31</v>
      </c>
      <c r="BJ30" s="190"/>
      <c r="BK30" s="190"/>
      <c r="BL30" s="190"/>
      <c r="BM30" s="190"/>
      <c r="BN30" s="190"/>
      <c r="BO30" s="190"/>
      <c r="BP30" s="190"/>
      <c r="BQ30" s="190"/>
      <c r="BR30" s="190"/>
      <c r="BS30" s="190"/>
      <c r="BT30" s="190"/>
      <c r="BU30" s="190"/>
      <c r="BV30" s="190"/>
      <c r="BW30" s="190"/>
      <c r="BX30" s="236"/>
      <c r="BY30" s="237"/>
      <c r="BZ30" s="237"/>
      <c r="CA30" s="1"/>
      <c r="CB30" s="1"/>
      <c r="CC30" s="1"/>
      <c r="CD30" s="191" t="s">
        <v>32</v>
      </c>
    </row>
    <row r="31" spans="2:83" ht="23.4" thickBot="1" x14ac:dyDescent="0.45">
      <c r="L31" s="64"/>
      <c r="M31" s="761"/>
      <c r="N31" s="761"/>
      <c r="O31" s="761"/>
      <c r="P31" s="10"/>
      <c r="Q31" s="10"/>
      <c r="R31" s="10"/>
      <c r="S31" s="10"/>
      <c r="T31" s="10"/>
      <c r="U31" s="10"/>
      <c r="V31" s="7"/>
      <c r="W31" s="7"/>
      <c r="X31" s="7"/>
      <c r="AY31" s="1347">
        <f>+IF(AND(CC31&gt;0,BI31&gt;0),BI31)</f>
        <v>87.220472405644244</v>
      </c>
      <c r="AZ31" s="192" t="s">
        <v>38</v>
      </c>
      <c r="BA31" s="1981"/>
      <c r="BB31" s="1982"/>
      <c r="BC31" s="1982"/>
      <c r="BD31" s="1982"/>
      <c r="BE31" s="1982"/>
      <c r="BF31" s="1982"/>
      <c r="BG31" s="1982"/>
      <c r="BH31" s="1983"/>
      <c r="BI31" s="2005">
        <f>((D4-D3)/D4)*C7</f>
        <v>87.220472405644244</v>
      </c>
      <c r="BJ31" s="2006"/>
      <c r="BK31" s="193"/>
      <c r="BL31" s="193"/>
      <c r="BM31" s="193"/>
      <c r="BN31" s="193"/>
      <c r="BO31" s="193"/>
      <c r="BP31" s="193"/>
      <c r="BQ31" s="193"/>
      <c r="BR31" s="193"/>
      <c r="BS31" s="193"/>
      <c r="BT31" s="193"/>
      <c r="BU31" s="193"/>
      <c r="BV31" s="193"/>
      <c r="BW31" s="193"/>
      <c r="BX31" s="2"/>
      <c r="BY31" s="235"/>
      <c r="BZ31" s="235"/>
      <c r="CA31" s="353"/>
      <c r="CB31" s="2"/>
      <c r="CC31" s="1989">
        <f>+(D3/D4)*C7</f>
        <v>34.079527594355746</v>
      </c>
      <c r="CD31" s="1990"/>
      <c r="CE31" s="1347">
        <f>+IF(AND(BI31&gt;0,CC31&gt;0),CC31)</f>
        <v>34.079527594355746</v>
      </c>
    </row>
    <row r="32" spans="2:83" ht="21.6" thickBot="1" x14ac:dyDescent="0.45">
      <c r="L32" s="64"/>
      <c r="M32" s="761"/>
      <c r="N32" s="761"/>
      <c r="O32" s="761"/>
      <c r="P32" s="10"/>
      <c r="Q32" s="10"/>
      <c r="R32" s="10"/>
      <c r="S32" s="10"/>
      <c r="T32" s="10"/>
      <c r="U32" s="10"/>
      <c r="V32" s="7"/>
      <c r="W32" s="7"/>
      <c r="X32" s="7"/>
      <c r="AZ32" s="198"/>
      <c r="BA32" s="198"/>
      <c r="BB32" s="198"/>
      <c r="BC32" s="198"/>
      <c r="BD32" s="198"/>
      <c r="BE32" s="198"/>
      <c r="BF32" s="199"/>
      <c r="BG32" s="198"/>
      <c r="BH32" s="198"/>
      <c r="BI32" s="198"/>
      <c r="BJ32" s="198"/>
      <c r="BK32" s="198"/>
      <c r="BL32" s="198"/>
      <c r="BM32" s="198"/>
      <c r="BN32" s="198"/>
      <c r="BO32" s="198"/>
      <c r="BP32" s="198"/>
      <c r="BQ32" s="198"/>
      <c r="BR32" s="198"/>
      <c r="BS32" s="198"/>
      <c r="BT32" s="198"/>
      <c r="BU32" s="198"/>
      <c r="BV32" s="198"/>
      <c r="BW32" s="198"/>
      <c r="BX32" s="199"/>
      <c r="BY32" s="185"/>
      <c r="BZ32" s="185"/>
      <c r="CA32" s="54"/>
    </row>
    <row r="33" spans="12:82" ht="21.6" hidden="1" thickBot="1" x14ac:dyDescent="0.45">
      <c r="L33" s="64"/>
      <c r="M33" s="761"/>
      <c r="N33" s="761"/>
      <c r="O33" s="761"/>
      <c r="P33" s="10"/>
      <c r="Q33" s="10"/>
      <c r="R33" s="10"/>
      <c r="S33" s="10"/>
      <c r="T33" s="10"/>
      <c r="U33" s="10"/>
      <c r="V33" s="7"/>
      <c r="W33" s="7"/>
      <c r="X33" s="7"/>
      <c r="AZ33" s="228" t="s">
        <v>93</v>
      </c>
      <c r="BA33" s="198"/>
      <c r="BB33" s="198"/>
      <c r="BC33" s="198"/>
      <c r="BD33" s="198"/>
      <c r="BE33" s="198"/>
      <c r="BF33" s="199"/>
      <c r="BG33" s="198"/>
      <c r="BH33" s="198"/>
      <c r="BI33" s="198"/>
      <c r="BJ33" s="198"/>
      <c r="BK33" s="198"/>
      <c r="BL33" s="198"/>
      <c r="BM33" s="198"/>
      <c r="BN33" s="198"/>
      <c r="BO33" s="198"/>
      <c r="BP33" s="198"/>
      <c r="BQ33" s="198"/>
      <c r="BR33" s="198"/>
      <c r="BS33" s="198"/>
      <c r="BT33" s="198"/>
      <c r="BU33" s="198"/>
      <c r="BV33" s="198"/>
      <c r="BW33" s="198"/>
      <c r="BX33" s="199"/>
      <c r="BY33" s="185"/>
      <c r="BZ33" s="185"/>
      <c r="CA33" s="185"/>
      <c r="CB33" s="185"/>
      <c r="CC33" s="185"/>
      <c r="CD33" s="185"/>
    </row>
    <row r="34" spans="12:82" ht="21.6" hidden="1" thickBot="1" x14ac:dyDescent="0.45">
      <c r="L34" s="64"/>
      <c r="M34" s="761"/>
      <c r="N34" s="761"/>
      <c r="O34" s="761"/>
      <c r="P34" s="10"/>
      <c r="Q34" s="10"/>
      <c r="R34" s="10"/>
      <c r="S34" s="10"/>
      <c r="T34" s="10"/>
      <c r="U34" s="10"/>
      <c r="V34" s="7"/>
      <c r="W34" s="7"/>
      <c r="X34" s="7"/>
      <c r="AZ34" s="228" t="s">
        <v>92</v>
      </c>
      <c r="BA34" s="185"/>
      <c r="BB34" s="185"/>
      <c r="BC34" s="185"/>
      <c r="BD34" s="185"/>
      <c r="BE34" s="185"/>
      <c r="BF34" s="185"/>
      <c r="BG34" s="185"/>
      <c r="BH34" s="185"/>
      <c r="BI34" s="185"/>
      <c r="BJ34" s="185"/>
      <c r="BK34" s="185"/>
      <c r="BL34" s="185"/>
      <c r="BM34" s="185"/>
      <c r="BN34" s="185"/>
      <c r="BO34" s="185"/>
      <c r="BP34" s="185"/>
      <c r="BQ34" s="185"/>
      <c r="BR34" s="185"/>
      <c r="BS34" s="185"/>
      <c r="BT34" s="185"/>
      <c r="BU34" s="185"/>
      <c r="BV34" s="185"/>
      <c r="BW34" s="185"/>
      <c r="BX34" s="185"/>
      <c r="BY34" s="185"/>
      <c r="BZ34" s="185"/>
      <c r="CA34" s="185"/>
      <c r="CB34" s="210" t="b">
        <f>IF(CC84=29,28)</f>
        <v>0</v>
      </c>
      <c r="CC34" s="234"/>
      <c r="CD34" s="212" t="b">
        <f>IF(CC84=29,30)</f>
        <v>0</v>
      </c>
    </row>
    <row r="35" spans="12:82" ht="21.6" hidden="1" thickBot="1" x14ac:dyDescent="0.45">
      <c r="L35" s="64"/>
      <c r="M35" s="761"/>
      <c r="N35" s="761"/>
      <c r="O35" s="761"/>
      <c r="P35" s="10"/>
      <c r="Q35" s="10"/>
      <c r="R35" s="10"/>
      <c r="S35" s="10"/>
      <c r="T35" s="10"/>
      <c r="U35" s="10"/>
      <c r="V35" s="7"/>
      <c r="W35" s="7"/>
      <c r="X35" s="7"/>
      <c r="AZ35" s="228" t="s">
        <v>91</v>
      </c>
      <c r="BA35" s="185"/>
      <c r="BB35" s="185"/>
      <c r="BC35" s="185"/>
      <c r="BD35" s="185"/>
      <c r="BE35" s="185"/>
      <c r="BF35" s="185"/>
      <c r="BG35" s="185"/>
      <c r="BH35" s="185"/>
      <c r="BI35" s="185"/>
      <c r="BJ35" s="185"/>
      <c r="BK35" s="185"/>
      <c r="BL35" s="185"/>
      <c r="BM35" s="185"/>
      <c r="BN35" s="185"/>
      <c r="BO35" s="185"/>
      <c r="BP35" s="185"/>
      <c r="BQ35" s="185"/>
      <c r="BR35" s="185"/>
      <c r="BS35" s="185"/>
      <c r="BT35" s="185"/>
      <c r="BU35" s="185"/>
      <c r="BV35" s="185"/>
      <c r="BW35" s="185"/>
      <c r="BX35" s="185"/>
      <c r="BY35" s="185"/>
      <c r="BZ35" s="210" t="b">
        <f>IF(CB84=28,26)</f>
        <v>0</v>
      </c>
      <c r="CA35" s="234"/>
      <c r="CB35" s="234"/>
      <c r="CC35" s="234"/>
      <c r="CD35" s="212" t="b">
        <f>IF(CB84=28,30)</f>
        <v>0</v>
      </c>
    </row>
    <row r="36" spans="12:82" ht="21.6" hidden="1" thickBot="1" x14ac:dyDescent="0.45">
      <c r="L36" s="64"/>
      <c r="M36" s="761"/>
      <c r="N36" s="761"/>
      <c r="O36" s="761"/>
      <c r="P36" s="10"/>
      <c r="Q36" s="10"/>
      <c r="R36" s="10"/>
      <c r="S36" s="10"/>
      <c r="T36" s="10"/>
      <c r="U36" s="10"/>
      <c r="V36" s="7"/>
      <c r="W36" s="7"/>
      <c r="X36" s="7"/>
      <c r="AZ36" s="228" t="s">
        <v>90</v>
      </c>
      <c r="BA36" s="185"/>
      <c r="BB36" s="185"/>
      <c r="BC36" s="185"/>
      <c r="BD36" s="185"/>
      <c r="BE36" s="185"/>
      <c r="BF36" s="185"/>
      <c r="BG36" s="185"/>
      <c r="BH36" s="185"/>
      <c r="BI36" s="185"/>
      <c r="BJ36" s="185"/>
      <c r="BK36" s="185"/>
      <c r="BL36" s="185"/>
      <c r="BM36" s="185"/>
      <c r="BN36" s="185"/>
      <c r="BO36" s="185"/>
      <c r="BP36" s="185"/>
      <c r="BQ36" s="185"/>
      <c r="BR36" s="185"/>
      <c r="BS36" s="185"/>
      <c r="BT36" s="185"/>
      <c r="BU36" s="185"/>
      <c r="BV36" s="185"/>
      <c r="BW36" s="185"/>
      <c r="BX36" s="210" t="b">
        <f>IF(CA84=27,24)</f>
        <v>0</v>
      </c>
      <c r="BY36" s="234"/>
      <c r="BZ36" s="234"/>
      <c r="CA36" s="234"/>
      <c r="CB36" s="234"/>
      <c r="CC36" s="234"/>
      <c r="CD36" s="212" t="b">
        <f>IF(CA84=27,30)</f>
        <v>0</v>
      </c>
    </row>
    <row r="37" spans="12:82" ht="21.6" hidden="1" thickBot="1" x14ac:dyDescent="0.45">
      <c r="L37" s="64"/>
      <c r="M37" s="761"/>
      <c r="N37" s="761"/>
      <c r="O37" s="761"/>
      <c r="P37" s="10"/>
      <c r="Q37" s="10"/>
      <c r="R37" s="10"/>
      <c r="S37" s="10"/>
      <c r="T37" s="10"/>
      <c r="U37" s="10"/>
      <c r="V37" s="7"/>
      <c r="W37" s="7"/>
      <c r="X37" s="7"/>
      <c r="AZ37" s="228" t="s">
        <v>89</v>
      </c>
      <c r="BA37" s="185"/>
      <c r="BB37" s="185"/>
      <c r="BC37" s="185"/>
      <c r="BD37" s="185"/>
      <c r="BE37" s="185"/>
      <c r="BF37" s="185"/>
      <c r="BG37" s="185"/>
      <c r="BH37" s="185"/>
      <c r="BI37" s="185"/>
      <c r="BJ37" s="185"/>
      <c r="BK37" s="185"/>
      <c r="BL37" s="185"/>
      <c r="BM37" s="185"/>
      <c r="BN37" s="185"/>
      <c r="BO37" s="185"/>
      <c r="BP37" s="185"/>
      <c r="BQ37" s="185"/>
      <c r="BR37" s="185"/>
      <c r="BS37" s="185"/>
      <c r="BT37" s="185"/>
      <c r="BU37" s="185"/>
      <c r="BV37" s="210" t="b">
        <f>IF(BZ84=26,22)</f>
        <v>0</v>
      </c>
      <c r="BW37" s="234"/>
      <c r="BX37" s="234"/>
      <c r="BY37" s="234"/>
      <c r="BZ37" s="234"/>
      <c r="CA37" s="234"/>
      <c r="CB37" s="234"/>
      <c r="CC37" s="234"/>
      <c r="CD37" s="212" t="b">
        <f>IF(BZ84=26,30)</f>
        <v>0</v>
      </c>
    </row>
    <row r="38" spans="12:82" ht="21.6" hidden="1" thickBot="1" x14ac:dyDescent="0.45">
      <c r="L38" s="64"/>
      <c r="M38" s="761"/>
      <c r="N38" s="761"/>
      <c r="O38" s="761"/>
      <c r="P38" s="10"/>
      <c r="Q38" s="10"/>
      <c r="R38" s="10"/>
      <c r="S38" s="10"/>
      <c r="T38" s="10"/>
      <c r="U38" s="10"/>
      <c r="V38" s="7"/>
      <c r="W38" s="7"/>
      <c r="X38" s="7"/>
      <c r="AZ38" s="228" t="s">
        <v>88</v>
      </c>
      <c r="BA38" s="185"/>
      <c r="BB38" s="185"/>
      <c r="BC38" s="185"/>
      <c r="BD38" s="185"/>
      <c r="BE38" s="185"/>
      <c r="BF38" s="185"/>
      <c r="BG38" s="185"/>
      <c r="BH38" s="185"/>
      <c r="BI38" s="185"/>
      <c r="BJ38" s="185"/>
      <c r="BK38" s="185"/>
      <c r="BL38" s="185"/>
      <c r="BM38" s="185"/>
      <c r="BN38" s="185"/>
      <c r="BO38" s="185"/>
      <c r="BP38" s="185"/>
      <c r="BQ38" s="185"/>
      <c r="BR38" s="185"/>
      <c r="BS38" s="185"/>
      <c r="BT38" s="210" t="b">
        <f>IF(BY84=25,20)</f>
        <v>0</v>
      </c>
      <c r="BU38" s="234"/>
      <c r="BV38" s="234"/>
      <c r="BW38" s="234"/>
      <c r="BX38" s="234"/>
      <c r="BY38" s="234"/>
      <c r="BZ38" s="234"/>
      <c r="CA38" s="234"/>
      <c r="CB38" s="234"/>
      <c r="CC38" s="234"/>
      <c r="CD38" s="212" t="b">
        <f>IF(BY84=25,30)</f>
        <v>0</v>
      </c>
    </row>
    <row r="39" spans="12:82" ht="21.6" hidden="1" thickBot="1" x14ac:dyDescent="0.45">
      <c r="L39" s="64"/>
      <c r="M39" s="761"/>
      <c r="N39" s="761"/>
      <c r="O39" s="761"/>
      <c r="P39" s="10"/>
      <c r="Q39" s="10"/>
      <c r="R39" s="10"/>
      <c r="S39" s="10"/>
      <c r="T39" s="10"/>
      <c r="U39" s="10"/>
      <c r="V39" s="7"/>
      <c r="W39" s="7"/>
      <c r="X39" s="7"/>
      <c r="AZ39" s="148" t="s">
        <v>15</v>
      </c>
      <c r="BA39" s="185"/>
      <c r="BB39" s="185"/>
      <c r="BC39" s="185"/>
      <c r="BD39" s="185"/>
      <c r="BE39" s="185"/>
      <c r="BF39" s="185"/>
      <c r="BG39" s="185"/>
      <c r="BH39" s="185"/>
      <c r="BI39" s="185"/>
      <c r="BJ39" s="185"/>
      <c r="BK39" s="185"/>
      <c r="BL39" s="185"/>
      <c r="BM39" s="185"/>
      <c r="BN39" s="185"/>
      <c r="BO39" s="185"/>
      <c r="BP39" s="185"/>
      <c r="BQ39" s="185"/>
      <c r="BR39" s="210" t="b">
        <f>IF(BX84=24,18)</f>
        <v>0</v>
      </c>
      <c r="BS39" s="234"/>
      <c r="BT39" s="234"/>
      <c r="BU39" s="234"/>
      <c r="BV39" s="234"/>
      <c r="BW39" s="234"/>
      <c r="BX39" s="234"/>
      <c r="BY39" s="234"/>
      <c r="BZ39" s="234"/>
      <c r="CA39" s="234"/>
      <c r="CB39" s="234"/>
      <c r="CC39" s="234"/>
      <c r="CD39" s="212" t="b">
        <f>IF(BX84=24,30)</f>
        <v>0</v>
      </c>
    </row>
    <row r="40" spans="12:82" ht="21.6" hidden="1" thickBot="1" x14ac:dyDescent="0.45">
      <c r="L40" s="64"/>
      <c r="M40" s="761"/>
      <c r="N40" s="761"/>
      <c r="O40" s="761"/>
      <c r="P40" s="10"/>
      <c r="Q40" s="10"/>
      <c r="R40" s="10"/>
      <c r="S40" s="10"/>
      <c r="T40" s="10"/>
      <c r="U40" s="10"/>
      <c r="V40" s="7"/>
      <c r="W40" s="7"/>
      <c r="X40" s="7"/>
      <c r="AZ40" s="148" t="s">
        <v>87</v>
      </c>
      <c r="BA40" s="185"/>
      <c r="BB40" s="185"/>
      <c r="BC40" s="185"/>
      <c r="BD40" s="185"/>
      <c r="BE40" s="185"/>
      <c r="BF40" s="185"/>
      <c r="BG40" s="185"/>
      <c r="BH40" s="185"/>
      <c r="BI40" s="185"/>
      <c r="BJ40" s="185"/>
      <c r="BK40" s="185"/>
      <c r="BL40" s="185"/>
      <c r="BM40" s="185"/>
      <c r="BN40" s="185"/>
      <c r="BO40" s="185"/>
      <c r="BP40" s="210" t="b">
        <f>IF(BW84=23,16)</f>
        <v>0</v>
      </c>
      <c r="BQ40" s="234"/>
      <c r="BR40" s="234"/>
      <c r="BS40" s="234"/>
      <c r="BT40" s="234"/>
      <c r="BU40" s="234"/>
      <c r="BV40" s="234"/>
      <c r="BW40" s="234"/>
      <c r="BX40" s="234"/>
      <c r="BY40" s="234"/>
      <c r="BZ40" s="234"/>
      <c r="CA40" s="234"/>
      <c r="CB40" s="234"/>
      <c r="CC40" s="234"/>
      <c r="CD40" s="212" t="b">
        <f>IF(BW84=23,30)</f>
        <v>0</v>
      </c>
    </row>
    <row r="41" spans="12:82" ht="21.6" hidden="1" thickBot="1" x14ac:dyDescent="0.45">
      <c r="L41" s="64"/>
      <c r="M41" s="761"/>
      <c r="N41" s="761"/>
      <c r="O41" s="761"/>
      <c r="P41" s="10"/>
      <c r="Q41" s="10"/>
      <c r="R41" s="10"/>
      <c r="S41" s="10"/>
      <c r="T41" s="10"/>
      <c r="U41" s="10"/>
      <c r="V41" s="7"/>
      <c r="W41" s="7"/>
      <c r="X41" s="7"/>
      <c r="AZ41" s="148">
        <v>12</v>
      </c>
      <c r="BA41" s="182"/>
      <c r="BB41" s="182"/>
      <c r="BC41" s="182"/>
      <c r="BD41" s="182"/>
      <c r="BE41" s="182"/>
      <c r="BF41" s="182"/>
      <c r="BG41" s="182"/>
      <c r="BH41" s="182"/>
      <c r="BI41" s="182"/>
      <c r="BJ41" s="182"/>
      <c r="BK41" s="182"/>
      <c r="BL41" s="182"/>
      <c r="BM41" s="182"/>
      <c r="BN41" s="182"/>
      <c r="BO41" s="182"/>
      <c r="BP41" s="208" t="b">
        <f>IF(BV84=22,16)</f>
        <v>0</v>
      </c>
      <c r="BQ41" s="230"/>
      <c r="BR41" s="230"/>
      <c r="BS41" s="230"/>
      <c r="BT41" s="230"/>
      <c r="BU41" s="230"/>
      <c r="BV41" s="230"/>
      <c r="BW41" s="230"/>
      <c r="BX41" s="230"/>
      <c r="BY41" s="235"/>
      <c r="BZ41" s="235"/>
      <c r="CA41" s="209" t="b">
        <f>IF(BV84=22,27)</f>
        <v>0</v>
      </c>
      <c r="CB41" s="185"/>
      <c r="CC41" s="185"/>
      <c r="CD41" s="185"/>
    </row>
    <row r="42" spans="12:82" ht="21.6" hidden="1" thickBot="1" x14ac:dyDescent="0.45">
      <c r="L42" s="64"/>
      <c r="M42" s="761"/>
      <c r="N42" s="761"/>
      <c r="O42" s="761"/>
      <c r="P42" s="10"/>
      <c r="Q42" s="10"/>
      <c r="R42" s="10"/>
      <c r="S42" s="10"/>
      <c r="T42" s="10"/>
      <c r="U42" s="10"/>
      <c r="V42" s="7"/>
      <c r="W42" s="7"/>
      <c r="X42" s="7"/>
      <c r="AZ42" s="148">
        <v>11</v>
      </c>
      <c r="BA42" s="185"/>
      <c r="BB42" s="185"/>
      <c r="BC42" s="185"/>
      <c r="BD42" s="185"/>
      <c r="BE42" s="185"/>
      <c r="BF42" s="185"/>
      <c r="BG42" s="185"/>
      <c r="BH42" s="185"/>
      <c r="BI42" s="185"/>
      <c r="BJ42" s="185"/>
      <c r="BK42" s="185"/>
      <c r="BL42" s="210" t="b">
        <f>IF(BU84=21,12)</f>
        <v>0</v>
      </c>
      <c r="BM42" s="234"/>
      <c r="BN42" s="234"/>
      <c r="BO42" s="234"/>
      <c r="BP42" s="234"/>
      <c r="BQ42" s="234"/>
      <c r="BR42" s="234"/>
      <c r="BS42" s="234"/>
      <c r="BT42" s="234"/>
      <c r="BU42" s="234"/>
      <c r="BV42" s="234"/>
      <c r="BW42" s="234"/>
      <c r="BX42" s="234"/>
      <c r="BY42" s="234"/>
      <c r="BZ42" s="234"/>
      <c r="CA42" s="234"/>
      <c r="CB42" s="234"/>
      <c r="CC42" s="234"/>
      <c r="CD42" s="212" t="b">
        <f>IF(BU84=21,30)</f>
        <v>0</v>
      </c>
    </row>
    <row r="43" spans="12:82" ht="21.6" hidden="1" thickBot="1" x14ac:dyDescent="0.45">
      <c r="L43" s="64"/>
      <c r="M43" s="761"/>
      <c r="N43" s="761"/>
      <c r="O43" s="761"/>
      <c r="P43" s="10"/>
      <c r="Q43" s="10"/>
      <c r="R43" s="10"/>
      <c r="S43" s="10"/>
      <c r="T43" s="10"/>
      <c r="U43" s="10"/>
      <c r="V43" s="7"/>
      <c r="W43" s="7"/>
      <c r="X43" s="7"/>
      <c r="AZ43" s="148">
        <v>10</v>
      </c>
      <c r="BA43" s="185"/>
      <c r="BB43" s="185"/>
      <c r="BC43" s="185"/>
      <c r="BD43" s="185"/>
      <c r="BE43" s="185"/>
      <c r="BF43" s="185"/>
      <c r="BG43" s="185"/>
      <c r="BH43" s="185"/>
      <c r="BJ43" s="210" t="b">
        <f>IF(BT84=20,10)</f>
        <v>0</v>
      </c>
      <c r="BK43" s="234"/>
      <c r="BL43" s="234"/>
      <c r="BM43" s="234"/>
      <c r="BN43" s="234"/>
      <c r="BO43" s="234"/>
      <c r="BP43" s="234"/>
      <c r="BQ43" s="234"/>
      <c r="BR43" s="234"/>
      <c r="BS43" s="234"/>
      <c r="BT43" s="234"/>
      <c r="BU43" s="234"/>
      <c r="BV43" s="234"/>
      <c r="BW43" s="234"/>
      <c r="BX43" s="234"/>
      <c r="BY43" s="234"/>
      <c r="BZ43" s="234"/>
      <c r="CA43" s="234"/>
      <c r="CB43" s="234"/>
      <c r="CC43" s="234"/>
      <c r="CD43" s="212" t="b">
        <f>IF(BT84=20,30)</f>
        <v>0</v>
      </c>
    </row>
    <row r="44" spans="12:82" ht="21.6" hidden="1" thickBot="1" x14ac:dyDescent="0.45">
      <c r="L44" s="64"/>
      <c r="M44" s="761"/>
      <c r="N44" s="761"/>
      <c r="O44" s="761"/>
      <c r="P44" s="10"/>
      <c r="Q44" s="10"/>
      <c r="R44" s="10"/>
      <c r="S44" s="10"/>
      <c r="T44" s="10"/>
      <c r="U44" s="10"/>
      <c r="V44" s="7"/>
      <c r="W44" s="7"/>
      <c r="X44" s="7"/>
      <c r="AZ44" s="148">
        <v>9</v>
      </c>
      <c r="BA44" s="185"/>
      <c r="BB44" s="185"/>
      <c r="BC44" s="185"/>
      <c r="BD44" s="185"/>
      <c r="BE44" s="185"/>
      <c r="BF44" s="185"/>
      <c r="BG44" s="185"/>
      <c r="BH44" s="185"/>
      <c r="BI44" s="210" t="b">
        <f>IF(BS84=19,9)</f>
        <v>0</v>
      </c>
      <c r="BJ44" s="229"/>
      <c r="BK44" s="229"/>
      <c r="BL44" s="229"/>
      <c r="BM44" s="229"/>
      <c r="BN44" s="229"/>
      <c r="BO44" s="224"/>
      <c r="BP44" s="229"/>
      <c r="BQ44" s="229"/>
      <c r="BR44" s="229"/>
      <c r="BS44" s="229"/>
      <c r="BT44" s="229"/>
      <c r="BU44" s="224"/>
      <c r="BV44" s="229"/>
      <c r="BW44" s="229"/>
      <c r="BX44" s="229"/>
      <c r="BY44" s="234"/>
      <c r="BZ44" s="234"/>
      <c r="CA44" s="224"/>
      <c r="CB44" s="234"/>
      <c r="CC44" s="212" t="b">
        <f>IF(BS84=19,29)</f>
        <v>0</v>
      </c>
      <c r="CD44" s="185"/>
    </row>
    <row r="45" spans="12:82" ht="21.6" hidden="1" thickBot="1" x14ac:dyDescent="0.45">
      <c r="L45" s="64"/>
      <c r="M45" s="761"/>
      <c r="N45" s="761"/>
      <c r="O45" s="761"/>
      <c r="P45" s="10"/>
      <c r="Q45" s="10"/>
      <c r="R45" s="10"/>
      <c r="S45" s="10"/>
      <c r="T45" s="10"/>
      <c r="U45" s="10"/>
      <c r="V45" s="7"/>
      <c r="W45" s="7"/>
      <c r="X45" s="7"/>
      <c r="AZ45" s="148">
        <v>8</v>
      </c>
      <c r="BA45" s="182"/>
      <c r="BB45" s="182"/>
      <c r="BC45" s="182"/>
      <c r="BD45" s="182"/>
      <c r="BE45" s="182"/>
      <c r="BF45" s="182"/>
      <c r="BG45" s="182"/>
      <c r="BH45" s="182"/>
      <c r="BI45" s="208" t="b">
        <f>IF(BR84=18,9)</f>
        <v>0</v>
      </c>
      <c r="BJ45" s="230"/>
      <c r="BK45" s="230"/>
      <c r="BL45" s="230"/>
      <c r="BM45" s="230"/>
      <c r="BN45" s="230"/>
      <c r="BO45" s="2"/>
      <c r="BP45" s="230"/>
      <c r="BQ45" s="230"/>
      <c r="BR45" s="230"/>
      <c r="BS45" s="230"/>
      <c r="BT45" s="230"/>
      <c r="BU45" s="2"/>
      <c r="BV45" s="230"/>
      <c r="BW45" s="230"/>
      <c r="BX45" s="230"/>
      <c r="BY45" s="235"/>
      <c r="BZ45" s="235"/>
      <c r="CA45" s="209" t="b">
        <f>IF(BR84=18,27)</f>
        <v>0</v>
      </c>
      <c r="CB45" s="185"/>
      <c r="CC45" s="185"/>
      <c r="CD45" s="185"/>
    </row>
    <row r="46" spans="12:82" ht="21.6" hidden="1" thickBot="1" x14ac:dyDescent="0.45">
      <c r="L46" s="64"/>
      <c r="M46" s="761"/>
      <c r="N46" s="761"/>
      <c r="O46" s="761"/>
      <c r="P46" s="10"/>
      <c r="Q46" s="10"/>
      <c r="R46" s="10"/>
      <c r="S46" s="10"/>
      <c r="T46" s="10"/>
      <c r="U46" s="10"/>
      <c r="V46" s="7"/>
      <c r="W46" s="7"/>
      <c r="X46" s="7"/>
      <c r="AZ46" s="231">
        <v>7</v>
      </c>
      <c r="BA46" s="182"/>
      <c r="BB46" s="182"/>
      <c r="BC46" s="182"/>
      <c r="BD46" s="182"/>
      <c r="BE46" s="182"/>
      <c r="BF46" s="182"/>
      <c r="BG46" s="182"/>
      <c r="BH46" s="182"/>
      <c r="BI46" s="208" t="b">
        <f>IF(BQ84=17,9)</f>
        <v>0</v>
      </c>
      <c r="BJ46" s="2"/>
      <c r="BK46" s="230"/>
      <c r="BL46" s="230"/>
      <c r="BM46" s="230"/>
      <c r="BN46" s="230"/>
      <c r="BO46" s="230"/>
      <c r="BP46" s="230"/>
      <c r="BQ46" s="230"/>
      <c r="BR46" s="230"/>
      <c r="BS46" s="230"/>
      <c r="BT46" s="230"/>
      <c r="BU46" s="230"/>
      <c r="BV46" s="230"/>
      <c r="BW46" s="230"/>
      <c r="BX46" s="2"/>
      <c r="BY46" s="209" t="b">
        <f>IF(BQ84=17,25)</f>
        <v>0</v>
      </c>
      <c r="BZ46" s="185"/>
      <c r="CA46" s="185"/>
      <c r="CB46" s="185"/>
      <c r="CC46" s="185"/>
      <c r="CD46" s="185"/>
    </row>
    <row r="47" spans="12:82" ht="21.6" hidden="1" thickBot="1" x14ac:dyDescent="0.45">
      <c r="L47" s="64"/>
      <c r="M47" s="761"/>
      <c r="N47" s="761"/>
      <c r="O47" s="761"/>
      <c r="P47" s="10"/>
      <c r="Q47" s="10"/>
      <c r="R47" s="10"/>
      <c r="S47" s="10"/>
      <c r="T47" s="10"/>
      <c r="U47" s="10"/>
      <c r="V47" s="7"/>
      <c r="W47" s="7"/>
      <c r="X47" s="7"/>
      <c r="AZ47" s="231">
        <v>6</v>
      </c>
      <c r="BA47" s="182"/>
      <c r="BB47" s="182"/>
      <c r="BC47" s="182"/>
      <c r="BD47" s="182"/>
      <c r="BE47" s="182"/>
      <c r="BF47" s="182"/>
      <c r="BG47" s="182"/>
      <c r="BI47" s="233" t="b">
        <f>IF(BP84=16,9)</f>
        <v>0</v>
      </c>
      <c r="BJ47" s="182"/>
      <c r="BK47" s="182"/>
      <c r="BL47" s="182"/>
      <c r="BM47" s="182"/>
      <c r="BN47" s="182"/>
      <c r="BO47" s="182"/>
      <c r="BP47" s="182"/>
      <c r="BQ47" s="182"/>
      <c r="BR47" s="182"/>
      <c r="BS47" s="182"/>
      <c r="BT47" s="182"/>
      <c r="BU47" s="182"/>
      <c r="BV47" s="182"/>
      <c r="BW47" s="209" t="b">
        <f>IF(BP84=16,23)</f>
        <v>0</v>
      </c>
      <c r="BY47" s="185"/>
      <c r="BZ47" s="185"/>
      <c r="CA47" s="185"/>
      <c r="CB47" s="185"/>
      <c r="CC47" s="185"/>
      <c r="CD47" s="185"/>
    </row>
    <row r="48" spans="12:82" ht="21.6" hidden="1" thickBot="1" x14ac:dyDescent="0.45">
      <c r="L48" s="64"/>
      <c r="M48" s="761"/>
      <c r="N48" s="761"/>
      <c r="O48" s="761"/>
      <c r="P48" s="10"/>
      <c r="Q48" s="10"/>
      <c r="R48" s="10"/>
      <c r="S48" s="10"/>
      <c r="T48" s="10"/>
      <c r="U48" s="10"/>
      <c r="V48" s="7"/>
      <c r="W48" s="7"/>
      <c r="X48" s="7"/>
      <c r="AZ48" s="148" t="s">
        <v>86</v>
      </c>
      <c r="BA48" s="182"/>
      <c r="BB48" s="182"/>
      <c r="BC48" s="182"/>
      <c r="BD48" s="182"/>
      <c r="BE48" s="182"/>
      <c r="BF48" s="182"/>
      <c r="BG48" s="182"/>
      <c r="BH48" s="210">
        <f>IF(BO84=15,8)</f>
        <v>8</v>
      </c>
      <c r="BI48" s="229"/>
      <c r="BJ48" s="229"/>
      <c r="BK48" s="224"/>
      <c r="BL48" s="229"/>
      <c r="BM48" s="229"/>
      <c r="BN48" s="229"/>
      <c r="BO48" s="229"/>
      <c r="BP48" s="229"/>
      <c r="BQ48" s="229"/>
      <c r="BR48" s="229"/>
      <c r="BS48" s="224"/>
      <c r="BT48" s="229"/>
      <c r="BU48" s="229"/>
      <c r="BV48" s="212">
        <f>IF(BO84=15,22)</f>
        <v>22</v>
      </c>
      <c r="BW48" s="182"/>
      <c r="BX48" s="182"/>
      <c r="BY48" s="185"/>
      <c r="BZ48" s="185"/>
      <c r="CA48" s="185"/>
      <c r="CB48" s="185"/>
      <c r="CC48" s="185"/>
      <c r="CD48" s="185"/>
    </row>
    <row r="49" spans="2:82" ht="21.6" hidden="1" thickBot="1" x14ac:dyDescent="0.45">
      <c r="L49" s="64"/>
      <c r="M49" s="761"/>
      <c r="N49" s="761"/>
      <c r="O49" s="761"/>
      <c r="P49" s="10"/>
      <c r="Q49" s="10"/>
      <c r="R49" s="10"/>
      <c r="S49" s="10"/>
      <c r="T49" s="10"/>
      <c r="U49" s="10"/>
      <c r="V49" s="7"/>
      <c r="W49" s="7"/>
      <c r="X49" s="7"/>
      <c r="AZ49" s="148" t="s">
        <v>85</v>
      </c>
      <c r="BA49" s="182"/>
      <c r="BB49" s="182"/>
      <c r="BC49" s="182"/>
      <c r="BD49" s="182"/>
      <c r="BE49" s="182"/>
      <c r="BF49" s="210" t="b">
        <f>IF(BN84=14,6)</f>
        <v>0</v>
      </c>
      <c r="BG49" s="229"/>
      <c r="BH49" s="229"/>
      <c r="BI49" s="224"/>
      <c r="BJ49" s="229"/>
      <c r="BK49" s="229"/>
      <c r="BL49" s="229"/>
      <c r="BM49" s="229"/>
      <c r="BN49" s="229"/>
      <c r="BO49" s="229"/>
      <c r="BP49" s="229"/>
      <c r="BQ49" s="229"/>
      <c r="BR49" s="229"/>
      <c r="BS49" s="224"/>
      <c r="BT49" s="229"/>
      <c r="BU49" s="229"/>
      <c r="BV49" s="212" t="b">
        <f>IF(BN84=14,22)</f>
        <v>0</v>
      </c>
      <c r="BW49" s="182"/>
      <c r="BX49" s="182"/>
      <c r="BY49" s="185"/>
      <c r="BZ49" s="185"/>
      <c r="CA49" s="185"/>
      <c r="CB49" s="185"/>
      <c r="CC49" s="185"/>
      <c r="CD49" s="185"/>
    </row>
    <row r="50" spans="2:82" ht="21.6" hidden="1" thickBot="1" x14ac:dyDescent="0.45">
      <c r="L50" s="64"/>
      <c r="M50" s="761"/>
      <c r="N50" s="761"/>
      <c r="O50" s="761"/>
      <c r="P50" s="10"/>
      <c r="Q50" s="10"/>
      <c r="R50" s="10"/>
      <c r="S50" s="10"/>
      <c r="T50" s="10"/>
      <c r="U50" s="10"/>
      <c r="V50" s="7"/>
      <c r="W50" s="7"/>
      <c r="X50" s="7"/>
      <c r="AZ50" s="148">
        <v>5</v>
      </c>
      <c r="BA50" s="182"/>
      <c r="BB50" s="182"/>
      <c r="BC50" s="182"/>
      <c r="BD50" s="210" t="b">
        <f>IF(BM84=13,4)</f>
        <v>0</v>
      </c>
      <c r="BE50" s="229"/>
      <c r="BF50" s="229"/>
      <c r="BG50" s="224"/>
      <c r="BH50" s="229"/>
      <c r="BI50" s="229"/>
      <c r="BJ50" s="229"/>
      <c r="BK50" s="229"/>
      <c r="BL50" s="229"/>
      <c r="BM50" s="229"/>
      <c r="BN50" s="229"/>
      <c r="BO50" s="229"/>
      <c r="BP50" s="229"/>
      <c r="BQ50" s="229"/>
      <c r="BR50" s="229"/>
      <c r="BS50" s="224"/>
      <c r="BT50" s="229"/>
      <c r="BU50" s="229"/>
      <c r="BV50" s="212" t="b">
        <f>IF(BM84=13,22)</f>
        <v>0</v>
      </c>
      <c r="BW50" s="182"/>
      <c r="BX50" s="182"/>
      <c r="BY50" s="185"/>
      <c r="BZ50" s="185"/>
      <c r="CA50" s="185"/>
      <c r="CB50" s="185"/>
      <c r="CC50" s="185"/>
      <c r="CD50" s="185"/>
    </row>
    <row r="51" spans="2:82" ht="21.6" hidden="1" thickBot="1" x14ac:dyDescent="0.45">
      <c r="L51" s="64"/>
      <c r="M51" s="761"/>
      <c r="N51" s="761"/>
      <c r="O51" s="761"/>
      <c r="P51" s="10"/>
      <c r="Q51" s="10"/>
      <c r="R51" s="10"/>
      <c r="S51" s="10"/>
      <c r="T51" s="10"/>
      <c r="U51" s="10"/>
      <c r="V51" s="7"/>
      <c r="W51" s="7"/>
      <c r="X51" s="7"/>
      <c r="AZ51" s="148">
        <v>4</v>
      </c>
      <c r="BA51" s="182"/>
      <c r="BB51" s="210" t="b">
        <f>IF(BL84=12,2)</f>
        <v>0</v>
      </c>
      <c r="BC51" s="229"/>
      <c r="BD51" s="229"/>
      <c r="BE51" s="224"/>
      <c r="BF51" s="229"/>
      <c r="BG51" s="229"/>
      <c r="BH51" s="229"/>
      <c r="BI51" s="229"/>
      <c r="BJ51" s="229"/>
      <c r="BK51" s="229"/>
      <c r="BL51" s="229"/>
      <c r="BM51" s="229"/>
      <c r="BN51" s="229"/>
      <c r="BO51" s="229"/>
      <c r="BP51" s="229"/>
      <c r="BQ51" s="229"/>
      <c r="BR51" s="229"/>
      <c r="BS51" s="224"/>
      <c r="BT51" s="229"/>
      <c r="BU51" s="229"/>
      <c r="BV51" s="212" t="b">
        <f>IF(BL84=12,22)</f>
        <v>0</v>
      </c>
      <c r="BW51" s="182"/>
      <c r="BX51" s="182"/>
      <c r="BY51" s="185"/>
      <c r="BZ51" s="185"/>
      <c r="CA51" s="185"/>
      <c r="CB51" s="185"/>
      <c r="CC51" s="185"/>
      <c r="CD51" s="185"/>
    </row>
    <row r="52" spans="2:82" ht="21.6" hidden="1" thickBot="1" x14ac:dyDescent="0.45">
      <c r="L52" s="64"/>
      <c r="M52" s="761"/>
      <c r="N52" s="761"/>
      <c r="O52" s="761"/>
      <c r="P52" s="10"/>
      <c r="Q52" s="10"/>
      <c r="R52" s="10"/>
      <c r="S52" s="10"/>
      <c r="T52" s="10"/>
      <c r="U52" s="10"/>
      <c r="V52" s="7"/>
      <c r="W52" s="7"/>
      <c r="X52" s="7"/>
      <c r="AZ52" s="148">
        <v>3</v>
      </c>
      <c r="BA52" s="210" t="b">
        <f>IF(BK84=11,1)</f>
        <v>0</v>
      </c>
      <c r="BB52" s="230"/>
      <c r="BC52" s="2"/>
      <c r="BD52" s="230"/>
      <c r="BE52" s="230"/>
      <c r="BF52" s="230"/>
      <c r="BG52" s="230"/>
      <c r="BH52" s="230"/>
      <c r="BI52" s="230"/>
      <c r="BJ52" s="230"/>
      <c r="BK52" s="230"/>
      <c r="BL52" s="230"/>
      <c r="BM52" s="230"/>
      <c r="BN52" s="230"/>
      <c r="BO52" s="230"/>
      <c r="BP52" s="230"/>
      <c r="BQ52" s="230"/>
      <c r="BR52" s="230"/>
      <c r="BS52" s="2"/>
      <c r="BT52" s="230"/>
      <c r="BU52" s="209" t="b">
        <f>IF(BK84=11,21)</f>
        <v>0</v>
      </c>
      <c r="BV52" s="182"/>
      <c r="BW52" s="182"/>
      <c r="BX52" s="182"/>
      <c r="BY52" s="185"/>
      <c r="BZ52" s="185"/>
      <c r="CA52" s="185"/>
      <c r="CB52" s="185"/>
      <c r="CC52" s="185"/>
      <c r="CD52" s="185"/>
    </row>
    <row r="53" spans="2:82" ht="21.6" hidden="1" thickBot="1" x14ac:dyDescent="0.45">
      <c r="L53" s="64"/>
      <c r="M53" s="761"/>
      <c r="N53" s="761"/>
      <c r="O53" s="761"/>
      <c r="P53" s="10"/>
      <c r="Q53" s="10"/>
      <c r="R53" s="10"/>
      <c r="S53" s="10"/>
      <c r="T53" s="10"/>
      <c r="U53" s="10"/>
      <c r="V53" s="7"/>
      <c r="W53" s="7"/>
      <c r="X53" s="7"/>
      <c r="AZ53" s="148">
        <v>2</v>
      </c>
      <c r="BA53" s="208" t="b">
        <f>IF(BJ84=10,1)</f>
        <v>0</v>
      </c>
      <c r="BB53" s="230"/>
      <c r="BC53" s="230"/>
      <c r="BD53" s="230"/>
      <c r="BE53" s="230"/>
      <c r="BF53" s="230"/>
      <c r="BG53" s="230"/>
      <c r="BH53" s="230"/>
      <c r="BI53" s="230"/>
      <c r="BJ53" s="230"/>
      <c r="BK53" s="230"/>
      <c r="BL53" s="230"/>
      <c r="BM53" s="230"/>
      <c r="BN53" s="230"/>
      <c r="BO53" s="230"/>
      <c r="BP53" s="230"/>
      <c r="BQ53" s="230"/>
      <c r="BR53" s="230"/>
      <c r="BS53" s="209" t="b">
        <f>IF(BJ84=10,19)</f>
        <v>0</v>
      </c>
      <c r="BT53" s="182"/>
      <c r="BU53" s="182"/>
      <c r="BV53" s="182"/>
      <c r="BW53" s="182"/>
      <c r="BX53" s="182"/>
      <c r="BY53" s="185"/>
      <c r="BZ53" s="185"/>
      <c r="CA53" s="185"/>
      <c r="CB53" s="185"/>
      <c r="CC53" s="185"/>
      <c r="CD53" s="185"/>
    </row>
    <row r="54" spans="2:82" ht="21.6" hidden="1" thickBot="1" x14ac:dyDescent="0.45">
      <c r="L54" s="7"/>
      <c r="M54" s="57"/>
      <c r="N54" s="7"/>
      <c r="O54" s="7"/>
      <c r="P54" s="7"/>
      <c r="Q54" s="7"/>
      <c r="R54" s="7"/>
      <c r="S54" s="7"/>
      <c r="T54" s="7"/>
      <c r="U54" s="7"/>
      <c r="V54" s="7"/>
      <c r="W54" s="7"/>
      <c r="X54" s="7"/>
      <c r="AA54" s="51"/>
      <c r="AZ54" s="148">
        <v>1</v>
      </c>
      <c r="BA54" s="208" t="b">
        <f>IF(BI84=9,1)</f>
        <v>0</v>
      </c>
      <c r="BB54" s="230"/>
      <c r="BC54" s="230"/>
      <c r="BD54" s="230"/>
      <c r="BE54" s="230"/>
      <c r="BF54" s="230"/>
      <c r="BG54" s="230"/>
      <c r="BH54" s="230"/>
      <c r="BI54" s="230"/>
      <c r="BJ54" s="230"/>
      <c r="BK54" s="230"/>
      <c r="BL54" s="230"/>
      <c r="BM54" s="230"/>
      <c r="BN54" s="230"/>
      <c r="BO54" s="230"/>
      <c r="BP54" s="230"/>
      <c r="BQ54" s="209" t="b">
        <f>IF(BI84=9,17)</f>
        <v>0</v>
      </c>
      <c r="BR54" s="182"/>
      <c r="BS54" s="182"/>
      <c r="BT54" s="182"/>
      <c r="BU54" s="182"/>
      <c r="BV54" s="182"/>
      <c r="BW54" s="182"/>
      <c r="BX54" s="182"/>
      <c r="BY54" s="185"/>
      <c r="BZ54" s="185"/>
      <c r="CA54" s="185"/>
      <c r="CB54" s="185"/>
      <c r="CC54" s="185"/>
      <c r="CD54" s="185"/>
    </row>
    <row r="55" spans="2:82" ht="21.6" hidden="1" thickBot="1" x14ac:dyDescent="0.45">
      <c r="L55" s="65"/>
      <c r="M55" s="1999"/>
      <c r="N55" s="1999"/>
      <c r="O55" s="7"/>
      <c r="P55" s="7"/>
      <c r="Q55" s="7"/>
      <c r="R55" s="7"/>
      <c r="S55" s="7"/>
      <c r="T55" s="7"/>
      <c r="U55" s="7"/>
      <c r="V55" s="7"/>
      <c r="W55" s="7"/>
      <c r="X55" s="7"/>
      <c r="Y55" s="52"/>
      <c r="Z55" s="2036"/>
      <c r="AA55" s="2036"/>
      <c r="AZ55" s="148" t="s">
        <v>84</v>
      </c>
      <c r="BB55" s="182"/>
      <c r="BC55" s="208" t="b">
        <f>IF(BH84=8,3)</f>
        <v>0</v>
      </c>
      <c r="BD55" s="230"/>
      <c r="BE55" s="230"/>
      <c r="BF55" s="230"/>
      <c r="BG55" s="230"/>
      <c r="BH55" s="230"/>
      <c r="BI55" s="230"/>
      <c r="BJ55" s="230"/>
      <c r="BK55" s="230"/>
      <c r="BL55" s="230"/>
      <c r="BM55" s="209" t="b">
        <f>IF(BH84=8,5)</f>
        <v>0</v>
      </c>
      <c r="BN55" s="182"/>
      <c r="BP55" s="182"/>
      <c r="BQ55" s="182"/>
      <c r="BR55" s="182"/>
      <c r="BS55" s="182"/>
      <c r="BT55" s="182"/>
      <c r="BU55" s="182"/>
      <c r="BV55" s="182"/>
      <c r="BW55" s="182"/>
      <c r="BX55" s="182"/>
      <c r="BY55" s="185"/>
      <c r="BZ55" s="185"/>
      <c r="CA55" s="185"/>
      <c r="CB55" s="185"/>
      <c r="CC55" s="185"/>
      <c r="CD55" s="185"/>
    </row>
    <row r="56" spans="2:82" ht="25.8" hidden="1" thickBot="1" x14ac:dyDescent="0.5">
      <c r="H56" s="72"/>
      <c r="L56" s="10"/>
      <c r="M56" s="66"/>
      <c r="N56" s="66"/>
      <c r="O56" s="66"/>
      <c r="P56" s="66"/>
      <c r="Q56" s="66"/>
      <c r="R56" s="66"/>
      <c r="S56" s="66"/>
      <c r="T56" s="66"/>
      <c r="U56" s="66"/>
      <c r="V56" s="66"/>
      <c r="W56" s="66"/>
      <c r="X56" s="66"/>
      <c r="Y56" s="45"/>
      <c r="Z56" s="45"/>
      <c r="AA56" s="46"/>
      <c r="AZ56" s="148" t="s">
        <v>16</v>
      </c>
      <c r="BA56" s="182"/>
      <c r="BB56" s="210" t="b">
        <f>IF(BG84=7,2)</f>
        <v>0</v>
      </c>
      <c r="BC56" s="230"/>
      <c r="BD56" s="230"/>
      <c r="BE56" s="230"/>
      <c r="BF56" s="230"/>
      <c r="BG56" s="230"/>
      <c r="BH56" s="230"/>
      <c r="BI56" s="230"/>
      <c r="BJ56" s="230"/>
      <c r="BK56" s="2"/>
      <c r="BL56" s="209" t="b">
        <f>IF(BG84=7,12)</f>
        <v>0</v>
      </c>
      <c r="BM56" s="182"/>
      <c r="BN56" s="182"/>
      <c r="BO56" s="182"/>
      <c r="BP56" s="182"/>
      <c r="BQ56" s="182"/>
      <c r="BR56" s="182"/>
      <c r="BS56" s="182"/>
      <c r="BT56" s="182"/>
      <c r="BU56" s="182"/>
      <c r="BV56" s="182"/>
      <c r="BW56" s="182"/>
      <c r="BX56" s="182"/>
      <c r="BY56" s="185"/>
      <c r="BZ56" s="185"/>
      <c r="CA56" s="185"/>
      <c r="CB56" s="185"/>
      <c r="CC56" s="185"/>
      <c r="CD56" s="185"/>
    </row>
    <row r="57" spans="2:82" ht="21.6" hidden="1" thickBot="1" x14ac:dyDescent="0.45">
      <c r="L57" s="7"/>
      <c r="M57" s="7"/>
      <c r="N57" s="7"/>
      <c r="O57" s="7"/>
      <c r="P57" s="7"/>
      <c r="Q57" s="7"/>
      <c r="R57" s="7"/>
      <c r="S57" s="7"/>
      <c r="T57" s="7"/>
      <c r="U57" s="7"/>
      <c r="V57" s="7"/>
      <c r="W57" s="7"/>
      <c r="X57" s="7"/>
      <c r="AZ57" s="148" t="s">
        <v>83</v>
      </c>
      <c r="BA57" s="210" t="b">
        <f>IF(BF84=6,1)</f>
        <v>0</v>
      </c>
      <c r="BB57" s="229"/>
      <c r="BC57" s="229"/>
      <c r="BD57" s="229"/>
      <c r="BE57" s="229"/>
      <c r="BF57" s="229"/>
      <c r="BG57" s="229"/>
      <c r="BH57" s="229"/>
      <c r="BI57" s="229"/>
      <c r="BJ57" s="229"/>
      <c r="BK57" s="212" t="b">
        <f>IF(BF84=6,11)</f>
        <v>0</v>
      </c>
      <c r="BL57" s="182"/>
      <c r="BM57" s="182"/>
      <c r="BN57" s="182"/>
      <c r="BO57" s="182"/>
      <c r="BP57" s="182"/>
      <c r="BQ57" s="182"/>
      <c r="BR57" s="182"/>
      <c r="BS57" s="182"/>
      <c r="BT57" s="182"/>
      <c r="BU57" s="182"/>
      <c r="BV57" s="182"/>
      <c r="BW57" s="182"/>
      <c r="BX57" s="182"/>
      <c r="BY57" s="185"/>
      <c r="BZ57" s="185"/>
      <c r="CA57" s="185"/>
      <c r="CB57" s="185"/>
      <c r="CC57" s="185"/>
      <c r="CD57" s="185"/>
    </row>
    <row r="58" spans="2:82" ht="21.6" hidden="1" thickBot="1" x14ac:dyDescent="0.45">
      <c r="L58" s="7"/>
      <c r="M58" s="7"/>
      <c r="N58" s="7"/>
      <c r="O58" s="7"/>
      <c r="P58" s="7"/>
      <c r="Q58" s="7"/>
      <c r="R58" s="7"/>
      <c r="S58" s="7"/>
      <c r="T58" s="7"/>
      <c r="U58" s="7"/>
      <c r="V58" s="7"/>
      <c r="W58" s="7"/>
      <c r="X58" s="7"/>
      <c r="AZ58" s="148" t="s">
        <v>37</v>
      </c>
      <c r="BA58" s="208" t="b">
        <f>IF(BE84=5,1)</f>
        <v>0</v>
      </c>
      <c r="BB58" s="2"/>
      <c r="BC58" s="230"/>
      <c r="BD58" s="230"/>
      <c r="BE58" s="230"/>
      <c r="BF58" s="230"/>
      <c r="BG58" s="230"/>
      <c r="BH58" s="2"/>
      <c r="BI58" s="209" t="b">
        <f>IF(BE84=5,9)</f>
        <v>0</v>
      </c>
      <c r="BJ58" s="182"/>
      <c r="BK58" s="182"/>
      <c r="BL58" s="182"/>
      <c r="BM58" s="182"/>
      <c r="BN58" s="182"/>
      <c r="BO58" s="182"/>
      <c r="BP58" s="182"/>
      <c r="BQ58" s="182"/>
      <c r="BR58" s="182"/>
      <c r="BS58" s="182"/>
      <c r="BT58" s="182"/>
      <c r="BU58" s="182"/>
      <c r="BV58" s="182"/>
      <c r="BW58" s="182"/>
      <c r="BX58" s="182"/>
      <c r="BY58" s="185"/>
      <c r="BZ58" s="185"/>
      <c r="CA58" s="185"/>
      <c r="CB58" s="185"/>
      <c r="CC58" s="185"/>
      <c r="CD58" s="185"/>
    </row>
    <row r="59" spans="2:82" ht="21.6" hidden="1" thickBot="1" x14ac:dyDescent="0.45">
      <c r="E59" s="21"/>
      <c r="L59" s="7"/>
      <c r="M59" s="7"/>
      <c r="N59" s="7"/>
      <c r="O59" s="7"/>
      <c r="P59" s="7"/>
      <c r="Q59" s="7"/>
      <c r="R59" s="7"/>
      <c r="S59" s="7"/>
      <c r="T59" s="7"/>
      <c r="U59" s="7"/>
      <c r="V59" s="7"/>
      <c r="W59" s="7"/>
      <c r="X59" s="7"/>
      <c r="AZ59" s="148" t="s">
        <v>36</v>
      </c>
      <c r="BA59" s="208" t="b">
        <f>IF(BD84=4,1)</f>
        <v>0</v>
      </c>
      <c r="BB59" s="230"/>
      <c r="BC59" s="230"/>
      <c r="BD59" s="230"/>
      <c r="BE59" s="230"/>
      <c r="BF59" s="230"/>
      <c r="BG59" s="209" t="b">
        <f>IF(BD84=4,7)</f>
        <v>0</v>
      </c>
      <c r="BH59" s="182"/>
      <c r="BI59" s="194"/>
      <c r="BJ59" s="194"/>
      <c r="BK59" s="182"/>
      <c r="BL59" s="194"/>
      <c r="BM59" s="182"/>
      <c r="BN59" s="182"/>
      <c r="BO59" s="182"/>
      <c r="BP59" s="182"/>
      <c r="BQ59" s="182"/>
      <c r="BR59" s="182"/>
      <c r="BS59" s="182"/>
      <c r="BT59" s="182"/>
      <c r="BU59" s="182"/>
      <c r="BV59" s="182"/>
      <c r="BW59" s="182"/>
      <c r="BX59" s="182"/>
      <c r="BY59" s="185"/>
      <c r="BZ59" s="185"/>
      <c r="CA59" s="185"/>
      <c r="CB59" s="185"/>
      <c r="CC59" s="185"/>
      <c r="CD59" s="185"/>
    </row>
    <row r="60" spans="2:82" ht="21.6" hidden="1" thickBot="1" x14ac:dyDescent="0.45">
      <c r="E60" s="21"/>
      <c r="L60" s="7"/>
      <c r="M60" s="7"/>
      <c r="N60" s="7"/>
      <c r="O60" s="7"/>
      <c r="P60" s="7"/>
      <c r="Q60" s="7"/>
      <c r="R60" s="7"/>
      <c r="S60" s="7"/>
      <c r="T60" s="7"/>
      <c r="U60" s="7"/>
      <c r="V60" s="7"/>
      <c r="W60" s="7"/>
      <c r="X60" s="7"/>
      <c r="AZ60" s="148" t="s">
        <v>35</v>
      </c>
      <c r="BA60" s="208" t="b">
        <f>IF(BC84=3,1)</f>
        <v>0</v>
      </c>
      <c r="BB60" s="230"/>
      <c r="BC60" s="230"/>
      <c r="BD60" s="230"/>
      <c r="BE60" s="209" t="b">
        <f>IF(BC84=3,5)</f>
        <v>0</v>
      </c>
      <c r="BF60" s="182"/>
      <c r="BG60" s="182"/>
      <c r="BH60" s="182"/>
      <c r="BI60" s="182"/>
      <c r="BJ60" s="182"/>
      <c r="BK60" s="182"/>
      <c r="BL60" s="182"/>
      <c r="BM60" s="182"/>
      <c r="BN60" s="182"/>
      <c r="BO60" s="182"/>
      <c r="BP60" s="182"/>
      <c r="BQ60" s="182"/>
      <c r="BR60" s="182"/>
      <c r="BS60" s="182"/>
      <c r="BT60" s="182"/>
      <c r="BU60" s="182"/>
      <c r="BV60" s="182"/>
      <c r="BW60" s="182"/>
      <c r="BX60" s="182"/>
      <c r="BY60" s="185"/>
      <c r="BZ60" s="185"/>
      <c r="CA60" s="185"/>
      <c r="CB60" s="185"/>
      <c r="CC60" s="185"/>
      <c r="CD60" s="185"/>
    </row>
    <row r="61" spans="2:82" ht="21.6" hidden="1" thickBot="1" x14ac:dyDescent="0.45">
      <c r="E61" s="22"/>
      <c r="L61" s="10"/>
      <c r="M61" s="7"/>
      <c r="N61" s="7"/>
      <c r="O61" s="7"/>
      <c r="P61" s="7"/>
      <c r="Q61" s="7"/>
      <c r="R61" s="7"/>
      <c r="S61" s="7"/>
      <c r="T61" s="7"/>
      <c r="U61" s="7"/>
      <c r="V61" s="7"/>
      <c r="W61" s="7"/>
      <c r="X61" s="7"/>
      <c r="AQ61" s="4"/>
      <c r="AR61" s="4"/>
      <c r="AS61" s="4"/>
      <c r="AT61" s="4"/>
      <c r="AU61" s="4"/>
      <c r="AV61" s="4"/>
      <c r="AW61" s="4"/>
      <c r="AX61" s="4"/>
      <c r="AY61" s="4"/>
      <c r="AZ61" s="148" t="s">
        <v>34</v>
      </c>
      <c r="BA61" s="208" t="b">
        <f>IF(BB84=2,1)</f>
        <v>0</v>
      </c>
      <c r="BB61" s="230"/>
      <c r="BC61" s="209" t="b">
        <f>IF(BB84=2,3)</f>
        <v>0</v>
      </c>
      <c r="BD61" s="182"/>
      <c r="BE61" s="182"/>
      <c r="BF61" s="182"/>
      <c r="BG61" s="182"/>
      <c r="BH61" s="182"/>
      <c r="BI61" s="182"/>
      <c r="BJ61" s="182"/>
      <c r="BK61" s="182"/>
      <c r="BL61" s="182"/>
      <c r="BM61" s="182"/>
      <c r="BN61" s="182"/>
      <c r="BO61" s="182"/>
      <c r="BP61" s="182"/>
      <c r="BQ61" s="182"/>
      <c r="BR61" s="182"/>
      <c r="BS61" s="182"/>
      <c r="BT61" s="182"/>
      <c r="BU61" s="182"/>
      <c r="BV61" s="182"/>
      <c r="BW61" s="182"/>
      <c r="BX61" s="182"/>
      <c r="BY61" s="185"/>
      <c r="BZ61" s="185"/>
      <c r="CA61" s="185"/>
      <c r="CB61" s="185"/>
      <c r="CC61" s="185"/>
      <c r="CD61" s="185"/>
    </row>
    <row r="62" spans="2:82" ht="21.6" hidden="1" thickBot="1" x14ac:dyDescent="0.45">
      <c r="E62" s="22"/>
      <c r="G62" s="4"/>
      <c r="H62" s="4"/>
      <c r="L62" s="10"/>
      <c r="M62" s="49"/>
      <c r="N62" s="49"/>
      <c r="O62" s="49"/>
      <c r="P62" s="49"/>
      <c r="Q62" s="49"/>
      <c r="R62" s="49"/>
      <c r="S62" s="49"/>
      <c r="T62" s="49"/>
      <c r="U62" s="128"/>
      <c r="V62" s="49"/>
      <c r="W62" s="49"/>
      <c r="X62" s="49"/>
      <c r="Y62" s="47"/>
      <c r="Z62" s="47"/>
      <c r="AA62" s="48"/>
      <c r="AQ62" s="4"/>
      <c r="AR62" s="4"/>
      <c r="AS62" s="4"/>
      <c r="AT62" s="4"/>
      <c r="AU62" s="4"/>
      <c r="AV62" s="4"/>
      <c r="AW62" s="4"/>
      <c r="AX62" s="4"/>
      <c r="AY62" s="4"/>
      <c r="AZ62" s="195"/>
      <c r="BA62" s="196">
        <f>SUM(BA33:BA61)</f>
        <v>0</v>
      </c>
      <c r="BB62" s="196">
        <f t="shared" ref="BB62:CD62" si="0">SUM(BB33:BB61)</f>
        <v>0</v>
      </c>
      <c r="BC62" s="196">
        <f t="shared" si="0"/>
        <v>0</v>
      </c>
      <c r="BD62" s="196">
        <f t="shared" si="0"/>
        <v>0</v>
      </c>
      <c r="BE62" s="196">
        <f t="shared" si="0"/>
        <v>0</v>
      </c>
      <c r="BF62" s="196">
        <f t="shared" si="0"/>
        <v>0</v>
      </c>
      <c r="BG62" s="196">
        <f t="shared" si="0"/>
        <v>0</v>
      </c>
      <c r="BH62" s="196">
        <f t="shared" si="0"/>
        <v>8</v>
      </c>
      <c r="BI62" s="196">
        <f t="shared" si="0"/>
        <v>0</v>
      </c>
      <c r="BJ62" s="196">
        <f t="shared" si="0"/>
        <v>0</v>
      </c>
      <c r="BK62" s="196">
        <f t="shared" si="0"/>
        <v>0</v>
      </c>
      <c r="BL62" s="196">
        <f t="shared" si="0"/>
        <v>0</v>
      </c>
      <c r="BM62" s="196">
        <f t="shared" si="0"/>
        <v>0</v>
      </c>
      <c r="BN62" s="196">
        <f t="shared" si="0"/>
        <v>0</v>
      </c>
      <c r="BO62" s="196">
        <f t="shared" si="0"/>
        <v>0</v>
      </c>
      <c r="BP62" s="196">
        <f t="shared" si="0"/>
        <v>0</v>
      </c>
      <c r="BQ62" s="196">
        <f t="shared" si="0"/>
        <v>0</v>
      </c>
      <c r="BR62" s="196">
        <f t="shared" si="0"/>
        <v>0</v>
      </c>
      <c r="BS62" s="196">
        <f t="shared" si="0"/>
        <v>0</v>
      </c>
      <c r="BT62" s="196">
        <f t="shared" si="0"/>
        <v>0</v>
      </c>
      <c r="BU62" s="196">
        <f t="shared" si="0"/>
        <v>0</v>
      </c>
      <c r="BV62" s="196">
        <f t="shared" si="0"/>
        <v>22</v>
      </c>
      <c r="BW62" s="196">
        <f t="shared" si="0"/>
        <v>0</v>
      </c>
      <c r="BX62" s="196">
        <f t="shared" si="0"/>
        <v>0</v>
      </c>
      <c r="BY62" s="196">
        <f t="shared" si="0"/>
        <v>0</v>
      </c>
      <c r="BZ62" s="196">
        <f t="shared" si="0"/>
        <v>0</v>
      </c>
      <c r="CA62" s="196">
        <f t="shared" si="0"/>
        <v>0</v>
      </c>
      <c r="CB62" s="196">
        <f t="shared" si="0"/>
        <v>0</v>
      </c>
      <c r="CC62" s="196">
        <f t="shared" si="0"/>
        <v>0</v>
      </c>
      <c r="CD62" s="196">
        <f t="shared" si="0"/>
        <v>0</v>
      </c>
    </row>
    <row r="63" spans="2:82" ht="42.6" thickBot="1" x14ac:dyDescent="0.45">
      <c r="D63" s="126"/>
      <c r="E63" s="22"/>
      <c r="AQ63" s="4"/>
      <c r="AR63" s="4"/>
      <c r="AS63" s="4"/>
      <c r="AT63" s="4"/>
      <c r="AU63" s="4"/>
      <c r="AV63" s="4"/>
      <c r="AW63" s="4"/>
      <c r="AX63" s="4"/>
      <c r="AY63" s="4"/>
      <c r="AZ63" s="197" t="s">
        <v>80</v>
      </c>
      <c r="BA63" s="765" t="str">
        <f>IF(BA62=1,"A ","")</f>
        <v/>
      </c>
      <c r="BB63" s="766" t="str">
        <f>IF(BB62=2,"B ","")</f>
        <v/>
      </c>
      <c r="BC63" s="766" t="str">
        <f>IF(BC62=3,"C ","")</f>
        <v/>
      </c>
      <c r="BD63" s="766" t="str">
        <f>IF(BD62=4,"D ","")</f>
        <v/>
      </c>
      <c r="BE63" s="766" t="str">
        <f>IF(BE62=5,"E ","")</f>
        <v/>
      </c>
      <c r="BF63" s="766" t="str">
        <f>IF(BF62=6,"F ","")</f>
        <v/>
      </c>
      <c r="BG63" s="766" t="str">
        <f>IF(BG62=7,"G ","")</f>
        <v/>
      </c>
      <c r="BH63" s="766" t="str">
        <f>IF(BH62=8,"H ","")</f>
        <v xml:space="preserve">H </v>
      </c>
      <c r="BI63" s="766" t="str">
        <f>IF(BI62=9,"1 ","")</f>
        <v/>
      </c>
      <c r="BJ63" s="766" t="str">
        <f>IF(BJ62=10,"2 ","")</f>
        <v/>
      </c>
      <c r="BK63" s="766" t="str">
        <f>IF(BK62=11,"3 ","")</f>
        <v/>
      </c>
      <c r="BL63" s="766" t="str">
        <f>IF(BL62=12,"4 ","")</f>
        <v/>
      </c>
      <c r="BM63" s="766" t="str">
        <f>IF(BM62=13,"5 ","")</f>
        <v/>
      </c>
      <c r="BN63" s="766" t="str">
        <f>IF(BN62=14,"i ","")</f>
        <v/>
      </c>
      <c r="BO63" s="766" t="str">
        <f>IF(BO62=15,"J ","")</f>
        <v/>
      </c>
      <c r="BP63" s="766" t="str">
        <f>IF(BP62=16,"6 ","")</f>
        <v/>
      </c>
      <c r="BQ63" s="766" t="str">
        <f>IF(BQ62=17,"7 ","")</f>
        <v/>
      </c>
      <c r="BR63" s="766" t="str">
        <f>IF(BR62=18,"8 ","")</f>
        <v/>
      </c>
      <c r="BS63" s="766" t="str">
        <f>IF(BS62=19,"9 ","")</f>
        <v/>
      </c>
      <c r="BT63" s="766" t="str">
        <f>IF(BT62=20,"10 ","")</f>
        <v/>
      </c>
      <c r="BU63" s="766" t="str">
        <f>IF(BU62=21,"11 ","")</f>
        <v/>
      </c>
      <c r="BV63" s="766" t="str">
        <f>IF(BV62=22,"12 ","")</f>
        <v xml:space="preserve">12 </v>
      </c>
      <c r="BW63" s="766" t="str">
        <f>IF(BW62=23,"K ","")</f>
        <v/>
      </c>
      <c r="BX63" s="766" t="str">
        <f>IF(BX62=24,"L ","")</f>
        <v/>
      </c>
      <c r="BY63" s="766" t="str">
        <f>IF(BY62=25,"M ","")</f>
        <v/>
      </c>
      <c r="BZ63" s="766" t="str">
        <f>IF(BZ62=26,"N ","")</f>
        <v/>
      </c>
      <c r="CA63" s="766" t="str">
        <f>IF(CA62=27,"O ","")</f>
        <v/>
      </c>
      <c r="CB63" s="766" t="str">
        <f>IF(CB62=28,"P ","")</f>
        <v/>
      </c>
      <c r="CC63" s="766" t="str">
        <f>IF(CC62=29,"Q ","")</f>
        <v/>
      </c>
      <c r="CD63" s="767" t="str">
        <f>IF(CD62=30,"R ","")</f>
        <v/>
      </c>
    </row>
    <row r="64" spans="2:82" ht="33.75" hidden="1" customHeight="1" x14ac:dyDescent="0.4">
      <c r="B64" s="445"/>
      <c r="C64" s="126"/>
      <c r="D64" s="126"/>
      <c r="E64" s="22"/>
      <c r="AQ64" s="4"/>
      <c r="AR64" s="4"/>
      <c r="AS64" s="4"/>
      <c r="AT64" s="4"/>
      <c r="AU64" s="4"/>
      <c r="AV64" s="4"/>
      <c r="AW64" s="4"/>
      <c r="AX64" s="4"/>
      <c r="AY64" s="4"/>
      <c r="AZ64" s="214"/>
      <c r="BA64" s="196"/>
      <c r="BB64" s="196"/>
      <c r="BC64" s="196"/>
      <c r="BD64" s="196"/>
      <c r="BE64" s="196"/>
      <c r="BF64" s="196"/>
      <c r="BG64" s="196"/>
      <c r="BH64" s="196"/>
      <c r="BI64" s="196"/>
      <c r="BJ64" s="196"/>
      <c r="BK64" s="196"/>
      <c r="BL64" s="196"/>
      <c r="BM64" s="196"/>
      <c r="BN64" s="196"/>
      <c r="BO64" s="196"/>
      <c r="BP64" s="196"/>
      <c r="BQ64" s="196"/>
      <c r="BR64" s="196"/>
      <c r="BS64" s="196"/>
      <c r="BT64" s="196"/>
      <c r="BU64" s="196"/>
      <c r="BV64" s="196"/>
      <c r="BW64" s="196"/>
      <c r="BX64" s="196"/>
      <c r="BY64" s="184"/>
      <c r="BZ64" s="184"/>
      <c r="CA64" s="7"/>
      <c r="CB64" s="7"/>
    </row>
    <row r="65" spans="2:85" ht="21.6" thickBot="1" x14ac:dyDescent="0.45">
      <c r="B65" s="445"/>
      <c r="C65" s="126"/>
      <c r="D65" s="126"/>
      <c r="E65" s="22"/>
      <c r="AQ65" s="4"/>
      <c r="AR65" s="4"/>
      <c r="AS65" s="4"/>
      <c r="AT65" s="4"/>
      <c r="AU65" s="4"/>
      <c r="AV65" s="4"/>
      <c r="AW65" s="4"/>
      <c r="AX65" s="4"/>
      <c r="AY65" s="4"/>
      <c r="AZ65" s="185"/>
      <c r="BA65" s="185"/>
      <c r="BB65" s="185"/>
      <c r="BC65" s="185"/>
      <c r="BD65" s="185"/>
      <c r="BE65" s="185"/>
      <c r="BF65" s="185"/>
      <c r="BG65" s="185"/>
      <c r="BH65" s="185"/>
      <c r="BI65" s="185"/>
      <c r="BJ65" s="185"/>
      <c r="BK65" s="185"/>
      <c r="BL65" s="185"/>
      <c r="BM65" s="185"/>
      <c r="BN65" s="185"/>
      <c r="BO65" s="185"/>
      <c r="BP65" s="185"/>
      <c r="BQ65" s="185"/>
      <c r="BR65" s="185"/>
      <c r="BS65" s="185"/>
      <c r="BT65" s="198"/>
      <c r="BU65" s="198"/>
      <c r="BV65" s="198"/>
      <c r="BW65" s="198"/>
      <c r="BX65" s="199"/>
      <c r="BY65" s="185"/>
      <c r="BZ65" s="185"/>
    </row>
    <row r="66" spans="2:85" ht="21" x14ac:dyDescent="0.4">
      <c r="B66" s="445"/>
      <c r="C66" s="126"/>
      <c r="D66" s="126"/>
      <c r="E66" s="22"/>
      <c r="AQ66" s="4"/>
      <c r="AR66" s="4"/>
      <c r="AS66" s="4"/>
      <c r="AT66" s="4"/>
      <c r="AU66" s="4"/>
      <c r="AV66" s="4"/>
      <c r="AW66" s="4"/>
      <c r="AX66" s="4"/>
      <c r="AY66" s="4"/>
      <c r="AZ66" s="200" t="s">
        <v>30</v>
      </c>
      <c r="BA66" s="1978"/>
      <c r="BB66" s="1979"/>
      <c r="BC66" s="1979"/>
      <c r="BD66" s="1979"/>
      <c r="BE66" s="1979"/>
      <c r="BF66" s="1979"/>
      <c r="BG66" s="1979"/>
      <c r="BH66" s="1980"/>
      <c r="BI66" s="202" t="s">
        <v>31</v>
      </c>
      <c r="BJ66" s="201"/>
      <c r="BK66" s="201"/>
      <c r="BL66" s="201"/>
      <c r="BM66" s="201"/>
      <c r="BN66" s="201"/>
      <c r="BO66" s="201"/>
      <c r="BP66" s="201"/>
      <c r="BQ66" s="201"/>
      <c r="BR66" s="201"/>
      <c r="BS66" s="227"/>
      <c r="BT66" s="190"/>
      <c r="BU66" s="190"/>
      <c r="BV66" s="203" t="s">
        <v>32</v>
      </c>
      <c r="BW66" s="1978"/>
      <c r="BX66" s="1979"/>
      <c r="BY66" s="1979"/>
      <c r="BZ66" s="1979"/>
      <c r="CA66" s="1979"/>
      <c r="CB66" s="1979"/>
      <c r="CC66" s="1979"/>
      <c r="CD66" s="1980"/>
    </row>
    <row r="67" spans="2:85" ht="23.4" thickBot="1" x14ac:dyDescent="0.45">
      <c r="B67" s="445"/>
      <c r="C67" s="126"/>
      <c r="D67" s="126"/>
      <c r="E67" s="22"/>
      <c r="AQ67" s="4"/>
      <c r="AR67" s="4"/>
      <c r="AS67" s="4"/>
      <c r="AT67" s="4"/>
      <c r="AU67" s="4"/>
      <c r="AV67" s="4"/>
      <c r="AW67" s="1348" t="s">
        <v>223</v>
      </c>
      <c r="AX67" s="1348">
        <f>+MAX(AY28,AY31,AY67)</f>
        <v>87.220472405644244</v>
      </c>
      <c r="AY67" s="1347">
        <f>+IF(AND(BU67&gt;0,BI67&gt;0),BI67)</f>
        <v>66.248455424502254</v>
      </c>
      <c r="AZ67" s="204" t="s">
        <v>81</v>
      </c>
      <c r="BA67" s="1981"/>
      <c r="BB67" s="1982"/>
      <c r="BC67" s="1982"/>
      <c r="BD67" s="1982"/>
      <c r="BE67" s="1982"/>
      <c r="BF67" s="1982"/>
      <c r="BG67" s="1982"/>
      <c r="BH67" s="1983"/>
      <c r="BI67" s="2003">
        <f>+((D2-D3)/D2)*C7</f>
        <v>66.248455424502254</v>
      </c>
      <c r="BJ67" s="2004"/>
      <c r="BK67" s="205"/>
      <c r="BL67" s="205"/>
      <c r="BM67" s="205"/>
      <c r="BN67" s="205"/>
      <c r="BO67" s="205"/>
      <c r="BP67" s="205"/>
      <c r="BQ67" s="205"/>
      <c r="BR67" s="205"/>
      <c r="BS67" s="235"/>
      <c r="BT67" s="193"/>
      <c r="BU67" s="1987">
        <f>+(D3/D2)*C7</f>
        <v>55.051544575497743</v>
      </c>
      <c r="BV67" s="1988"/>
      <c r="BW67" s="1981"/>
      <c r="BX67" s="1982"/>
      <c r="BY67" s="1982"/>
      <c r="BZ67" s="1982"/>
      <c r="CA67" s="1982"/>
      <c r="CB67" s="1982"/>
      <c r="CC67" s="1982"/>
      <c r="CD67" s="1983"/>
      <c r="CE67" s="1347">
        <f>+IF(AND(BI67&gt;0,BU67&gt;0),BU67)</f>
        <v>55.051544575497743</v>
      </c>
      <c r="CF67" s="1348">
        <f>+MAX(CE28,CE31,CE67)</f>
        <v>80.289051403879554</v>
      </c>
      <c r="CG67" s="1348" t="s">
        <v>224</v>
      </c>
    </row>
    <row r="68" spans="2:85" ht="23.25" customHeight="1" thickTop="1" thickBot="1" x14ac:dyDescent="0.35">
      <c r="B68" s="1356" t="s">
        <v>190</v>
      </c>
      <c r="C68" s="1380"/>
      <c r="D68" s="1390"/>
      <c r="E68" s="1356" t="s">
        <v>191</v>
      </c>
      <c r="AQ68" s="4"/>
      <c r="AR68" s="4"/>
      <c r="AS68" s="4"/>
      <c r="AT68" s="4"/>
      <c r="AU68" s="4"/>
      <c r="AV68" s="4"/>
      <c r="AW68" s="4"/>
      <c r="AX68" s="4"/>
      <c r="AY68" s="4"/>
      <c r="AZ68" s="348"/>
      <c r="BA68" s="348"/>
      <c r="BB68" s="349"/>
      <c r="BC68" s="350"/>
      <c r="BD68" s="350"/>
      <c r="BE68" s="350"/>
      <c r="BF68" s="349"/>
      <c r="BG68" s="348"/>
      <c r="BH68" s="348"/>
      <c r="BI68" s="348"/>
      <c r="BJ68" s="348"/>
      <c r="BK68" s="348"/>
      <c r="BL68" s="348"/>
      <c r="BM68" s="348"/>
      <c r="BN68" s="348"/>
      <c r="BO68" s="348"/>
      <c r="BP68" s="348"/>
      <c r="BQ68" s="351"/>
      <c r="BR68" s="348"/>
      <c r="BS68" s="351"/>
      <c r="BT68" s="352"/>
      <c r="BU68" s="352"/>
      <c r="BV68" s="352"/>
      <c r="BW68" s="352"/>
      <c r="BX68" s="15"/>
      <c r="BY68" s="15"/>
      <c r="BZ68" s="15"/>
      <c r="CA68" s="15"/>
      <c r="CB68" s="15"/>
    </row>
    <row r="69" spans="2:85" ht="22.2" hidden="1" thickTop="1" thickBot="1" x14ac:dyDescent="0.45">
      <c r="B69" s="1381"/>
      <c r="C69" s="1380"/>
      <c r="D69" s="1391"/>
      <c r="E69" s="1382"/>
      <c r="AQ69" s="4"/>
      <c r="AR69" s="4"/>
      <c r="AS69" s="4"/>
      <c r="AT69" s="4"/>
      <c r="AU69" s="4"/>
      <c r="AV69" s="4"/>
      <c r="AW69" s="4"/>
      <c r="AX69" s="4"/>
      <c r="AY69" s="27"/>
      <c r="AZ69" s="206"/>
      <c r="BA69" s="206"/>
      <c r="BB69" s="207"/>
      <c r="BC69" s="206"/>
      <c r="BD69" s="206"/>
      <c r="BE69" s="206"/>
      <c r="BH69">
        <v>11</v>
      </c>
      <c r="BI69" s="207"/>
      <c r="BJ69" s="206"/>
      <c r="BK69" s="206"/>
      <c r="BL69" s="206"/>
      <c r="BM69" s="206"/>
      <c r="BN69" s="206"/>
      <c r="BO69" s="206"/>
      <c r="BP69" s="206"/>
      <c r="BQ69" s="206"/>
      <c r="BR69" s="206"/>
      <c r="BS69" s="206"/>
      <c r="BT69" s="210" t="b">
        <f>IF(BU84=21,10)</f>
        <v>0</v>
      </c>
      <c r="BU69" s="211"/>
      <c r="BV69" s="212" t="b">
        <f>IF(BU84=21,12)</f>
        <v>0</v>
      </c>
      <c r="BW69" s="198"/>
      <c r="BX69" s="184"/>
      <c r="BY69" s="185"/>
      <c r="BZ69" s="185"/>
      <c r="CA69" s="185"/>
      <c r="CB69" s="185"/>
      <c r="CC69" s="185"/>
      <c r="CD69" s="185"/>
      <c r="CE69" s="185"/>
      <c r="CF69" s="185"/>
    </row>
    <row r="70" spans="2:85" ht="22.2" hidden="1" thickTop="1" thickBot="1" x14ac:dyDescent="0.45">
      <c r="B70" s="1381"/>
      <c r="C70" s="1380"/>
      <c r="D70" s="1391"/>
      <c r="E70" s="1382"/>
      <c r="AQ70" s="4"/>
      <c r="AR70" s="4"/>
      <c r="AS70" s="4"/>
      <c r="AT70" s="4"/>
      <c r="AU70" s="4"/>
      <c r="AV70" s="4"/>
      <c r="AW70" s="4"/>
      <c r="AX70" s="4"/>
      <c r="AY70" s="27"/>
      <c r="AZ70" s="206"/>
      <c r="BA70" s="206"/>
      <c r="BB70" s="207"/>
      <c r="BC70" s="206"/>
      <c r="BD70" s="206"/>
      <c r="BE70" s="206"/>
      <c r="BH70">
        <v>10</v>
      </c>
      <c r="BI70" s="207"/>
      <c r="BJ70" s="206"/>
      <c r="BK70" s="206"/>
      <c r="BL70" s="206"/>
      <c r="BM70" s="206"/>
      <c r="BN70" s="206"/>
      <c r="BO70" s="206"/>
      <c r="BP70" s="206"/>
      <c r="BQ70" s="206"/>
      <c r="BR70" s="222" t="b">
        <f>IF(BT84=20,8)</f>
        <v>0</v>
      </c>
      <c r="BS70" s="201"/>
      <c r="BT70" s="201"/>
      <c r="BU70" s="201"/>
      <c r="BV70" s="226" t="b">
        <f>IF(BT84=20,12)</f>
        <v>0</v>
      </c>
      <c r="BW70" s="198"/>
      <c r="BX70" s="184"/>
      <c r="BY70" s="185"/>
      <c r="BZ70" s="185"/>
      <c r="CA70" s="185"/>
      <c r="CB70" s="185"/>
      <c r="CC70" s="185"/>
      <c r="CD70" s="185"/>
      <c r="CE70" s="185"/>
      <c r="CF70" s="185"/>
    </row>
    <row r="71" spans="2:85" ht="22.2" hidden="1" thickTop="1" thickBot="1" x14ac:dyDescent="0.45">
      <c r="B71" s="1381"/>
      <c r="C71" s="1380"/>
      <c r="D71" s="1391"/>
      <c r="E71" s="1382"/>
      <c r="AQ71" s="4"/>
      <c r="AR71" s="4"/>
      <c r="AS71" s="40"/>
      <c r="AT71" s="40"/>
      <c r="AU71" s="59"/>
      <c r="AV71" s="59"/>
      <c r="AW71" s="59"/>
      <c r="AX71" s="59"/>
      <c r="AY71" s="27"/>
      <c r="AZ71" s="206"/>
      <c r="BA71" s="206"/>
      <c r="BB71" s="207"/>
      <c r="BC71" s="206"/>
      <c r="BD71" s="206"/>
      <c r="BE71" s="206"/>
      <c r="BH71">
        <v>9</v>
      </c>
      <c r="BI71" s="207"/>
      <c r="BJ71" s="206"/>
      <c r="BK71" s="206"/>
      <c r="BL71" s="206"/>
      <c r="BM71" s="206"/>
      <c r="BN71" s="206"/>
      <c r="BO71" s="206"/>
      <c r="BP71" s="210" t="b">
        <f>IF(BS84=19,6)</f>
        <v>0</v>
      </c>
      <c r="BQ71" s="211"/>
      <c r="BR71" s="224"/>
      <c r="BS71" s="211"/>
      <c r="BT71" s="224"/>
      <c r="BU71" s="211"/>
      <c r="BV71" s="212" t="b">
        <f>IF(BS84=19,12)</f>
        <v>0</v>
      </c>
      <c r="BW71" s="198"/>
      <c r="BX71" s="184"/>
      <c r="BY71" s="185"/>
      <c r="BZ71" s="185"/>
      <c r="CA71" s="185"/>
      <c r="CB71" s="185"/>
      <c r="CC71" s="185"/>
      <c r="CD71" s="185"/>
      <c r="CE71" s="185"/>
      <c r="CF71" s="185"/>
    </row>
    <row r="72" spans="2:85" ht="22.2" hidden="1" thickTop="1" thickBot="1" x14ac:dyDescent="0.45">
      <c r="B72" s="1381"/>
      <c r="C72" s="1380"/>
      <c r="D72" s="1391"/>
      <c r="E72" s="1382"/>
      <c r="AQ72" s="4"/>
      <c r="AR72" s="4"/>
      <c r="AS72" s="40"/>
      <c r="AT72" s="40"/>
      <c r="AU72" s="59"/>
      <c r="AV72" s="59"/>
      <c r="AW72" s="59"/>
      <c r="AX72" s="59"/>
      <c r="AY72" s="27"/>
      <c r="AZ72" s="206"/>
      <c r="BA72" s="206"/>
      <c r="BB72" s="207"/>
      <c r="BC72" s="206"/>
      <c r="BD72" s="206"/>
      <c r="BE72" s="206"/>
      <c r="BH72">
        <v>8</v>
      </c>
      <c r="BI72" s="207"/>
      <c r="BJ72" s="206"/>
      <c r="BK72" s="206"/>
      <c r="BL72" s="206"/>
      <c r="BM72" s="206"/>
      <c r="BP72" s="208" t="b">
        <f>IF(BR84=18,6)</f>
        <v>0</v>
      </c>
      <c r="BQ72" s="205"/>
      <c r="BR72" s="205"/>
      <c r="BS72" s="205"/>
      <c r="BT72" s="209" t="b">
        <f>IF(BR84=18,10)</f>
        <v>0</v>
      </c>
      <c r="BU72" s="206"/>
      <c r="BW72" s="198"/>
      <c r="BX72" s="184"/>
      <c r="BY72" s="185"/>
      <c r="BZ72" s="185"/>
      <c r="CA72" s="185"/>
      <c r="CB72" s="185"/>
      <c r="CC72" s="185"/>
      <c r="CD72" s="185"/>
      <c r="CE72" s="185"/>
      <c r="CF72" s="185"/>
    </row>
    <row r="73" spans="2:85" ht="22.2" hidden="1" thickTop="1" thickBot="1" x14ac:dyDescent="0.45">
      <c r="B73" s="1381"/>
      <c r="C73" s="1380"/>
      <c r="D73" s="1391"/>
      <c r="E73" s="1382"/>
      <c r="AQ73" s="4"/>
      <c r="AR73" s="4"/>
      <c r="AS73" s="40"/>
      <c r="AT73" s="40"/>
      <c r="AU73" s="59"/>
      <c r="AV73" s="59"/>
      <c r="AW73" s="59"/>
      <c r="AX73" s="59"/>
      <c r="AY73" s="27"/>
      <c r="AZ73" s="206"/>
      <c r="BA73" s="206"/>
      <c r="BB73" s="207"/>
      <c r="BC73" s="206"/>
      <c r="BD73" s="206"/>
      <c r="BE73" s="206"/>
      <c r="BH73">
        <v>7</v>
      </c>
      <c r="BI73" s="207"/>
      <c r="BJ73" s="206"/>
      <c r="BK73" s="206"/>
      <c r="BL73" s="210" t="b">
        <f>IF(BQ84=17,4)</f>
        <v>0</v>
      </c>
      <c r="BM73" s="211"/>
      <c r="BN73" s="211"/>
      <c r="BO73" s="211"/>
      <c r="BP73" s="211"/>
      <c r="BQ73" s="211"/>
      <c r="BR73" s="211"/>
      <c r="BS73" s="211"/>
      <c r="BT73" s="211"/>
      <c r="BU73" s="205"/>
      <c r="BV73" s="212" t="b">
        <f>IF(BQ84=17,12)</f>
        <v>0</v>
      </c>
      <c r="BW73" s="198"/>
      <c r="BX73" s="184"/>
      <c r="BY73" s="185"/>
      <c r="BZ73" s="185"/>
      <c r="CA73" s="185"/>
      <c r="CB73" s="185"/>
      <c r="CC73" s="185"/>
      <c r="CD73" s="185"/>
      <c r="CE73" s="185"/>
      <c r="CF73" s="185"/>
    </row>
    <row r="74" spans="2:85" ht="22.2" hidden="1" thickTop="1" thickBot="1" x14ac:dyDescent="0.45">
      <c r="B74" s="1381"/>
      <c r="C74" s="1380"/>
      <c r="D74" s="1391"/>
      <c r="E74" s="1382"/>
      <c r="AQ74" s="4"/>
      <c r="AR74" s="4"/>
      <c r="AS74" s="40"/>
      <c r="AT74" s="40"/>
      <c r="AU74" s="59"/>
      <c r="AV74" s="59"/>
      <c r="AW74" s="59"/>
      <c r="AX74" s="59"/>
      <c r="AY74" s="27"/>
      <c r="AZ74" s="206"/>
      <c r="BA74" s="206"/>
      <c r="BB74" s="207"/>
      <c r="BC74" s="206"/>
      <c r="BD74" s="206"/>
      <c r="BE74" s="206"/>
      <c r="BH74">
        <v>6</v>
      </c>
      <c r="BI74" s="207"/>
      <c r="BJ74" s="210" t="b">
        <f>IF(BP84=16,2)</f>
        <v>0</v>
      </c>
      <c r="BK74" s="211"/>
      <c r="BL74" s="211"/>
      <c r="BM74" s="211"/>
      <c r="BN74" s="211"/>
      <c r="BO74" s="211"/>
      <c r="BP74" s="211"/>
      <c r="BQ74" s="211"/>
      <c r="BR74" s="211"/>
      <c r="BS74" s="211"/>
      <c r="BT74" s="211"/>
      <c r="BU74" s="211"/>
      <c r="BV74" s="212" t="b">
        <f>IF(BP84=16,12)</f>
        <v>0</v>
      </c>
      <c r="BW74" s="198"/>
      <c r="BX74" s="184"/>
      <c r="BY74" s="185"/>
      <c r="BZ74" s="185"/>
      <c r="CA74" s="185"/>
      <c r="CB74" s="185"/>
      <c r="CC74" s="185"/>
      <c r="CD74" s="185"/>
      <c r="CE74" s="185"/>
      <c r="CF74" s="185"/>
    </row>
    <row r="75" spans="2:85" ht="22.2" hidden="1" thickTop="1" thickBot="1" x14ac:dyDescent="0.45">
      <c r="B75" s="1381"/>
      <c r="C75" s="1380"/>
      <c r="D75" s="1391"/>
      <c r="E75" s="1382"/>
      <c r="AQ75" s="4"/>
      <c r="AR75" s="4"/>
      <c r="AS75" s="40"/>
      <c r="AT75" s="40"/>
      <c r="AU75" s="59"/>
      <c r="AV75" s="59"/>
      <c r="AW75" s="59"/>
      <c r="AX75" s="59"/>
      <c r="AY75" s="27"/>
      <c r="AZ75" s="206"/>
      <c r="BA75" s="206"/>
      <c r="BB75" s="207"/>
      <c r="BC75" s="206"/>
      <c r="BD75" s="206"/>
      <c r="BE75" s="206"/>
      <c r="BH75" s="17" t="s">
        <v>86</v>
      </c>
      <c r="BI75" s="210">
        <f>IF(BO84=15,1)</f>
        <v>1</v>
      </c>
      <c r="BJ75" s="211"/>
      <c r="BK75" s="211"/>
      <c r="BL75" s="211"/>
      <c r="BM75" s="211"/>
      <c r="BN75" s="211"/>
      <c r="BO75" s="211"/>
      <c r="BP75" s="211"/>
      <c r="BQ75" s="211"/>
      <c r="BR75" s="211"/>
      <c r="BS75" s="211"/>
      <c r="BT75" s="211"/>
      <c r="BU75" s="212">
        <f>IF(BO84=15,11)</f>
        <v>11</v>
      </c>
      <c r="BV75" s="207"/>
      <c r="BW75" s="198"/>
      <c r="BX75" s="184"/>
      <c r="BY75" s="185"/>
      <c r="BZ75" s="185"/>
      <c r="CA75" s="185"/>
      <c r="CB75" s="185"/>
      <c r="CC75" s="185"/>
      <c r="CD75" s="185"/>
      <c r="CE75" s="185"/>
      <c r="CF75" s="185"/>
    </row>
    <row r="76" spans="2:85" ht="22.2" hidden="1" thickTop="1" thickBot="1" x14ac:dyDescent="0.45">
      <c r="B76" s="1381"/>
      <c r="C76" s="1380"/>
      <c r="D76" s="1391"/>
      <c r="E76" s="1382"/>
      <c r="AQ76" s="4"/>
      <c r="AR76" s="4"/>
      <c r="AS76" s="40"/>
      <c r="AT76" s="40"/>
      <c r="AU76" s="59"/>
      <c r="AV76" s="59"/>
      <c r="AW76" s="59"/>
      <c r="AX76" s="59"/>
      <c r="AY76" s="27"/>
      <c r="AZ76" s="206"/>
      <c r="BA76" s="206"/>
      <c r="BB76" s="207"/>
      <c r="BC76" s="206"/>
      <c r="BD76" s="206"/>
      <c r="BE76" s="206"/>
      <c r="BH76" s="17" t="s">
        <v>85</v>
      </c>
      <c r="BI76" s="208" t="b">
        <f>IF(BN84=14,1)</f>
        <v>0</v>
      </c>
      <c r="BJ76" s="205"/>
      <c r="BK76" s="205"/>
      <c r="BL76" s="205"/>
      <c r="BM76" s="205"/>
      <c r="BN76" s="205"/>
      <c r="BO76" s="205"/>
      <c r="BP76" s="205"/>
      <c r="BQ76" s="205"/>
      <c r="BR76" s="205"/>
      <c r="BS76" s="209" t="b">
        <f>IF(BN84=14,9)</f>
        <v>0</v>
      </c>
      <c r="BT76" s="206"/>
      <c r="BU76" s="206"/>
      <c r="BV76" s="207"/>
      <c r="BW76" s="198"/>
      <c r="BX76" s="184"/>
      <c r="BY76" s="185"/>
      <c r="BZ76" s="185"/>
      <c r="CA76" s="185"/>
      <c r="CB76" s="185"/>
      <c r="CC76" s="185"/>
      <c r="CD76" s="185"/>
      <c r="CE76" s="185"/>
      <c r="CF76" s="185"/>
    </row>
    <row r="77" spans="2:85" ht="22.2" hidden="1" thickTop="1" thickBot="1" x14ac:dyDescent="0.45">
      <c r="B77" s="1381"/>
      <c r="C77" s="1380"/>
      <c r="D77" s="1391"/>
      <c r="E77" s="1382"/>
      <c r="AQ77" s="4"/>
      <c r="AR77" s="4"/>
      <c r="AS77" s="40"/>
      <c r="AT77" s="40"/>
      <c r="AU77" s="59"/>
      <c r="AV77" s="59"/>
      <c r="AW77" s="59"/>
      <c r="AX77" s="59"/>
      <c r="AY77" s="27"/>
      <c r="AZ77" s="206"/>
      <c r="BA77" s="206"/>
      <c r="BB77" s="207"/>
      <c r="BC77" s="206"/>
      <c r="BD77" s="206"/>
      <c r="BE77" s="206"/>
      <c r="BH77">
        <v>5</v>
      </c>
      <c r="BI77" s="210" t="b">
        <f>IF(BM84=13,1)</f>
        <v>0</v>
      </c>
      <c r="BJ77" s="211"/>
      <c r="BK77" s="211"/>
      <c r="BL77" s="224"/>
      <c r="BM77" s="211"/>
      <c r="BN77" s="224"/>
      <c r="BO77" s="211"/>
      <c r="BP77" s="211"/>
      <c r="BQ77" s="212" t="b">
        <f>IF(BM84=13,7)</f>
        <v>0</v>
      </c>
      <c r="BR77" s="206"/>
      <c r="BS77" s="206"/>
      <c r="BT77" s="206"/>
      <c r="BU77" s="206"/>
      <c r="BV77" s="207"/>
      <c r="BW77" s="198"/>
      <c r="BX77" s="184"/>
      <c r="BY77" s="185"/>
      <c r="BZ77" s="185"/>
      <c r="CA77" s="185"/>
      <c r="CB77" s="185"/>
      <c r="CC77" s="185"/>
      <c r="CD77" s="185"/>
      <c r="CE77" s="185"/>
      <c r="CF77" s="185"/>
    </row>
    <row r="78" spans="2:85" ht="22.2" hidden="1" thickTop="1" thickBot="1" x14ac:dyDescent="0.45">
      <c r="B78" s="1381"/>
      <c r="C78" s="1380"/>
      <c r="D78" s="1391"/>
      <c r="E78" s="1382"/>
      <c r="AQ78" s="4"/>
      <c r="AR78" s="4"/>
      <c r="AS78" s="40"/>
      <c r="AT78" s="40"/>
      <c r="AU78" s="59"/>
      <c r="AV78" s="59"/>
      <c r="AW78" s="59"/>
      <c r="AX78" s="59"/>
      <c r="AY78" s="27"/>
      <c r="AZ78" s="206"/>
      <c r="BA78" s="206"/>
      <c r="BB78" s="207"/>
      <c r="BC78" s="206"/>
      <c r="BD78" s="206"/>
      <c r="BE78" s="206"/>
      <c r="BH78">
        <v>4</v>
      </c>
      <c r="BI78" s="207"/>
      <c r="BK78" s="208" t="b">
        <f>IF(BL84=12,3)</f>
        <v>0</v>
      </c>
      <c r="BL78" s="205"/>
      <c r="BM78" s="209" t="b">
        <f>IF(BL84=12,5)</f>
        <v>0</v>
      </c>
      <c r="BO78" s="206"/>
      <c r="BP78" s="206"/>
      <c r="BQ78" s="206"/>
      <c r="BR78" s="206"/>
      <c r="BS78" s="206"/>
      <c r="BT78" s="206"/>
      <c r="BU78" s="206"/>
      <c r="BV78" s="207"/>
      <c r="BW78" s="198"/>
      <c r="BX78" s="184"/>
      <c r="BY78" s="185"/>
      <c r="BZ78" s="185"/>
      <c r="CA78" s="185"/>
      <c r="CB78" s="185"/>
      <c r="CC78" s="185"/>
      <c r="CD78" s="185"/>
      <c r="CE78" s="185"/>
      <c r="CF78" s="185"/>
    </row>
    <row r="79" spans="2:85" ht="22.2" hidden="1" thickTop="1" thickBot="1" x14ac:dyDescent="0.45">
      <c r="B79" s="1381"/>
      <c r="C79" s="1380"/>
      <c r="D79" s="1391"/>
      <c r="E79" s="1382"/>
      <c r="AQ79" s="4"/>
      <c r="AR79" s="4"/>
      <c r="AS79" s="40"/>
      <c r="AT79" s="40"/>
      <c r="AU79" s="59"/>
      <c r="AV79" s="59"/>
      <c r="AW79" s="59"/>
      <c r="AX79" s="59"/>
      <c r="AY79" s="27"/>
      <c r="AZ79" s="206"/>
      <c r="BA79" s="206"/>
      <c r="BB79" s="207"/>
      <c r="BC79" s="206"/>
      <c r="BD79" s="206"/>
      <c r="BE79" s="206"/>
      <c r="BH79">
        <v>3</v>
      </c>
      <c r="BI79" s="210" t="b">
        <f>IF(BK84=11,1)</f>
        <v>0</v>
      </c>
      <c r="BJ79" s="211"/>
      <c r="BK79" s="211"/>
      <c r="BL79" s="211"/>
      <c r="BM79" s="212" t="b">
        <f>IF(BK84=11,5)</f>
        <v>0</v>
      </c>
      <c r="BN79" s="206"/>
      <c r="BO79" s="206"/>
      <c r="BP79" s="206"/>
      <c r="BQ79" s="206"/>
      <c r="BR79" s="206"/>
      <c r="BS79" s="206"/>
      <c r="BT79" s="206"/>
      <c r="BU79" s="206"/>
      <c r="BV79" s="207"/>
      <c r="BW79" s="198"/>
      <c r="BX79" s="184"/>
      <c r="BY79" s="185"/>
      <c r="BZ79" s="185"/>
      <c r="CA79" s="185"/>
      <c r="CB79" s="185"/>
      <c r="CC79" s="185"/>
      <c r="CD79" s="185"/>
      <c r="CE79" s="185"/>
      <c r="CF79" s="185"/>
    </row>
    <row r="80" spans="2:85" ht="22.2" hidden="1" thickTop="1" thickBot="1" x14ac:dyDescent="0.45">
      <c r="B80" s="1381"/>
      <c r="C80" s="1380"/>
      <c r="D80" s="1391"/>
      <c r="E80" s="1382"/>
      <c r="AQ80" s="4"/>
      <c r="AR80" s="4"/>
      <c r="AS80" s="40"/>
      <c r="AT80" s="40"/>
      <c r="AU80" s="59"/>
      <c r="AV80" s="59"/>
      <c r="AW80" s="59"/>
      <c r="AX80" s="59"/>
      <c r="AY80" s="27"/>
      <c r="AZ80" s="206"/>
      <c r="BA80" s="206"/>
      <c r="BB80" s="207"/>
      <c r="BC80" s="206"/>
      <c r="BD80" s="206"/>
      <c r="BE80" s="206"/>
      <c r="BH80">
        <v>2</v>
      </c>
      <c r="BI80" s="208" t="b">
        <f>IF(BJ84=10,1)</f>
        <v>0</v>
      </c>
      <c r="BJ80" s="205"/>
      <c r="BK80" s="209" t="b">
        <f>IF(BJ84=10,3)</f>
        <v>0</v>
      </c>
      <c r="BL80" s="206"/>
      <c r="BM80" s="206"/>
      <c r="BN80" s="206"/>
      <c r="BO80" s="206"/>
      <c r="BP80" s="206"/>
      <c r="BQ80" s="206"/>
      <c r="BR80" s="206"/>
      <c r="BS80" s="206"/>
      <c r="BT80" s="206"/>
      <c r="BU80" s="206"/>
      <c r="BV80" s="207"/>
      <c r="BW80" s="198"/>
      <c r="BX80" s="184"/>
      <c r="BY80" s="185"/>
      <c r="BZ80" s="185"/>
      <c r="CA80" s="185"/>
      <c r="CB80" s="185"/>
      <c r="CC80" s="185"/>
      <c r="CD80" s="185"/>
      <c r="CE80" s="185"/>
      <c r="CF80" s="185"/>
    </row>
    <row r="81" spans="2:86" ht="32.25" hidden="1" customHeight="1" thickBot="1" x14ac:dyDescent="0.45">
      <c r="B81" s="1381"/>
      <c r="C81" s="1380"/>
      <c r="D81" s="1391"/>
      <c r="E81" s="1382"/>
      <c r="AQ81" s="4"/>
      <c r="AR81" s="4"/>
      <c r="AS81" s="40"/>
      <c r="AT81" s="40"/>
      <c r="AU81" s="59"/>
      <c r="AV81" s="59"/>
      <c r="AW81" s="59"/>
      <c r="AX81" s="59"/>
      <c r="AY81" s="27"/>
      <c r="AZ81" s="206"/>
      <c r="BA81" s="206"/>
      <c r="BB81" s="207"/>
      <c r="BC81" s="206"/>
      <c r="BD81" s="206"/>
      <c r="BE81" s="206"/>
      <c r="BF81" s="182"/>
      <c r="BG81" s="206"/>
      <c r="BH81" s="206"/>
      <c r="BI81" s="206"/>
      <c r="BJ81" s="206"/>
      <c r="BK81" s="206"/>
      <c r="BL81" s="206"/>
      <c r="BM81" s="206"/>
      <c r="BN81" s="206"/>
      <c r="BO81" s="206"/>
      <c r="BP81" s="206"/>
      <c r="BQ81" s="206"/>
      <c r="BR81" s="206"/>
      <c r="BS81" s="207"/>
      <c r="BT81" s="198"/>
      <c r="BU81" s="198"/>
      <c r="BV81" s="198"/>
      <c r="BW81" s="198"/>
      <c r="BX81" s="184"/>
      <c r="BY81" s="185"/>
      <c r="BZ81" s="185"/>
      <c r="CA81" s="185"/>
      <c r="CB81" s="185"/>
      <c r="CC81" s="185"/>
      <c r="CD81" s="185"/>
      <c r="CE81" s="185"/>
      <c r="CF81" s="185"/>
    </row>
    <row r="82" spans="2:86" ht="43.2" thickTop="1" thickBot="1" x14ac:dyDescent="0.45">
      <c r="B82" s="1383" t="str">
        <f>IF(D85=TRUE,"O K","OVERLOAD")</f>
        <v>O K</v>
      </c>
      <c r="C82" s="1384"/>
      <c r="D82" s="1392"/>
      <c r="E82" s="1361" t="str">
        <f>IF(F85=TRUE,"O K ","OVERLOAD")</f>
        <v xml:space="preserve">O K </v>
      </c>
      <c r="AQ82" s="4"/>
      <c r="AR82" s="4"/>
      <c r="AS82" s="40"/>
      <c r="AT82" s="40"/>
      <c r="AU82" s="59"/>
      <c r="AV82" s="59"/>
      <c r="AW82" s="59"/>
      <c r="AX82" s="59"/>
      <c r="AY82" s="27"/>
      <c r="AZ82" s="213" t="s">
        <v>82</v>
      </c>
      <c r="BA82" s="1984"/>
      <c r="BB82" s="1985"/>
      <c r="BC82" s="1985"/>
      <c r="BD82" s="1985"/>
      <c r="BE82" s="1985"/>
      <c r="BF82" s="1985"/>
      <c r="BG82" s="1985"/>
      <c r="BH82" s="1986"/>
      <c r="BI82" s="765">
        <f t="shared" ref="BI82:BS82" si="1">SUM(BI69:BI81)</f>
        <v>1</v>
      </c>
      <c r="BJ82" s="766">
        <f t="shared" si="1"/>
        <v>0</v>
      </c>
      <c r="BK82" s="766">
        <f t="shared" si="1"/>
        <v>0</v>
      </c>
      <c r="BL82" s="766">
        <f t="shared" si="1"/>
        <v>0</v>
      </c>
      <c r="BM82" s="766">
        <f t="shared" si="1"/>
        <v>0</v>
      </c>
      <c r="BN82" s="766">
        <f t="shared" si="1"/>
        <v>0</v>
      </c>
      <c r="BO82" s="766">
        <f t="shared" si="1"/>
        <v>0</v>
      </c>
      <c r="BP82" s="766">
        <f t="shared" si="1"/>
        <v>0</v>
      </c>
      <c r="BQ82" s="766">
        <f t="shared" si="1"/>
        <v>0</v>
      </c>
      <c r="BR82" s="766">
        <f t="shared" si="1"/>
        <v>0</v>
      </c>
      <c r="BS82" s="766">
        <f t="shared" si="1"/>
        <v>0</v>
      </c>
      <c r="BT82" s="766">
        <f>SUM(BT69:BT81)</f>
        <v>0</v>
      </c>
      <c r="BU82" s="766">
        <f>SUM(BU69:BU81)</f>
        <v>11</v>
      </c>
      <c r="BV82" s="767">
        <f>SUM(BV69:BV81)</f>
        <v>0</v>
      </c>
      <c r="BW82" s="1984"/>
      <c r="BX82" s="1985"/>
      <c r="BY82" s="1985"/>
      <c r="BZ82" s="1985"/>
      <c r="CA82" s="1985"/>
      <c r="CB82" s="1985"/>
      <c r="CC82" s="1985"/>
      <c r="CD82" s="1986"/>
      <c r="CE82" s="185"/>
      <c r="CF82" s="185"/>
    </row>
    <row r="83" spans="2:86" ht="22.5" customHeight="1" thickTop="1" thickBot="1" x14ac:dyDescent="0.45">
      <c r="B83" s="2042" t="s">
        <v>77</v>
      </c>
      <c r="C83" s="2042"/>
      <c r="D83" s="2042"/>
      <c r="E83" s="2042"/>
      <c r="AQ83" s="4"/>
      <c r="AR83" s="4"/>
      <c r="AS83" s="40"/>
      <c r="AT83" s="40"/>
      <c r="AU83" s="59"/>
      <c r="AV83" s="59"/>
      <c r="AW83" s="59"/>
      <c r="AX83" s="59"/>
      <c r="AY83" s="27"/>
      <c r="AZ83" s="214"/>
      <c r="BA83" s="198"/>
      <c r="BB83" s="199"/>
      <c r="BC83" s="198"/>
      <c r="BD83" s="198"/>
      <c r="BE83" s="198"/>
      <c r="BF83" s="199"/>
      <c r="BG83" s="198"/>
      <c r="BH83" s="198"/>
      <c r="BI83" s="198"/>
      <c r="BJ83" s="198"/>
      <c r="BK83" s="198"/>
      <c r="BL83" s="198"/>
      <c r="BM83" s="198"/>
      <c r="BN83" s="198"/>
      <c r="BO83" s="198"/>
      <c r="BP83" s="198"/>
      <c r="BQ83" s="198"/>
      <c r="BR83" s="198"/>
      <c r="BS83" s="198"/>
      <c r="BT83" s="198"/>
      <c r="BU83" s="198"/>
      <c r="BV83" s="198"/>
      <c r="BW83" s="198"/>
      <c r="BX83" s="184"/>
      <c r="BY83" s="185"/>
      <c r="BZ83" s="185"/>
      <c r="CA83" s="185"/>
      <c r="CB83" s="185"/>
      <c r="CC83" s="185"/>
      <c r="CD83" s="185"/>
      <c r="CE83" s="185"/>
      <c r="CF83" s="185"/>
    </row>
    <row r="84" spans="2:86" ht="22.2" hidden="1" thickTop="1" thickBot="1" x14ac:dyDescent="0.45">
      <c r="B84" s="1381"/>
      <c r="C84" s="1380"/>
      <c r="D84" s="1380"/>
      <c r="E84" s="1382"/>
      <c r="AQ84" s="4"/>
      <c r="AR84" s="4"/>
      <c r="AS84" s="40"/>
      <c r="AT84" s="40"/>
      <c r="AU84" s="59"/>
      <c r="AV84" s="59"/>
      <c r="AW84" s="59"/>
      <c r="AX84" s="59"/>
      <c r="AY84" s="27"/>
      <c r="AZ84" s="182"/>
      <c r="BA84" s="225" t="b">
        <f>+AX110</f>
        <v>0</v>
      </c>
      <c r="BB84" s="225" t="b">
        <f>+AX111</f>
        <v>0</v>
      </c>
      <c r="BC84" s="225" t="b">
        <f>+AX112</f>
        <v>0</v>
      </c>
      <c r="BD84" s="225" t="b">
        <f>+AX113</f>
        <v>0</v>
      </c>
      <c r="BE84" s="225" t="b">
        <f>+AX114</f>
        <v>0</v>
      </c>
      <c r="BF84" s="225" t="b">
        <f>+AX115</f>
        <v>0</v>
      </c>
      <c r="BG84" s="225" t="b">
        <f>+AX116</f>
        <v>0</v>
      </c>
      <c r="BH84" s="225" t="b">
        <f>+AX117</f>
        <v>0</v>
      </c>
      <c r="BI84" s="225" t="b">
        <f>+AX118</f>
        <v>0</v>
      </c>
      <c r="BJ84" s="225" t="b">
        <f>+AX119</f>
        <v>0</v>
      </c>
      <c r="BK84" s="225" t="b">
        <f>+AX120</f>
        <v>0</v>
      </c>
      <c r="BL84" s="225" t="b">
        <f>+AX121</f>
        <v>0</v>
      </c>
      <c r="BM84" s="225" t="b">
        <f>+AX122</f>
        <v>0</v>
      </c>
      <c r="BN84" s="225" t="b">
        <f>+AX123</f>
        <v>0</v>
      </c>
      <c r="BO84" s="225">
        <f>+AX124</f>
        <v>15</v>
      </c>
      <c r="BP84" s="225" t="b">
        <f>+AX125</f>
        <v>0</v>
      </c>
      <c r="BQ84" s="225" t="b">
        <f>+AX126</f>
        <v>0</v>
      </c>
      <c r="BR84" s="225" t="b">
        <f>+AX127</f>
        <v>0</v>
      </c>
      <c r="BS84" s="225" t="b">
        <f>+AX128</f>
        <v>0</v>
      </c>
      <c r="BT84" s="225" t="b">
        <f>+AX129</f>
        <v>0</v>
      </c>
      <c r="BU84" s="225" t="b">
        <f>+AX130</f>
        <v>0</v>
      </c>
      <c r="BV84" s="225" t="b">
        <f>+AX131</f>
        <v>0</v>
      </c>
      <c r="BW84" s="225" t="b">
        <f>+AX132</f>
        <v>0</v>
      </c>
      <c r="BX84" s="225" t="b">
        <f>+AX133</f>
        <v>0</v>
      </c>
      <c r="BY84" s="225" t="b">
        <f>+AX134</f>
        <v>0</v>
      </c>
      <c r="BZ84" s="225" t="b">
        <f>+AX135</f>
        <v>0</v>
      </c>
      <c r="CA84" s="225" t="b">
        <f>+AX136</f>
        <v>0</v>
      </c>
      <c r="CB84" s="225" t="b">
        <f>+AX137</f>
        <v>0</v>
      </c>
      <c r="CC84" s="225" t="b">
        <f>+AX138</f>
        <v>0</v>
      </c>
      <c r="CD84" s="225" t="b">
        <f>+AX139</f>
        <v>0</v>
      </c>
      <c r="CE84" s="185"/>
      <c r="CF84" s="185"/>
    </row>
    <row r="85" spans="2:86" ht="22.2" hidden="1" thickTop="1" thickBot="1" x14ac:dyDescent="0.45">
      <c r="B85" s="1381"/>
      <c r="C85" s="1380"/>
      <c r="D85" s="1373" t="b">
        <f>AND(B92&gt;=10,D92&gt;=10,AN114&gt;=10,AO114&gt;=10)</f>
        <v>1</v>
      </c>
      <c r="E85" s="1382"/>
      <c r="F85" s="690" t="b">
        <f>AND(B92&gt;=10,D92&gt;=10,E92&gt;=10,AN114&gt;=10,AO114&gt;=10)</f>
        <v>1</v>
      </c>
      <c r="AQ85" s="4"/>
      <c r="AR85" s="4"/>
      <c r="AS85" s="40"/>
      <c r="AT85" s="40"/>
      <c r="AU85" s="59"/>
      <c r="AV85" s="59"/>
      <c r="AW85" s="59"/>
      <c r="AX85" s="59"/>
      <c r="AY85" s="27"/>
      <c r="AZ85" s="184" t="s">
        <v>27</v>
      </c>
      <c r="BA85" s="225" t="b">
        <f>+BA84</f>
        <v>0</v>
      </c>
      <c r="BB85" s="225" t="b">
        <f t="shared" ref="BB85:BS85" si="2">+BB84</f>
        <v>0</v>
      </c>
      <c r="BC85" s="225" t="b">
        <f t="shared" si="2"/>
        <v>0</v>
      </c>
      <c r="BD85" s="225" t="b">
        <f t="shared" si="2"/>
        <v>0</v>
      </c>
      <c r="BE85" s="225" t="b">
        <f t="shared" si="2"/>
        <v>0</v>
      </c>
      <c r="BF85" s="225" t="b">
        <f t="shared" si="2"/>
        <v>0</v>
      </c>
      <c r="BG85" s="225" t="b">
        <f>+BG84</f>
        <v>0</v>
      </c>
      <c r="BH85" s="225" t="b">
        <f t="shared" si="2"/>
        <v>0</v>
      </c>
      <c r="BI85" s="225" t="b">
        <f t="shared" si="2"/>
        <v>0</v>
      </c>
      <c r="BJ85" s="225" t="b">
        <f t="shared" si="2"/>
        <v>0</v>
      </c>
      <c r="BK85" s="225" t="b">
        <f t="shared" si="2"/>
        <v>0</v>
      </c>
      <c r="BL85" s="225" t="b">
        <f>+BL84</f>
        <v>0</v>
      </c>
      <c r="BM85" s="225" t="b">
        <f>+BM84</f>
        <v>0</v>
      </c>
      <c r="BN85" s="225" t="b">
        <f>+BN84</f>
        <v>0</v>
      </c>
      <c r="BO85" s="225">
        <f>+BO84</f>
        <v>15</v>
      </c>
      <c r="BP85" s="225" t="b">
        <f>+BP84</f>
        <v>0</v>
      </c>
      <c r="BQ85" s="225" t="b">
        <f t="shared" si="2"/>
        <v>0</v>
      </c>
      <c r="BR85" s="225" t="b">
        <f t="shared" si="2"/>
        <v>0</v>
      </c>
      <c r="BS85" s="225" t="b">
        <f t="shared" si="2"/>
        <v>0</v>
      </c>
      <c r="BT85" s="225" t="b">
        <f>+BT84</f>
        <v>0</v>
      </c>
      <c r="BU85" s="225" t="b">
        <f>+BU84</f>
        <v>0</v>
      </c>
      <c r="BV85" s="225" t="b">
        <f>+BV84</f>
        <v>0</v>
      </c>
      <c r="BW85" s="225" t="b">
        <f>+BW84</f>
        <v>0</v>
      </c>
      <c r="BX85" s="225" t="b">
        <f>+BX84</f>
        <v>0</v>
      </c>
      <c r="BY85" s="225" t="b">
        <f t="shared" ref="BY85:CD85" si="3">+BY84</f>
        <v>0</v>
      </c>
      <c r="BZ85" s="225" t="b">
        <f t="shared" si="3"/>
        <v>0</v>
      </c>
      <c r="CA85" s="225" t="b">
        <f t="shared" si="3"/>
        <v>0</v>
      </c>
      <c r="CB85" s="225" t="b">
        <f t="shared" si="3"/>
        <v>0</v>
      </c>
      <c r="CC85" s="225" t="b">
        <f t="shared" si="3"/>
        <v>0</v>
      </c>
      <c r="CD85" s="225" t="b">
        <f t="shared" si="3"/>
        <v>0</v>
      </c>
      <c r="CE85" s="185"/>
      <c r="CF85" s="185"/>
    </row>
    <row r="86" spans="2:86" ht="30" customHeight="1" thickTop="1" thickBot="1" x14ac:dyDescent="0.45">
      <c r="B86" s="1362" t="s">
        <v>170</v>
      </c>
      <c r="C86" s="1384"/>
      <c r="D86" s="1362" t="s">
        <v>171</v>
      </c>
      <c r="E86" s="1362" t="s">
        <v>168</v>
      </c>
      <c r="AQ86" s="4"/>
      <c r="AR86" s="4"/>
      <c r="AS86" s="40"/>
      <c r="AT86" s="40"/>
      <c r="AU86" s="59"/>
      <c r="AV86" s="59"/>
      <c r="AW86" s="59"/>
      <c r="AX86" s="59"/>
      <c r="AY86" s="27"/>
      <c r="AZ86" s="210" t="s">
        <v>27</v>
      </c>
      <c r="BA86" s="768" t="str">
        <f>IF(BA85=1,"A ","")</f>
        <v/>
      </c>
      <c r="BB86" s="769" t="str">
        <f>IF(BB85=2,"B ","")</f>
        <v/>
      </c>
      <c r="BC86" s="769" t="str">
        <f>IF(BC85=3,"C ","")</f>
        <v/>
      </c>
      <c r="BD86" s="769" t="str">
        <f>IF(BD85=4,"D ","")</f>
        <v/>
      </c>
      <c r="BE86" s="769" t="str">
        <f>IF(BE85=5,"E ","")</f>
        <v/>
      </c>
      <c r="BF86" s="769" t="str">
        <f>IF(BF85=6,"F ","")</f>
        <v/>
      </c>
      <c r="BG86" s="769" t="str">
        <f>IF(BG85=7,"G ","")</f>
        <v/>
      </c>
      <c r="BH86" s="769" t="str">
        <f>IF(BH85=8,"H ","")</f>
        <v/>
      </c>
      <c r="BI86" s="769" t="str">
        <f>IF(BI85=9,"1 ","")</f>
        <v/>
      </c>
      <c r="BJ86" s="769" t="str">
        <f>IF(BJ85=10,"2 ","")</f>
        <v/>
      </c>
      <c r="BK86" s="769" t="str">
        <f>IF(BK85=11,"3 ","")</f>
        <v/>
      </c>
      <c r="BL86" s="769" t="str">
        <f>IF(BL85=12,"4 ","")</f>
        <v/>
      </c>
      <c r="BM86" s="769" t="str">
        <f>IF(BM85=13,"5 ","")</f>
        <v/>
      </c>
      <c r="BN86" s="769" t="str">
        <f>IF(BN85=14,"i ","")</f>
        <v/>
      </c>
      <c r="BO86" s="769" t="str">
        <f>IF(BO85=15,"J ","")</f>
        <v xml:space="preserve">J </v>
      </c>
      <c r="BP86" s="769" t="str">
        <f>IF(BP85=16,"6 ","")</f>
        <v/>
      </c>
      <c r="BQ86" s="769" t="str">
        <f>IF(BQ85=17,"7 ","")</f>
        <v/>
      </c>
      <c r="BR86" s="769" t="str">
        <f>IF(BR85=18,"8 ","")</f>
        <v/>
      </c>
      <c r="BS86" s="769" t="str">
        <f>IF(BS85=19,"9 ","")</f>
        <v/>
      </c>
      <c r="BT86" s="769" t="str">
        <f>IF(BT85=20,"10 ","")</f>
        <v/>
      </c>
      <c r="BU86" s="769" t="str">
        <f>IF(BU85=21,"11 ","")</f>
        <v/>
      </c>
      <c r="BV86" s="769" t="str">
        <f>IF(BV85=22,"12 ","")</f>
        <v/>
      </c>
      <c r="BW86" s="769" t="str">
        <f>IF(BW85=23,"K ","")</f>
        <v/>
      </c>
      <c r="BX86" s="769" t="str">
        <f>IF(BX85=24,"L ","")</f>
        <v/>
      </c>
      <c r="BY86" s="769" t="str">
        <f>IF(BY85=25,"M ","")</f>
        <v/>
      </c>
      <c r="BZ86" s="769" t="str">
        <f>IF(BZ85=26,"N ","")</f>
        <v/>
      </c>
      <c r="CA86" s="769" t="str">
        <f>IF(CA85=27,"O ","")</f>
        <v/>
      </c>
      <c r="CB86" s="769" t="str">
        <f>IF(CB85=28,"P ","")</f>
        <v/>
      </c>
      <c r="CC86" s="769" t="str">
        <f>IF(CC85=29,"Q ","")</f>
        <v/>
      </c>
      <c r="CD86" s="770" t="str">
        <f>IF(CD85=30,"R ","")</f>
        <v/>
      </c>
      <c r="CE86" s="185"/>
      <c r="CF86" s="185"/>
    </row>
    <row r="87" spans="2:86" ht="22.2" hidden="1" thickTop="1" thickBot="1" x14ac:dyDescent="0.45">
      <c r="B87" s="1385"/>
      <c r="C87" s="1384"/>
      <c r="D87" s="1386"/>
      <c r="E87" s="1387"/>
      <c r="AQ87" s="4"/>
      <c r="AR87" s="4"/>
      <c r="AS87" s="40"/>
      <c r="AT87" s="40"/>
      <c r="AU87" s="59"/>
      <c r="AV87" s="59"/>
      <c r="AW87" s="59"/>
      <c r="AX87" s="59"/>
      <c r="AY87" s="27"/>
      <c r="AZ87" s="185"/>
      <c r="BA87" s="216">
        <v>1</v>
      </c>
      <c r="BB87" s="216">
        <v>2</v>
      </c>
      <c r="BC87" s="216">
        <v>3</v>
      </c>
      <c r="BD87" s="216">
        <v>4</v>
      </c>
      <c r="BE87" s="216">
        <v>5</v>
      </c>
      <c r="BF87" s="216">
        <v>6</v>
      </c>
      <c r="BG87" s="216">
        <v>7</v>
      </c>
      <c r="BH87" s="216">
        <v>8</v>
      </c>
      <c r="BI87" s="216">
        <v>9</v>
      </c>
      <c r="BJ87" s="216">
        <v>10</v>
      </c>
      <c r="BK87" s="216">
        <v>11</v>
      </c>
      <c r="BL87" s="216">
        <v>12</v>
      </c>
      <c r="BM87" s="216">
        <v>13</v>
      </c>
      <c r="BN87" s="216">
        <v>14</v>
      </c>
      <c r="BO87" s="216">
        <v>15</v>
      </c>
      <c r="BP87" s="216">
        <v>16</v>
      </c>
      <c r="BQ87" s="216">
        <v>17</v>
      </c>
      <c r="BR87" s="216">
        <v>18</v>
      </c>
      <c r="BS87" s="216">
        <v>19</v>
      </c>
      <c r="BT87" s="216">
        <v>20</v>
      </c>
      <c r="BU87" s="216">
        <v>21</v>
      </c>
      <c r="BV87" s="216">
        <v>22</v>
      </c>
      <c r="BW87" s="216">
        <v>23</v>
      </c>
      <c r="BX87" s="216">
        <v>24</v>
      </c>
      <c r="BY87" s="216">
        <v>25</v>
      </c>
      <c r="BZ87" s="216">
        <v>26</v>
      </c>
      <c r="CA87" s="216">
        <v>27</v>
      </c>
      <c r="CB87" s="216">
        <v>28</v>
      </c>
      <c r="CC87" s="216">
        <v>29</v>
      </c>
      <c r="CD87" s="216">
        <v>30</v>
      </c>
      <c r="CE87" s="185"/>
      <c r="CF87" s="185"/>
    </row>
    <row r="88" spans="2:86" ht="22.2" hidden="1" thickTop="1" thickBot="1" x14ac:dyDescent="0.45">
      <c r="B88" s="1385"/>
      <c r="C88" s="1384"/>
      <c r="D88" s="1384"/>
      <c r="E88" s="1387"/>
      <c r="AQ88" s="4"/>
      <c r="AR88" s="4"/>
      <c r="AS88" s="40"/>
      <c r="AT88" s="40"/>
      <c r="AU88" s="59"/>
      <c r="AV88" s="59"/>
      <c r="AW88" s="59"/>
      <c r="AX88" s="59"/>
      <c r="AY88" s="27"/>
      <c r="AZ88" s="185"/>
      <c r="BA88" s="216" t="s">
        <v>33</v>
      </c>
      <c r="BB88" s="216" t="s">
        <v>34</v>
      </c>
      <c r="BC88" s="216" t="s">
        <v>35</v>
      </c>
      <c r="BD88" s="216" t="s">
        <v>36</v>
      </c>
      <c r="BE88" s="216" t="s">
        <v>37</v>
      </c>
      <c r="BF88" s="216" t="s">
        <v>83</v>
      </c>
      <c r="BG88" s="216" t="s">
        <v>16</v>
      </c>
      <c r="BH88" s="216" t="s">
        <v>84</v>
      </c>
      <c r="BI88" s="216">
        <v>1</v>
      </c>
      <c r="BJ88" s="216">
        <v>2</v>
      </c>
      <c r="BK88" s="216">
        <v>3</v>
      </c>
      <c r="BL88" s="223">
        <v>4</v>
      </c>
      <c r="BM88" s="216">
        <v>5</v>
      </c>
      <c r="BN88" s="216" t="s">
        <v>85</v>
      </c>
      <c r="BO88" s="216" t="s">
        <v>86</v>
      </c>
      <c r="BP88" s="216">
        <v>6</v>
      </c>
      <c r="BQ88" s="216">
        <v>7</v>
      </c>
      <c r="BR88" s="216">
        <v>8</v>
      </c>
      <c r="BS88" s="216">
        <v>9</v>
      </c>
      <c r="BT88" s="216">
        <v>10</v>
      </c>
      <c r="BU88" s="216">
        <v>11</v>
      </c>
      <c r="BV88" s="216">
        <v>12</v>
      </c>
      <c r="BW88" s="216" t="s">
        <v>87</v>
      </c>
      <c r="BX88" s="216" t="s">
        <v>15</v>
      </c>
      <c r="BY88" s="216" t="s">
        <v>88</v>
      </c>
      <c r="BZ88" s="216" t="s">
        <v>89</v>
      </c>
      <c r="CA88" s="216" t="s">
        <v>90</v>
      </c>
      <c r="CB88" s="216" t="s">
        <v>91</v>
      </c>
      <c r="CC88" s="216" t="s">
        <v>92</v>
      </c>
      <c r="CD88" s="216" t="s">
        <v>93</v>
      </c>
    </row>
    <row r="89" spans="2:86" ht="22.2" hidden="1" thickTop="1" thickBot="1" x14ac:dyDescent="0.45">
      <c r="B89" s="1374"/>
      <c r="C89" s="1386"/>
      <c r="D89" s="1386"/>
      <c r="E89" s="1386"/>
      <c r="AQ89" s="4"/>
      <c r="AR89" s="4"/>
      <c r="AS89" s="40"/>
      <c r="AT89" s="40"/>
      <c r="AU89" s="59"/>
      <c r="AV89" s="59"/>
      <c r="AW89" s="59"/>
      <c r="AX89" s="59"/>
      <c r="AY89" s="27"/>
      <c r="AZ89" s="185"/>
      <c r="BA89" s="216"/>
      <c r="BB89" s="216"/>
      <c r="BC89" s="216"/>
      <c r="BD89" s="216"/>
      <c r="BE89" s="216"/>
      <c r="BF89" s="216"/>
      <c r="BG89" s="216"/>
      <c r="BH89" s="216"/>
      <c r="BI89" s="216"/>
      <c r="BJ89" s="216"/>
      <c r="BK89" s="216"/>
      <c r="BL89" s="223"/>
      <c r="BM89" s="216"/>
      <c r="BN89" s="216"/>
      <c r="BO89" s="216"/>
      <c r="BP89" s="216"/>
      <c r="BQ89" s="216"/>
      <c r="BR89" s="216"/>
      <c r="BS89" s="216"/>
      <c r="BT89" s="216"/>
      <c r="BU89" s="216"/>
      <c r="BV89" s="216"/>
      <c r="BW89" s="216"/>
      <c r="BX89" s="216"/>
      <c r="BY89" s="216"/>
      <c r="BZ89" s="216"/>
      <c r="CA89" s="216"/>
      <c r="CB89" s="216"/>
      <c r="CC89" s="216"/>
      <c r="CD89" s="216"/>
    </row>
    <row r="90" spans="2:86" ht="22.2" hidden="1" thickTop="1" thickBot="1" x14ac:dyDescent="0.45">
      <c r="B90" s="1385"/>
      <c r="C90" s="1384"/>
      <c r="D90" s="1388"/>
      <c r="E90" s="1388"/>
      <c r="AQ90" s="4"/>
      <c r="AR90" s="4"/>
      <c r="AU90" s="59"/>
      <c r="AV90" s="59"/>
      <c r="AW90" s="59"/>
      <c r="AX90" s="59"/>
      <c r="AY90" s="27"/>
      <c r="AZ90" s="182"/>
      <c r="BA90" s="182"/>
      <c r="BB90" s="182"/>
      <c r="BC90" s="182"/>
      <c r="BD90" s="182"/>
      <c r="BE90" s="182"/>
      <c r="BF90" s="215"/>
      <c r="BG90" s="215"/>
      <c r="BH90" s="215"/>
      <c r="BI90" s="215"/>
      <c r="BJ90" s="215"/>
      <c r="BK90" s="215"/>
      <c r="BL90" s="215"/>
      <c r="BM90" s="215"/>
      <c r="BN90" s="215"/>
      <c r="BO90" s="215"/>
      <c r="BP90" s="215"/>
      <c r="BQ90" s="215"/>
      <c r="BR90" s="215"/>
      <c r="BS90" s="215"/>
      <c r="BT90" s="184"/>
      <c r="BU90" s="185"/>
      <c r="BV90" s="185"/>
      <c r="BW90" s="185"/>
      <c r="BX90" s="185"/>
      <c r="BY90" s="185"/>
      <c r="BZ90" s="185"/>
      <c r="CA90" s="185"/>
      <c r="CB90" s="185"/>
      <c r="CC90" s="185"/>
      <c r="CD90" s="185"/>
      <c r="CE90" s="185"/>
      <c r="CF90" s="185"/>
    </row>
    <row r="91" spans="2:86" ht="18.600000000000001" hidden="1" thickTop="1" thickBot="1" x14ac:dyDescent="0.35">
      <c r="B91" s="1389">
        <f>+B16/AX67</f>
        <v>91.721585303891345</v>
      </c>
      <c r="C91" s="1386"/>
      <c r="D91" s="1389">
        <f>+C16/CF67</f>
        <v>99.639986525154555</v>
      </c>
      <c r="E91" s="1363">
        <f>D16/BA26</f>
        <v>65.952184666117063</v>
      </c>
      <c r="AQ91" s="4"/>
      <c r="AR91" s="4"/>
      <c r="AU91" s="59"/>
      <c r="AV91" s="59"/>
      <c r="AW91" s="59"/>
      <c r="AX91" s="59"/>
      <c r="AY91" s="27"/>
      <c r="AZ91" s="10"/>
      <c r="BA91" s="10"/>
      <c r="BB91" s="10"/>
      <c r="BC91" s="10"/>
      <c r="BD91" s="10"/>
      <c r="BE91" s="10"/>
      <c r="BF91" s="49"/>
      <c r="BG91" s="49"/>
      <c r="BH91" s="49"/>
      <c r="BI91" s="49"/>
      <c r="BJ91" s="49"/>
      <c r="BK91" s="49"/>
      <c r="BL91" s="49"/>
      <c r="BM91" s="49"/>
      <c r="BN91" s="49"/>
      <c r="BO91" s="49"/>
      <c r="BP91" s="49"/>
      <c r="BQ91" s="49"/>
      <c r="BR91" s="49"/>
      <c r="BS91" s="49"/>
      <c r="BT91" s="7"/>
    </row>
    <row r="92" spans="2:86" ht="29.25" customHeight="1" thickTop="1" thickBot="1" x14ac:dyDescent="0.35">
      <c r="B92" s="1389">
        <f>ABS(B91)</f>
        <v>91.721585303891345</v>
      </c>
      <c r="C92" s="1386"/>
      <c r="D92" s="1389">
        <f>ABS(D91)</f>
        <v>99.639986525154555</v>
      </c>
      <c r="E92" s="1367">
        <f>+IF(AND(D91&lt;&gt;TRUE,B91&lt;&gt;TRUE),E91)</f>
        <v>65.952184666117063</v>
      </c>
      <c r="AQ92" s="4"/>
      <c r="AR92" s="4"/>
      <c r="AU92" s="59"/>
      <c r="AV92" s="59"/>
      <c r="AW92" s="59"/>
      <c r="AX92" s="59"/>
      <c r="AY92" s="218" t="s">
        <v>95</v>
      </c>
      <c r="AZ92" s="62"/>
      <c r="BC92" s="10"/>
      <c r="BD92" s="10"/>
      <c r="BE92" s="10"/>
      <c r="BF92" s="49"/>
      <c r="BG92" s="49"/>
      <c r="BH92" s="49"/>
      <c r="BI92" s="49"/>
      <c r="BJ92" s="49"/>
      <c r="BK92" s="49"/>
      <c r="BL92" s="49"/>
      <c r="BM92" s="49"/>
      <c r="BN92" s="49"/>
      <c r="BO92" s="49"/>
      <c r="BP92" s="49"/>
      <c r="BQ92" s="49"/>
      <c r="BR92" s="49"/>
      <c r="BS92" s="49"/>
      <c r="BT92" s="7"/>
      <c r="CB92" s="62"/>
      <c r="CF92" s="218" t="s">
        <v>94</v>
      </c>
    </row>
    <row r="93" spans="2:86" ht="18.600000000000001" hidden="1" thickTop="1" thickBot="1" x14ac:dyDescent="0.35">
      <c r="B93" s="691"/>
      <c r="AQ93" s="4"/>
      <c r="AR93" s="4"/>
      <c r="AU93" s="59"/>
      <c r="AV93" s="59"/>
      <c r="AW93" s="59"/>
      <c r="AX93" s="59"/>
      <c r="AY93" s="218">
        <f>-+AU110</f>
        <v>695.00003276235395</v>
      </c>
      <c r="AZ93" s="62"/>
      <c r="BC93" s="10"/>
      <c r="BD93" s="10"/>
      <c r="BE93" s="10"/>
      <c r="BF93" s="49"/>
      <c r="BG93" s="49"/>
      <c r="BH93" s="49"/>
      <c r="BI93" s="49"/>
      <c r="BJ93" s="49"/>
      <c r="BK93" s="49"/>
      <c r="BL93" s="49"/>
      <c r="BM93" s="49"/>
      <c r="BN93" s="49"/>
      <c r="BO93" s="49"/>
      <c r="BP93" s="49"/>
      <c r="BQ93" s="49"/>
      <c r="BR93" s="49"/>
      <c r="BS93" s="49"/>
      <c r="BT93" s="7"/>
      <c r="BZ93" s="63"/>
      <c r="CB93" s="62"/>
      <c r="CF93" s="218">
        <f>+-AU139</f>
        <v>-754.99996723764605</v>
      </c>
    </row>
    <row r="94" spans="2:86" hidden="1" x14ac:dyDescent="0.3">
      <c r="C94" s="126"/>
      <c r="AQ94" s="4"/>
      <c r="AR94" s="4"/>
      <c r="AU94" s="59"/>
      <c r="AV94" s="59"/>
      <c r="AW94" s="59"/>
      <c r="AX94" s="59"/>
    </row>
    <row r="95" spans="2:86" ht="21" hidden="1" x14ac:dyDescent="0.4">
      <c r="B95" s="445"/>
      <c r="C95" s="126"/>
      <c r="D95" s="126"/>
      <c r="E95" s="22"/>
      <c r="AQ95" s="4"/>
      <c r="AR95" s="4"/>
      <c r="AS95" s="4"/>
      <c r="AT95" s="4"/>
      <c r="AU95" s="4"/>
      <c r="AV95" s="4"/>
      <c r="AW95" s="4"/>
      <c r="AX95" s="4"/>
      <c r="AY95" s="4"/>
      <c r="CH95" s="4"/>
    </row>
    <row r="96" spans="2:86" ht="21" hidden="1" x14ac:dyDescent="0.4">
      <c r="B96" s="445"/>
      <c r="C96" s="126"/>
      <c r="D96" s="126"/>
      <c r="E96" s="22"/>
      <c r="AQ96" s="4"/>
      <c r="AR96" s="4"/>
      <c r="AS96" s="27"/>
      <c r="AT96" s="27"/>
      <c r="AU96" s="27"/>
      <c r="AV96" s="27"/>
      <c r="AW96" s="27"/>
      <c r="AX96" s="27"/>
      <c r="AY96" s="27"/>
      <c r="CH96" s="4"/>
    </row>
    <row r="97" spans="2:110" ht="21" hidden="1" x14ac:dyDescent="0.4">
      <c r="B97" s="445"/>
      <c r="C97" s="126"/>
      <c r="D97" s="126"/>
      <c r="E97" s="22"/>
      <c r="AQ97" s="4"/>
      <c r="AR97" s="4"/>
      <c r="AS97" s="27"/>
      <c r="AT97" s="27"/>
      <c r="AU97" s="27"/>
      <c r="AV97" s="27"/>
      <c r="AW97" s="27"/>
      <c r="AX97" s="27"/>
      <c r="AY97" s="27"/>
      <c r="BA97" s="10"/>
      <c r="BB97" s="10"/>
      <c r="BC97" s="10"/>
      <c r="BD97" s="10"/>
      <c r="BE97" s="10"/>
      <c r="BF97" s="10"/>
      <c r="BG97" s="49"/>
      <c r="BH97" s="49"/>
      <c r="BI97" s="49"/>
      <c r="BJ97" s="49"/>
      <c r="BK97" s="49"/>
      <c r="BL97" s="49"/>
      <c r="BM97" s="49"/>
      <c r="BN97" s="49"/>
      <c r="BO97" s="49"/>
      <c r="BP97" s="49"/>
      <c r="BQ97" s="49"/>
      <c r="BR97" s="49"/>
      <c r="BS97" s="49"/>
      <c r="BT97" s="49"/>
      <c r="BU97" s="7"/>
      <c r="CC97" s="4"/>
      <c r="CD97" s="4"/>
      <c r="CE97" s="4"/>
      <c r="CF97" s="4"/>
      <c r="CG97" s="4"/>
      <c r="CH97" s="4"/>
    </row>
    <row r="98" spans="2:110" ht="21" hidden="1" x14ac:dyDescent="0.4">
      <c r="B98" s="445"/>
      <c r="C98" s="126"/>
      <c r="D98" s="126"/>
      <c r="E98" s="22"/>
      <c r="AQ98" s="4"/>
      <c r="AR98" s="4"/>
      <c r="AS98" s="27"/>
      <c r="AT98" s="27"/>
      <c r="AU98" s="27"/>
      <c r="AV98" s="27"/>
      <c r="AW98" s="27"/>
      <c r="AX98" s="27"/>
      <c r="BE98" s="10"/>
      <c r="BF98" s="10"/>
      <c r="BG98" s="49"/>
      <c r="BH98" s="49"/>
      <c r="BI98" s="49"/>
      <c r="BJ98" s="49"/>
      <c r="BK98" s="49"/>
      <c r="BL98" s="49"/>
      <c r="BM98" s="49"/>
      <c r="BN98" s="49"/>
      <c r="BO98" s="49"/>
      <c r="BP98" s="49"/>
      <c r="BQ98" s="49"/>
      <c r="BR98" s="49"/>
      <c r="BS98" s="49"/>
      <c r="BT98" s="49"/>
      <c r="BU98" s="7"/>
      <c r="CC98" s="4"/>
      <c r="CD98" s="4"/>
      <c r="CE98" s="4"/>
      <c r="CF98" s="4"/>
      <c r="CG98" s="4"/>
      <c r="CH98" s="4"/>
    </row>
    <row r="99" spans="2:110" ht="21" hidden="1" x14ac:dyDescent="0.4">
      <c r="B99" s="445"/>
      <c r="C99" s="126"/>
      <c r="D99" s="126"/>
      <c r="E99" s="22"/>
      <c r="AQ99" s="4"/>
      <c r="AR99" s="4"/>
      <c r="BE99" s="10"/>
      <c r="BF99" s="10"/>
      <c r="BG99" s="49"/>
      <c r="BH99" s="49"/>
      <c r="BI99" s="49"/>
      <c r="BJ99" s="49"/>
      <c r="BK99" s="49"/>
      <c r="BL99" s="49"/>
      <c r="BM99" s="49"/>
      <c r="BN99" s="49"/>
      <c r="BO99" s="49"/>
      <c r="BP99" s="49"/>
      <c r="BQ99" s="49"/>
      <c r="BR99" s="49"/>
      <c r="BS99" s="49"/>
      <c r="BT99" s="49"/>
      <c r="BU99" s="7"/>
      <c r="CC99" s="4"/>
      <c r="CD99" s="4"/>
      <c r="CE99" s="4"/>
      <c r="CF99" s="4"/>
      <c r="CG99" s="4"/>
      <c r="CH99" s="4"/>
    </row>
    <row r="100" spans="2:110" ht="21" hidden="1" x14ac:dyDescent="0.4">
      <c r="B100" s="445"/>
      <c r="C100" s="126"/>
      <c r="D100" s="126"/>
      <c r="E100" s="22"/>
      <c r="AQ100" s="4"/>
      <c r="AR100" s="4"/>
      <c r="BE100" s="10"/>
      <c r="BF100" s="10"/>
      <c r="BG100" s="49"/>
      <c r="BH100" s="49"/>
      <c r="BI100" s="49"/>
      <c r="BJ100" s="49"/>
      <c r="BK100" s="49"/>
      <c r="BL100" s="49"/>
      <c r="BM100" s="49"/>
      <c r="BN100" s="49"/>
      <c r="BO100" s="49"/>
      <c r="BP100" s="49"/>
      <c r="BQ100" s="49"/>
      <c r="BR100" s="49"/>
      <c r="BS100" s="49"/>
      <c r="BT100" s="49"/>
      <c r="BU100" s="7"/>
      <c r="CC100" s="27"/>
      <c r="CD100" s="27"/>
      <c r="CE100" s="27"/>
      <c r="CF100" s="27"/>
      <c r="CG100" s="27"/>
      <c r="CH100" s="27"/>
    </row>
    <row r="101" spans="2:110" ht="21" hidden="1" x14ac:dyDescent="0.4">
      <c r="B101" s="445"/>
      <c r="C101" s="126"/>
      <c r="D101" s="126"/>
      <c r="E101" s="22"/>
      <c r="AQ101" s="4"/>
      <c r="AR101" s="4"/>
      <c r="BT101" s="60"/>
      <c r="BU101" s="60"/>
      <c r="BV101" s="60"/>
      <c r="BW101" s="60"/>
      <c r="BX101" s="60"/>
      <c r="BY101" s="60"/>
      <c r="CC101" s="27"/>
      <c r="CD101" s="27"/>
      <c r="CE101" s="27"/>
      <c r="CF101" s="27"/>
      <c r="CG101" s="27"/>
      <c r="CH101" s="27"/>
    </row>
    <row r="102" spans="2:110" ht="21" hidden="1" x14ac:dyDescent="0.4">
      <c r="B102" s="445"/>
      <c r="C102" s="126"/>
      <c r="D102" s="126"/>
      <c r="E102" s="22"/>
      <c r="AQ102" s="4"/>
      <c r="AR102" s="4"/>
      <c r="CC102" s="27"/>
      <c r="CD102" s="27"/>
      <c r="CE102" s="27"/>
      <c r="CF102" s="27"/>
      <c r="CG102" s="27"/>
      <c r="CH102" s="27"/>
    </row>
    <row r="103" spans="2:110" ht="21" hidden="1" x14ac:dyDescent="0.4">
      <c r="B103" s="445"/>
      <c r="C103" s="126"/>
      <c r="D103" s="126"/>
      <c r="E103" s="22"/>
      <c r="AQ103" s="4"/>
      <c r="AR103" s="4"/>
      <c r="CC103" s="27"/>
      <c r="CD103" s="27"/>
      <c r="CE103" s="27"/>
      <c r="CF103" s="27"/>
      <c r="CG103" s="27"/>
      <c r="CH103" s="27"/>
    </row>
    <row r="104" spans="2:110" ht="22.2" thickTop="1" thickBot="1" x14ac:dyDescent="0.45">
      <c r="B104" s="445"/>
      <c r="C104" s="126"/>
      <c r="D104" s="126"/>
      <c r="E104" s="22"/>
      <c r="AQ104" s="4"/>
      <c r="AR104" s="4"/>
      <c r="CC104" s="27"/>
      <c r="CD104" s="27"/>
      <c r="CE104" s="27"/>
      <c r="CF104" s="27"/>
      <c r="CG104" s="27"/>
      <c r="CH104" s="27"/>
    </row>
    <row r="105" spans="2:110" ht="54" customHeight="1" thickBot="1" x14ac:dyDescent="0.45">
      <c r="B105" s="445"/>
      <c r="C105" s="13"/>
      <c r="D105" s="416" t="str">
        <f>IF(AY93&gt;0," ","change the angle of frame")</f>
        <v xml:space="preserve"> </v>
      </c>
      <c r="E105" s="114"/>
      <c r="F105" s="114"/>
      <c r="G105" s="7"/>
      <c r="H105" s="7"/>
      <c r="I105" s="7"/>
      <c r="J105" s="7"/>
      <c r="K105" s="7"/>
      <c r="L105" s="7"/>
      <c r="M105" s="7"/>
      <c r="N105" s="7"/>
      <c r="O105" s="7"/>
      <c r="P105" s="7"/>
      <c r="Q105" s="7"/>
      <c r="R105" s="18"/>
      <c r="S105" s="129"/>
      <c r="T105" s="129"/>
      <c r="U105" s="14"/>
      <c r="V105" s="15"/>
      <c r="W105" s="15"/>
      <c r="X105" s="15"/>
      <c r="Y105" s="15"/>
      <c r="Z105" s="15"/>
      <c r="AA105" s="15"/>
      <c r="AB105" s="15"/>
      <c r="AC105" s="15"/>
      <c r="AD105" s="15"/>
      <c r="AE105" s="15"/>
      <c r="AF105" s="15"/>
      <c r="AG105" s="15"/>
      <c r="AH105" s="15"/>
      <c r="AI105" s="15"/>
      <c r="AJ105" s="15"/>
      <c r="AK105" s="15"/>
      <c r="AL105" s="15"/>
      <c r="AM105" s="7"/>
      <c r="AN105" s="7"/>
      <c r="AO105" s="7"/>
      <c r="AP105" s="7"/>
      <c r="AQ105" s="4"/>
      <c r="AR105" s="4"/>
      <c r="AS105" s="4"/>
      <c r="AT105" s="4"/>
      <c r="AU105" s="4"/>
      <c r="AV105" s="4"/>
      <c r="AW105" s="4"/>
      <c r="AX105" s="4"/>
      <c r="AY105" s="4"/>
      <c r="CY105" s="27"/>
      <c r="CZ105" s="27"/>
      <c r="DA105" s="27"/>
      <c r="DB105" s="27"/>
      <c r="DC105" s="27"/>
      <c r="DD105" s="27"/>
      <c r="DE105" s="27"/>
      <c r="DF105" s="27"/>
    </row>
    <row r="106" spans="2:110" ht="54" customHeight="1" thickBot="1" x14ac:dyDescent="0.4">
      <c r="B106" s="2034" t="s">
        <v>70</v>
      </c>
      <c r="C106" s="13"/>
      <c r="D106" s="416" t="str">
        <f>IF(CF93&lt;0," ","change the angle of frame")</f>
        <v xml:space="preserve"> </v>
      </c>
      <c r="E106" s="114"/>
      <c r="F106" s="114"/>
      <c r="G106" s="7"/>
      <c r="H106" s="7"/>
      <c r="I106" s="7"/>
      <c r="J106" s="7"/>
      <c r="K106" s="7"/>
      <c r="L106" s="7"/>
      <c r="M106" s="7"/>
      <c r="N106" s="7"/>
      <c r="O106" s="7"/>
      <c r="P106" s="7"/>
      <c r="Q106" s="7"/>
      <c r="R106" s="18"/>
      <c r="S106" s="129"/>
      <c r="T106" s="129"/>
      <c r="U106" s="14"/>
      <c r="V106" s="31"/>
      <c r="W106" s="32"/>
      <c r="X106" s="32"/>
      <c r="Y106" s="32"/>
      <c r="Z106" s="32"/>
      <c r="AA106" s="32"/>
      <c r="AB106" s="32"/>
      <c r="AC106" s="32"/>
      <c r="AD106" s="32"/>
      <c r="AE106" s="32"/>
      <c r="AF106" s="32"/>
      <c r="AG106" s="32"/>
      <c r="AH106" s="32"/>
      <c r="AI106" s="32"/>
      <c r="AJ106" s="32"/>
      <c r="AK106" s="32"/>
      <c r="AL106" s="32"/>
      <c r="AM106" s="32"/>
      <c r="AN106" s="32"/>
      <c r="AO106" s="32"/>
      <c r="AP106" s="32"/>
      <c r="AQ106" s="4"/>
      <c r="AR106" s="4"/>
      <c r="AS106" s="4"/>
      <c r="AT106" s="4"/>
      <c r="AU106" s="4"/>
      <c r="AV106" s="4"/>
      <c r="AW106" s="4"/>
      <c r="AX106" s="4"/>
      <c r="AY106" s="4"/>
      <c r="CY106" s="27"/>
      <c r="CZ106" s="27"/>
      <c r="DA106" s="27"/>
      <c r="DB106" s="27"/>
      <c r="DC106" s="27"/>
      <c r="DD106" s="27"/>
      <c r="DE106" s="27"/>
      <c r="DF106" s="27"/>
    </row>
    <row r="107" spans="2:110" ht="54" customHeight="1" thickBot="1" x14ac:dyDescent="0.4">
      <c r="B107" s="2035"/>
      <c r="C107" s="749"/>
      <c r="D107" s="416" t="str">
        <f>IF(AY93&gt;(+COS(($B$108*-1)*3.14159265358979/180)*375)," ","USE EXBAR VR AT THE FRONT")</f>
        <v xml:space="preserve"> </v>
      </c>
      <c r="E107" s="114"/>
      <c r="F107" s="114"/>
      <c r="G107" s="7"/>
      <c r="H107" s="7"/>
      <c r="I107" s="7"/>
      <c r="J107" s="7"/>
      <c r="K107" s="7"/>
      <c r="L107" s="7"/>
      <c r="M107" s="7"/>
      <c r="N107" s="7"/>
      <c r="O107" s="7"/>
      <c r="P107" s="7"/>
      <c r="Q107" s="7"/>
      <c r="R107" s="18"/>
      <c r="S107" s="129"/>
      <c r="T107" s="129"/>
      <c r="U107" s="126"/>
      <c r="V107" s="15"/>
      <c r="W107" s="15"/>
      <c r="X107" s="15"/>
      <c r="Y107" s="15"/>
      <c r="Z107" s="15"/>
      <c r="AA107" s="15"/>
      <c r="AB107" s="15"/>
      <c r="AC107" s="15"/>
      <c r="AD107" s="15"/>
      <c r="AE107" s="15"/>
      <c r="AF107" s="15"/>
      <c r="AG107" s="15"/>
      <c r="AH107" s="15"/>
      <c r="AI107" s="15"/>
      <c r="AJ107" s="15"/>
      <c r="AK107" s="15"/>
      <c r="AL107" s="15"/>
      <c r="AM107" s="7"/>
      <c r="AN107" s="7"/>
      <c r="AO107" s="7"/>
      <c r="AP107" s="7"/>
      <c r="AQ107" s="4"/>
      <c r="AR107" s="4"/>
      <c r="AS107" s="4"/>
      <c r="AT107" s="4"/>
      <c r="AU107" s="4"/>
      <c r="AV107" s="4"/>
      <c r="AW107" s="4"/>
      <c r="AX107" s="4"/>
      <c r="AY107" s="4"/>
      <c r="CV107" s="10"/>
      <c r="CY107" s="27"/>
      <c r="CZ107" s="27"/>
      <c r="DA107" s="27"/>
      <c r="DB107" s="27"/>
      <c r="DC107" s="27"/>
      <c r="DD107" s="27"/>
      <c r="DE107" s="27"/>
      <c r="DF107" s="27"/>
    </row>
    <row r="108" spans="2:110" ht="54" customHeight="1" thickBot="1" x14ac:dyDescent="0.45">
      <c r="B108" s="739">
        <v>0</v>
      </c>
      <c r="C108" s="749"/>
      <c r="D108" s="757" t="str">
        <f>IF(CF93&lt;-(+COS(($B$108*-1)*3.14159265358979/180)*375)," ","USE EXBAR VR AT THE BACK")</f>
        <v xml:space="preserve"> </v>
      </c>
      <c r="E108" s="114"/>
      <c r="F108" s="114"/>
      <c r="S108" s="14"/>
      <c r="T108" s="14"/>
      <c r="U108" s="130"/>
      <c r="V108" s="131"/>
      <c r="W108" s="15"/>
      <c r="X108" s="15"/>
      <c r="Y108" s="15"/>
      <c r="Z108" s="15"/>
      <c r="AA108" s="15"/>
      <c r="AB108" s="15"/>
      <c r="AC108" s="15"/>
      <c r="AD108" s="15"/>
      <c r="AE108" s="15"/>
      <c r="AF108" s="15"/>
      <c r="AG108" s="15"/>
      <c r="AH108" s="15"/>
      <c r="AI108" s="15"/>
      <c r="AJ108" s="15"/>
      <c r="AK108" s="15"/>
      <c r="AL108" s="15"/>
      <c r="AM108" s="7"/>
      <c r="AN108" s="7"/>
      <c r="AO108" s="7"/>
      <c r="AP108" s="7"/>
      <c r="AQ108" s="4"/>
      <c r="AR108" s="4"/>
      <c r="AS108" s="4"/>
      <c r="AT108" s="4"/>
      <c r="AU108" s="4"/>
      <c r="AV108" s="4"/>
      <c r="AW108" s="4"/>
      <c r="AX108" s="4"/>
      <c r="AY108" s="4"/>
      <c r="CV108" s="82" t="e">
        <f>+(#REF!/#REF!)*S63</f>
        <v>#REF!</v>
      </c>
      <c r="CY108" s="27"/>
      <c r="CZ108" s="27"/>
      <c r="DA108" s="27"/>
      <c r="DB108" s="27"/>
      <c r="DC108" s="27"/>
      <c r="DD108" s="27"/>
      <c r="DE108" s="27"/>
      <c r="DF108" s="27"/>
    </row>
    <row r="109" spans="2:110" ht="21.6" thickBot="1" x14ac:dyDescent="0.45">
      <c r="C109" s="13"/>
      <c r="D109" s="14"/>
      <c r="E109" s="14"/>
      <c r="F109" s="14"/>
      <c r="G109" s="764" t="s">
        <v>172</v>
      </c>
      <c r="H109" s="764" t="s">
        <v>173</v>
      </c>
      <c r="I109" s="764" t="s">
        <v>174</v>
      </c>
      <c r="O109" s="764" t="s">
        <v>175</v>
      </c>
      <c r="P109" s="764" t="s">
        <v>176</v>
      </c>
      <c r="Q109" s="445"/>
      <c r="R109" s="764" t="s">
        <v>177</v>
      </c>
      <c r="S109" s="14"/>
      <c r="T109" s="14"/>
      <c r="U109" s="132"/>
      <c r="V109" s="133"/>
      <c r="W109" s="15"/>
      <c r="X109" s="15"/>
      <c r="Y109" s="15"/>
      <c r="Z109" s="15"/>
      <c r="AA109" s="15"/>
      <c r="AB109" s="15"/>
      <c r="AC109" s="15"/>
      <c r="AD109" s="15"/>
      <c r="AE109" s="15"/>
      <c r="AF109" s="15"/>
      <c r="AG109" s="15"/>
      <c r="AH109" s="15"/>
      <c r="AI109" s="15"/>
      <c r="AJ109" s="15"/>
      <c r="AK109" s="15"/>
      <c r="AL109" s="15"/>
      <c r="AM109" s="7"/>
      <c r="AN109" s="7"/>
      <c r="AO109" s="7"/>
      <c r="AP109" s="7"/>
      <c r="AQ109" s="4"/>
      <c r="AT109" s="747" t="s">
        <v>205</v>
      </c>
      <c r="AY109" s="4"/>
      <c r="CV109" s="83" t="e">
        <f>+#REF!/CV108</f>
        <v>#REF!</v>
      </c>
      <c r="CY109" s="27"/>
      <c r="CZ109" s="27"/>
      <c r="DA109" s="27"/>
      <c r="DB109" s="27"/>
      <c r="DC109" s="27"/>
      <c r="DD109" s="27"/>
      <c r="DE109" s="27"/>
      <c r="DF109" s="27"/>
    </row>
    <row r="110" spans="2:110" ht="71.25" customHeight="1" thickTop="1" thickBot="1" x14ac:dyDescent="0.5">
      <c r="B110" s="695" t="s">
        <v>43</v>
      </c>
      <c r="C110" s="75"/>
      <c r="D110" s="2040" t="s">
        <v>104</v>
      </c>
      <c r="E110" s="2041"/>
      <c r="F110" s="19"/>
      <c r="S110" s="4"/>
      <c r="T110" s="4"/>
      <c r="U110" s="7"/>
      <c r="V110" s="7"/>
      <c r="W110" s="7"/>
      <c r="X110" s="7"/>
      <c r="Y110" s="7"/>
      <c r="Z110" s="7"/>
      <c r="AA110" s="7"/>
      <c r="AB110" s="7"/>
      <c r="AC110" s="7"/>
      <c r="AD110" s="7"/>
      <c r="AE110" s="7"/>
      <c r="AF110" s="7"/>
      <c r="AG110" s="7"/>
      <c r="AH110" s="7"/>
      <c r="AI110" s="7"/>
      <c r="AJ110" s="7"/>
      <c r="AK110" s="7"/>
      <c r="AL110" s="7"/>
      <c r="AM110" s="7"/>
      <c r="AN110" s="2038" t="s">
        <v>68</v>
      </c>
      <c r="AO110" s="2039"/>
      <c r="AP110" s="7"/>
      <c r="AQ110" s="4"/>
      <c r="AR110" s="219">
        <v>1</v>
      </c>
      <c r="AS110" s="748">
        <v>-400</v>
      </c>
      <c r="AT110" s="746">
        <f>+COS(($B$108*-1)*3.14159265358979/180)*AS110</f>
        <v>-400</v>
      </c>
      <c r="AU110" s="752">
        <f>+AT110-$D$3</f>
        <v>-695.00003276235395</v>
      </c>
      <c r="AV110" s="180">
        <f t="shared" ref="AV110:AV139" si="4">ABS(AU110)</f>
        <v>695.00003276235395</v>
      </c>
      <c r="AW110" s="180">
        <f>MIN(AV110:AV139)</f>
        <v>4.9999672376460467</v>
      </c>
      <c r="AX110" s="180" t="b">
        <f>IF(AW110=AV110,AR110)</f>
        <v>0</v>
      </c>
      <c r="AY110" s="4"/>
      <c r="CV110" s="7"/>
      <c r="CZ110" s="27"/>
      <c r="DA110" s="27"/>
      <c r="DB110" s="27"/>
      <c r="DC110" s="27"/>
      <c r="DD110" s="27"/>
      <c r="DE110" s="27"/>
      <c r="DF110" s="27"/>
    </row>
    <row r="111" spans="2:110" ht="34.200000000000003" thickTop="1" thickBot="1" x14ac:dyDescent="0.5">
      <c r="B111" s="743">
        <v>1</v>
      </c>
      <c r="C111" s="693"/>
      <c r="D111" s="697" t="s">
        <v>24</v>
      </c>
      <c r="E111" s="692"/>
      <c r="F111" s="445"/>
      <c r="G111" s="445"/>
      <c r="H111" s="445"/>
      <c r="I111" s="445"/>
      <c r="J111" s="445"/>
      <c r="K111" s="445"/>
      <c r="L111" s="445"/>
      <c r="M111" s="445"/>
      <c r="N111" s="445"/>
      <c r="O111" s="445"/>
      <c r="P111" s="445"/>
      <c r="Q111" s="445"/>
      <c r="R111" s="445"/>
      <c r="S111" s="445"/>
      <c r="T111" s="445"/>
      <c r="U111" s="7"/>
      <c r="V111" s="7"/>
      <c r="W111" s="7"/>
      <c r="X111" s="7"/>
      <c r="Y111" s="7"/>
      <c r="Z111" s="7"/>
      <c r="AA111" s="7"/>
      <c r="AB111" s="7"/>
      <c r="AC111" s="7"/>
      <c r="AD111" s="7"/>
      <c r="AE111" s="7"/>
      <c r="AF111" s="7"/>
      <c r="AG111" s="7"/>
      <c r="AH111" s="7"/>
      <c r="AI111" s="7"/>
      <c r="AJ111" s="7"/>
      <c r="AK111" s="7"/>
      <c r="AL111" s="7"/>
      <c r="AM111" s="125"/>
      <c r="AN111" s="373" t="s">
        <v>25</v>
      </c>
      <c r="AO111" s="373" t="s">
        <v>26</v>
      </c>
      <c r="AP111" s="7"/>
      <c r="AQ111" s="4"/>
      <c r="AR111" s="219">
        <v>2</v>
      </c>
      <c r="AS111" s="748">
        <f>+AS110+50</f>
        <v>-350</v>
      </c>
      <c r="AT111" s="746">
        <f>+AT110+$E$2</f>
        <v>-350</v>
      </c>
      <c r="AU111" s="752">
        <f t="shared" ref="AU111:AU139" si="5">+AT111-$D$3</f>
        <v>-645.00003276235395</v>
      </c>
      <c r="AV111" s="180">
        <f t="shared" si="4"/>
        <v>645.00003276235395</v>
      </c>
      <c r="AW111" s="180">
        <f>+AW110</f>
        <v>4.9999672376460467</v>
      </c>
      <c r="AX111" s="180" t="b">
        <f t="shared" ref="AX111:AX139" si="6">IF(AW111=AV111,AR111)</f>
        <v>0</v>
      </c>
      <c r="AY111" s="4"/>
      <c r="CV111" s="7"/>
      <c r="CY111" s="27"/>
      <c r="CZ111" s="27"/>
      <c r="DA111" s="27"/>
      <c r="DB111" s="27"/>
      <c r="DC111" s="27"/>
      <c r="DD111" s="27"/>
      <c r="DE111" s="27"/>
      <c r="DF111" s="27"/>
    </row>
    <row r="112" spans="2:110" ht="33.6" hidden="1" thickTop="1" thickBot="1" x14ac:dyDescent="0.5">
      <c r="B112" s="694"/>
      <c r="C112" s="376"/>
      <c r="D112" s="698"/>
      <c r="E112" s="374"/>
      <c r="F112" s="15"/>
      <c r="G112" s="309" t="s">
        <v>4</v>
      </c>
      <c r="H112" s="309" t="s">
        <v>1</v>
      </c>
      <c r="I112" s="369" t="s">
        <v>119</v>
      </c>
      <c r="J112" s="180" t="s">
        <v>2</v>
      </c>
      <c r="K112" s="180" t="s">
        <v>3</v>
      </c>
      <c r="L112" s="180" t="s">
        <v>8</v>
      </c>
      <c r="M112" s="180" t="s">
        <v>5</v>
      </c>
      <c r="N112" s="180" t="s">
        <v>6</v>
      </c>
      <c r="O112" s="180" t="s">
        <v>7</v>
      </c>
      <c r="P112" s="180" t="s">
        <v>9</v>
      </c>
      <c r="Q112" s="335" t="s">
        <v>10</v>
      </c>
      <c r="R112" s="180" t="s">
        <v>11</v>
      </c>
      <c r="S112" s="336" t="s">
        <v>12</v>
      </c>
      <c r="T112" s="337"/>
      <c r="U112" s="16"/>
      <c r="V112" s="6"/>
      <c r="W112" s="6"/>
      <c r="X112" s="6"/>
      <c r="Y112" s="6"/>
      <c r="Z112" s="6"/>
      <c r="AA112" s="6"/>
      <c r="AB112" s="6"/>
      <c r="AC112" s="6"/>
      <c r="AD112" s="6"/>
      <c r="AE112" s="6"/>
      <c r="AF112" s="6"/>
      <c r="AG112" s="6"/>
      <c r="AH112" s="6"/>
      <c r="AI112" s="6"/>
      <c r="AJ112" s="6"/>
      <c r="AK112" s="6"/>
      <c r="AL112" s="125"/>
      <c r="AM112" s="125"/>
      <c r="AN112" s="6"/>
      <c r="AO112" s="6"/>
      <c r="AP112" s="6"/>
      <c r="AQ112" s="4"/>
      <c r="AR112" s="219">
        <v>3</v>
      </c>
      <c r="AS112" s="748">
        <f t="shared" ref="AS112:AS139" si="7">+AS111+50</f>
        <v>-300</v>
      </c>
      <c r="AT112" s="746">
        <f t="shared" ref="AT112:AT139" si="8">+AT111+$E$2</f>
        <v>-300</v>
      </c>
      <c r="AU112" s="752">
        <f t="shared" si="5"/>
        <v>-595.00003276235395</v>
      </c>
      <c r="AV112" s="180">
        <f t="shared" si="4"/>
        <v>595.00003276235395</v>
      </c>
      <c r="AW112" s="180">
        <f t="shared" ref="AW112:AW139" si="9">+AW111</f>
        <v>4.9999672376460467</v>
      </c>
      <c r="AX112" s="180" t="b">
        <f t="shared" si="6"/>
        <v>0</v>
      </c>
      <c r="AY112" s="4"/>
      <c r="CZ112" s="27"/>
      <c r="DA112" s="27"/>
      <c r="DB112" s="27"/>
      <c r="DC112" s="27"/>
      <c r="DD112" s="27"/>
      <c r="DE112" s="27"/>
      <c r="DF112" s="27"/>
    </row>
    <row r="113" spans="2:110" ht="63" hidden="1" thickBot="1" x14ac:dyDescent="0.5">
      <c r="B113" s="377"/>
      <c r="C113" s="378"/>
      <c r="D113" s="699"/>
      <c r="E113" s="763"/>
      <c r="F113" s="50"/>
      <c r="G113" s="309"/>
      <c r="H113" s="309"/>
      <c r="I113" s="369"/>
      <c r="J113" s="180"/>
      <c r="K113" s="180"/>
      <c r="L113" s="180"/>
      <c r="M113" s="180"/>
      <c r="N113" s="180"/>
      <c r="O113" s="180"/>
      <c r="P113" s="180"/>
      <c r="Q113" s="335"/>
      <c r="R113" s="180"/>
      <c r="S113" s="336"/>
      <c r="T113" s="337"/>
      <c r="U113" s="16"/>
      <c r="V113" s="6"/>
      <c r="W113" s="6"/>
      <c r="X113" s="337" t="s">
        <v>51</v>
      </c>
      <c r="Y113" s="338" t="s">
        <v>44</v>
      </c>
      <c r="Z113" s="339" t="s">
        <v>106</v>
      </c>
      <c r="AA113" s="340" t="s">
        <v>45</v>
      </c>
      <c r="AB113" s="310" t="s">
        <v>46</v>
      </c>
      <c r="AC113" s="175" t="s">
        <v>107</v>
      </c>
      <c r="AD113" s="341" t="s">
        <v>47</v>
      </c>
      <c r="AE113" s="347" t="s">
        <v>48</v>
      </c>
      <c r="AF113" s="342" t="s">
        <v>110</v>
      </c>
      <c r="AG113" s="342" t="s">
        <v>59</v>
      </c>
      <c r="AH113" s="342" t="s">
        <v>52</v>
      </c>
      <c r="AI113" s="342" t="s">
        <v>111</v>
      </c>
      <c r="AJ113" s="343" t="s">
        <v>54</v>
      </c>
      <c r="AK113" s="343" t="s">
        <v>55</v>
      </c>
      <c r="AL113" s="344" t="s">
        <v>25</v>
      </c>
      <c r="AM113" s="344" t="s">
        <v>26</v>
      </c>
      <c r="AN113" s="59"/>
      <c r="AO113" s="59"/>
      <c r="AP113" s="7"/>
      <c r="AQ113" s="4"/>
      <c r="AR113" s="219">
        <v>4</v>
      </c>
      <c r="AS113" s="748">
        <f t="shared" si="7"/>
        <v>-250</v>
      </c>
      <c r="AT113" s="746">
        <f t="shared" si="8"/>
        <v>-250</v>
      </c>
      <c r="AU113" s="752">
        <f t="shared" si="5"/>
        <v>-545.00003276235395</v>
      </c>
      <c r="AV113" s="180">
        <f t="shared" si="4"/>
        <v>545.00003276235395</v>
      </c>
      <c r="AW113" s="180">
        <f t="shared" si="9"/>
        <v>4.9999672376460467</v>
      </c>
      <c r="AX113" s="180" t="b">
        <f t="shared" si="6"/>
        <v>0</v>
      </c>
      <c r="AY113" s="4"/>
      <c r="CV113" s="12"/>
      <c r="CZ113" s="27"/>
      <c r="DA113" s="27"/>
      <c r="DB113" s="27"/>
      <c r="DC113" s="27"/>
      <c r="DD113" s="27"/>
      <c r="DE113" s="27"/>
      <c r="DF113" s="27"/>
    </row>
    <row r="114" spans="2:110" ht="21" customHeight="1" thickTop="1" thickBot="1" x14ac:dyDescent="0.5">
      <c r="B114" s="380">
        <v>1</v>
      </c>
      <c r="C114" s="696">
        <f>+(B108*-1)+D114</f>
        <v>0</v>
      </c>
      <c r="D114" s="740">
        <v>0</v>
      </c>
      <c r="E114" s="375" t="s">
        <v>126</v>
      </c>
      <c r="F114" s="124"/>
      <c r="G114" s="764">
        <v>421.92079999999999</v>
      </c>
      <c r="H114" s="764">
        <v>35.4982179</v>
      </c>
      <c r="I114" s="764">
        <f>+H114-C114</f>
        <v>35.4982179</v>
      </c>
      <c r="J114" s="180"/>
      <c r="K114" s="180"/>
      <c r="L114" s="180"/>
      <c r="M114" s="180"/>
      <c r="N114" s="180"/>
      <c r="O114" s="764">
        <f>COS(I114*3.14159265358979/180)</f>
        <v>0.81413357986421708</v>
      </c>
      <c r="P114" s="764">
        <f>+O114*G114</f>
        <v>343.49989132317432</v>
      </c>
      <c r="Q114" s="334">
        <v>343.5</v>
      </c>
      <c r="R114" s="764">
        <f>+P114</f>
        <v>343.49989132317432</v>
      </c>
      <c r="S114" s="180">
        <f t="shared" ref="S114:S125" si="10">+R114</f>
        <v>343.49989132317432</v>
      </c>
      <c r="T114" s="155"/>
      <c r="U114" s="333"/>
      <c r="V114" s="23">
        <f t="shared" ref="V114:V125" si="11">IF(B114&lt;($B$111+1),S114,0)</f>
        <v>343.49989132317432</v>
      </c>
      <c r="W114" s="123"/>
      <c r="X114" s="23">
        <f>SUM(V114:V125)/($B$111)</f>
        <v>343.49989132317432</v>
      </c>
      <c r="Y114" s="120">
        <f>+D114+C114</f>
        <v>0</v>
      </c>
      <c r="Z114" s="345">
        <f>54.5017821+Y114</f>
        <v>54.5017821</v>
      </c>
      <c r="AA114" s="346">
        <f>SIN(Z114*3.14159265358979/180)</f>
        <v>0.81413357986421619</v>
      </c>
      <c r="AB114" s="312">
        <f>+AA114*421.92</f>
        <v>343.49924001631013</v>
      </c>
      <c r="AC114" s="345">
        <f>58.7344156-Y114</f>
        <v>58.734415599999998</v>
      </c>
      <c r="AD114" s="121">
        <f>SIN(AC114*3.14159265358979/180)</f>
        <v>0.85477073319485097</v>
      </c>
      <c r="AE114" s="312">
        <f>+AD114*472.06</f>
        <v>403.50307231196138</v>
      </c>
      <c r="AF114" s="122">
        <f>57*B111</f>
        <v>57</v>
      </c>
      <c r="AG114" s="122">
        <f>+AE114+AB114</f>
        <v>747.0023123282715</v>
      </c>
      <c r="AH114" s="92">
        <f>+V114-AB114</f>
        <v>6.5130686419934136E-4</v>
      </c>
      <c r="AI114" s="92">
        <f t="shared" ref="AI114:AI125" si="12">+X114-AH114</f>
        <v>343.49924001631013</v>
      </c>
      <c r="AJ114" s="100">
        <f>+((AG114-AI114)/AG114)*AF114</f>
        <v>30.789295752105453</v>
      </c>
      <c r="AK114" s="100">
        <f>+(AI114/AG114)*AF114</f>
        <v>26.210704247894547</v>
      </c>
      <c r="AL114" s="81">
        <f t="shared" ref="AL114:AL125" si="13">2*$B$15/AJ114</f>
        <v>376.75431401209499</v>
      </c>
      <c r="AM114" s="81">
        <f>2*$C$15/AK114</f>
        <v>442.56727672366162</v>
      </c>
      <c r="AN114" s="135">
        <f>ABS(AL114)</f>
        <v>376.75431401209499</v>
      </c>
      <c r="AO114" s="135">
        <f>ABS(AM114)</f>
        <v>442.56727672366162</v>
      </c>
      <c r="AP114" s="37"/>
      <c r="AQ114" s="4"/>
      <c r="AR114" s="219">
        <v>5</v>
      </c>
      <c r="AS114" s="748">
        <f t="shared" si="7"/>
        <v>-200</v>
      </c>
      <c r="AT114" s="746">
        <f t="shared" si="8"/>
        <v>-200</v>
      </c>
      <c r="AU114" s="752">
        <f t="shared" si="5"/>
        <v>-495.00003276235395</v>
      </c>
      <c r="AV114" s="180">
        <f t="shared" si="4"/>
        <v>495.00003276235395</v>
      </c>
      <c r="AW114" s="180">
        <f t="shared" si="9"/>
        <v>4.9999672376460467</v>
      </c>
      <c r="AX114" s="180" t="b">
        <f t="shared" si="6"/>
        <v>0</v>
      </c>
      <c r="AY114" s="4"/>
      <c r="CV114" s="12"/>
      <c r="CZ114" s="27"/>
      <c r="DA114" s="27"/>
      <c r="DB114" s="27"/>
      <c r="DC114" s="27"/>
      <c r="DD114" s="27"/>
      <c r="DE114" s="27"/>
      <c r="DF114" s="27"/>
    </row>
    <row r="115" spans="2:110" ht="21" customHeight="1" thickBot="1" x14ac:dyDescent="0.5">
      <c r="B115" s="381">
        <v>2</v>
      </c>
      <c r="C115" s="381"/>
      <c r="D115" s="740">
        <v>0</v>
      </c>
      <c r="E115" s="375" t="s">
        <v>126</v>
      </c>
      <c r="F115" s="308"/>
      <c r="G115" s="309">
        <v>472.06</v>
      </c>
      <c r="H115" s="309">
        <v>62.531168700000002</v>
      </c>
      <c r="I115" s="369">
        <f>+H115+D115</f>
        <v>62.531168700000002</v>
      </c>
      <c r="J115" s="180">
        <f t="shared" ref="J115:J125" si="14">+I115/2</f>
        <v>31.265584350000001</v>
      </c>
      <c r="K115" s="180">
        <f t="shared" ref="K115:K125" si="15">SIN(J115*3.14159265358979/180)</f>
        <v>0.51900577347391186</v>
      </c>
      <c r="L115" s="180">
        <f t="shared" ref="L115:L125" si="16">+K115*G115</f>
        <v>245.00186542609484</v>
      </c>
      <c r="M115" s="180">
        <f t="shared" ref="M115:M125" si="17">+L115*2</f>
        <v>490.00373085218968</v>
      </c>
      <c r="N115" s="180">
        <f>+C114+(D115/2)</f>
        <v>0</v>
      </c>
      <c r="O115" s="180">
        <f t="shared" ref="O115:O125" si="18">SIN(N115*3.14159265358979/180)</f>
        <v>0</v>
      </c>
      <c r="P115" s="180">
        <f t="shared" ref="P115:P125" si="19">+O115*M115</f>
        <v>0</v>
      </c>
      <c r="Q115" s="180">
        <f t="shared" ref="Q115:Q125" si="20">+S114</f>
        <v>343.49989132317432</v>
      </c>
      <c r="R115" s="180">
        <f>+Q115+P115</f>
        <v>343.49989132317432</v>
      </c>
      <c r="S115" s="180">
        <f t="shared" si="10"/>
        <v>343.49989132317432</v>
      </c>
      <c r="T115" s="155"/>
      <c r="U115" s="333"/>
      <c r="V115" s="23">
        <f t="shared" si="11"/>
        <v>0</v>
      </c>
      <c r="W115" s="123"/>
      <c r="X115" s="23" t="e">
        <f>SUM(V115:V125)/($B$111-B114)</f>
        <v>#DIV/0!</v>
      </c>
      <c r="Y115" s="97">
        <f>SUM(D115)+$C$114</f>
        <v>0</v>
      </c>
      <c r="Z115" s="345">
        <f t="shared" ref="Z115:Z125" si="21">54.5017821+Y115</f>
        <v>54.5017821</v>
      </c>
      <c r="AA115" s="346">
        <f>SIN(Z115*3.14159265358979/180)</f>
        <v>0.81413357986421619</v>
      </c>
      <c r="AB115" s="312">
        <f t="shared" ref="AB115:AB125" si="22">+AA115*421.92</f>
        <v>343.49924001631013</v>
      </c>
      <c r="AC115" s="345">
        <f t="shared" ref="AC115:AC125" si="23">58.7344156-Y115</f>
        <v>58.734415599999998</v>
      </c>
      <c r="AD115" s="121">
        <f t="shared" ref="AD115:AD125" si="24">SIN(AC115*3.14159265358979/180)</f>
        <v>0.85477073319485097</v>
      </c>
      <c r="AE115" s="312">
        <f t="shared" ref="AE115:AE125" si="25">+AD115*472.06</f>
        <v>403.50307231196138</v>
      </c>
      <c r="AF115" s="122">
        <f t="shared" ref="AF115:AF125" si="26">57*($B$111-B114)</f>
        <v>0</v>
      </c>
      <c r="AG115" s="122">
        <f t="shared" ref="AG115:AG125" si="27">+AE115+AB115</f>
        <v>747.0023123282715</v>
      </c>
      <c r="AH115" s="92">
        <f t="shared" ref="AH115:AH125" si="28">+V115-AB115</f>
        <v>-343.49924001631013</v>
      </c>
      <c r="AI115" s="92" t="e">
        <f t="shared" si="12"/>
        <v>#DIV/0!</v>
      </c>
      <c r="AJ115" s="100" t="e">
        <f t="shared" ref="AJ115:AJ125" si="29">+((AG115-AI115)/AG115)*AF115</f>
        <v>#DIV/0!</v>
      </c>
      <c r="AK115" s="100" t="e">
        <f t="shared" ref="AK115:AK125" si="30">+(AI115/AG115)*AF115</f>
        <v>#DIV/0!</v>
      </c>
      <c r="AL115" s="81" t="e">
        <f t="shared" si="13"/>
        <v>#DIV/0!</v>
      </c>
      <c r="AM115" s="81" t="e">
        <f t="shared" ref="AM115:AM125" si="31">2*$C$15/AK115</f>
        <v>#DIV/0!</v>
      </c>
      <c r="AN115" s="135" t="e">
        <f t="shared" ref="AN115:AO125" si="32">ABS(AL115)</f>
        <v>#DIV/0!</v>
      </c>
      <c r="AO115" s="135" t="e">
        <f t="shared" si="32"/>
        <v>#DIV/0!</v>
      </c>
      <c r="AP115" s="37"/>
      <c r="AQ115" s="4"/>
      <c r="AR115" s="219">
        <v>6</v>
      </c>
      <c r="AS115" s="748">
        <f t="shared" si="7"/>
        <v>-150</v>
      </c>
      <c r="AT115" s="746">
        <f t="shared" si="8"/>
        <v>-150</v>
      </c>
      <c r="AU115" s="752">
        <f t="shared" si="5"/>
        <v>-445.00003276235395</v>
      </c>
      <c r="AV115" s="180">
        <f t="shared" si="4"/>
        <v>445.00003276235395</v>
      </c>
      <c r="AW115" s="180">
        <f t="shared" si="9"/>
        <v>4.9999672376460467</v>
      </c>
      <c r="AX115" s="180" t="b">
        <f t="shared" si="6"/>
        <v>0</v>
      </c>
      <c r="AY115" s="4"/>
      <c r="CV115" s="12"/>
      <c r="CZ115" s="27"/>
      <c r="DA115" s="27"/>
      <c r="DB115" s="27"/>
      <c r="DC115" s="27"/>
      <c r="DD115" s="27"/>
      <c r="DE115" s="27"/>
      <c r="DF115" s="27"/>
    </row>
    <row r="116" spans="2:110" ht="21" customHeight="1" thickBot="1" x14ac:dyDescent="0.5">
      <c r="B116" s="381">
        <v>3</v>
      </c>
      <c r="C116" s="381"/>
      <c r="D116" s="740">
        <v>0</v>
      </c>
      <c r="E116" s="375" t="s">
        <v>126</v>
      </c>
      <c r="F116" s="308"/>
      <c r="G116" s="309">
        <v>472.06</v>
      </c>
      <c r="H116" s="309">
        <v>62.531168700000002</v>
      </c>
      <c r="I116" s="369">
        <f t="shared" ref="I116:I125" si="33">+H116+D116</f>
        <v>62.531168700000002</v>
      </c>
      <c r="J116" s="180">
        <f t="shared" si="14"/>
        <v>31.265584350000001</v>
      </c>
      <c r="K116" s="180">
        <f t="shared" si="15"/>
        <v>0.51900577347391186</v>
      </c>
      <c r="L116" s="180">
        <f t="shared" si="16"/>
        <v>245.00186542609484</v>
      </c>
      <c r="M116" s="180">
        <f t="shared" si="17"/>
        <v>490.00373085218968</v>
      </c>
      <c r="N116" s="180">
        <f>+C114+D115+(D116/2)</f>
        <v>0</v>
      </c>
      <c r="O116" s="180">
        <f t="shared" si="18"/>
        <v>0</v>
      </c>
      <c r="P116" s="180">
        <f t="shared" si="19"/>
        <v>0</v>
      </c>
      <c r="Q116" s="180">
        <f t="shared" si="20"/>
        <v>343.49989132317432</v>
      </c>
      <c r="R116" s="180">
        <f t="shared" ref="R116:R125" si="34">+R115+P116</f>
        <v>343.49989132317432</v>
      </c>
      <c r="S116" s="180">
        <f t="shared" si="10"/>
        <v>343.49989132317432</v>
      </c>
      <c r="T116" s="155"/>
      <c r="U116" s="333"/>
      <c r="V116" s="23">
        <f t="shared" si="11"/>
        <v>0</v>
      </c>
      <c r="W116" s="123"/>
      <c r="X116" s="23">
        <f>SUM(V116:V125)/($B$111-B115)</f>
        <v>0</v>
      </c>
      <c r="Y116" s="97">
        <f>SUM(D115:D116)+$C$114</f>
        <v>0</v>
      </c>
      <c r="Z116" s="345">
        <f t="shared" si="21"/>
        <v>54.5017821</v>
      </c>
      <c r="AA116" s="346">
        <f t="shared" ref="AA116:AA125" si="35">SIN(Z116*3.14159265358979/180)</f>
        <v>0.81413357986421619</v>
      </c>
      <c r="AB116" s="312">
        <f t="shared" si="22"/>
        <v>343.49924001631013</v>
      </c>
      <c r="AC116" s="345">
        <f t="shared" si="23"/>
        <v>58.734415599999998</v>
      </c>
      <c r="AD116" s="121">
        <f t="shared" si="24"/>
        <v>0.85477073319485097</v>
      </c>
      <c r="AE116" s="312">
        <f t="shared" si="25"/>
        <v>403.50307231196138</v>
      </c>
      <c r="AF116" s="122">
        <f t="shared" si="26"/>
        <v>-57</v>
      </c>
      <c r="AG116" s="122">
        <f t="shared" si="27"/>
        <v>747.0023123282715</v>
      </c>
      <c r="AH116" s="92">
        <f t="shared" si="28"/>
        <v>-343.49924001631013</v>
      </c>
      <c r="AI116" s="92">
        <f t="shared" si="12"/>
        <v>343.49924001631013</v>
      </c>
      <c r="AJ116" s="100">
        <f t="shared" si="29"/>
        <v>-30.789295752105453</v>
      </c>
      <c r="AK116" s="100">
        <f t="shared" si="30"/>
        <v>-26.210704247894547</v>
      </c>
      <c r="AL116" s="81">
        <f t="shared" si="13"/>
        <v>-376.75431401209499</v>
      </c>
      <c r="AM116" s="81">
        <f t="shared" si="31"/>
        <v>-442.56727672366162</v>
      </c>
      <c r="AN116" s="135">
        <f t="shared" si="32"/>
        <v>376.75431401209499</v>
      </c>
      <c r="AO116" s="135">
        <f t="shared" si="32"/>
        <v>442.56727672366162</v>
      </c>
      <c r="AQ116" s="4"/>
      <c r="AR116" s="219">
        <v>7</v>
      </c>
      <c r="AS116" s="748">
        <f t="shared" si="7"/>
        <v>-100</v>
      </c>
      <c r="AT116" s="746">
        <f t="shared" si="8"/>
        <v>-100</v>
      </c>
      <c r="AU116" s="752">
        <f t="shared" si="5"/>
        <v>-395.00003276235395</v>
      </c>
      <c r="AV116" s="180">
        <f t="shared" si="4"/>
        <v>395.00003276235395</v>
      </c>
      <c r="AW116" s="180">
        <f t="shared" si="9"/>
        <v>4.9999672376460467</v>
      </c>
      <c r="AX116" s="180" t="b">
        <f t="shared" si="6"/>
        <v>0</v>
      </c>
      <c r="AY116" s="4"/>
      <c r="CV116" s="12"/>
      <c r="CZ116" s="27"/>
      <c r="DA116" s="27"/>
      <c r="DB116" s="27"/>
      <c r="DC116" s="27"/>
      <c r="DD116" s="27"/>
      <c r="DE116" s="27"/>
      <c r="DF116" s="27"/>
    </row>
    <row r="117" spans="2:110" ht="21" customHeight="1" thickBot="1" x14ac:dyDescent="0.5">
      <c r="B117" s="381">
        <v>4</v>
      </c>
      <c r="C117" s="381"/>
      <c r="D117" s="740">
        <v>0</v>
      </c>
      <c r="E117" s="375" t="s">
        <v>126</v>
      </c>
      <c r="F117" s="308"/>
      <c r="G117" s="309">
        <v>472.06</v>
      </c>
      <c r="H117" s="309">
        <v>62.531168700000002</v>
      </c>
      <c r="I117" s="369">
        <f t="shared" si="33"/>
        <v>62.531168700000002</v>
      </c>
      <c r="J117" s="180">
        <f t="shared" si="14"/>
        <v>31.265584350000001</v>
      </c>
      <c r="K117" s="180">
        <f t="shared" si="15"/>
        <v>0.51900577347391186</v>
      </c>
      <c r="L117" s="180">
        <f t="shared" si="16"/>
        <v>245.00186542609484</v>
      </c>
      <c r="M117" s="180">
        <f t="shared" si="17"/>
        <v>490.00373085218968</v>
      </c>
      <c r="N117" s="180">
        <f>+C114+D115+D116+(D117/2)</f>
        <v>0</v>
      </c>
      <c r="O117" s="180">
        <f t="shared" si="18"/>
        <v>0</v>
      </c>
      <c r="P117" s="180">
        <f t="shared" si="19"/>
        <v>0</v>
      </c>
      <c r="Q117" s="180">
        <f t="shared" si="20"/>
        <v>343.49989132317432</v>
      </c>
      <c r="R117" s="180">
        <f t="shared" si="34"/>
        <v>343.49989132317432</v>
      </c>
      <c r="S117" s="180">
        <f t="shared" si="10"/>
        <v>343.49989132317432</v>
      </c>
      <c r="T117" s="155"/>
      <c r="U117" s="333"/>
      <c r="V117" s="23">
        <f t="shared" si="11"/>
        <v>0</v>
      </c>
      <c r="W117" s="123"/>
      <c r="X117" s="23">
        <f>SUM(V117:V125)/($B$111-B116)</f>
        <v>0</v>
      </c>
      <c r="Y117" s="97">
        <f>SUM(D115:D117)+$C$114</f>
        <v>0</v>
      </c>
      <c r="Z117" s="345">
        <f t="shared" si="21"/>
        <v>54.5017821</v>
      </c>
      <c r="AA117" s="346">
        <f t="shared" si="35"/>
        <v>0.81413357986421619</v>
      </c>
      <c r="AB117" s="312">
        <f t="shared" si="22"/>
        <v>343.49924001631013</v>
      </c>
      <c r="AC117" s="345">
        <f t="shared" si="23"/>
        <v>58.734415599999998</v>
      </c>
      <c r="AD117" s="121">
        <f t="shared" si="24"/>
        <v>0.85477073319485097</v>
      </c>
      <c r="AE117" s="312">
        <f t="shared" si="25"/>
        <v>403.50307231196138</v>
      </c>
      <c r="AF117" s="122">
        <f t="shared" si="26"/>
        <v>-114</v>
      </c>
      <c r="AG117" s="122">
        <f t="shared" si="27"/>
        <v>747.0023123282715</v>
      </c>
      <c r="AH117" s="92">
        <f t="shared" si="28"/>
        <v>-343.49924001631013</v>
      </c>
      <c r="AI117" s="92">
        <f t="shared" si="12"/>
        <v>343.49924001631013</v>
      </c>
      <c r="AJ117" s="100">
        <f t="shared" si="29"/>
        <v>-61.578591504210905</v>
      </c>
      <c r="AK117" s="100">
        <f t="shared" si="30"/>
        <v>-52.421408495789095</v>
      </c>
      <c r="AL117" s="81">
        <f t="shared" si="13"/>
        <v>-188.3771570060475</v>
      </c>
      <c r="AM117" s="81">
        <f t="shared" si="31"/>
        <v>-221.28363836183081</v>
      </c>
      <c r="AN117" s="135">
        <f t="shared" si="32"/>
        <v>188.3771570060475</v>
      </c>
      <c r="AO117" s="135">
        <f t="shared" si="32"/>
        <v>221.28363836183081</v>
      </c>
      <c r="AQ117" s="4"/>
      <c r="AR117" s="219">
        <v>8</v>
      </c>
      <c r="AS117" s="748">
        <f t="shared" si="7"/>
        <v>-50</v>
      </c>
      <c r="AT117" s="746">
        <f t="shared" si="8"/>
        <v>-50</v>
      </c>
      <c r="AU117" s="752">
        <f t="shared" si="5"/>
        <v>-345.00003276235395</v>
      </c>
      <c r="AV117" s="180">
        <f t="shared" si="4"/>
        <v>345.00003276235395</v>
      </c>
      <c r="AW117" s="180">
        <f t="shared" si="9"/>
        <v>4.9999672376460467</v>
      </c>
      <c r="AX117" s="180" t="b">
        <f t="shared" si="6"/>
        <v>0</v>
      </c>
      <c r="AY117" s="4"/>
      <c r="CV117" s="12"/>
      <c r="CZ117" s="27"/>
      <c r="DA117" s="27"/>
      <c r="DB117" s="27"/>
      <c r="DC117" s="27"/>
      <c r="DD117" s="27"/>
      <c r="DE117" s="27"/>
      <c r="DF117" s="27"/>
    </row>
    <row r="118" spans="2:110" ht="21" customHeight="1" thickBot="1" x14ac:dyDescent="0.5">
      <c r="B118" s="381">
        <v>5</v>
      </c>
      <c r="C118" s="381"/>
      <c r="D118" s="740">
        <v>0</v>
      </c>
      <c r="E118" s="375" t="s">
        <v>126</v>
      </c>
      <c r="F118" s="308"/>
      <c r="G118" s="309">
        <v>472.06</v>
      </c>
      <c r="H118" s="309">
        <v>62.531168700000002</v>
      </c>
      <c r="I118" s="369">
        <f t="shared" si="33"/>
        <v>62.531168700000002</v>
      </c>
      <c r="J118" s="180">
        <f t="shared" si="14"/>
        <v>31.265584350000001</v>
      </c>
      <c r="K118" s="180">
        <f t="shared" si="15"/>
        <v>0.51900577347391186</v>
      </c>
      <c r="L118" s="180">
        <f t="shared" si="16"/>
        <v>245.00186542609484</v>
      </c>
      <c r="M118" s="180">
        <f t="shared" si="17"/>
        <v>490.00373085218968</v>
      </c>
      <c r="N118" s="180">
        <f>+C114+D115+D116+D117+(D118/2)</f>
        <v>0</v>
      </c>
      <c r="O118" s="180">
        <f t="shared" si="18"/>
        <v>0</v>
      </c>
      <c r="P118" s="180">
        <f t="shared" si="19"/>
        <v>0</v>
      </c>
      <c r="Q118" s="180">
        <f t="shared" si="20"/>
        <v>343.49989132317432</v>
      </c>
      <c r="R118" s="180">
        <f t="shared" si="34"/>
        <v>343.49989132317432</v>
      </c>
      <c r="S118" s="180">
        <f t="shared" si="10"/>
        <v>343.49989132317432</v>
      </c>
      <c r="T118" s="155"/>
      <c r="U118" s="333"/>
      <c r="V118" s="23">
        <f t="shared" si="11"/>
        <v>0</v>
      </c>
      <c r="W118" s="123"/>
      <c r="X118" s="23">
        <f>SUM(V118:V125)/($B$111-B117)</f>
        <v>0</v>
      </c>
      <c r="Y118" s="97">
        <f>SUM(D115:D118)+$C$114</f>
        <v>0</v>
      </c>
      <c r="Z118" s="345">
        <f t="shared" si="21"/>
        <v>54.5017821</v>
      </c>
      <c r="AA118" s="346">
        <f t="shared" si="35"/>
        <v>0.81413357986421619</v>
      </c>
      <c r="AB118" s="312">
        <f t="shared" si="22"/>
        <v>343.49924001631013</v>
      </c>
      <c r="AC118" s="345">
        <f t="shared" si="23"/>
        <v>58.734415599999998</v>
      </c>
      <c r="AD118" s="121">
        <f t="shared" si="24"/>
        <v>0.85477073319485097</v>
      </c>
      <c r="AE118" s="312">
        <f t="shared" si="25"/>
        <v>403.50307231196138</v>
      </c>
      <c r="AF118" s="122">
        <f t="shared" si="26"/>
        <v>-171</v>
      </c>
      <c r="AG118" s="122">
        <f t="shared" si="27"/>
        <v>747.0023123282715</v>
      </c>
      <c r="AH118" s="92">
        <f t="shared" si="28"/>
        <v>-343.49924001631013</v>
      </c>
      <c r="AI118" s="92">
        <f t="shared" si="12"/>
        <v>343.49924001631013</v>
      </c>
      <c r="AJ118" s="100">
        <f t="shared" si="29"/>
        <v>-92.367887256316351</v>
      </c>
      <c r="AK118" s="100">
        <f t="shared" si="30"/>
        <v>-78.632112743683649</v>
      </c>
      <c r="AL118" s="81">
        <f t="shared" si="13"/>
        <v>-125.58477133736501</v>
      </c>
      <c r="AM118" s="81">
        <f t="shared" si="31"/>
        <v>-147.52242557455386</v>
      </c>
      <c r="AN118" s="135">
        <f t="shared" si="32"/>
        <v>125.58477133736501</v>
      </c>
      <c r="AO118" s="135">
        <f t="shared" si="32"/>
        <v>147.52242557455386</v>
      </c>
      <c r="AQ118" s="4"/>
      <c r="AR118" s="219">
        <v>9</v>
      </c>
      <c r="AS118" s="748">
        <f t="shared" si="7"/>
        <v>0</v>
      </c>
      <c r="AT118" s="746">
        <f t="shared" si="8"/>
        <v>0</v>
      </c>
      <c r="AU118" s="752">
        <f t="shared" si="5"/>
        <v>-295.00003276235395</v>
      </c>
      <c r="AV118" s="180">
        <f t="shared" si="4"/>
        <v>295.00003276235395</v>
      </c>
      <c r="AW118" s="180">
        <f t="shared" si="9"/>
        <v>4.9999672376460467</v>
      </c>
      <c r="AX118" s="180" t="b">
        <f t="shared" si="6"/>
        <v>0</v>
      </c>
      <c r="AY118" s="4"/>
      <c r="CV118" s="12"/>
      <c r="CZ118" s="27"/>
      <c r="DA118" s="27"/>
      <c r="DB118" s="27"/>
      <c r="DC118" s="27"/>
      <c r="DD118" s="27"/>
      <c r="DE118" s="27"/>
      <c r="DF118" s="27"/>
    </row>
    <row r="119" spans="2:110" ht="21" customHeight="1" thickBot="1" x14ac:dyDescent="0.5">
      <c r="B119" s="381">
        <v>6</v>
      </c>
      <c r="C119" s="381"/>
      <c r="D119" s="740">
        <v>0</v>
      </c>
      <c r="E119" s="375" t="s">
        <v>126</v>
      </c>
      <c r="F119" s="308"/>
      <c r="G119" s="309">
        <v>472.06</v>
      </c>
      <c r="H119" s="309">
        <v>62.531168700000002</v>
      </c>
      <c r="I119" s="369">
        <f t="shared" si="33"/>
        <v>62.531168700000002</v>
      </c>
      <c r="J119" s="180">
        <f t="shared" si="14"/>
        <v>31.265584350000001</v>
      </c>
      <c r="K119" s="180">
        <f t="shared" si="15"/>
        <v>0.51900577347391186</v>
      </c>
      <c r="L119" s="180">
        <f t="shared" si="16"/>
        <v>245.00186542609484</v>
      </c>
      <c r="M119" s="180">
        <f t="shared" si="17"/>
        <v>490.00373085218968</v>
      </c>
      <c r="N119" s="180">
        <f>+C114+D115+D116+D117+D118+(D119/2)</f>
        <v>0</v>
      </c>
      <c r="O119" s="180">
        <f t="shared" si="18"/>
        <v>0</v>
      </c>
      <c r="P119" s="180">
        <f t="shared" si="19"/>
        <v>0</v>
      </c>
      <c r="Q119" s="180">
        <f t="shared" si="20"/>
        <v>343.49989132317432</v>
      </c>
      <c r="R119" s="180">
        <f t="shared" si="34"/>
        <v>343.49989132317432</v>
      </c>
      <c r="S119" s="180">
        <f t="shared" si="10"/>
        <v>343.49989132317432</v>
      </c>
      <c r="T119" s="155"/>
      <c r="U119" s="333"/>
      <c r="V119" s="23">
        <f t="shared" si="11"/>
        <v>0</v>
      </c>
      <c r="W119" s="123"/>
      <c r="X119" s="23">
        <f>SUM(V119:V125)/($B$111-B118)</f>
        <v>0</v>
      </c>
      <c r="Y119" s="97">
        <f>SUM(D115:D119)+$C$114</f>
        <v>0</v>
      </c>
      <c r="Z119" s="345">
        <f t="shared" si="21"/>
        <v>54.5017821</v>
      </c>
      <c r="AA119" s="346">
        <f t="shared" si="35"/>
        <v>0.81413357986421619</v>
      </c>
      <c r="AB119" s="312">
        <f t="shared" si="22"/>
        <v>343.49924001631013</v>
      </c>
      <c r="AC119" s="345">
        <f t="shared" si="23"/>
        <v>58.734415599999998</v>
      </c>
      <c r="AD119" s="121">
        <f t="shared" si="24"/>
        <v>0.85477073319485097</v>
      </c>
      <c r="AE119" s="312">
        <f t="shared" si="25"/>
        <v>403.50307231196138</v>
      </c>
      <c r="AF119" s="122">
        <f t="shared" si="26"/>
        <v>-228</v>
      </c>
      <c r="AG119" s="122">
        <f t="shared" si="27"/>
        <v>747.0023123282715</v>
      </c>
      <c r="AH119" s="92">
        <f t="shared" si="28"/>
        <v>-343.49924001631013</v>
      </c>
      <c r="AI119" s="92">
        <f t="shared" si="12"/>
        <v>343.49924001631013</v>
      </c>
      <c r="AJ119" s="100">
        <f t="shared" si="29"/>
        <v>-123.15718300842181</v>
      </c>
      <c r="AK119" s="100">
        <f t="shared" si="30"/>
        <v>-104.84281699157819</v>
      </c>
      <c r="AL119" s="81">
        <f t="shared" si="13"/>
        <v>-94.188578503023749</v>
      </c>
      <c r="AM119" s="81">
        <f t="shared" si="31"/>
        <v>-110.64181918091541</v>
      </c>
      <c r="AN119" s="135">
        <f t="shared" si="32"/>
        <v>94.188578503023749</v>
      </c>
      <c r="AO119" s="135">
        <f t="shared" si="32"/>
        <v>110.64181918091541</v>
      </c>
      <c r="AQ119" s="4"/>
      <c r="AR119" s="219">
        <v>10</v>
      </c>
      <c r="AS119" s="748">
        <f t="shared" si="7"/>
        <v>50</v>
      </c>
      <c r="AT119" s="746">
        <f t="shared" si="8"/>
        <v>50</v>
      </c>
      <c r="AU119" s="752">
        <f t="shared" si="5"/>
        <v>-245.00003276235395</v>
      </c>
      <c r="AV119" s="180">
        <f t="shared" si="4"/>
        <v>245.00003276235395</v>
      </c>
      <c r="AW119" s="180">
        <f t="shared" si="9"/>
        <v>4.9999672376460467</v>
      </c>
      <c r="AX119" s="180" t="b">
        <f t="shared" si="6"/>
        <v>0</v>
      </c>
      <c r="AY119" s="4"/>
      <c r="CV119" s="12"/>
      <c r="CZ119" s="27"/>
      <c r="DA119" s="27"/>
      <c r="DB119" s="27"/>
      <c r="DC119" s="27"/>
      <c r="DD119" s="27"/>
      <c r="DE119" s="27"/>
      <c r="DF119" s="27"/>
    </row>
    <row r="120" spans="2:110" ht="21" customHeight="1" thickBot="1" x14ac:dyDescent="0.5">
      <c r="B120" s="381">
        <v>7</v>
      </c>
      <c r="C120" s="381"/>
      <c r="D120" s="740">
        <v>0</v>
      </c>
      <c r="E120" s="375" t="s">
        <v>126</v>
      </c>
      <c r="F120" s="308"/>
      <c r="G120" s="309">
        <v>472.06</v>
      </c>
      <c r="H120" s="309">
        <v>62.531168700000002</v>
      </c>
      <c r="I120" s="369">
        <f t="shared" si="33"/>
        <v>62.531168700000002</v>
      </c>
      <c r="J120" s="180">
        <f t="shared" si="14"/>
        <v>31.265584350000001</v>
      </c>
      <c r="K120" s="180">
        <f t="shared" si="15"/>
        <v>0.51900577347391186</v>
      </c>
      <c r="L120" s="180">
        <f t="shared" si="16"/>
        <v>245.00186542609484</v>
      </c>
      <c r="M120" s="180">
        <f t="shared" si="17"/>
        <v>490.00373085218968</v>
      </c>
      <c r="N120" s="180">
        <f>+C114+D115+D116+D117+D118+D119+(D120/2)</f>
        <v>0</v>
      </c>
      <c r="O120" s="180">
        <f t="shared" si="18"/>
        <v>0</v>
      </c>
      <c r="P120" s="180">
        <f t="shared" si="19"/>
        <v>0</v>
      </c>
      <c r="Q120" s="180">
        <f t="shared" si="20"/>
        <v>343.49989132317432</v>
      </c>
      <c r="R120" s="180">
        <f t="shared" si="34"/>
        <v>343.49989132317432</v>
      </c>
      <c r="S120" s="180">
        <f t="shared" si="10"/>
        <v>343.49989132317432</v>
      </c>
      <c r="T120" s="155"/>
      <c r="U120" s="333"/>
      <c r="V120" s="23">
        <f t="shared" si="11"/>
        <v>0</v>
      </c>
      <c r="W120" s="123"/>
      <c r="X120" s="23">
        <f>SUM(V120:V125)/($B$111-B119)</f>
        <v>0</v>
      </c>
      <c r="Y120" s="97">
        <f>SUM(D115:D120)+$C$114</f>
        <v>0</v>
      </c>
      <c r="Z120" s="345">
        <f t="shared" si="21"/>
        <v>54.5017821</v>
      </c>
      <c r="AA120" s="346">
        <f t="shared" si="35"/>
        <v>0.81413357986421619</v>
      </c>
      <c r="AB120" s="312">
        <f t="shared" si="22"/>
        <v>343.49924001631013</v>
      </c>
      <c r="AC120" s="345">
        <f t="shared" si="23"/>
        <v>58.734415599999998</v>
      </c>
      <c r="AD120" s="121">
        <f t="shared" si="24"/>
        <v>0.85477073319485097</v>
      </c>
      <c r="AE120" s="312">
        <f t="shared" si="25"/>
        <v>403.50307231196138</v>
      </c>
      <c r="AF120" s="122">
        <f t="shared" si="26"/>
        <v>-285</v>
      </c>
      <c r="AG120" s="122">
        <f t="shared" si="27"/>
        <v>747.0023123282715</v>
      </c>
      <c r="AH120" s="92">
        <f t="shared" si="28"/>
        <v>-343.49924001631013</v>
      </c>
      <c r="AI120" s="92">
        <f t="shared" si="12"/>
        <v>343.49924001631013</v>
      </c>
      <c r="AJ120" s="100">
        <f t="shared" si="29"/>
        <v>-153.94647876052727</v>
      </c>
      <c r="AK120" s="100">
        <f t="shared" si="30"/>
        <v>-131.05352123947273</v>
      </c>
      <c r="AL120" s="81">
        <f t="shared" si="13"/>
        <v>-75.350862802418987</v>
      </c>
      <c r="AM120" s="81">
        <f t="shared" si="31"/>
        <v>-88.513455344732336</v>
      </c>
      <c r="AN120" s="135">
        <f t="shared" si="32"/>
        <v>75.350862802418987</v>
      </c>
      <c r="AO120" s="135">
        <f t="shared" si="32"/>
        <v>88.513455344732336</v>
      </c>
      <c r="AQ120" s="4"/>
      <c r="AR120" s="219">
        <v>11</v>
      </c>
      <c r="AS120" s="748">
        <f t="shared" si="7"/>
        <v>100</v>
      </c>
      <c r="AT120" s="746">
        <f t="shared" si="8"/>
        <v>100</v>
      </c>
      <c r="AU120" s="752">
        <f t="shared" si="5"/>
        <v>-195.00003276235395</v>
      </c>
      <c r="AV120" s="180">
        <f t="shared" si="4"/>
        <v>195.00003276235395</v>
      </c>
      <c r="AW120" s="180">
        <f t="shared" si="9"/>
        <v>4.9999672376460467</v>
      </c>
      <c r="AX120" s="180" t="b">
        <f t="shared" si="6"/>
        <v>0</v>
      </c>
      <c r="AY120" s="4"/>
      <c r="CV120" s="12"/>
      <c r="CZ120" s="27"/>
      <c r="DA120" s="27"/>
      <c r="DB120" s="27"/>
      <c r="DC120" s="27"/>
      <c r="DD120" s="27"/>
      <c r="DE120" s="27"/>
      <c r="DF120" s="27"/>
    </row>
    <row r="121" spans="2:110" ht="21" customHeight="1" thickBot="1" x14ac:dyDescent="0.5">
      <c r="B121" s="381">
        <v>8</v>
      </c>
      <c r="C121" s="381"/>
      <c r="D121" s="740">
        <v>0</v>
      </c>
      <c r="E121" s="375" t="s">
        <v>126</v>
      </c>
      <c r="F121" s="308"/>
      <c r="G121" s="309">
        <v>472.06</v>
      </c>
      <c r="H121" s="309">
        <v>62.531168700000002</v>
      </c>
      <c r="I121" s="369">
        <f t="shared" si="33"/>
        <v>62.531168700000002</v>
      </c>
      <c r="J121" s="180">
        <f t="shared" si="14"/>
        <v>31.265584350000001</v>
      </c>
      <c r="K121" s="180">
        <f t="shared" si="15"/>
        <v>0.51900577347391186</v>
      </c>
      <c r="L121" s="180">
        <f t="shared" si="16"/>
        <v>245.00186542609484</v>
      </c>
      <c r="M121" s="180">
        <f t="shared" si="17"/>
        <v>490.00373085218968</v>
      </c>
      <c r="N121" s="180">
        <f>+C114+D115+D116+D117+D118+D119+D120+(D121/2)</f>
        <v>0</v>
      </c>
      <c r="O121" s="180">
        <f t="shared" si="18"/>
        <v>0</v>
      </c>
      <c r="P121" s="180">
        <f t="shared" si="19"/>
        <v>0</v>
      </c>
      <c r="Q121" s="180">
        <f t="shared" si="20"/>
        <v>343.49989132317432</v>
      </c>
      <c r="R121" s="180">
        <f t="shared" si="34"/>
        <v>343.49989132317432</v>
      </c>
      <c r="S121" s="180">
        <f t="shared" si="10"/>
        <v>343.49989132317432</v>
      </c>
      <c r="T121" s="155"/>
      <c r="U121" s="333"/>
      <c r="V121" s="23">
        <f t="shared" si="11"/>
        <v>0</v>
      </c>
      <c r="W121" s="123"/>
      <c r="X121" s="23">
        <f>SUM(V121:V125)/($B$111-B120)</f>
        <v>0</v>
      </c>
      <c r="Y121" s="97">
        <f>SUM(D115:D121)+$C$114</f>
        <v>0</v>
      </c>
      <c r="Z121" s="345">
        <f t="shared" si="21"/>
        <v>54.5017821</v>
      </c>
      <c r="AA121" s="346">
        <f t="shared" si="35"/>
        <v>0.81413357986421619</v>
      </c>
      <c r="AB121" s="312">
        <f t="shared" si="22"/>
        <v>343.49924001631013</v>
      </c>
      <c r="AC121" s="345">
        <f t="shared" si="23"/>
        <v>58.734415599999998</v>
      </c>
      <c r="AD121" s="121">
        <f t="shared" si="24"/>
        <v>0.85477073319485097</v>
      </c>
      <c r="AE121" s="312">
        <f t="shared" si="25"/>
        <v>403.50307231196138</v>
      </c>
      <c r="AF121" s="122">
        <f t="shared" si="26"/>
        <v>-342</v>
      </c>
      <c r="AG121" s="122">
        <f t="shared" si="27"/>
        <v>747.0023123282715</v>
      </c>
      <c r="AH121" s="92">
        <f t="shared" si="28"/>
        <v>-343.49924001631013</v>
      </c>
      <c r="AI121" s="92">
        <f t="shared" si="12"/>
        <v>343.49924001631013</v>
      </c>
      <c r="AJ121" s="100">
        <f t="shared" si="29"/>
        <v>-184.7357745126327</v>
      </c>
      <c r="AK121" s="100">
        <f t="shared" si="30"/>
        <v>-157.2642254873673</v>
      </c>
      <c r="AL121" s="81">
        <f t="shared" si="13"/>
        <v>-62.792385668682506</v>
      </c>
      <c r="AM121" s="81">
        <f t="shared" si="31"/>
        <v>-73.761212787276932</v>
      </c>
      <c r="AN121" s="135">
        <f t="shared" si="32"/>
        <v>62.792385668682506</v>
      </c>
      <c r="AO121" s="135">
        <f t="shared" si="32"/>
        <v>73.761212787276932</v>
      </c>
      <c r="AQ121" s="4"/>
      <c r="AR121" s="219">
        <v>12</v>
      </c>
      <c r="AS121" s="748">
        <f t="shared" si="7"/>
        <v>150</v>
      </c>
      <c r="AT121" s="746">
        <f t="shared" si="8"/>
        <v>150</v>
      </c>
      <c r="AU121" s="752">
        <f t="shared" si="5"/>
        <v>-145.00003276235395</v>
      </c>
      <c r="AV121" s="180">
        <f t="shared" si="4"/>
        <v>145.00003276235395</v>
      </c>
      <c r="AW121" s="180">
        <f t="shared" si="9"/>
        <v>4.9999672376460467</v>
      </c>
      <c r="AX121" s="180" t="b">
        <f t="shared" si="6"/>
        <v>0</v>
      </c>
      <c r="AY121" s="4"/>
      <c r="CV121" s="12"/>
      <c r="CZ121" s="27"/>
      <c r="DA121" s="27"/>
      <c r="DB121" s="27"/>
      <c r="DC121" s="27"/>
      <c r="DD121" s="27"/>
      <c r="DE121" s="27"/>
      <c r="DF121" s="27"/>
    </row>
    <row r="122" spans="2:110" ht="21" customHeight="1" thickBot="1" x14ac:dyDescent="0.5">
      <c r="B122" s="381">
        <v>9</v>
      </c>
      <c r="C122" s="381"/>
      <c r="D122" s="740">
        <v>0</v>
      </c>
      <c r="E122" s="375" t="s">
        <v>126</v>
      </c>
      <c r="F122" s="308"/>
      <c r="G122" s="309">
        <v>472.06</v>
      </c>
      <c r="H122" s="309">
        <v>62.531168700000002</v>
      </c>
      <c r="I122" s="369">
        <f t="shared" si="33"/>
        <v>62.531168700000002</v>
      </c>
      <c r="J122" s="180">
        <f t="shared" si="14"/>
        <v>31.265584350000001</v>
      </c>
      <c r="K122" s="180">
        <f t="shared" si="15"/>
        <v>0.51900577347391186</v>
      </c>
      <c r="L122" s="180">
        <f t="shared" si="16"/>
        <v>245.00186542609484</v>
      </c>
      <c r="M122" s="180">
        <f t="shared" si="17"/>
        <v>490.00373085218968</v>
      </c>
      <c r="N122" s="180">
        <f>+C114+D115+D116+D117+D118+D119+D120+D121+(D122/2)</f>
        <v>0</v>
      </c>
      <c r="O122" s="180">
        <f t="shared" si="18"/>
        <v>0</v>
      </c>
      <c r="P122" s="180">
        <f t="shared" si="19"/>
        <v>0</v>
      </c>
      <c r="Q122" s="180">
        <f t="shared" si="20"/>
        <v>343.49989132317432</v>
      </c>
      <c r="R122" s="180">
        <f t="shared" si="34"/>
        <v>343.49989132317432</v>
      </c>
      <c r="S122" s="180">
        <f t="shared" si="10"/>
        <v>343.49989132317432</v>
      </c>
      <c r="T122" s="155"/>
      <c r="U122" s="333"/>
      <c r="V122" s="23">
        <f t="shared" si="11"/>
        <v>0</v>
      </c>
      <c r="W122" s="123"/>
      <c r="X122" s="23">
        <f>SUM(V122:V125)/($B$111-B121)</f>
        <v>0</v>
      </c>
      <c r="Y122" s="97">
        <f>SUM(D115:D122)+$C$114</f>
        <v>0</v>
      </c>
      <c r="Z122" s="345">
        <f t="shared" si="21"/>
        <v>54.5017821</v>
      </c>
      <c r="AA122" s="346">
        <f t="shared" si="35"/>
        <v>0.81413357986421619</v>
      </c>
      <c r="AB122" s="312">
        <f t="shared" si="22"/>
        <v>343.49924001631013</v>
      </c>
      <c r="AC122" s="345">
        <f t="shared" si="23"/>
        <v>58.734415599999998</v>
      </c>
      <c r="AD122" s="121">
        <f t="shared" si="24"/>
        <v>0.85477073319485097</v>
      </c>
      <c r="AE122" s="312">
        <f t="shared" si="25"/>
        <v>403.50307231196138</v>
      </c>
      <c r="AF122" s="122">
        <f t="shared" si="26"/>
        <v>-399</v>
      </c>
      <c r="AG122" s="122">
        <f t="shared" si="27"/>
        <v>747.0023123282715</v>
      </c>
      <c r="AH122" s="92">
        <f t="shared" si="28"/>
        <v>-343.49924001631013</v>
      </c>
      <c r="AI122" s="92">
        <f t="shared" si="12"/>
        <v>343.49924001631013</v>
      </c>
      <c r="AJ122" s="100">
        <f t="shared" si="29"/>
        <v>-215.52507026473816</v>
      </c>
      <c r="AK122" s="100">
        <f t="shared" si="30"/>
        <v>-183.47492973526184</v>
      </c>
      <c r="AL122" s="81">
        <f t="shared" si="13"/>
        <v>-53.822044858870711</v>
      </c>
      <c r="AM122" s="81">
        <f t="shared" si="31"/>
        <v>-63.223896674808806</v>
      </c>
      <c r="AN122" s="135">
        <f t="shared" si="32"/>
        <v>53.822044858870711</v>
      </c>
      <c r="AO122" s="135">
        <f t="shared" si="32"/>
        <v>63.223896674808806</v>
      </c>
      <c r="AQ122" s="4"/>
      <c r="AR122" s="219">
        <v>13</v>
      </c>
      <c r="AS122" s="748">
        <f t="shared" si="7"/>
        <v>200</v>
      </c>
      <c r="AT122" s="746">
        <f t="shared" si="8"/>
        <v>200</v>
      </c>
      <c r="AU122" s="752">
        <f t="shared" si="5"/>
        <v>-95.000032762353953</v>
      </c>
      <c r="AV122" s="180">
        <f t="shared" si="4"/>
        <v>95.000032762353953</v>
      </c>
      <c r="AW122" s="180">
        <f t="shared" si="9"/>
        <v>4.9999672376460467</v>
      </c>
      <c r="AX122" s="180" t="b">
        <f t="shared" si="6"/>
        <v>0</v>
      </c>
      <c r="AY122" s="4"/>
      <c r="CV122" s="12"/>
      <c r="CZ122" s="27"/>
      <c r="DA122" s="27"/>
      <c r="DB122" s="27"/>
      <c r="DC122" s="27"/>
      <c r="DD122" s="27"/>
      <c r="DE122" s="27"/>
      <c r="DF122" s="27"/>
    </row>
    <row r="123" spans="2:110" ht="21" customHeight="1" thickBot="1" x14ac:dyDescent="0.5">
      <c r="B123" s="381">
        <v>10</v>
      </c>
      <c r="C123" s="381"/>
      <c r="D123" s="740">
        <v>0</v>
      </c>
      <c r="E123" s="375" t="s">
        <v>126</v>
      </c>
      <c r="F123" s="308"/>
      <c r="G123" s="309">
        <v>472.06</v>
      </c>
      <c r="H123" s="309">
        <v>62.531168700000002</v>
      </c>
      <c r="I123" s="369">
        <f t="shared" si="33"/>
        <v>62.531168700000002</v>
      </c>
      <c r="J123" s="180">
        <f t="shared" si="14"/>
        <v>31.265584350000001</v>
      </c>
      <c r="K123" s="180">
        <f t="shared" si="15"/>
        <v>0.51900577347391186</v>
      </c>
      <c r="L123" s="180">
        <f t="shared" si="16"/>
        <v>245.00186542609484</v>
      </c>
      <c r="M123" s="180">
        <f t="shared" si="17"/>
        <v>490.00373085218968</v>
      </c>
      <c r="N123" s="180">
        <f>+C114+D115+D116+D117+D118+D119+D120+D121+D122+(D123/2)</f>
        <v>0</v>
      </c>
      <c r="O123" s="180">
        <f t="shared" si="18"/>
        <v>0</v>
      </c>
      <c r="P123" s="180">
        <f t="shared" si="19"/>
        <v>0</v>
      </c>
      <c r="Q123" s="180">
        <f t="shared" si="20"/>
        <v>343.49989132317432</v>
      </c>
      <c r="R123" s="180">
        <f t="shared" si="34"/>
        <v>343.49989132317432</v>
      </c>
      <c r="S123" s="180">
        <f t="shared" si="10"/>
        <v>343.49989132317432</v>
      </c>
      <c r="T123" s="155"/>
      <c r="U123" s="333"/>
      <c r="V123" s="23">
        <f t="shared" si="11"/>
        <v>0</v>
      </c>
      <c r="W123" s="123"/>
      <c r="X123" s="23">
        <f>SUM(V123:V125)/($B$111-B122)</f>
        <v>0</v>
      </c>
      <c r="Y123" s="97">
        <f>SUM(D115:D123)+$C$114</f>
        <v>0</v>
      </c>
      <c r="Z123" s="345">
        <f t="shared" si="21"/>
        <v>54.5017821</v>
      </c>
      <c r="AA123" s="346">
        <f t="shared" si="35"/>
        <v>0.81413357986421619</v>
      </c>
      <c r="AB123" s="312">
        <f t="shared" si="22"/>
        <v>343.49924001631013</v>
      </c>
      <c r="AC123" s="345">
        <f t="shared" si="23"/>
        <v>58.734415599999998</v>
      </c>
      <c r="AD123" s="121">
        <f t="shared" si="24"/>
        <v>0.85477073319485097</v>
      </c>
      <c r="AE123" s="312">
        <f t="shared" si="25"/>
        <v>403.50307231196138</v>
      </c>
      <c r="AF123" s="122">
        <f t="shared" si="26"/>
        <v>-456</v>
      </c>
      <c r="AG123" s="122">
        <f t="shared" si="27"/>
        <v>747.0023123282715</v>
      </c>
      <c r="AH123" s="92">
        <f t="shared" si="28"/>
        <v>-343.49924001631013</v>
      </c>
      <c r="AI123" s="92">
        <f t="shared" si="12"/>
        <v>343.49924001631013</v>
      </c>
      <c r="AJ123" s="100">
        <f t="shared" si="29"/>
        <v>-246.31436601684362</v>
      </c>
      <c r="AK123" s="100">
        <f t="shared" si="30"/>
        <v>-209.68563398315638</v>
      </c>
      <c r="AL123" s="81">
        <f t="shared" si="13"/>
        <v>-47.094289251511874</v>
      </c>
      <c r="AM123" s="81">
        <f t="shared" si="31"/>
        <v>-55.320909590457703</v>
      </c>
      <c r="AN123" s="135">
        <f t="shared" si="32"/>
        <v>47.094289251511874</v>
      </c>
      <c r="AO123" s="135">
        <f t="shared" si="32"/>
        <v>55.320909590457703</v>
      </c>
      <c r="AQ123" s="4"/>
      <c r="AR123" s="219">
        <v>14</v>
      </c>
      <c r="AS123" s="748">
        <f t="shared" si="7"/>
        <v>250</v>
      </c>
      <c r="AT123" s="746">
        <f t="shared" si="8"/>
        <v>250</v>
      </c>
      <c r="AU123" s="752">
        <f t="shared" si="5"/>
        <v>-45.000032762353953</v>
      </c>
      <c r="AV123" s="180">
        <f t="shared" si="4"/>
        <v>45.000032762353953</v>
      </c>
      <c r="AW123" s="180">
        <f t="shared" si="9"/>
        <v>4.9999672376460467</v>
      </c>
      <c r="AX123" s="180" t="b">
        <f t="shared" si="6"/>
        <v>0</v>
      </c>
      <c r="AY123" s="4"/>
      <c r="CV123" s="12"/>
      <c r="CZ123" s="27"/>
      <c r="DA123" s="27"/>
      <c r="DB123" s="27"/>
      <c r="DC123" s="27"/>
      <c r="DD123" s="27"/>
      <c r="DE123" s="27"/>
      <c r="DF123" s="27"/>
    </row>
    <row r="124" spans="2:110" ht="21" customHeight="1" thickBot="1" x14ac:dyDescent="0.5">
      <c r="B124" s="381">
        <v>11</v>
      </c>
      <c r="C124" s="381"/>
      <c r="D124" s="740">
        <v>0</v>
      </c>
      <c r="E124" s="375" t="s">
        <v>126</v>
      </c>
      <c r="F124" s="308"/>
      <c r="G124" s="309">
        <v>472.06</v>
      </c>
      <c r="H124" s="309">
        <v>62.531168700000002</v>
      </c>
      <c r="I124" s="369">
        <f t="shared" si="33"/>
        <v>62.531168700000002</v>
      </c>
      <c r="J124" s="180">
        <f t="shared" si="14"/>
        <v>31.265584350000001</v>
      </c>
      <c r="K124" s="180">
        <f t="shared" si="15"/>
        <v>0.51900577347391186</v>
      </c>
      <c r="L124" s="180">
        <f t="shared" si="16"/>
        <v>245.00186542609484</v>
      </c>
      <c r="M124" s="180">
        <f t="shared" si="17"/>
        <v>490.00373085218968</v>
      </c>
      <c r="N124" s="180">
        <f>+C114+D115+D116+D117+D118+D119+D120+D121+D122+D123+(D124/2)</f>
        <v>0</v>
      </c>
      <c r="O124" s="180">
        <f t="shared" si="18"/>
        <v>0</v>
      </c>
      <c r="P124" s="180">
        <f t="shared" si="19"/>
        <v>0</v>
      </c>
      <c r="Q124" s="180">
        <f t="shared" si="20"/>
        <v>343.49989132317432</v>
      </c>
      <c r="R124" s="180">
        <f t="shared" si="34"/>
        <v>343.49989132317432</v>
      </c>
      <c r="S124" s="180">
        <f t="shared" si="10"/>
        <v>343.49989132317432</v>
      </c>
      <c r="T124" s="155"/>
      <c r="U124" s="333"/>
      <c r="V124" s="23">
        <f t="shared" si="11"/>
        <v>0</v>
      </c>
      <c r="W124" s="123"/>
      <c r="X124" s="23">
        <f>SUM(V124:V125)/($B$111-B123)</f>
        <v>0</v>
      </c>
      <c r="Y124" s="97">
        <f>SUM(D115:D124)+$C$114</f>
        <v>0</v>
      </c>
      <c r="Z124" s="345">
        <f t="shared" si="21"/>
        <v>54.5017821</v>
      </c>
      <c r="AA124" s="346">
        <f t="shared" si="35"/>
        <v>0.81413357986421619</v>
      </c>
      <c r="AB124" s="312">
        <f t="shared" si="22"/>
        <v>343.49924001631013</v>
      </c>
      <c r="AC124" s="345">
        <f t="shared" si="23"/>
        <v>58.734415599999998</v>
      </c>
      <c r="AD124" s="121">
        <f t="shared" si="24"/>
        <v>0.85477073319485097</v>
      </c>
      <c r="AE124" s="312">
        <f t="shared" si="25"/>
        <v>403.50307231196138</v>
      </c>
      <c r="AF124" s="122">
        <f t="shared" si="26"/>
        <v>-513</v>
      </c>
      <c r="AG124" s="122">
        <f t="shared" si="27"/>
        <v>747.0023123282715</v>
      </c>
      <c r="AH124" s="92">
        <f t="shared" si="28"/>
        <v>-343.49924001631013</v>
      </c>
      <c r="AI124" s="92">
        <f t="shared" si="12"/>
        <v>343.49924001631013</v>
      </c>
      <c r="AJ124" s="100">
        <f t="shared" si="29"/>
        <v>-277.10366176894905</v>
      </c>
      <c r="AK124" s="100">
        <f t="shared" si="30"/>
        <v>-235.89633823105095</v>
      </c>
      <c r="AL124" s="81">
        <f t="shared" si="13"/>
        <v>-41.861590445788337</v>
      </c>
      <c r="AM124" s="81">
        <f t="shared" si="31"/>
        <v>-49.174141858184626</v>
      </c>
      <c r="AN124" s="135">
        <f t="shared" si="32"/>
        <v>41.861590445788337</v>
      </c>
      <c r="AO124" s="135">
        <f t="shared" si="32"/>
        <v>49.174141858184626</v>
      </c>
      <c r="AQ124" s="4"/>
      <c r="AR124" s="219">
        <v>15</v>
      </c>
      <c r="AS124" s="748">
        <f t="shared" si="7"/>
        <v>300</v>
      </c>
      <c r="AT124" s="746">
        <f t="shared" si="8"/>
        <v>300</v>
      </c>
      <c r="AU124" s="752">
        <f t="shared" si="5"/>
        <v>4.9999672376460467</v>
      </c>
      <c r="AV124" s="180">
        <f t="shared" si="4"/>
        <v>4.9999672376460467</v>
      </c>
      <c r="AW124" s="180">
        <f t="shared" si="9"/>
        <v>4.9999672376460467</v>
      </c>
      <c r="AX124" s="180">
        <f t="shared" si="6"/>
        <v>15</v>
      </c>
      <c r="AY124" s="4"/>
      <c r="CV124" s="12"/>
      <c r="CZ124" s="27"/>
      <c r="DA124" s="27"/>
      <c r="DB124" s="27"/>
      <c r="DC124" s="27"/>
      <c r="DD124" s="27"/>
      <c r="DE124" s="27"/>
      <c r="DF124" s="27"/>
    </row>
    <row r="125" spans="2:110" ht="21" customHeight="1" thickBot="1" x14ac:dyDescent="0.5">
      <c r="B125" s="381">
        <v>12</v>
      </c>
      <c r="C125" s="381"/>
      <c r="D125" s="740">
        <v>0</v>
      </c>
      <c r="E125" s="375" t="s">
        <v>126</v>
      </c>
      <c r="F125" s="308"/>
      <c r="G125" s="309">
        <v>472.06</v>
      </c>
      <c r="H125" s="309">
        <v>62.531168700000002</v>
      </c>
      <c r="I125" s="369">
        <f t="shared" si="33"/>
        <v>62.531168700000002</v>
      </c>
      <c r="J125" s="180">
        <f t="shared" si="14"/>
        <v>31.265584350000001</v>
      </c>
      <c r="K125" s="180">
        <f t="shared" si="15"/>
        <v>0.51900577347391186</v>
      </c>
      <c r="L125" s="180">
        <f t="shared" si="16"/>
        <v>245.00186542609484</v>
      </c>
      <c r="M125" s="180">
        <f t="shared" si="17"/>
        <v>490.00373085218968</v>
      </c>
      <c r="N125" s="180">
        <f>+C114+D115+D116+D117+D118+D119+D120+D121+D122+D123+D124+(D125/2)</f>
        <v>0</v>
      </c>
      <c r="O125" s="180">
        <f t="shared" si="18"/>
        <v>0</v>
      </c>
      <c r="P125" s="180">
        <f t="shared" si="19"/>
        <v>0</v>
      </c>
      <c r="Q125" s="180">
        <f t="shared" si="20"/>
        <v>343.49989132317432</v>
      </c>
      <c r="R125" s="180">
        <f t="shared" si="34"/>
        <v>343.49989132317432</v>
      </c>
      <c r="S125" s="180">
        <f t="shared" si="10"/>
        <v>343.49989132317432</v>
      </c>
      <c r="T125" s="155"/>
      <c r="U125" s="333"/>
      <c r="V125" s="23">
        <f t="shared" si="11"/>
        <v>0</v>
      </c>
      <c r="W125" s="123"/>
      <c r="X125" s="23">
        <f>SUM(V125)/($B$111-B124)</f>
        <v>0</v>
      </c>
      <c r="Y125" s="97">
        <f>SUM(D115:D125)+$C$114</f>
        <v>0</v>
      </c>
      <c r="Z125" s="345">
        <f t="shared" si="21"/>
        <v>54.5017821</v>
      </c>
      <c r="AA125" s="346">
        <f t="shared" si="35"/>
        <v>0.81413357986421619</v>
      </c>
      <c r="AB125" s="312">
        <f t="shared" si="22"/>
        <v>343.49924001631013</v>
      </c>
      <c r="AC125" s="345">
        <f t="shared" si="23"/>
        <v>58.734415599999998</v>
      </c>
      <c r="AD125" s="121">
        <f t="shared" si="24"/>
        <v>0.85477073319485097</v>
      </c>
      <c r="AE125" s="312">
        <f t="shared" si="25"/>
        <v>403.50307231196138</v>
      </c>
      <c r="AF125" s="122">
        <f t="shared" si="26"/>
        <v>-570</v>
      </c>
      <c r="AG125" s="122">
        <f t="shared" si="27"/>
        <v>747.0023123282715</v>
      </c>
      <c r="AH125" s="92">
        <f t="shared" si="28"/>
        <v>-343.49924001631013</v>
      </c>
      <c r="AI125" s="92">
        <f t="shared" si="12"/>
        <v>343.49924001631013</v>
      </c>
      <c r="AJ125" s="100">
        <f t="shared" si="29"/>
        <v>-307.89295752105454</v>
      </c>
      <c r="AK125" s="100">
        <f t="shared" si="30"/>
        <v>-262.10704247894546</v>
      </c>
      <c r="AL125" s="81">
        <f t="shared" si="13"/>
        <v>-37.675431401209494</v>
      </c>
      <c r="AM125" s="81">
        <f t="shared" si="31"/>
        <v>-44.256727672366168</v>
      </c>
      <c r="AN125" s="135">
        <f t="shared" si="32"/>
        <v>37.675431401209494</v>
      </c>
      <c r="AO125" s="135">
        <f t="shared" si="32"/>
        <v>44.256727672366168</v>
      </c>
      <c r="AQ125" s="4"/>
      <c r="AR125" s="219">
        <v>16</v>
      </c>
      <c r="AS125" s="748">
        <f t="shared" si="7"/>
        <v>350</v>
      </c>
      <c r="AT125" s="746">
        <f t="shared" si="8"/>
        <v>350</v>
      </c>
      <c r="AU125" s="752">
        <f t="shared" si="5"/>
        <v>54.999967237646047</v>
      </c>
      <c r="AV125" s="180">
        <f t="shared" si="4"/>
        <v>54.999967237646047</v>
      </c>
      <c r="AW125" s="180">
        <f t="shared" si="9"/>
        <v>4.9999672376460467</v>
      </c>
      <c r="AX125" s="180" t="b">
        <f t="shared" si="6"/>
        <v>0</v>
      </c>
      <c r="AY125" s="4"/>
      <c r="CV125" s="12"/>
      <c r="CZ125" s="27"/>
      <c r="DA125" s="27"/>
      <c r="DB125" s="27"/>
      <c r="DC125" s="27"/>
      <c r="DD125" s="27"/>
      <c r="DE125" s="27"/>
      <c r="DF125" s="27"/>
    </row>
    <row r="126" spans="2:110" ht="19.2" x14ac:dyDescent="0.45">
      <c r="G126" s="7"/>
      <c r="H126" s="7"/>
      <c r="I126" s="7"/>
      <c r="AQ126" s="4"/>
      <c r="AR126" s="219">
        <v>17</v>
      </c>
      <c r="AS126" s="748">
        <f t="shared" si="7"/>
        <v>400</v>
      </c>
      <c r="AT126" s="746">
        <f t="shared" si="8"/>
        <v>400</v>
      </c>
      <c r="AU126" s="752">
        <f t="shared" si="5"/>
        <v>104.99996723764605</v>
      </c>
      <c r="AV126" s="180">
        <f t="shared" si="4"/>
        <v>104.99996723764605</v>
      </c>
      <c r="AW126" s="180">
        <f t="shared" si="9"/>
        <v>4.9999672376460467</v>
      </c>
      <c r="AX126" s="180" t="b">
        <f t="shared" si="6"/>
        <v>0</v>
      </c>
      <c r="AY126" s="4"/>
    </row>
    <row r="127" spans="2:110" ht="19.2" x14ac:dyDescent="0.45">
      <c r="G127" s="7"/>
      <c r="H127" s="7"/>
      <c r="I127" s="7"/>
      <c r="AQ127" s="4"/>
      <c r="AR127" s="219">
        <v>18</v>
      </c>
      <c r="AS127" s="748">
        <f t="shared" si="7"/>
        <v>450</v>
      </c>
      <c r="AT127" s="746">
        <f t="shared" si="8"/>
        <v>450</v>
      </c>
      <c r="AU127" s="752">
        <f t="shared" si="5"/>
        <v>154.99996723764605</v>
      </c>
      <c r="AV127" s="180">
        <f t="shared" si="4"/>
        <v>154.99996723764605</v>
      </c>
      <c r="AW127" s="180">
        <f t="shared" si="9"/>
        <v>4.9999672376460467</v>
      </c>
      <c r="AX127" s="180" t="b">
        <f t="shared" si="6"/>
        <v>0</v>
      </c>
      <c r="AY127" s="4"/>
    </row>
    <row r="128" spans="2:110" ht="19.2" x14ac:dyDescent="0.45">
      <c r="G128" s="7"/>
      <c r="H128" s="7"/>
      <c r="I128" s="7"/>
      <c r="AQ128" s="4"/>
      <c r="AR128" s="219">
        <v>19</v>
      </c>
      <c r="AS128" s="748">
        <f t="shared" si="7"/>
        <v>500</v>
      </c>
      <c r="AT128" s="746">
        <f t="shared" si="8"/>
        <v>500</v>
      </c>
      <c r="AU128" s="752">
        <f t="shared" si="5"/>
        <v>204.99996723764605</v>
      </c>
      <c r="AV128" s="180">
        <f t="shared" si="4"/>
        <v>204.99996723764605</v>
      </c>
      <c r="AW128" s="180">
        <f t="shared" si="9"/>
        <v>4.9999672376460467</v>
      </c>
      <c r="AX128" s="180" t="b">
        <f t="shared" si="6"/>
        <v>0</v>
      </c>
      <c r="AY128" s="4"/>
    </row>
    <row r="129" spans="2:51" ht="19.2" x14ac:dyDescent="0.45">
      <c r="B129" s="125"/>
      <c r="AQ129" s="4"/>
      <c r="AR129" s="219">
        <v>20</v>
      </c>
      <c r="AS129" s="748">
        <f t="shared" si="7"/>
        <v>550</v>
      </c>
      <c r="AT129" s="746">
        <f t="shared" si="8"/>
        <v>550</v>
      </c>
      <c r="AU129" s="752">
        <f t="shared" si="5"/>
        <v>254.99996723764605</v>
      </c>
      <c r="AV129" s="180">
        <f t="shared" si="4"/>
        <v>254.99996723764605</v>
      </c>
      <c r="AW129" s="180">
        <f t="shared" si="9"/>
        <v>4.9999672376460467</v>
      </c>
      <c r="AX129" s="180" t="b">
        <f t="shared" si="6"/>
        <v>0</v>
      </c>
      <c r="AY129" s="4"/>
    </row>
    <row r="130" spans="2:51" ht="19.2" x14ac:dyDescent="0.45">
      <c r="AQ130" s="4"/>
      <c r="AR130" s="219">
        <v>21</v>
      </c>
      <c r="AS130" s="748">
        <f t="shared" si="7"/>
        <v>600</v>
      </c>
      <c r="AT130" s="746">
        <f t="shared" si="8"/>
        <v>600</v>
      </c>
      <c r="AU130" s="752">
        <f t="shared" si="5"/>
        <v>304.99996723764605</v>
      </c>
      <c r="AV130" s="180">
        <f t="shared" si="4"/>
        <v>304.99996723764605</v>
      </c>
      <c r="AW130" s="180">
        <f t="shared" si="9"/>
        <v>4.9999672376460467</v>
      </c>
      <c r="AX130" s="180" t="b">
        <f t="shared" si="6"/>
        <v>0</v>
      </c>
      <c r="AY130" s="4"/>
    </row>
    <row r="131" spans="2:51" ht="19.2" x14ac:dyDescent="0.45">
      <c r="AQ131" s="4"/>
      <c r="AR131" s="219">
        <v>22</v>
      </c>
      <c r="AS131" s="748">
        <f t="shared" si="7"/>
        <v>650</v>
      </c>
      <c r="AT131" s="746">
        <f t="shared" si="8"/>
        <v>650</v>
      </c>
      <c r="AU131" s="752">
        <f t="shared" si="5"/>
        <v>354.99996723764605</v>
      </c>
      <c r="AV131" s="180">
        <f t="shared" si="4"/>
        <v>354.99996723764605</v>
      </c>
      <c r="AW131" s="180">
        <f t="shared" si="9"/>
        <v>4.9999672376460467</v>
      </c>
      <c r="AX131" s="180" t="b">
        <f t="shared" si="6"/>
        <v>0</v>
      </c>
      <c r="AY131" s="4"/>
    </row>
    <row r="132" spans="2:51" ht="19.2" x14ac:dyDescent="0.45">
      <c r="AQ132" s="4"/>
      <c r="AR132" s="219">
        <v>23</v>
      </c>
      <c r="AS132" s="748">
        <f t="shared" si="7"/>
        <v>700</v>
      </c>
      <c r="AT132" s="746">
        <f t="shared" si="8"/>
        <v>700</v>
      </c>
      <c r="AU132" s="752">
        <f t="shared" si="5"/>
        <v>404.99996723764605</v>
      </c>
      <c r="AV132" s="180">
        <f t="shared" si="4"/>
        <v>404.99996723764605</v>
      </c>
      <c r="AW132" s="180">
        <f t="shared" si="9"/>
        <v>4.9999672376460467</v>
      </c>
      <c r="AX132" s="180" t="b">
        <f t="shared" si="6"/>
        <v>0</v>
      </c>
      <c r="AY132" s="4"/>
    </row>
    <row r="133" spans="2:51" ht="19.2" x14ac:dyDescent="0.45">
      <c r="AQ133" s="4"/>
      <c r="AR133" s="219">
        <v>24</v>
      </c>
      <c r="AS133" s="748">
        <f t="shared" si="7"/>
        <v>750</v>
      </c>
      <c r="AT133" s="746">
        <f t="shared" si="8"/>
        <v>750</v>
      </c>
      <c r="AU133" s="752">
        <f t="shared" si="5"/>
        <v>454.99996723764605</v>
      </c>
      <c r="AV133" s="180">
        <f t="shared" si="4"/>
        <v>454.99996723764605</v>
      </c>
      <c r="AW133" s="180">
        <f t="shared" si="9"/>
        <v>4.9999672376460467</v>
      </c>
      <c r="AX133" s="180" t="b">
        <f t="shared" si="6"/>
        <v>0</v>
      </c>
      <c r="AY133" s="4"/>
    </row>
    <row r="134" spans="2:51" ht="19.2" x14ac:dyDescent="0.45">
      <c r="AQ134" s="4"/>
      <c r="AR134" s="219">
        <v>25</v>
      </c>
      <c r="AS134" s="748">
        <f t="shared" si="7"/>
        <v>800</v>
      </c>
      <c r="AT134" s="746">
        <f t="shared" si="8"/>
        <v>800</v>
      </c>
      <c r="AU134" s="752">
        <f t="shared" si="5"/>
        <v>504.99996723764605</v>
      </c>
      <c r="AV134" s="180">
        <f t="shared" si="4"/>
        <v>504.99996723764605</v>
      </c>
      <c r="AW134" s="180">
        <f t="shared" si="9"/>
        <v>4.9999672376460467</v>
      </c>
      <c r="AX134" s="180" t="b">
        <f t="shared" si="6"/>
        <v>0</v>
      </c>
      <c r="AY134" s="4"/>
    </row>
    <row r="135" spans="2:51" ht="19.2" x14ac:dyDescent="0.45">
      <c r="AQ135" s="4"/>
      <c r="AR135" s="219">
        <v>26</v>
      </c>
      <c r="AS135" s="748">
        <f t="shared" si="7"/>
        <v>850</v>
      </c>
      <c r="AT135" s="746">
        <f t="shared" si="8"/>
        <v>850</v>
      </c>
      <c r="AU135" s="752">
        <f t="shared" si="5"/>
        <v>554.99996723764605</v>
      </c>
      <c r="AV135" s="180">
        <f t="shared" si="4"/>
        <v>554.99996723764605</v>
      </c>
      <c r="AW135" s="180">
        <f t="shared" si="9"/>
        <v>4.9999672376460467</v>
      </c>
      <c r="AX135" s="180" t="b">
        <f t="shared" si="6"/>
        <v>0</v>
      </c>
      <c r="AY135" s="4"/>
    </row>
    <row r="136" spans="2:51" ht="19.2" x14ac:dyDescent="0.45">
      <c r="AQ136" s="4"/>
      <c r="AR136" s="219">
        <v>27</v>
      </c>
      <c r="AS136" s="748">
        <f t="shared" si="7"/>
        <v>900</v>
      </c>
      <c r="AT136" s="746">
        <f t="shared" si="8"/>
        <v>900</v>
      </c>
      <c r="AU136" s="752">
        <f t="shared" si="5"/>
        <v>604.99996723764605</v>
      </c>
      <c r="AV136" s="180">
        <f t="shared" si="4"/>
        <v>604.99996723764605</v>
      </c>
      <c r="AW136" s="180">
        <f t="shared" si="9"/>
        <v>4.9999672376460467</v>
      </c>
      <c r="AX136" s="180" t="b">
        <f t="shared" si="6"/>
        <v>0</v>
      </c>
      <c r="AY136" s="4"/>
    </row>
    <row r="137" spans="2:51" ht="19.2" x14ac:dyDescent="0.45">
      <c r="AQ137" s="4"/>
      <c r="AR137" s="219">
        <v>28</v>
      </c>
      <c r="AS137" s="748">
        <f t="shared" si="7"/>
        <v>950</v>
      </c>
      <c r="AT137" s="746">
        <f t="shared" si="8"/>
        <v>950</v>
      </c>
      <c r="AU137" s="752">
        <f t="shared" si="5"/>
        <v>654.99996723764605</v>
      </c>
      <c r="AV137" s="180">
        <f t="shared" si="4"/>
        <v>654.99996723764605</v>
      </c>
      <c r="AW137" s="180">
        <f t="shared" si="9"/>
        <v>4.9999672376460467</v>
      </c>
      <c r="AX137" s="180" t="b">
        <f t="shared" si="6"/>
        <v>0</v>
      </c>
      <c r="AY137" s="4"/>
    </row>
    <row r="138" spans="2:51" ht="19.2" x14ac:dyDescent="0.45">
      <c r="AQ138" s="4"/>
      <c r="AR138" s="219">
        <v>29</v>
      </c>
      <c r="AS138" s="748">
        <f t="shared" si="7"/>
        <v>1000</v>
      </c>
      <c r="AT138" s="746">
        <f t="shared" si="8"/>
        <v>1000</v>
      </c>
      <c r="AU138" s="752">
        <f t="shared" si="5"/>
        <v>704.99996723764605</v>
      </c>
      <c r="AV138" s="180">
        <f t="shared" si="4"/>
        <v>704.99996723764605</v>
      </c>
      <c r="AW138" s="180">
        <f t="shared" si="9"/>
        <v>4.9999672376460467</v>
      </c>
      <c r="AX138" s="180" t="b">
        <f t="shared" si="6"/>
        <v>0</v>
      </c>
      <c r="AY138" s="4"/>
    </row>
    <row r="139" spans="2:51" ht="19.2" x14ac:dyDescent="0.45">
      <c r="AQ139" s="4"/>
      <c r="AR139" s="219">
        <v>30</v>
      </c>
      <c r="AS139" s="748">
        <f t="shared" si="7"/>
        <v>1050</v>
      </c>
      <c r="AT139" s="746">
        <f t="shared" si="8"/>
        <v>1050</v>
      </c>
      <c r="AU139" s="752">
        <f t="shared" si="5"/>
        <v>754.99996723764605</v>
      </c>
      <c r="AV139" s="180">
        <f t="shared" si="4"/>
        <v>754.99996723764605</v>
      </c>
      <c r="AW139" s="180">
        <f t="shared" si="9"/>
        <v>4.9999672376460467</v>
      </c>
      <c r="AX139" s="180" t="b">
        <f t="shared" si="6"/>
        <v>0</v>
      </c>
      <c r="AY139" s="4"/>
    </row>
    <row r="140" spans="2:51" x14ac:dyDescent="0.3">
      <c r="AQ140" s="4"/>
      <c r="AR140" s="4"/>
      <c r="AS140" s="4"/>
      <c r="AT140" s="4"/>
      <c r="AU140" s="4"/>
      <c r="AV140" s="4"/>
      <c r="AW140" s="4"/>
      <c r="AX140" s="4"/>
      <c r="AY140" s="4"/>
    </row>
    <row r="141" spans="2:51" x14ac:dyDescent="0.3">
      <c r="AQ141" s="4"/>
      <c r="AR141" s="4"/>
      <c r="AS141" s="4"/>
      <c r="AT141" s="4"/>
      <c r="AU141" s="4"/>
      <c r="AV141" s="4"/>
      <c r="AW141" s="4"/>
      <c r="AX141" s="4"/>
      <c r="AY141" s="4"/>
    </row>
    <row r="142" spans="2:51" x14ac:dyDescent="0.3">
      <c r="AQ142" s="4"/>
      <c r="AR142" s="4"/>
      <c r="AS142" s="4"/>
      <c r="AT142" s="4"/>
      <c r="AU142" s="4"/>
      <c r="AV142" s="4"/>
      <c r="AW142" s="4"/>
      <c r="AX142" s="4"/>
      <c r="AY142" s="4"/>
    </row>
    <row r="143" spans="2:51" x14ac:dyDescent="0.3">
      <c r="AQ143" s="4"/>
      <c r="AR143" s="4"/>
      <c r="AS143" s="4"/>
      <c r="AT143" s="4"/>
      <c r="AU143" s="4"/>
      <c r="AV143" s="4"/>
      <c r="AW143" s="4"/>
      <c r="AX143" s="4"/>
      <c r="AY143" s="4"/>
    </row>
    <row r="144" spans="2:51" x14ac:dyDescent="0.3">
      <c r="AQ144" s="4"/>
      <c r="AR144" s="4"/>
      <c r="AS144" s="4"/>
      <c r="AT144" s="4"/>
      <c r="AU144" s="4"/>
      <c r="AV144" s="4"/>
      <c r="AW144" s="4"/>
      <c r="AX144" s="4"/>
      <c r="AY144" s="4"/>
    </row>
    <row r="145" spans="42:76" ht="17.399999999999999" x14ac:dyDescent="0.3">
      <c r="AQ145" s="27"/>
      <c r="AR145" s="27"/>
      <c r="AS145" s="27"/>
      <c r="AT145" s="27"/>
      <c r="AU145" s="27"/>
      <c r="AV145" s="27"/>
      <c r="AW145" s="27"/>
      <c r="AY145" s="62"/>
    </row>
    <row r="146" spans="42:76" ht="17.399999999999999" x14ac:dyDescent="0.3">
      <c r="AQ146" s="27"/>
      <c r="AR146" s="27"/>
      <c r="AS146" s="27"/>
      <c r="AT146" s="27"/>
      <c r="AU146" s="27"/>
      <c r="AV146" s="27"/>
      <c r="AW146" s="27"/>
      <c r="AX146" s="63"/>
      <c r="AY146" s="62"/>
    </row>
    <row r="147" spans="42:76" x14ac:dyDescent="0.3">
      <c r="AQ147" s="27"/>
      <c r="AR147" s="27"/>
      <c r="AS147" s="27"/>
      <c r="AT147" s="27"/>
      <c r="AU147" s="27"/>
      <c r="AV147" s="27"/>
      <c r="AW147" s="27"/>
      <c r="AX147" s="27"/>
      <c r="AY147" s="27"/>
    </row>
    <row r="148" spans="42:76" x14ac:dyDescent="0.3">
      <c r="AQ148" s="35"/>
      <c r="AR148" s="35"/>
      <c r="AS148" s="35"/>
      <c r="AT148" s="35"/>
      <c r="AU148" s="35"/>
      <c r="AV148" s="35"/>
      <c r="AW148" s="35"/>
      <c r="AX148" s="35"/>
      <c r="AY148" s="35"/>
    </row>
    <row r="149" spans="42:76" x14ac:dyDescent="0.3">
      <c r="AQ149" s="33"/>
      <c r="AR149" s="33"/>
      <c r="AS149" s="33"/>
      <c r="AT149" s="33"/>
      <c r="AU149" s="33"/>
      <c r="AV149" s="33"/>
      <c r="AW149" s="33"/>
      <c r="AX149" s="33"/>
      <c r="AY149" s="33"/>
      <c r="AZ149" s="10"/>
      <c r="BA149" s="10"/>
      <c r="BB149" s="10"/>
      <c r="BC149" s="10"/>
      <c r="BD149" s="10"/>
      <c r="BE149" s="10"/>
      <c r="BF149" s="49"/>
      <c r="BG149" s="49"/>
      <c r="BH149" s="49"/>
      <c r="BI149" s="49"/>
      <c r="BJ149" s="49"/>
      <c r="BK149" s="49"/>
      <c r="BL149" s="49"/>
      <c r="BM149" s="49"/>
      <c r="BN149" s="49"/>
      <c r="BO149" s="49"/>
      <c r="BP149" s="49"/>
      <c r="BQ149" s="49"/>
      <c r="BR149" s="49"/>
      <c r="BS149" s="49"/>
      <c r="BT149" s="7"/>
    </row>
    <row r="150" spans="42:76" x14ac:dyDescent="0.3">
      <c r="AQ150" s="33"/>
      <c r="AR150" s="33"/>
      <c r="AS150" s="33"/>
      <c r="AT150" s="33"/>
      <c r="AU150" s="33"/>
      <c r="AV150" s="33"/>
      <c r="AW150" s="33"/>
      <c r="AX150" s="33"/>
      <c r="AY150" s="33"/>
      <c r="AZ150" s="10"/>
      <c r="BA150" s="10"/>
      <c r="BB150" s="10"/>
      <c r="BC150" s="10"/>
      <c r="BD150" s="10"/>
      <c r="BE150" s="10"/>
      <c r="BF150" s="49"/>
      <c r="BG150" s="49"/>
      <c r="BH150" s="49"/>
      <c r="BI150" s="49"/>
      <c r="BJ150" s="49"/>
      <c r="BK150" s="49"/>
      <c r="BL150" s="49"/>
      <c r="BM150" s="49"/>
      <c r="BN150" s="49"/>
      <c r="BO150" s="49"/>
      <c r="BP150" s="49"/>
      <c r="BQ150" s="49"/>
      <c r="BR150" s="49"/>
      <c r="BS150" s="49"/>
      <c r="BT150" s="7"/>
    </row>
    <row r="151" spans="42:76" x14ac:dyDescent="0.3">
      <c r="AP151" s="15"/>
      <c r="AQ151" s="15"/>
      <c r="AR151" s="15"/>
      <c r="AS151" s="15"/>
      <c r="AT151" s="15"/>
      <c r="AU151" s="15"/>
      <c r="AV151" s="15"/>
      <c r="AW151" s="15"/>
      <c r="AX151" s="15"/>
      <c r="AY151" s="15"/>
      <c r="AZ151" s="10"/>
      <c r="BA151" s="10"/>
      <c r="BB151" s="10"/>
      <c r="BC151" s="10"/>
      <c r="BD151" s="10"/>
      <c r="BE151" s="10"/>
      <c r="BF151" s="49"/>
      <c r="BG151" s="49"/>
      <c r="BH151" s="49"/>
      <c r="BI151" s="49"/>
      <c r="BJ151" s="49"/>
      <c r="BK151" s="49"/>
      <c r="BL151" s="49"/>
      <c r="BM151" s="49"/>
      <c r="BN151" s="49"/>
      <c r="BO151" s="49"/>
      <c r="BP151" s="49"/>
      <c r="BQ151" s="49"/>
      <c r="BR151" s="49"/>
      <c r="BS151" s="49"/>
      <c r="BT151" s="7"/>
    </row>
    <row r="152" spans="42:76" x14ac:dyDescent="0.3">
      <c r="AP152" s="15"/>
      <c r="AQ152" s="39"/>
      <c r="AR152" s="15"/>
      <c r="AS152" s="15"/>
      <c r="AT152" s="15"/>
      <c r="AU152" s="15"/>
      <c r="AV152" s="15"/>
      <c r="AW152" s="15"/>
      <c r="AX152" s="15"/>
      <c r="AY152" s="15"/>
      <c r="BS152" s="60"/>
      <c r="BT152" s="60"/>
      <c r="BU152" s="60"/>
      <c r="BV152" s="60"/>
      <c r="BW152" s="60"/>
      <c r="BX152" s="60"/>
    </row>
    <row r="153" spans="42:76" ht="18.600000000000001" x14ac:dyDescent="0.45">
      <c r="AP153" s="15"/>
      <c r="AQ153" s="354"/>
      <c r="AR153" s="355"/>
      <c r="AS153" s="16"/>
      <c r="AT153" s="16"/>
      <c r="AU153" s="16"/>
      <c r="AV153" s="16"/>
      <c r="AW153" s="16"/>
      <c r="AX153" s="16"/>
      <c r="AY153" s="356"/>
    </row>
    <row r="154" spans="42:76" ht="18.600000000000001" x14ac:dyDescent="0.45">
      <c r="AP154" s="15"/>
      <c r="AQ154" s="354"/>
      <c r="AR154" s="355"/>
      <c r="AS154" s="16"/>
      <c r="AT154" s="16"/>
      <c r="AU154" s="16"/>
      <c r="AV154" s="16"/>
      <c r="AW154" s="16"/>
      <c r="AX154" s="16"/>
      <c r="AY154" s="356"/>
    </row>
    <row r="155" spans="42:76" ht="18.600000000000001" x14ac:dyDescent="0.45">
      <c r="AP155" s="15"/>
      <c r="AQ155" s="354"/>
      <c r="AR155" s="355"/>
      <c r="AS155" s="16"/>
      <c r="AT155" s="16"/>
      <c r="AU155" s="16"/>
      <c r="AV155" s="16"/>
      <c r="AW155" s="16"/>
      <c r="AX155" s="16"/>
      <c r="AY155" s="356"/>
    </row>
    <row r="156" spans="42:76" ht="18.600000000000001" x14ac:dyDescent="0.45">
      <c r="AP156" s="15"/>
      <c r="AQ156" s="354"/>
      <c r="AR156" s="355"/>
      <c r="AS156" s="16"/>
      <c r="AT156" s="16"/>
      <c r="AU156" s="16"/>
      <c r="AV156" s="16"/>
      <c r="AW156" s="16"/>
      <c r="AX156" s="16"/>
      <c r="AY156" s="356"/>
    </row>
    <row r="157" spans="42:76" ht="18.600000000000001" x14ac:dyDescent="0.45">
      <c r="AP157" s="15"/>
      <c r="AQ157" s="354"/>
      <c r="AR157" s="355"/>
      <c r="AS157" s="16"/>
      <c r="AT157" s="16"/>
      <c r="AU157" s="16"/>
      <c r="AV157" s="16"/>
      <c r="AW157" s="16"/>
      <c r="AX157" s="16"/>
      <c r="AY157" s="356"/>
    </row>
    <row r="158" spans="42:76" ht="18.600000000000001" x14ac:dyDescent="0.45">
      <c r="AP158" s="15"/>
      <c r="AQ158" s="354"/>
      <c r="AR158" s="355"/>
      <c r="AS158" s="16"/>
      <c r="AT158" s="16"/>
      <c r="AU158" s="16"/>
      <c r="AV158" s="16"/>
      <c r="AW158" s="16"/>
      <c r="AX158" s="16"/>
      <c r="AY158" s="356"/>
    </row>
    <row r="159" spans="42:76" ht="18.600000000000001" x14ac:dyDescent="0.45">
      <c r="AP159" s="15"/>
      <c r="AQ159" s="354"/>
      <c r="AR159" s="355"/>
      <c r="AS159" s="16"/>
      <c r="AT159" s="16"/>
      <c r="AU159" s="16"/>
      <c r="AV159" s="16"/>
      <c r="AW159" s="16"/>
      <c r="AX159" s="16"/>
      <c r="AY159" s="356"/>
    </row>
    <row r="160" spans="42:76" ht="18.600000000000001" x14ac:dyDescent="0.45">
      <c r="AP160" s="15"/>
      <c r="AQ160" s="354"/>
      <c r="AR160" s="355"/>
      <c r="AS160" s="16"/>
      <c r="AT160" s="16"/>
      <c r="AU160" s="16"/>
      <c r="AV160" s="16"/>
      <c r="AW160" s="16"/>
      <c r="AX160" s="16"/>
      <c r="AY160" s="356"/>
    </row>
    <row r="161" spans="42:51" ht="18.600000000000001" x14ac:dyDescent="0.45">
      <c r="AP161" s="15"/>
      <c r="AQ161" s="354"/>
      <c r="AR161" s="355"/>
      <c r="AS161" s="16"/>
      <c r="AT161" s="16"/>
      <c r="AU161" s="16"/>
      <c r="AV161" s="16"/>
      <c r="AW161" s="16"/>
      <c r="AX161" s="16"/>
      <c r="AY161" s="356"/>
    </row>
    <row r="162" spans="42:51" ht="18.600000000000001" x14ac:dyDescent="0.45">
      <c r="AP162" s="15"/>
      <c r="AQ162" s="354"/>
      <c r="AR162" s="355"/>
      <c r="AS162" s="16"/>
      <c r="AT162" s="16"/>
      <c r="AU162" s="16"/>
      <c r="AV162" s="16"/>
      <c r="AW162" s="16"/>
      <c r="AX162" s="16"/>
      <c r="AY162" s="356"/>
    </row>
    <row r="163" spans="42:51" ht="18.600000000000001" x14ac:dyDescent="0.45">
      <c r="AP163" s="15"/>
      <c r="AQ163" s="354"/>
      <c r="AR163" s="355"/>
      <c r="AS163" s="16"/>
      <c r="AT163" s="16"/>
      <c r="AU163" s="16"/>
      <c r="AV163" s="16"/>
      <c r="AW163" s="16"/>
      <c r="AX163" s="16"/>
      <c r="AY163" s="356"/>
    </row>
    <row r="164" spans="42:51" ht="18.600000000000001" x14ac:dyDescent="0.45">
      <c r="AP164" s="15"/>
      <c r="AQ164" s="354"/>
      <c r="AR164" s="355"/>
      <c r="AS164" s="16"/>
      <c r="AT164" s="16"/>
      <c r="AU164" s="16"/>
      <c r="AV164" s="16"/>
      <c r="AW164" s="16"/>
      <c r="AX164" s="16"/>
      <c r="AY164" s="15"/>
    </row>
    <row r="165" spans="42:51" ht="18.600000000000001" x14ac:dyDescent="0.45">
      <c r="AP165" s="15"/>
      <c r="AQ165" s="354"/>
      <c r="AR165" s="355"/>
      <c r="AS165" s="16"/>
      <c r="AT165" s="16"/>
      <c r="AU165" s="16"/>
      <c r="AV165" s="16"/>
      <c r="AW165" s="16"/>
      <c r="AX165" s="16"/>
      <c r="AY165" s="15"/>
    </row>
    <row r="166" spans="42:51" ht="18.600000000000001" x14ac:dyDescent="0.45">
      <c r="AP166" s="15"/>
      <c r="AQ166" s="354"/>
      <c r="AR166" s="355"/>
      <c r="AS166" s="16"/>
      <c r="AT166" s="16"/>
      <c r="AU166" s="16"/>
      <c r="AV166" s="16"/>
      <c r="AW166" s="16"/>
      <c r="AX166" s="16"/>
      <c r="AY166" s="15"/>
    </row>
    <row r="167" spans="42:51" ht="18.600000000000001" x14ac:dyDescent="0.45">
      <c r="AP167" s="15"/>
      <c r="AQ167" s="354"/>
      <c r="AR167" s="355"/>
      <c r="AS167" s="16"/>
      <c r="AT167" s="16"/>
      <c r="AU167" s="16"/>
      <c r="AV167" s="16"/>
      <c r="AW167" s="16"/>
      <c r="AX167" s="16"/>
      <c r="AY167" s="15"/>
    </row>
    <row r="168" spans="42:51" ht="18.600000000000001" x14ac:dyDescent="0.45">
      <c r="AP168" s="15"/>
      <c r="AQ168" s="354"/>
      <c r="AR168" s="355"/>
      <c r="AS168" s="16"/>
      <c r="AT168" s="16"/>
      <c r="AU168" s="16"/>
      <c r="AV168" s="16"/>
      <c r="AW168" s="16"/>
      <c r="AX168" s="16"/>
      <c r="AY168" s="15"/>
    </row>
    <row r="169" spans="42:51" ht="18.600000000000001" x14ac:dyDescent="0.45">
      <c r="AP169" s="15"/>
      <c r="AQ169" s="354"/>
      <c r="AR169" s="355"/>
      <c r="AS169" s="16"/>
      <c r="AT169" s="16"/>
      <c r="AU169" s="16"/>
      <c r="AV169" s="16"/>
      <c r="AW169" s="16"/>
      <c r="AX169" s="16"/>
      <c r="AY169" s="15"/>
    </row>
    <row r="170" spans="42:51" ht="18.600000000000001" x14ac:dyDescent="0.45">
      <c r="AP170" s="15"/>
      <c r="AQ170" s="354"/>
      <c r="AR170" s="355"/>
      <c r="AS170" s="16"/>
      <c r="AT170" s="16"/>
      <c r="AU170" s="16"/>
      <c r="AV170" s="16"/>
      <c r="AW170" s="16"/>
      <c r="AX170" s="16"/>
      <c r="AY170" s="15"/>
    </row>
    <row r="171" spans="42:51" ht="18.600000000000001" x14ac:dyDescent="0.45">
      <c r="AP171" s="15"/>
      <c r="AQ171" s="354"/>
      <c r="AR171" s="355"/>
      <c r="AS171" s="16"/>
      <c r="AT171" s="16"/>
      <c r="AU171" s="16"/>
      <c r="AV171" s="16"/>
      <c r="AW171" s="16"/>
      <c r="AX171" s="16"/>
      <c r="AY171" s="15"/>
    </row>
    <row r="172" spans="42:51" ht="18.600000000000001" x14ac:dyDescent="0.45">
      <c r="AP172" s="15"/>
      <c r="AQ172" s="354"/>
      <c r="AR172" s="355"/>
      <c r="AS172" s="16"/>
      <c r="AT172" s="16"/>
      <c r="AU172" s="16"/>
      <c r="AV172" s="16"/>
      <c r="AW172" s="16"/>
      <c r="AX172" s="16"/>
      <c r="AY172" s="15"/>
    </row>
    <row r="173" spans="42:51" ht="18.600000000000001" x14ac:dyDescent="0.45">
      <c r="AP173" s="15"/>
      <c r="AQ173" s="354"/>
      <c r="AR173" s="355"/>
      <c r="AS173" s="16"/>
      <c r="AT173" s="16"/>
      <c r="AU173" s="16"/>
      <c r="AV173" s="16"/>
      <c r="AW173" s="16"/>
      <c r="AX173" s="16"/>
      <c r="AY173" s="15"/>
    </row>
    <row r="174" spans="42:51" ht="18.600000000000001" x14ac:dyDescent="0.45">
      <c r="AP174" s="15"/>
      <c r="AQ174" s="354"/>
      <c r="AR174" s="355"/>
      <c r="AS174" s="16"/>
      <c r="AT174" s="16"/>
      <c r="AU174" s="16"/>
      <c r="AV174" s="16"/>
      <c r="AW174" s="16"/>
      <c r="AX174" s="16"/>
      <c r="AY174" s="15"/>
    </row>
    <row r="175" spans="42:51" ht="18.600000000000001" x14ac:dyDescent="0.45">
      <c r="AP175" s="15"/>
      <c r="AQ175" s="354"/>
      <c r="AR175" s="355"/>
      <c r="AS175" s="16"/>
      <c r="AT175" s="16"/>
      <c r="AU175" s="16"/>
      <c r="AV175" s="16"/>
      <c r="AW175" s="16"/>
      <c r="AX175" s="16"/>
      <c r="AY175" s="15"/>
    </row>
    <row r="176" spans="42:51" ht="18.600000000000001" x14ac:dyDescent="0.45">
      <c r="AP176" s="15"/>
      <c r="AQ176" s="354"/>
      <c r="AR176" s="355"/>
      <c r="AS176" s="16"/>
      <c r="AT176" s="16"/>
      <c r="AU176" s="16"/>
      <c r="AV176" s="16"/>
      <c r="AW176" s="16"/>
      <c r="AX176" s="16"/>
      <c r="AY176" s="15"/>
    </row>
    <row r="177" spans="42:51" ht="18.600000000000001" x14ac:dyDescent="0.45">
      <c r="AP177" s="15"/>
      <c r="AQ177" s="354"/>
      <c r="AR177" s="355"/>
      <c r="AS177" s="16"/>
      <c r="AT177" s="16"/>
      <c r="AU177" s="16"/>
      <c r="AV177" s="16"/>
      <c r="AW177" s="16"/>
      <c r="AX177" s="357"/>
      <c r="AY177" s="357"/>
    </row>
    <row r="178" spans="42:51" ht="18.600000000000001" x14ac:dyDescent="0.45">
      <c r="AP178" s="15"/>
      <c r="AQ178" s="354"/>
      <c r="AR178" s="355"/>
      <c r="AS178" s="16"/>
      <c r="AT178" s="16"/>
      <c r="AU178" s="16"/>
      <c r="AV178" s="16"/>
      <c r="AW178" s="16"/>
      <c r="AX178" s="357"/>
      <c r="AY178" s="357"/>
    </row>
    <row r="179" spans="42:51" ht="18.600000000000001" x14ac:dyDescent="0.45">
      <c r="AP179" s="15"/>
      <c r="AQ179" s="354"/>
      <c r="AR179" s="355"/>
      <c r="AS179" s="16"/>
      <c r="AT179" s="16"/>
      <c r="AU179" s="16"/>
      <c r="AV179" s="16"/>
      <c r="AW179" s="16"/>
      <c r="AX179" s="357"/>
      <c r="AY179" s="357"/>
    </row>
    <row r="180" spans="42:51" ht="18.600000000000001" x14ac:dyDescent="0.45">
      <c r="AP180" s="15"/>
      <c r="AQ180" s="354"/>
      <c r="AR180" s="355"/>
      <c r="AS180" s="16"/>
      <c r="AT180" s="16"/>
      <c r="AU180" s="16"/>
      <c r="AV180" s="16"/>
      <c r="AW180" s="16"/>
      <c r="AX180" s="357"/>
      <c r="AY180" s="357"/>
    </row>
    <row r="181" spans="42:51" ht="18.600000000000001" x14ac:dyDescent="0.45">
      <c r="AP181" s="15"/>
      <c r="AQ181" s="354"/>
      <c r="AR181" s="355"/>
      <c r="AS181" s="16"/>
      <c r="AT181" s="16"/>
      <c r="AU181" s="16"/>
      <c r="AV181" s="16"/>
      <c r="AW181" s="16"/>
      <c r="AX181" s="357"/>
      <c r="AY181" s="357"/>
    </row>
    <row r="182" spans="42:51" ht="18.600000000000001" x14ac:dyDescent="0.45">
      <c r="AP182" s="15"/>
      <c r="AQ182" s="354"/>
      <c r="AR182" s="355"/>
      <c r="AS182" s="16"/>
      <c r="AT182" s="16"/>
      <c r="AU182" s="16"/>
      <c r="AV182" s="16"/>
      <c r="AW182" s="16"/>
      <c r="AX182" s="357"/>
      <c r="AY182" s="357"/>
    </row>
    <row r="183" spans="42:51" x14ac:dyDescent="0.3">
      <c r="AP183" s="15"/>
      <c r="AQ183" s="357"/>
      <c r="AR183" s="357"/>
      <c r="AS183" s="357"/>
      <c r="AT183" s="357"/>
      <c r="AU183" s="357"/>
      <c r="AV183" s="357"/>
      <c r="AW183" s="357"/>
      <c r="AX183" s="357"/>
      <c r="AY183" s="357"/>
    </row>
    <row r="184" spans="42:51" x14ac:dyDescent="0.3">
      <c r="AP184" s="15"/>
      <c r="AQ184" s="357"/>
      <c r="AR184" s="357"/>
      <c r="AS184" s="357"/>
      <c r="AT184" s="357"/>
      <c r="AU184" s="357"/>
      <c r="AV184" s="357"/>
      <c r="AW184" s="357"/>
      <c r="AX184" s="357"/>
      <c r="AY184" s="357"/>
    </row>
    <row r="185" spans="42:51" x14ac:dyDescent="0.3">
      <c r="AQ185" s="27"/>
      <c r="AR185" s="27"/>
      <c r="AS185" s="27"/>
      <c r="AT185" s="27"/>
      <c r="AU185" s="27"/>
      <c r="AV185" s="27"/>
      <c r="AW185" s="27"/>
      <c r="AX185" s="27"/>
      <c r="AY185" s="27"/>
    </row>
    <row r="186" spans="42:51" x14ac:dyDescent="0.3">
      <c r="AQ186" s="27"/>
      <c r="AR186" s="27"/>
      <c r="AS186" s="27"/>
      <c r="AT186" s="27"/>
      <c r="AU186" s="27"/>
      <c r="AV186" s="27"/>
      <c r="AW186" s="27"/>
      <c r="AX186" s="27"/>
      <c r="AY186" s="27"/>
    </row>
    <row r="187" spans="42:51" x14ac:dyDescent="0.3">
      <c r="AQ187" s="27"/>
      <c r="AR187" s="27"/>
      <c r="AS187" s="27"/>
      <c r="AT187" s="27"/>
      <c r="AU187" s="27"/>
      <c r="AV187" s="27"/>
      <c r="AW187" s="27"/>
      <c r="AX187" s="27"/>
      <c r="AY187" s="27"/>
    </row>
    <row r="188" spans="42:51" x14ac:dyDescent="0.3">
      <c r="AQ188" s="27"/>
      <c r="AR188" s="27"/>
      <c r="AS188" s="27"/>
      <c r="AT188" s="27"/>
      <c r="AU188" s="27"/>
      <c r="AV188" s="27"/>
      <c r="AW188" s="27"/>
      <c r="AX188" s="27"/>
      <c r="AY188" s="27"/>
    </row>
    <row r="189" spans="42:51" x14ac:dyDescent="0.3">
      <c r="AQ189" s="27"/>
      <c r="AR189" s="27"/>
      <c r="AS189" s="27"/>
      <c r="AT189" s="27"/>
      <c r="AU189" s="27"/>
      <c r="AV189" s="27"/>
      <c r="AW189" s="27"/>
      <c r="AX189" s="27"/>
      <c r="AY189" s="27"/>
    </row>
    <row r="190" spans="42:51" x14ac:dyDescent="0.3">
      <c r="AQ190" s="27"/>
      <c r="AR190" s="27"/>
      <c r="AS190" s="27"/>
      <c r="AT190" s="27"/>
      <c r="AU190" s="27"/>
      <c r="AV190" s="27"/>
      <c r="AW190" s="27"/>
      <c r="AX190" s="27"/>
      <c r="AY190" s="27"/>
    </row>
    <row r="191" spans="42:51" x14ac:dyDescent="0.3">
      <c r="AQ191" s="27"/>
      <c r="AR191" s="27"/>
      <c r="AS191" s="27"/>
      <c r="AT191" s="27"/>
      <c r="AU191" s="27"/>
      <c r="AV191" s="27"/>
      <c r="AW191" s="27"/>
      <c r="AX191" s="27"/>
      <c r="AY191" s="27"/>
    </row>
    <row r="192" spans="42:51" x14ac:dyDescent="0.3">
      <c r="AQ192" s="27"/>
      <c r="AR192" s="27"/>
      <c r="AS192" s="27"/>
      <c r="AT192" s="27"/>
      <c r="AU192" s="27"/>
      <c r="AV192" s="27"/>
      <c r="AW192" s="27"/>
      <c r="AX192" s="27"/>
      <c r="AY192" s="27"/>
    </row>
    <row r="193" spans="43:79" x14ac:dyDescent="0.3">
      <c r="AQ193" s="27"/>
      <c r="AR193" s="27"/>
      <c r="AS193" s="27"/>
      <c r="AT193" s="27"/>
      <c r="AU193" s="27"/>
      <c r="AV193" s="27"/>
      <c r="AW193" s="27"/>
      <c r="AX193" s="27"/>
      <c r="AY193" s="27"/>
    </row>
    <row r="194" spans="43:79" x14ac:dyDescent="0.3">
      <c r="AQ194" s="27"/>
      <c r="AR194" s="27"/>
      <c r="AS194" s="27"/>
      <c r="AT194" s="27"/>
      <c r="AU194" s="27"/>
      <c r="AV194" s="27"/>
      <c r="AW194" s="27"/>
      <c r="AX194" s="27"/>
      <c r="AY194" s="27"/>
    </row>
    <row r="195" spans="43:79" x14ac:dyDescent="0.3">
      <c r="AQ195" s="27"/>
      <c r="AR195" s="27"/>
      <c r="AS195" s="27"/>
      <c r="AT195" s="27"/>
      <c r="AU195" s="27"/>
      <c r="AV195" s="27"/>
      <c r="AW195" s="27"/>
      <c r="AX195" s="27"/>
      <c r="AY195" s="27"/>
    </row>
    <row r="196" spans="43:79" x14ac:dyDescent="0.3">
      <c r="AQ196" s="27"/>
      <c r="AR196" s="27"/>
      <c r="AS196" s="27"/>
      <c r="AT196" s="27"/>
      <c r="AU196" s="27"/>
      <c r="AV196" s="27"/>
      <c r="AW196" s="27"/>
      <c r="AX196" s="27"/>
      <c r="AY196" s="27"/>
    </row>
    <row r="197" spans="43:79" x14ac:dyDescent="0.3">
      <c r="AQ197" s="27"/>
      <c r="AR197" s="27"/>
      <c r="AS197" s="27"/>
      <c r="AT197" s="27"/>
      <c r="AU197" s="27"/>
      <c r="AV197" s="27"/>
      <c r="AW197" s="27"/>
      <c r="AX197" s="27"/>
      <c r="AY197" s="27"/>
    </row>
    <row r="198" spans="43:79" x14ac:dyDescent="0.3">
      <c r="AQ198" s="27"/>
      <c r="AR198" s="27"/>
      <c r="AS198" s="27"/>
      <c r="AT198" s="27"/>
      <c r="AU198" s="27"/>
      <c r="AV198" s="27"/>
      <c r="AW198" s="27"/>
      <c r="AX198" s="27"/>
      <c r="AY198" s="27"/>
    </row>
    <row r="199" spans="43:79" x14ac:dyDescent="0.3">
      <c r="AQ199" s="27"/>
      <c r="AR199" s="27"/>
      <c r="AS199" s="27"/>
      <c r="AT199" s="27"/>
      <c r="AU199" s="27"/>
      <c r="AV199" s="27"/>
      <c r="AW199" s="27"/>
      <c r="AX199" s="27"/>
      <c r="AY199" s="27"/>
    </row>
    <row r="200" spans="43:79" x14ac:dyDescent="0.3">
      <c r="AQ200" s="27"/>
      <c r="AR200" s="27"/>
      <c r="AS200" s="27"/>
      <c r="AT200" s="27"/>
      <c r="AU200" s="27"/>
      <c r="AV200" s="27"/>
      <c r="AW200" s="27"/>
      <c r="AX200" s="27"/>
      <c r="AY200" s="27"/>
    </row>
    <row r="201" spans="43:79" x14ac:dyDescent="0.3">
      <c r="AQ201" s="27"/>
      <c r="AR201" s="27"/>
      <c r="AS201" s="27"/>
      <c r="AT201" s="27"/>
      <c r="AU201" s="27"/>
      <c r="AV201" s="27"/>
      <c r="AW201" s="27"/>
      <c r="AX201" s="27"/>
      <c r="AY201" s="27"/>
    </row>
    <row r="202" spans="43:79" x14ac:dyDescent="0.3">
      <c r="AQ202" s="27"/>
      <c r="AR202" s="27"/>
      <c r="AS202" s="27"/>
      <c r="AT202" s="27"/>
      <c r="AU202" s="27"/>
      <c r="AV202" s="27"/>
      <c r="AW202" s="27"/>
      <c r="AX202" s="27"/>
      <c r="AY202" s="27"/>
    </row>
    <row r="203" spans="43:79" x14ac:dyDescent="0.3">
      <c r="AQ203" s="27"/>
      <c r="AR203" s="27"/>
      <c r="AS203" s="27"/>
      <c r="AT203" s="27"/>
      <c r="AU203" s="27"/>
      <c r="AV203" s="27"/>
      <c r="AW203" s="27"/>
      <c r="AX203" s="27"/>
      <c r="AY203" s="27"/>
    </row>
    <row r="204" spans="43:79" x14ac:dyDescent="0.3">
      <c r="AQ204" s="27"/>
      <c r="AR204" s="27"/>
      <c r="AS204" s="27"/>
      <c r="AT204" s="27"/>
      <c r="AU204" s="27"/>
      <c r="AV204" s="27"/>
      <c r="AW204" s="27"/>
      <c r="AX204" s="27"/>
      <c r="AY204" s="27"/>
    </row>
    <row r="205" spans="43:79" x14ac:dyDescent="0.3">
      <c r="AQ205" s="27"/>
      <c r="AR205" s="27"/>
      <c r="AS205" s="27"/>
      <c r="AT205" s="27"/>
      <c r="AU205" s="27"/>
      <c r="AV205" s="27"/>
      <c r="AW205" s="27"/>
      <c r="AX205" s="27"/>
      <c r="AY205" s="27"/>
    </row>
    <row r="206" spans="43:79" x14ac:dyDescent="0.3">
      <c r="AQ206" s="27"/>
      <c r="AR206" s="27"/>
      <c r="AS206" s="27"/>
      <c r="AT206" s="27"/>
      <c r="AU206" s="27"/>
      <c r="AV206" s="27"/>
      <c r="AW206" s="27"/>
      <c r="AX206" s="27"/>
      <c r="AY206" s="27"/>
    </row>
    <row r="207" spans="43:79" ht="17.399999999999999" x14ac:dyDescent="0.3">
      <c r="CA207" s="62"/>
    </row>
    <row r="208" spans="43:79" ht="17.399999999999999" x14ac:dyDescent="0.3">
      <c r="CA208" s="62" t="s">
        <v>20</v>
      </c>
    </row>
    <row r="259" spans="52:77" x14ac:dyDescent="0.3">
      <c r="AZ259" s="64"/>
      <c r="BA259" s="64"/>
      <c r="BB259" s="64"/>
      <c r="BC259" s="64"/>
      <c r="BD259" s="64"/>
      <c r="BE259" s="64"/>
      <c r="BF259" s="1998"/>
      <c r="BG259" s="1998"/>
      <c r="BH259" s="1998"/>
      <c r="BI259" s="10"/>
      <c r="BJ259" s="7"/>
      <c r="BK259" s="7"/>
      <c r="BL259" s="7"/>
      <c r="BM259" s="7"/>
      <c r="BN259" s="7"/>
      <c r="BO259" s="7"/>
      <c r="BP259" s="7"/>
      <c r="BQ259" s="7"/>
      <c r="BR259" s="7"/>
      <c r="BS259" s="7"/>
      <c r="BT259" s="7"/>
      <c r="BU259" s="7"/>
      <c r="BV259" s="7"/>
      <c r="BW259" s="7"/>
      <c r="BX259" s="7"/>
      <c r="BY259" s="7"/>
    </row>
    <row r="260" spans="52:77" x14ac:dyDescent="0.3">
      <c r="AZ260" s="7"/>
      <c r="BA260" s="7"/>
      <c r="BB260" s="7"/>
      <c r="BC260" s="7"/>
      <c r="BD260" s="7"/>
      <c r="BE260" s="7"/>
      <c r="BF260" s="57"/>
      <c r="BG260" s="7"/>
      <c r="BH260" s="7"/>
      <c r="BI260" s="7"/>
      <c r="BJ260" s="7"/>
      <c r="BK260" s="7"/>
      <c r="BL260" s="7"/>
      <c r="BM260" s="7"/>
      <c r="BN260" s="7"/>
      <c r="BO260" s="7"/>
      <c r="BP260" s="7"/>
      <c r="BQ260" s="7"/>
      <c r="BR260" s="7"/>
      <c r="BS260" s="57"/>
      <c r="BT260" s="7"/>
      <c r="BU260" s="7"/>
      <c r="BV260" s="7"/>
      <c r="BW260" s="7"/>
      <c r="BX260" s="7"/>
      <c r="BY260" s="7"/>
    </row>
    <row r="261" spans="52:77" x14ac:dyDescent="0.3">
      <c r="AZ261" s="65"/>
      <c r="BA261" s="65"/>
      <c r="BB261" s="65"/>
      <c r="BC261" s="65"/>
      <c r="BD261" s="65"/>
      <c r="BE261" s="65"/>
      <c r="BF261" s="1999"/>
      <c r="BG261" s="1999"/>
      <c r="BH261" s="7"/>
      <c r="BI261" s="7"/>
      <c r="BJ261" s="7"/>
      <c r="BK261" s="7"/>
      <c r="BL261" s="7"/>
      <c r="BM261" s="7"/>
      <c r="BN261" s="7"/>
      <c r="BO261" s="7"/>
      <c r="BP261" s="7"/>
      <c r="BQ261" s="7"/>
      <c r="BR261" s="1993"/>
      <c r="BS261" s="1993"/>
      <c r="BT261" s="7"/>
      <c r="BU261" s="7"/>
      <c r="BV261" s="7"/>
      <c r="BW261" s="7"/>
      <c r="BX261" s="7"/>
      <c r="BY261" s="7"/>
    </row>
    <row r="262" spans="52:77" x14ac:dyDescent="0.3">
      <c r="AZ262" s="7"/>
      <c r="BA262" s="7"/>
      <c r="BB262" s="7"/>
      <c r="BC262" s="7"/>
      <c r="BD262" s="7"/>
      <c r="BE262" s="7"/>
      <c r="BF262" s="7"/>
      <c r="BG262" s="7"/>
      <c r="BH262" s="7"/>
      <c r="BI262" s="7"/>
      <c r="BJ262" s="7"/>
      <c r="BK262" s="7"/>
      <c r="BL262" s="7"/>
      <c r="BM262" s="7"/>
      <c r="BN262" s="7"/>
      <c r="BO262" s="7"/>
      <c r="BP262" s="7"/>
      <c r="BQ262" s="7"/>
      <c r="BR262" s="7"/>
      <c r="BS262" s="7"/>
      <c r="BT262" s="7"/>
      <c r="BU262" s="7"/>
      <c r="BV262" s="7"/>
      <c r="BW262" s="7"/>
      <c r="BX262" s="7"/>
      <c r="BY262" s="7"/>
    </row>
    <row r="263" spans="52:77" x14ac:dyDescent="0.3">
      <c r="AZ263" s="7"/>
      <c r="BA263" s="7"/>
      <c r="BB263" s="7"/>
      <c r="BC263" s="7"/>
      <c r="BD263" s="7"/>
      <c r="BE263" s="7"/>
      <c r="BF263" s="7"/>
      <c r="BG263" s="7"/>
      <c r="BH263" s="7"/>
      <c r="BI263" s="7"/>
      <c r="BJ263" s="7"/>
      <c r="BK263" s="7"/>
      <c r="BL263" s="7"/>
      <c r="BM263" s="7"/>
      <c r="BN263" s="7"/>
      <c r="BO263" s="7"/>
      <c r="BP263" s="7"/>
      <c r="BQ263" s="7"/>
      <c r="BR263" s="7"/>
      <c r="BS263" s="7"/>
      <c r="BT263" s="7"/>
      <c r="BU263" s="7"/>
      <c r="BV263" s="7"/>
      <c r="BW263" s="7"/>
      <c r="BX263" s="7"/>
      <c r="BY263" s="7"/>
    </row>
    <row r="264" spans="52:77" x14ac:dyDescent="0.3">
      <c r="AZ264" s="7"/>
      <c r="BA264" s="7"/>
      <c r="BB264" s="7"/>
      <c r="BC264" s="7"/>
      <c r="BD264" s="7"/>
      <c r="BE264" s="7"/>
      <c r="BF264" s="7"/>
      <c r="BG264" s="7"/>
      <c r="BH264" s="7"/>
      <c r="BI264" s="7"/>
      <c r="BJ264" s="7"/>
      <c r="BK264" s="7"/>
      <c r="BL264" s="7"/>
      <c r="BM264" s="7"/>
      <c r="BN264" s="7"/>
      <c r="BO264" s="7"/>
      <c r="BP264" s="7"/>
      <c r="BQ264" s="7"/>
      <c r="BR264" s="7"/>
      <c r="BS264" s="7"/>
      <c r="BT264" s="7"/>
      <c r="BU264" s="7"/>
      <c r="BV264" s="7"/>
      <c r="BW264" s="7"/>
      <c r="BX264" s="7"/>
      <c r="BY264" s="7"/>
    </row>
    <row r="265" spans="52:77" x14ac:dyDescent="0.3">
      <c r="AZ265" s="7"/>
      <c r="BA265" s="7"/>
      <c r="BB265" s="7"/>
      <c r="BC265" s="7"/>
      <c r="BD265" s="7"/>
      <c r="BE265" s="7"/>
      <c r="BF265" s="7"/>
      <c r="BG265" s="7"/>
      <c r="BH265" s="7"/>
      <c r="BI265" s="7"/>
      <c r="BJ265" s="7"/>
      <c r="BK265" s="7"/>
      <c r="BL265" s="7"/>
      <c r="BM265" s="7"/>
      <c r="BN265" s="7"/>
      <c r="BO265" s="7"/>
      <c r="BP265" s="7"/>
      <c r="BQ265" s="7"/>
      <c r="BR265" s="7"/>
      <c r="BS265" s="7"/>
      <c r="BT265" s="7"/>
      <c r="BU265" s="7"/>
      <c r="BV265" s="7"/>
      <c r="BW265" s="7"/>
      <c r="BX265" s="7"/>
      <c r="BY265" s="7"/>
    </row>
    <row r="266" spans="52:77" x14ac:dyDescent="0.3">
      <c r="AZ266" s="7"/>
      <c r="BA266" s="7"/>
      <c r="BB266" s="7"/>
      <c r="BC266" s="7"/>
      <c r="BD266" s="7"/>
      <c r="BE266" s="7"/>
      <c r="BF266" s="7"/>
      <c r="BG266" s="7"/>
      <c r="BH266" s="7"/>
      <c r="BI266" s="7"/>
      <c r="BJ266" s="7"/>
      <c r="BK266" s="7"/>
      <c r="BL266" s="7"/>
      <c r="BM266" s="7"/>
      <c r="BN266" s="7"/>
      <c r="BO266" s="7"/>
      <c r="BP266" s="7"/>
      <c r="BQ266" s="7"/>
      <c r="BR266" s="7"/>
      <c r="BS266" s="7"/>
      <c r="BT266" s="7"/>
      <c r="BU266" s="7"/>
      <c r="BV266" s="7"/>
      <c r="BW266" s="7"/>
      <c r="BX266" s="7"/>
      <c r="BY266" s="7"/>
    </row>
    <row r="267" spans="52:77" x14ac:dyDescent="0.3">
      <c r="AZ267" s="7"/>
      <c r="BA267" s="7"/>
      <c r="BB267" s="7"/>
      <c r="BC267" s="7"/>
      <c r="BD267" s="7"/>
      <c r="BE267" s="7"/>
      <c r="BF267" s="7"/>
      <c r="BG267" s="7"/>
      <c r="BH267" s="7"/>
      <c r="BI267" s="7"/>
      <c r="BJ267" s="7"/>
      <c r="BK267" s="7"/>
      <c r="BL267" s="7"/>
      <c r="BM267" s="7"/>
      <c r="BN267" s="7"/>
      <c r="BO267" s="7"/>
      <c r="BP267" s="7"/>
      <c r="BQ267" s="7"/>
      <c r="BR267" s="7"/>
      <c r="BS267" s="7"/>
      <c r="BT267" s="7"/>
      <c r="BU267" s="7"/>
      <c r="BV267" s="7"/>
      <c r="BW267" s="7"/>
      <c r="BX267" s="7"/>
      <c r="BY267" s="7"/>
    </row>
    <row r="268" spans="52:77" x14ac:dyDescent="0.3">
      <c r="AZ268" s="7"/>
      <c r="BA268" s="7"/>
      <c r="BB268" s="7"/>
      <c r="BC268" s="7"/>
      <c r="BD268" s="7"/>
      <c r="BE268" s="7"/>
      <c r="BF268" s="7"/>
      <c r="BG268" s="7"/>
      <c r="BH268" s="7"/>
      <c r="BI268" s="7"/>
      <c r="BJ268" s="7"/>
      <c r="BK268" s="7"/>
      <c r="BL268" s="7"/>
      <c r="BM268" s="7"/>
      <c r="BN268" s="7"/>
      <c r="BO268" s="7"/>
      <c r="BP268" s="7"/>
      <c r="BQ268" s="7"/>
      <c r="BR268" s="7"/>
      <c r="BS268" s="7"/>
      <c r="BT268" s="7"/>
      <c r="BU268" s="7"/>
      <c r="BV268" s="7"/>
      <c r="BW268" s="7"/>
      <c r="BX268" s="7"/>
      <c r="BY268" s="7"/>
    </row>
    <row r="269" spans="52:77" x14ac:dyDescent="0.3">
      <c r="AZ269" s="7"/>
      <c r="BA269" s="7"/>
      <c r="BB269" s="7"/>
      <c r="BC269" s="7"/>
      <c r="BD269" s="7"/>
      <c r="BE269" s="7"/>
      <c r="BF269" s="7"/>
      <c r="BG269" s="7"/>
      <c r="BH269" s="7"/>
      <c r="BI269" s="7"/>
      <c r="BJ269" s="7"/>
      <c r="BK269" s="7"/>
      <c r="BL269" s="7"/>
      <c r="BM269" s="7"/>
      <c r="BN269" s="7"/>
      <c r="BO269" s="7"/>
      <c r="BP269" s="7"/>
      <c r="BQ269" s="7"/>
      <c r="BR269" s="7"/>
      <c r="BS269" s="7"/>
      <c r="BT269" s="7"/>
      <c r="BU269" s="7"/>
      <c r="BV269" s="7"/>
      <c r="BW269" s="7"/>
      <c r="BX269" s="7"/>
      <c r="BY269" s="7"/>
    </row>
    <row r="270" spans="52:77" x14ac:dyDescent="0.3">
      <c r="AZ270" s="7"/>
      <c r="BA270" s="7"/>
      <c r="BB270" s="7"/>
      <c r="BC270" s="7"/>
      <c r="BD270" s="7"/>
      <c r="BE270" s="7"/>
      <c r="BF270" s="7"/>
      <c r="BG270" s="7"/>
      <c r="BH270" s="7"/>
      <c r="BI270" s="7"/>
      <c r="BJ270" s="7"/>
      <c r="BK270" s="7"/>
      <c r="BL270" s="7"/>
      <c r="BM270" s="7"/>
      <c r="BN270" s="7"/>
      <c r="BO270" s="7"/>
      <c r="BP270" s="7"/>
      <c r="BQ270" s="7"/>
      <c r="BR270" s="7"/>
      <c r="BS270" s="7"/>
      <c r="BT270" s="7"/>
      <c r="BU270" s="7"/>
      <c r="BV270" s="7"/>
      <c r="BW270" s="7"/>
      <c r="BX270" s="7"/>
      <c r="BY270" s="7"/>
    </row>
    <row r="271" spans="52:77" x14ac:dyDescent="0.3">
      <c r="AZ271" s="7"/>
      <c r="BA271" s="7"/>
      <c r="BB271" s="7"/>
      <c r="BC271" s="7"/>
      <c r="BD271" s="7"/>
      <c r="BE271" s="7"/>
      <c r="BF271" s="7"/>
      <c r="BG271" s="7"/>
      <c r="BH271" s="7"/>
      <c r="BI271" s="7"/>
      <c r="BJ271" s="7"/>
      <c r="BK271" s="7"/>
      <c r="BL271" s="7"/>
      <c r="BM271" s="7"/>
      <c r="BN271" s="7"/>
      <c r="BO271" s="7"/>
      <c r="BP271" s="7"/>
      <c r="BQ271" s="7"/>
      <c r="BR271" s="7"/>
      <c r="BS271" s="7"/>
      <c r="BT271" s="7"/>
      <c r="BU271" s="7"/>
      <c r="BV271" s="7"/>
      <c r="BW271" s="7"/>
      <c r="BX271" s="7"/>
      <c r="BY271" s="7"/>
    </row>
    <row r="272" spans="52:77" x14ac:dyDescent="0.3">
      <c r="AZ272" s="7"/>
      <c r="BA272" s="7"/>
      <c r="BB272" s="7"/>
      <c r="BC272" s="7"/>
      <c r="BD272" s="7"/>
      <c r="BE272" s="7"/>
      <c r="BF272" s="7"/>
      <c r="BG272" s="7"/>
      <c r="BH272" s="7"/>
      <c r="BI272" s="7"/>
      <c r="BJ272" s="7"/>
      <c r="BK272" s="7"/>
      <c r="BL272" s="7"/>
      <c r="BM272" s="7"/>
      <c r="BN272" s="7"/>
      <c r="BO272" s="7"/>
      <c r="BP272" s="7"/>
      <c r="BQ272" s="7"/>
      <c r="BR272" s="7"/>
      <c r="BS272" s="7"/>
      <c r="BT272" s="7"/>
      <c r="BU272" s="7"/>
      <c r="BV272" s="7"/>
      <c r="BW272" s="7"/>
      <c r="BX272" s="7"/>
      <c r="BY272" s="7"/>
    </row>
    <row r="273" spans="52:77" x14ac:dyDescent="0.3">
      <c r="AZ273" s="7"/>
      <c r="BA273" s="7"/>
      <c r="BB273" s="7"/>
      <c r="BC273" s="7"/>
      <c r="BD273" s="7"/>
      <c r="BE273" s="7"/>
      <c r="BF273" s="7"/>
      <c r="BG273" s="7"/>
      <c r="BH273" s="7"/>
      <c r="BI273" s="7"/>
      <c r="BJ273" s="7"/>
      <c r="BK273" s="7"/>
      <c r="BL273" s="7"/>
      <c r="BM273" s="7"/>
      <c r="BN273" s="7"/>
      <c r="BO273" s="7"/>
      <c r="BP273" s="7"/>
      <c r="BQ273" s="7"/>
      <c r="BR273" s="7"/>
      <c r="BS273" s="7"/>
      <c r="BT273" s="7"/>
      <c r="BU273" s="7"/>
      <c r="BV273" s="7"/>
      <c r="BW273" s="7"/>
      <c r="BX273" s="7"/>
      <c r="BY273" s="7"/>
    </row>
    <row r="274" spans="52:77" x14ac:dyDescent="0.3">
      <c r="AZ274" s="7"/>
      <c r="BA274" s="7"/>
      <c r="BB274" s="7"/>
      <c r="BC274" s="7"/>
      <c r="BD274" s="7"/>
      <c r="BE274" s="7"/>
      <c r="BF274" s="7"/>
      <c r="BG274" s="7"/>
      <c r="BH274" s="7"/>
      <c r="BI274" s="7"/>
      <c r="BJ274" s="7"/>
      <c r="BK274" s="7"/>
      <c r="BL274" s="7"/>
      <c r="BM274" s="7"/>
      <c r="BN274" s="7"/>
      <c r="BO274" s="7"/>
      <c r="BP274" s="7"/>
      <c r="BQ274" s="7"/>
      <c r="BR274" s="7"/>
      <c r="BS274" s="7"/>
      <c r="BT274" s="7"/>
      <c r="BU274" s="7"/>
      <c r="BV274" s="7"/>
      <c r="BW274" s="7"/>
      <c r="BX274" s="7"/>
      <c r="BY274" s="7"/>
    </row>
    <row r="275" spans="52:77" x14ac:dyDescent="0.3">
      <c r="AZ275" s="7"/>
      <c r="BA275" s="7"/>
      <c r="BB275" s="7"/>
      <c r="BC275" s="7"/>
      <c r="BD275" s="7"/>
      <c r="BE275" s="7"/>
      <c r="BF275" s="7"/>
      <c r="BG275" s="7"/>
      <c r="BH275" s="7"/>
      <c r="BI275" s="7"/>
      <c r="BJ275" s="7"/>
      <c r="BK275" s="7"/>
      <c r="BL275" s="7"/>
      <c r="BM275" s="7"/>
      <c r="BN275" s="7"/>
      <c r="BO275" s="7"/>
      <c r="BP275" s="7"/>
      <c r="BQ275" s="7"/>
      <c r="BR275" s="7"/>
      <c r="BS275" s="7"/>
      <c r="BT275" s="7"/>
      <c r="BU275" s="7"/>
      <c r="BV275" s="7"/>
      <c r="BW275" s="7"/>
      <c r="BX275" s="7"/>
      <c r="BY275" s="7"/>
    </row>
    <row r="276" spans="52:77" x14ac:dyDescent="0.3">
      <c r="AZ276" s="7"/>
      <c r="BA276" s="7"/>
      <c r="BB276" s="7"/>
      <c r="BC276" s="7"/>
      <c r="BD276" s="7"/>
      <c r="BE276" s="7"/>
      <c r="BF276" s="7"/>
      <c r="BG276" s="7"/>
      <c r="BH276" s="7"/>
      <c r="BI276" s="7"/>
      <c r="BJ276" s="7"/>
      <c r="BK276" s="7"/>
      <c r="BL276" s="7"/>
      <c r="BM276" s="7"/>
      <c r="BN276" s="7"/>
      <c r="BO276" s="7"/>
      <c r="BP276" s="7"/>
      <c r="BQ276" s="7"/>
      <c r="BR276" s="7"/>
      <c r="BS276" s="7"/>
      <c r="BT276" s="7"/>
      <c r="BU276" s="7"/>
      <c r="BV276" s="7"/>
      <c r="BW276" s="7"/>
      <c r="BX276" s="7"/>
      <c r="BY276" s="7"/>
    </row>
    <row r="277" spans="52:77" x14ac:dyDescent="0.3">
      <c r="AZ277" s="7"/>
      <c r="BA277" s="7"/>
      <c r="BB277" s="7"/>
      <c r="BC277" s="7"/>
      <c r="BD277" s="7"/>
      <c r="BE277" s="7"/>
      <c r="BF277" s="7"/>
      <c r="BG277" s="7"/>
      <c r="BH277" s="7"/>
      <c r="BI277" s="58"/>
      <c r="BJ277" s="58"/>
      <c r="BK277" s="7"/>
      <c r="BL277" s="58"/>
      <c r="BM277" s="7"/>
      <c r="BN277" s="7"/>
      <c r="BO277" s="7"/>
      <c r="BP277" s="7"/>
      <c r="BQ277" s="7"/>
      <c r="BR277" s="7"/>
      <c r="BS277" s="7"/>
      <c r="BT277" s="7"/>
      <c r="BU277" s="7"/>
      <c r="BV277" s="7"/>
      <c r="BW277" s="7"/>
      <c r="BX277" s="7"/>
      <c r="BY277" s="7"/>
    </row>
    <row r="278" spans="52:77" x14ac:dyDescent="0.3">
      <c r="AZ278" s="10"/>
      <c r="BA278" s="7"/>
      <c r="BB278" s="10"/>
      <c r="BC278" s="7"/>
      <c r="BD278" s="10"/>
      <c r="BE278" s="7"/>
      <c r="BF278" s="7"/>
      <c r="BG278" s="7"/>
      <c r="BH278" s="7"/>
      <c r="BI278" s="7"/>
      <c r="BJ278" s="7"/>
      <c r="BK278" s="7"/>
      <c r="BL278" s="7"/>
      <c r="BM278" s="7"/>
      <c r="BN278" s="7"/>
      <c r="BO278" s="7"/>
      <c r="BP278" s="7"/>
      <c r="BQ278" s="7"/>
      <c r="BR278" s="7"/>
      <c r="BS278" s="7"/>
      <c r="BT278" s="7"/>
      <c r="BU278" s="7"/>
      <c r="BV278" s="7"/>
      <c r="BW278" s="7"/>
      <c r="BX278" s="7"/>
      <c r="BY278" s="7"/>
    </row>
    <row r="279" spans="52:77" x14ac:dyDescent="0.3">
      <c r="AZ279" s="10"/>
      <c r="BA279" s="7"/>
      <c r="BB279" s="7"/>
      <c r="BC279" s="7"/>
      <c r="BD279" s="10"/>
      <c r="BE279" s="7"/>
      <c r="BF279" s="7"/>
      <c r="BG279" s="7"/>
      <c r="BH279" s="7"/>
      <c r="BI279" s="7"/>
      <c r="BJ279" s="7"/>
      <c r="BK279" s="7"/>
      <c r="BL279" s="7"/>
      <c r="BM279" s="7"/>
      <c r="BN279" s="7"/>
      <c r="BO279" s="7"/>
      <c r="BP279" s="7"/>
      <c r="BQ279" s="7"/>
      <c r="BR279" s="7"/>
      <c r="BS279" s="7"/>
      <c r="BT279" s="7"/>
      <c r="BU279" s="7"/>
      <c r="BV279" s="7"/>
      <c r="BW279" s="7"/>
      <c r="BX279" s="7"/>
      <c r="BY279" s="7"/>
    </row>
    <row r="280" spans="52:77" x14ac:dyDescent="0.3">
      <c r="AZ280" s="10"/>
      <c r="BA280" s="66"/>
      <c r="BB280" s="66"/>
      <c r="BC280" s="66"/>
      <c r="BD280" s="66"/>
      <c r="BE280" s="66"/>
      <c r="BF280" s="66"/>
      <c r="BG280" s="66"/>
      <c r="BH280" s="66"/>
      <c r="BI280" s="66"/>
      <c r="BJ280" s="66"/>
      <c r="BK280" s="66"/>
      <c r="BL280" s="66"/>
      <c r="BM280" s="66"/>
      <c r="BN280" s="66"/>
      <c r="BO280" s="66"/>
      <c r="BP280" s="66"/>
      <c r="BQ280" s="66"/>
      <c r="BR280" s="66"/>
      <c r="BS280" s="66"/>
      <c r="BT280" s="66"/>
      <c r="BU280" s="66"/>
      <c r="BV280" s="66"/>
      <c r="BW280" s="66"/>
      <c r="BX280" s="66"/>
      <c r="BY280" s="7"/>
    </row>
    <row r="281" spans="52:77" x14ac:dyDescent="0.3">
      <c r="AZ281" s="10"/>
      <c r="BA281" s="7"/>
      <c r="BB281" s="7"/>
      <c r="BC281" s="7"/>
      <c r="BD281" s="7"/>
      <c r="BE281" s="7"/>
      <c r="BF281" s="7"/>
      <c r="BG281" s="7"/>
      <c r="BH281" s="7"/>
      <c r="BI281" s="7"/>
      <c r="BJ281" s="7"/>
      <c r="BK281" s="7"/>
      <c r="BL281" s="7"/>
      <c r="BM281" s="7"/>
      <c r="BN281" s="7"/>
      <c r="BO281" s="7"/>
      <c r="BP281" s="7"/>
      <c r="BQ281" s="7"/>
      <c r="BR281" s="7"/>
      <c r="BS281" s="7"/>
      <c r="BT281" s="7"/>
      <c r="BU281" s="7"/>
      <c r="BV281" s="7"/>
      <c r="BW281" s="7"/>
      <c r="BX281" s="7"/>
      <c r="BY281" s="7"/>
    </row>
    <row r="282" spans="52:77" x14ac:dyDescent="0.3">
      <c r="AZ282" s="18"/>
      <c r="BA282" s="61"/>
      <c r="BB282" s="61"/>
      <c r="BC282" s="61"/>
      <c r="BD282" s="61"/>
      <c r="BE282" s="61"/>
      <c r="BF282" s="61"/>
      <c r="BG282" s="61"/>
      <c r="BH282" s="61"/>
      <c r="BI282" s="61"/>
      <c r="BJ282" s="61"/>
      <c r="BK282" s="61"/>
      <c r="BL282" s="61"/>
      <c r="BM282" s="61"/>
      <c r="BN282" s="61"/>
      <c r="BO282" s="61"/>
      <c r="BP282" s="61"/>
      <c r="BQ282" s="61"/>
      <c r="BR282" s="61"/>
      <c r="BS282" s="61"/>
      <c r="BT282" s="61"/>
      <c r="BU282" s="61"/>
      <c r="BV282" s="61"/>
      <c r="BW282" s="61"/>
      <c r="BX282" s="61"/>
      <c r="BY282" s="7"/>
    </row>
    <row r="283" spans="52:77" x14ac:dyDescent="0.3">
      <c r="AZ283" s="10"/>
      <c r="BA283" s="49"/>
      <c r="BB283" s="49"/>
      <c r="BC283" s="49"/>
      <c r="BD283" s="49"/>
      <c r="BE283" s="49"/>
      <c r="BF283" s="49"/>
      <c r="BG283" s="49"/>
      <c r="BH283" s="49"/>
      <c r="BI283" s="49"/>
      <c r="BJ283" s="49"/>
      <c r="BK283" s="49"/>
      <c r="BL283" s="49"/>
      <c r="BM283" s="49"/>
      <c r="BN283" s="49"/>
      <c r="BO283" s="49"/>
      <c r="BP283" s="49"/>
      <c r="BQ283" s="49"/>
      <c r="BR283" s="49"/>
      <c r="BS283" s="49"/>
      <c r="BT283" s="49"/>
      <c r="BU283" s="49"/>
      <c r="BV283" s="49"/>
      <c r="BW283" s="49"/>
      <c r="BX283" s="49"/>
      <c r="BY283" s="7"/>
    </row>
    <row r="284" spans="52:77" x14ac:dyDescent="0.3">
      <c r="AZ284" s="7"/>
      <c r="BA284" s="7"/>
      <c r="BB284" s="7"/>
      <c r="BC284" s="7"/>
      <c r="BD284" s="7"/>
      <c r="BE284" s="7"/>
      <c r="BF284" s="7"/>
      <c r="BG284" s="7"/>
      <c r="BH284" s="7"/>
      <c r="BI284" s="7"/>
      <c r="BJ284" s="7"/>
      <c r="BK284" s="7"/>
      <c r="BL284" s="7"/>
      <c r="BM284" s="7"/>
      <c r="BN284" s="7"/>
      <c r="BO284" s="7"/>
      <c r="BP284" s="7"/>
      <c r="BQ284" s="7"/>
      <c r="BR284" s="7"/>
      <c r="BS284" s="7"/>
      <c r="BT284" s="7"/>
      <c r="BU284" s="7"/>
      <c r="BV284" s="7"/>
      <c r="BW284" s="7"/>
      <c r="BX284" s="7"/>
      <c r="BY284" s="7"/>
    </row>
    <row r="285" spans="52:77" x14ac:dyDescent="0.3">
      <c r="AZ285" s="7"/>
      <c r="BA285" s="67"/>
      <c r="BB285" s="67"/>
      <c r="BC285" s="67"/>
      <c r="BD285" s="67"/>
      <c r="BE285" s="67"/>
      <c r="BF285" s="67"/>
      <c r="BG285" s="10"/>
      <c r="BH285" s="10"/>
      <c r="BI285" s="10"/>
      <c r="BJ285" s="10"/>
      <c r="BK285" s="10"/>
      <c r="BL285" s="67"/>
      <c r="BM285" s="67"/>
      <c r="BN285" s="67"/>
      <c r="BO285" s="10"/>
      <c r="BP285" s="10"/>
      <c r="BQ285" s="10"/>
      <c r="BR285" s="10"/>
      <c r="BS285" s="10"/>
      <c r="BT285" s="10"/>
      <c r="BU285" s="10"/>
      <c r="BV285" s="10"/>
      <c r="BW285" s="10"/>
      <c r="BX285" s="10"/>
      <c r="BY285" s="7"/>
    </row>
    <row r="286" spans="52:77" x14ac:dyDescent="0.3">
      <c r="AZ286" s="7"/>
      <c r="BA286" s="67"/>
      <c r="BB286" s="67"/>
      <c r="BC286" s="67"/>
      <c r="BD286" s="67"/>
      <c r="BE286" s="67"/>
      <c r="BF286" s="67"/>
      <c r="BG286" s="7"/>
      <c r="BH286" s="7"/>
      <c r="BI286" s="7"/>
      <c r="BJ286" s="7"/>
      <c r="BK286" s="67"/>
      <c r="BL286" s="67"/>
      <c r="BM286" s="67"/>
      <c r="BN286" s="67"/>
      <c r="BO286" s="7"/>
      <c r="BP286" s="7"/>
      <c r="BQ286" s="7"/>
      <c r="BR286" s="7"/>
      <c r="BS286" s="67"/>
      <c r="BT286" s="67"/>
      <c r="BU286" s="67"/>
      <c r="BV286" s="67"/>
      <c r="BW286" s="67"/>
      <c r="BX286" s="67"/>
      <c r="BY286" s="7"/>
    </row>
    <row r="287" spans="52:77" x14ac:dyDescent="0.3">
      <c r="AZ287" s="7"/>
      <c r="BA287" s="7"/>
      <c r="BB287" s="7"/>
      <c r="BC287" s="7"/>
      <c r="BD287" s="7"/>
      <c r="BE287" s="7"/>
      <c r="BF287" s="7"/>
      <c r="BG287" s="7"/>
      <c r="BH287" s="7"/>
      <c r="BI287" s="7"/>
      <c r="BJ287" s="7"/>
      <c r="BK287" s="7"/>
      <c r="BL287" s="7"/>
      <c r="BM287" s="7"/>
      <c r="BN287" s="7"/>
      <c r="BO287" s="7"/>
      <c r="BP287" s="7"/>
      <c r="BQ287" s="7"/>
      <c r="BR287" s="7"/>
      <c r="BS287" s="7"/>
      <c r="BT287" s="7"/>
      <c r="BU287" s="7"/>
      <c r="BV287" s="7"/>
      <c r="BW287" s="7"/>
      <c r="BX287" s="7"/>
      <c r="BY287" s="7"/>
    </row>
    <row r="288" spans="52:77" x14ac:dyDescent="0.3">
      <c r="AZ288" s="7"/>
      <c r="BA288" s="7"/>
      <c r="BB288" s="7"/>
      <c r="BC288" s="7"/>
      <c r="BD288" s="7"/>
      <c r="BE288" s="7"/>
      <c r="BF288" s="7"/>
      <c r="BG288" s="7"/>
      <c r="BH288" s="7"/>
      <c r="BI288" s="7"/>
      <c r="BJ288" s="7"/>
      <c r="BK288" s="7"/>
      <c r="BL288" s="7"/>
      <c r="BM288" s="7"/>
      <c r="BN288" s="7"/>
      <c r="BO288" s="7"/>
      <c r="BP288" s="7"/>
      <c r="BQ288" s="7"/>
      <c r="BR288" s="7"/>
      <c r="BS288" s="7"/>
      <c r="BT288" s="7"/>
      <c r="BU288" s="7"/>
      <c r="BV288" s="7"/>
      <c r="BW288" s="7"/>
      <c r="BX288" s="7"/>
      <c r="BY288" s="7"/>
    </row>
  </sheetData>
  <sheetProtection algorithmName="SHA-512" hashValue="cLmKcRAhzLaj6xFSkTD5YLU5c5GohVAY/fd1SjplG8Lza3Mv9oClLgb/XEmVBRTXHFcMFHFD1dkBW6GUrwacIQ==" saltValue="288UrD81Jo2qq31ZgRQx1w==" spinCount="100000" sheet="1" objects="1" scenarios="1"/>
  <protectedRanges>
    <protectedRange sqref="B108 B111 D114:D125" name="Range1"/>
  </protectedRanges>
  <mergeCells count="23">
    <mergeCell ref="BW82:CD82"/>
    <mergeCell ref="BW66:CD67"/>
    <mergeCell ref="BW27:CD28"/>
    <mergeCell ref="BU67:BV67"/>
    <mergeCell ref="BI67:BJ67"/>
    <mergeCell ref="BI31:BJ31"/>
    <mergeCell ref="CC31:CD31"/>
    <mergeCell ref="BU28:BV28"/>
    <mergeCell ref="BR261:BS261"/>
    <mergeCell ref="B106:B107"/>
    <mergeCell ref="BA26:BB26"/>
    <mergeCell ref="BF259:BH259"/>
    <mergeCell ref="BF261:BG261"/>
    <mergeCell ref="Z55:AA55"/>
    <mergeCell ref="M26:O26"/>
    <mergeCell ref="M55:N55"/>
    <mergeCell ref="AN110:AO110"/>
    <mergeCell ref="BA30:BH31"/>
    <mergeCell ref="D110:E110"/>
    <mergeCell ref="B83:E83"/>
    <mergeCell ref="BA82:BH82"/>
    <mergeCell ref="BA66:BH67"/>
    <mergeCell ref="BA28:BB28"/>
  </mergeCells>
  <phoneticPr fontId="2" type="noConversion"/>
  <conditionalFormatting sqref="AQ152:AQ159 CV113:CV125">
    <cfRule type="cellIs" dxfId="1087" priority="90" stopIfTrue="1" operator="between">
      <formula>"заяка"</formula>
      <formula>"заявка"</formula>
    </cfRule>
  </conditionalFormatting>
  <conditionalFormatting sqref="AX110:AX139 AX153:AX176 AY153:AY163 AW153:AW182 AX71:AX94">
    <cfRule type="cellIs" dxfId="1086" priority="93" stopIfTrue="1" operator="equal">
      <formula>FALSE</formula>
    </cfRule>
  </conditionalFormatting>
  <conditionalFormatting sqref="BG97:BT100 AZ80:BW81 BN82:BR82 BE85:BR90 BA84:CD85 BF90:BS93 M62:AA62 BF149:BS151 BA282:BX283 BI82:BJ82">
    <cfRule type="cellIs" dxfId="1085" priority="4" stopIfTrue="1" operator="equal">
      <formula>FALSE</formula>
    </cfRule>
  </conditionalFormatting>
  <conditionalFormatting sqref="BE78:BR78 BI82:BV82 BA64:BX64 M56:AA56 BA280:BX280 BA62:CD62">
    <cfRule type="cellIs" dxfId="1084" priority="88" stopIfTrue="1" operator="equal">
      <formula>0</formula>
    </cfRule>
  </conditionalFormatting>
  <conditionalFormatting sqref="E105:F106">
    <cfRule type="cellIs" dxfId="1083" priority="121" stopIfTrue="1" operator="equal">
      <formula>"change the angle of frame or of cabinets"</formula>
    </cfRule>
  </conditionalFormatting>
  <conditionalFormatting sqref="E108:F108 E107:E108">
    <cfRule type="cellIs" dxfId="1082" priority="122" stopIfTrue="1" operator="equal">
      <formula>"USE EXBAR VR AT THE BACK"</formula>
    </cfRule>
  </conditionalFormatting>
  <conditionalFormatting sqref="E107:F107 E107:E108">
    <cfRule type="cellIs" dxfId="1081" priority="123" stopIfTrue="1" operator="equal">
      <formula>"USE EXBAR VR AT THE FRONT"</formula>
    </cfRule>
  </conditionalFormatting>
  <conditionalFormatting sqref="B114:B125">
    <cfRule type="cellIs" dxfId="1080" priority="84" stopIfTrue="1" operator="greaterThan">
      <formula>$B$111</formula>
    </cfRule>
  </conditionalFormatting>
  <conditionalFormatting sqref="U114 AL114:AO114 D114:E114">
    <cfRule type="expression" dxfId="1079" priority="83" stopIfTrue="1">
      <formula>$B$111&lt;1</formula>
    </cfRule>
  </conditionalFormatting>
  <conditionalFormatting sqref="U115 AL115:AO115 D115:E115">
    <cfRule type="expression" dxfId="1078" priority="82" stopIfTrue="1">
      <formula>$B$111&lt;2</formula>
    </cfRule>
  </conditionalFormatting>
  <conditionalFormatting sqref="U116 AL116:AO116 D116:E116">
    <cfRule type="expression" dxfId="1077" priority="81" stopIfTrue="1">
      <formula>$B$111&lt;3</formula>
    </cfRule>
  </conditionalFormatting>
  <conditionalFormatting sqref="U117 AL117:AO117 D117:E117">
    <cfRule type="expression" dxfId="1076" priority="80" stopIfTrue="1">
      <formula>$B$111&lt;4</formula>
    </cfRule>
  </conditionalFormatting>
  <conditionalFormatting sqref="U118 AL118:AO118 D118:E118">
    <cfRule type="expression" dxfId="1075" priority="79" stopIfTrue="1">
      <formula>$B$111&lt;5</formula>
    </cfRule>
  </conditionalFormatting>
  <conditionalFormatting sqref="D119 U119 AL119:AO119 E119:E120">
    <cfRule type="expression" dxfId="1074" priority="78" stopIfTrue="1">
      <formula>$B$111&lt;6</formula>
    </cfRule>
  </conditionalFormatting>
  <conditionalFormatting sqref="U120 AL120:AO120 D120:E120">
    <cfRule type="expression" dxfId="1073" priority="77" stopIfTrue="1">
      <formula>$B$111&lt;7</formula>
    </cfRule>
  </conditionalFormatting>
  <conditionalFormatting sqref="U121 AL121:AO121 D121:E121">
    <cfRule type="expression" dxfId="1072" priority="76" stopIfTrue="1">
      <formula>$B$111&lt;8</formula>
    </cfRule>
  </conditionalFormatting>
  <conditionalFormatting sqref="U122 AL122:AO122 D122:E122">
    <cfRule type="expression" dxfId="1071" priority="75" stopIfTrue="1">
      <formula>$B$111&lt;9</formula>
    </cfRule>
  </conditionalFormatting>
  <conditionalFormatting sqref="U123 AL123:AO123 D123:E123">
    <cfRule type="expression" dxfId="1070" priority="50" stopIfTrue="1">
      <formula>$B$111&lt;10</formula>
    </cfRule>
  </conditionalFormatting>
  <conditionalFormatting sqref="U124 AL124:AO124 D124:E124">
    <cfRule type="expression" dxfId="1069" priority="13" stopIfTrue="1">
      <formula>$B$111&lt;11</formula>
    </cfRule>
  </conditionalFormatting>
  <conditionalFormatting sqref="U125 AL125:AO125 D125:E125">
    <cfRule type="expression" dxfId="1068" priority="10" stopIfTrue="1">
      <formula>$B$111&lt;12</formula>
    </cfRule>
  </conditionalFormatting>
  <conditionalFormatting sqref="D105:D106">
    <cfRule type="cellIs" dxfId="1067" priority="148" stopIfTrue="1" operator="equal">
      <formula>"change the angle of frame"</formula>
    </cfRule>
  </conditionalFormatting>
  <conditionalFormatting sqref="AN114:AO125 B92 D92">
    <cfRule type="cellIs" dxfId="1066" priority="87" stopIfTrue="1" operator="lessThan">
      <formula>10</formula>
    </cfRule>
  </conditionalFormatting>
  <conditionalFormatting sqref="D114:D125">
    <cfRule type="cellIs" dxfId="1065" priority="85" stopIfTrue="1" operator="notEqual">
      <formula>0</formula>
    </cfRule>
  </conditionalFormatting>
  <conditionalFormatting sqref="B82">
    <cfRule type="cellIs" dxfId="1064" priority="8" stopIfTrue="1" operator="equal">
      <formula>"overload"</formula>
    </cfRule>
  </conditionalFormatting>
  <conditionalFormatting sqref="E82">
    <cfRule type="cellIs" dxfId="1063" priority="7" stopIfTrue="1" operator="between">
      <formula>"OVERLOAD"</formula>
      <formula>"OVERLOAD"</formula>
    </cfRule>
  </conditionalFormatting>
  <conditionalFormatting sqref="D108">
    <cfRule type="cellIs" dxfId="1062" priority="5" stopIfTrue="1" operator="equal">
      <formula>"USE EXBAR VR AT THE BACK"</formula>
    </cfRule>
  </conditionalFormatting>
  <conditionalFormatting sqref="D107">
    <cfRule type="cellIs" dxfId="1061" priority="6" stopIfTrue="1" operator="equal">
      <formula>"USE EXBAR VR AT THE FRONT"</formula>
    </cfRule>
  </conditionalFormatting>
  <conditionalFormatting sqref="BA63:CD63 BI82:BV82">
    <cfRule type="expression" dxfId="1060" priority="3">
      <formula>$B$108=0</formula>
    </cfRule>
    <cfRule type="expression" dxfId="1059" priority="89">
      <formula>$B$108=0</formula>
    </cfRule>
  </conditionalFormatting>
  <conditionalFormatting sqref="E92">
    <cfRule type="cellIs" dxfId="1058" priority="2" stopIfTrue="1" operator="lessThan">
      <formula>10</formula>
    </cfRule>
  </conditionalFormatting>
  <conditionalFormatting sqref="B82 E82 B92 D92:E92">
    <cfRule type="expression" dxfId="1057" priority="1">
      <formula>$AX$67=0</formula>
    </cfRule>
  </conditionalFormatting>
  <dataValidations count="5">
    <dataValidation type="whole" allowBlank="1" showInputMessage="1" showErrorMessage="1" errorTitle="Coda Audio" error="YOU HAVE ENTERED A WRONG NUMBER OF CABINETS" promptTitle="Coda Audio" prompt="ENTER THE NUMBER OF CABINETS FROM 1 UP TO 12" sqref="B111" xr:uid="{00000000-0002-0000-0400-000000000000}">
      <formula1>0</formula1>
      <formula2>12</formula2>
    </dataValidation>
    <dataValidation type="decimal" allowBlank="1" showInputMessage="1" showErrorMessage="1" sqref="F115:F125" xr:uid="{00000000-0002-0000-0400-000001000000}">
      <formula1>0</formula1>
      <formula2>8</formula2>
    </dataValidation>
    <dataValidation type="decimal" allowBlank="1" showInputMessage="1" showErrorMessage="1" sqref="F114" xr:uid="{00000000-0002-0000-0400-000002000000}">
      <formula1>0</formula1>
      <formula2>4</formula2>
    </dataValidation>
    <dataValidation type="custom" allowBlank="1" showInputMessage="1" showErrorMessage="1" sqref="D114:D125" xr:uid="{00000000-0002-0000-0400-000003000000}">
      <formula1>OR(D114=0,D114=2.5,D114=5)</formula1>
    </dataValidation>
    <dataValidation type="decimal" allowBlank="1" showInputMessage="1" showErrorMessage="1" sqref="B108" xr:uid="{00000000-0002-0000-0400-000004000000}">
      <formula1>-89.9</formula1>
      <formula2>89.9</formula2>
    </dataValidation>
  </dataValidations>
  <pageMargins left="0.75" right="0.75" top="1" bottom="1" header="0.5" footer="0.5"/>
  <pageSetup orientation="portrait" r:id="rId1"/>
  <headerFooter alignWithMargins="0"/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Sheet3"/>
  <dimension ref="A1:EF232"/>
  <sheetViews>
    <sheetView topLeftCell="A26" zoomScale="50" zoomScaleNormal="50" workbookViewId="0">
      <selection activeCell="B101" sqref="B101"/>
    </sheetView>
  </sheetViews>
  <sheetFormatPr baseColWidth="10" defaultColWidth="8.88671875" defaultRowHeight="17.399999999999999" x14ac:dyDescent="0.3"/>
  <cols>
    <col min="1" max="1" width="1.5546875" customWidth="1"/>
    <col min="2" max="2" width="40.33203125" style="13" customWidth="1"/>
    <col min="3" max="3" width="19.5546875" style="13" hidden="1" customWidth="1"/>
    <col min="4" max="4" width="32.88671875" style="14" bestFit="1" customWidth="1"/>
    <col min="5" max="5" width="27.44140625" style="14" customWidth="1"/>
    <col min="6" max="6" width="39.109375" style="14" hidden="1" customWidth="1"/>
    <col min="7" max="7" width="12.109375" style="14" hidden="1" customWidth="1"/>
    <col min="8" max="8" width="11" style="62" hidden="1" customWidth="1"/>
    <col min="9" max="9" width="8" style="62" hidden="1" customWidth="1"/>
    <col min="10" max="10" width="9.44140625" style="62" hidden="1" customWidth="1"/>
    <col min="11" max="17" width="8" style="62" hidden="1" customWidth="1"/>
    <col min="18" max="18" width="9.6640625" style="62" hidden="1" customWidth="1"/>
    <col min="19" max="19" width="8" style="62" hidden="1" customWidth="1"/>
    <col min="20" max="20" width="13.33203125" style="62" hidden="1" customWidth="1"/>
    <col min="21" max="21" width="11.6640625" style="62" hidden="1" customWidth="1"/>
    <col min="22" max="22" width="11.33203125" style="62" hidden="1" customWidth="1"/>
    <col min="23" max="26" width="14.88671875" style="62" hidden="1" customWidth="1"/>
    <col min="27" max="27" width="12" style="62" hidden="1" customWidth="1"/>
    <col min="28" max="28" width="39.6640625" style="62" customWidth="1"/>
    <col min="29" max="31" width="16.5546875" style="62" hidden="1" customWidth="1"/>
    <col min="32" max="32" width="46.5546875" style="62" hidden="1" customWidth="1"/>
    <col min="33" max="34" width="17" style="62" hidden="1" customWidth="1"/>
    <col min="35" max="35" width="20.88671875" style="62" hidden="1" customWidth="1"/>
    <col min="36" max="36" width="19.44140625" style="62" hidden="1" customWidth="1"/>
    <col min="37" max="37" width="22.44140625" style="62" hidden="1" customWidth="1"/>
    <col min="38" max="38" width="20.88671875" style="62" hidden="1" customWidth="1"/>
    <col min="39" max="39" width="19.44140625" style="62" hidden="1" customWidth="1"/>
    <col min="40" max="40" width="22.6640625" style="62" hidden="1" customWidth="1"/>
    <col min="41" max="41" width="33.6640625" style="62" hidden="1" customWidth="1"/>
    <col min="42" max="42" width="27.109375" style="62" hidden="1" customWidth="1"/>
    <col min="43" max="43" width="68.33203125" style="62" hidden="1" customWidth="1"/>
    <col min="44" max="44" width="22.6640625" style="62" hidden="1" customWidth="1"/>
    <col min="45" max="45" width="24.5546875" style="62" hidden="1" customWidth="1"/>
    <col min="46" max="46" width="33.6640625" style="62" hidden="1" customWidth="1"/>
    <col min="47" max="47" width="22.6640625" style="62" hidden="1" customWidth="1"/>
    <col min="48" max="49" width="24.5546875" style="62" hidden="1" customWidth="1"/>
    <col min="50" max="50" width="39" style="62" hidden="1" customWidth="1"/>
    <col min="51" max="51" width="13.88671875" style="62" hidden="1" customWidth="1"/>
    <col min="52" max="53" width="13" style="62" customWidth="1"/>
    <col min="54" max="54" width="91" hidden="1" customWidth="1"/>
    <col min="55" max="55" width="14.44140625" hidden="1" customWidth="1"/>
    <col min="56" max="57" width="9.33203125" hidden="1" customWidth="1"/>
    <col min="58" max="58" width="4" hidden="1" customWidth="1"/>
    <col min="59" max="59" width="4.88671875" hidden="1" customWidth="1"/>
    <col min="60" max="60" width="9.44140625" hidden="1" customWidth="1"/>
    <col min="61" max="62" width="17" hidden="1" customWidth="1"/>
    <col min="63" max="64" width="16.33203125" hidden="1" customWidth="1"/>
    <col min="65" max="65" width="13.109375" hidden="1" customWidth="1"/>
    <col min="66" max="66" width="21.109375" hidden="1" customWidth="1"/>
    <col min="67" max="67" width="42.88671875" customWidth="1"/>
    <col min="68" max="97" width="7.88671875" customWidth="1"/>
    <col min="98" max="98" width="10.44140625" hidden="1" customWidth="1"/>
    <col min="99" max="99" width="18.33203125" hidden="1" customWidth="1"/>
    <col min="100" max="100" width="21.88671875" hidden="1" customWidth="1"/>
    <col min="101" max="101" width="9.109375" hidden="1" customWidth="1"/>
    <col min="102" max="102" width="41.44140625" hidden="1" customWidth="1"/>
    <col min="103" max="119" width="6.5546875" hidden="1" customWidth="1"/>
    <col min="120" max="132" width="6.5546875" customWidth="1"/>
    <col min="136" max="136" width="11.44140625" customWidth="1"/>
    <col min="137" max="137" width="9.33203125" customWidth="1"/>
  </cols>
  <sheetData>
    <row r="1" spans="2:6" ht="34.5" hidden="1" customHeight="1" x14ac:dyDescent="0.3">
      <c r="D1" s="745" t="s">
        <v>202</v>
      </c>
      <c r="E1" s="745" t="s">
        <v>203</v>
      </c>
      <c r="F1" s="745" t="s">
        <v>204</v>
      </c>
    </row>
    <row r="2" spans="2:6" ht="39" hidden="1" customHeight="1" x14ac:dyDescent="0.4">
      <c r="B2" s="253" t="s">
        <v>29</v>
      </c>
      <c r="C2" s="263">
        <v>650</v>
      </c>
      <c r="D2" s="750">
        <f>+COS(($B$100*-1)*3.14159265358979/180)*C2</f>
        <v>650</v>
      </c>
      <c r="E2" s="746">
        <f>+COS(($B$100*-1)*3.14159265358979/180)*50</f>
        <v>50</v>
      </c>
      <c r="F2" s="746">
        <f>+COS((($B$100*-1)+58.1516306)*3.14159265358979/180)*91.9127</f>
        <v>48.499858560820385</v>
      </c>
    </row>
    <row r="3" spans="2:6" ht="39" hidden="1" customHeight="1" x14ac:dyDescent="0.4">
      <c r="B3" s="253" t="s">
        <v>99</v>
      </c>
      <c r="C3" s="263">
        <f>+C9-48.5</f>
        <v>158.74661160374168</v>
      </c>
      <c r="D3" s="750">
        <f>+C9-F2</f>
        <v>158.74675304292128</v>
      </c>
    </row>
    <row r="4" spans="2:6" ht="39" hidden="1" customHeight="1" x14ac:dyDescent="0.4">
      <c r="B4" s="254" t="s">
        <v>40</v>
      </c>
      <c r="C4" s="264">
        <v>1050</v>
      </c>
      <c r="D4" s="750">
        <f>+COS(($B$100*-1)*3.14159265358979/180)*C4</f>
        <v>1050</v>
      </c>
    </row>
    <row r="5" spans="2:6" ht="39" hidden="1" customHeight="1" x14ac:dyDescent="0.4">
      <c r="B5" s="254" t="s">
        <v>206</v>
      </c>
      <c r="C5" s="264">
        <f>+C9+401.5</f>
        <v>608.74661160374171</v>
      </c>
      <c r="D5" s="750">
        <f>+(COS(($B$100*-1)*3.14159265358979/180)*400)+$D$3</f>
        <v>558.74675304292123</v>
      </c>
    </row>
    <row r="6" spans="2:6" hidden="1" x14ac:dyDescent="0.3">
      <c r="B6" s="147"/>
      <c r="C6" s="147"/>
    </row>
    <row r="7" spans="2:6" hidden="1" x14ac:dyDescent="0.3">
      <c r="B7" s="755" t="s">
        <v>18</v>
      </c>
      <c r="C7" s="756">
        <f>+C11+C14+30+4.3</f>
        <v>176.8</v>
      </c>
    </row>
    <row r="8" spans="2:6" hidden="1" x14ac:dyDescent="0.3">
      <c r="B8" s="755" t="s">
        <v>19</v>
      </c>
      <c r="C8" s="755">
        <f>+AR106</f>
        <v>747.0023123282715</v>
      </c>
    </row>
    <row r="9" spans="2:6" hidden="1" x14ac:dyDescent="0.3">
      <c r="B9" s="755" t="s">
        <v>14</v>
      </c>
      <c r="C9" s="755">
        <f>+AO106</f>
        <v>207.24661160374168</v>
      </c>
    </row>
    <row r="10" spans="2:6" hidden="1" x14ac:dyDescent="0.3"/>
    <row r="11" spans="2:6" hidden="1" x14ac:dyDescent="0.3">
      <c r="B11" s="267" t="s">
        <v>98</v>
      </c>
      <c r="C11" s="268">
        <f>+B103*57+30</f>
        <v>87</v>
      </c>
    </row>
    <row r="12" spans="2:6" hidden="1" x14ac:dyDescent="0.3">
      <c r="B12" s="267" t="s">
        <v>100</v>
      </c>
      <c r="C12" s="268">
        <v>747</v>
      </c>
      <c r="D12" s="85"/>
    </row>
    <row r="13" spans="2:6" hidden="1" x14ac:dyDescent="0.3">
      <c r="D13" s="85"/>
    </row>
    <row r="14" spans="2:6" hidden="1" x14ac:dyDescent="0.3">
      <c r="B14" s="218" t="s">
        <v>101</v>
      </c>
      <c r="C14" s="269">
        <f>(+B124*25.5)+30</f>
        <v>55.5</v>
      </c>
      <c r="D14" s="85"/>
    </row>
    <row r="15" spans="2:6" hidden="1" x14ac:dyDescent="0.3">
      <c r="B15" s="218" t="s">
        <v>103</v>
      </c>
      <c r="C15" s="269">
        <v>326.60000000000002</v>
      </c>
      <c r="D15" s="85"/>
    </row>
    <row r="16" spans="2:6" hidden="1" x14ac:dyDescent="0.3">
      <c r="B16" s="84"/>
      <c r="C16" s="84"/>
      <c r="D16" s="85"/>
    </row>
    <row r="17" spans="2:136" hidden="1" x14ac:dyDescent="0.3">
      <c r="B17" s="84"/>
      <c r="C17" s="84"/>
      <c r="D17" s="85"/>
    </row>
    <row r="18" spans="2:136" hidden="1" x14ac:dyDescent="0.3">
      <c r="B18" s="162" t="s">
        <v>120</v>
      </c>
      <c r="C18" s="218">
        <v>5800</v>
      </c>
      <c r="D18" s="218">
        <v>10000</v>
      </c>
    </row>
    <row r="19" spans="2:136" hidden="1" x14ac:dyDescent="0.3">
      <c r="B19" s="162" t="s">
        <v>121</v>
      </c>
      <c r="C19" s="218">
        <v>5800</v>
      </c>
      <c r="D19" s="218">
        <v>5800</v>
      </c>
    </row>
    <row r="20" spans="2:136" hidden="1" x14ac:dyDescent="0.3">
      <c r="B20" s="162" t="s">
        <v>169</v>
      </c>
      <c r="C20" s="218">
        <v>8000</v>
      </c>
      <c r="D20" s="218">
        <v>8000</v>
      </c>
      <c r="E20" s="163">
        <v>8000</v>
      </c>
    </row>
    <row r="21" spans="2:136" hidden="1" x14ac:dyDescent="0.3">
      <c r="B21" s="218"/>
      <c r="C21" s="218" t="s">
        <v>22</v>
      </c>
      <c r="D21" s="218" t="s">
        <v>23</v>
      </c>
    </row>
    <row r="22" spans="2:136" hidden="1" x14ac:dyDescent="0.3">
      <c r="B22" s="271" t="s">
        <v>102</v>
      </c>
      <c r="C22" s="218">
        <f>+((C8-C9)/C8)*C7</f>
        <v>127.74901270474317</v>
      </c>
      <c r="D22" s="218">
        <f>+(C9/C8)*C7</f>
        <v>49.050987295256846</v>
      </c>
    </row>
    <row r="23" spans="2:136" hidden="1" x14ac:dyDescent="0.3"/>
    <row r="24" spans="2:136" hidden="1" x14ac:dyDescent="0.3"/>
    <row r="25" spans="2:136" hidden="1" x14ac:dyDescent="0.3"/>
    <row r="26" spans="2:136" s="143" customFormat="1" ht="28.5" customHeight="1" thickBot="1" x14ac:dyDescent="0.45">
      <c r="B26" s="147"/>
      <c r="C26" s="147"/>
      <c r="D26" s="144"/>
      <c r="E26" s="144"/>
      <c r="F26" s="144"/>
      <c r="G26" s="144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  <c r="AB26" s="62"/>
      <c r="AC26" s="62"/>
      <c r="AD26" s="62"/>
      <c r="AE26" s="62"/>
      <c r="AF26" s="62"/>
      <c r="AG26" s="62"/>
      <c r="AH26" s="62"/>
      <c r="AI26" s="62"/>
      <c r="AJ26" s="62"/>
      <c r="AK26" s="62"/>
      <c r="AL26" s="62"/>
      <c r="AM26" s="62"/>
      <c r="AN26" s="62"/>
      <c r="AO26" s="62"/>
      <c r="AP26" s="62"/>
      <c r="AQ26" s="62"/>
      <c r="AR26" s="62"/>
      <c r="AS26" s="62"/>
      <c r="AT26" s="62"/>
      <c r="AU26" s="62"/>
      <c r="AV26" s="62"/>
      <c r="AW26" s="62"/>
      <c r="AX26" s="62"/>
      <c r="AY26" s="62"/>
      <c r="AZ26" s="62"/>
      <c r="BA26" s="62"/>
      <c r="BC26" s="112"/>
      <c r="BD26" s="146"/>
      <c r="BE26" s="144"/>
      <c r="BF26" s="144"/>
      <c r="BG26" s="144"/>
      <c r="BH26" s="144"/>
      <c r="BI26" s="144"/>
      <c r="BJ26" s="144"/>
      <c r="BK26" s="144"/>
      <c r="BL26" s="144"/>
      <c r="BM26" s="144"/>
      <c r="BN26" s="144"/>
      <c r="BO26" s="181" t="s">
        <v>28</v>
      </c>
      <c r="BP26" s="1994">
        <f>+C7</f>
        <v>176.8</v>
      </c>
      <c r="BQ26" s="1994"/>
      <c r="BR26" s="182" t="s">
        <v>17</v>
      </c>
      <c r="BS26" s="185"/>
      <c r="BT26" s="183" t="s">
        <v>112</v>
      </c>
      <c r="BU26" s="184"/>
      <c r="BV26" s="184"/>
      <c r="BW26" s="184"/>
      <c r="BX26" s="184"/>
      <c r="BY26" s="184"/>
      <c r="BZ26" s="184"/>
      <c r="CA26" s="184"/>
      <c r="CB26" s="184"/>
      <c r="CC26" s="184"/>
      <c r="CD26" s="184"/>
      <c r="CE26" s="184"/>
      <c r="CF26" s="184"/>
      <c r="CG26" s="184"/>
      <c r="CH26" s="184"/>
      <c r="CI26" s="184"/>
      <c r="CJ26" s="184"/>
      <c r="CK26" s="184"/>
      <c r="CL26" s="155"/>
      <c r="CM26" s="155"/>
      <c r="CN26" s="59"/>
      <c r="CQ26"/>
      <c r="CR26"/>
      <c r="CS26"/>
      <c r="CT26"/>
      <c r="CU26"/>
      <c r="CV26"/>
      <c r="CW26"/>
      <c r="CX26"/>
      <c r="CY26"/>
      <c r="CZ26"/>
      <c r="DA26"/>
      <c r="DB26"/>
      <c r="DC26"/>
      <c r="DD26"/>
      <c r="DE26"/>
      <c r="DF26"/>
      <c r="DG26"/>
      <c r="DH26"/>
      <c r="DI26"/>
      <c r="DJ26"/>
      <c r="DK26"/>
      <c r="DL26"/>
      <c r="DM26"/>
      <c r="DN26"/>
      <c r="DO26"/>
      <c r="DP26"/>
      <c r="DQ26"/>
      <c r="DR26"/>
      <c r="DS26"/>
      <c r="DT26"/>
      <c r="DU26"/>
      <c r="DV26"/>
      <c r="DW26"/>
      <c r="DX26"/>
      <c r="DY26"/>
      <c r="DZ26"/>
      <c r="EA26"/>
      <c r="EB26"/>
      <c r="EC26"/>
      <c r="ED26"/>
      <c r="EE26"/>
      <c r="EF26"/>
    </row>
    <row r="27" spans="2:136" ht="25.2" x14ac:dyDescent="0.45">
      <c r="U27" s="86"/>
      <c r="BC27" s="760"/>
      <c r="BE27" s="14"/>
      <c r="BF27" s="760"/>
      <c r="BG27" s="760"/>
      <c r="BH27" s="760"/>
      <c r="BI27" s="760"/>
      <c r="BJ27" s="760"/>
      <c r="BK27" s="760"/>
      <c r="BL27" s="760"/>
      <c r="BM27" s="760"/>
      <c r="BN27" s="760"/>
      <c r="BO27" s="186" t="s">
        <v>30</v>
      </c>
      <c r="BP27" s="238" t="s">
        <v>31</v>
      </c>
      <c r="BQ27" s="256"/>
      <c r="BR27" s="256"/>
      <c r="BS27" s="256"/>
      <c r="BT27" s="256"/>
      <c r="BU27" s="256"/>
      <c r="BV27" s="256"/>
      <c r="BW27" s="256"/>
      <c r="BX27" s="256"/>
      <c r="BY27" s="256"/>
      <c r="BZ27" s="256"/>
      <c r="CA27" s="256"/>
      <c r="CB27" s="256"/>
      <c r="CC27" s="256"/>
      <c r="CD27" s="256"/>
      <c r="CE27" s="256"/>
      <c r="CF27" s="256"/>
      <c r="CG27" s="256"/>
      <c r="CH27" s="1"/>
      <c r="CI27" s="320"/>
      <c r="CJ27" s="320"/>
      <c r="CK27" s="188" t="s">
        <v>32</v>
      </c>
      <c r="CL27" s="1978"/>
      <c r="CM27" s="1979"/>
      <c r="CN27" s="1979"/>
      <c r="CO27" s="1979"/>
      <c r="CP27" s="1979"/>
      <c r="CQ27" s="1979"/>
      <c r="CR27" s="1979"/>
      <c r="CS27" s="1980"/>
    </row>
    <row r="28" spans="2:136" ht="25.8" thickBot="1" x14ac:dyDescent="0.5">
      <c r="BE28" s="14"/>
      <c r="BF28" s="760"/>
      <c r="BG28" s="760"/>
      <c r="BH28" s="760"/>
      <c r="BI28" s="760"/>
      <c r="BJ28" s="760"/>
      <c r="BK28" s="760"/>
      <c r="BL28" s="760"/>
      <c r="BM28" s="760"/>
      <c r="BN28" s="1347">
        <f>+IF(AND(CJ28&gt;0,BP28&gt;0),BP28)</f>
        <v>82.717689582868118</v>
      </c>
      <c r="BO28" s="677" t="s">
        <v>78</v>
      </c>
      <c r="BP28" s="2007">
        <f>+((D4-D5)/D4)*C7</f>
        <v>82.717689582868118</v>
      </c>
      <c r="BQ28" s="2008"/>
      <c r="BR28" s="321"/>
      <c r="BS28" s="321"/>
      <c r="BT28" s="321"/>
      <c r="BU28" s="321"/>
      <c r="BV28" s="321"/>
      <c r="BW28" s="321"/>
      <c r="BX28" s="321"/>
      <c r="BY28" s="321"/>
      <c r="BZ28" s="321"/>
      <c r="CA28" s="321"/>
      <c r="CB28" s="321"/>
      <c r="CC28" s="321"/>
      <c r="CD28" s="321"/>
      <c r="CE28" s="321"/>
      <c r="CF28" s="321"/>
      <c r="CG28" s="321"/>
      <c r="CH28" s="2"/>
      <c r="CI28" s="322"/>
      <c r="CJ28" s="1991">
        <f>+(D5/D4)*C7</f>
        <v>94.082310417131893</v>
      </c>
      <c r="CK28" s="1992"/>
      <c r="CL28" s="1981"/>
      <c r="CM28" s="1982"/>
      <c r="CN28" s="1982"/>
      <c r="CO28" s="1982"/>
      <c r="CP28" s="1982"/>
      <c r="CQ28" s="1982"/>
      <c r="CR28" s="1982"/>
      <c r="CS28" s="1983"/>
      <c r="CT28" s="1347">
        <f>+IF(AND(BP28&gt;0,CJ28&gt;0),CJ28)</f>
        <v>94.082310417131893</v>
      </c>
    </row>
    <row r="29" spans="2:136" ht="25.2" x14ac:dyDescent="0.45">
      <c r="F29" s="119"/>
      <c r="G29" s="119"/>
      <c r="BE29" s="14"/>
      <c r="BF29" s="760"/>
      <c r="BG29" s="760"/>
      <c r="BH29" s="760"/>
      <c r="BI29" s="760"/>
      <c r="BJ29" s="760"/>
      <c r="BK29" s="760"/>
      <c r="BL29" s="760"/>
      <c r="BM29" s="760"/>
      <c r="BN29" s="760"/>
      <c r="BO29" s="189" t="s">
        <v>30</v>
      </c>
      <c r="BP29" s="1978"/>
      <c r="BQ29" s="1979"/>
      <c r="BR29" s="1979"/>
      <c r="BS29" s="1979"/>
      <c r="BT29" s="1979"/>
      <c r="BU29" s="1979"/>
      <c r="BV29" s="1979"/>
      <c r="BW29" s="1980"/>
      <c r="BX29" s="421" t="s">
        <v>31</v>
      </c>
      <c r="BY29" s="257"/>
      <c r="BZ29" s="257"/>
      <c r="CA29" s="257"/>
      <c r="CB29" s="257"/>
      <c r="CC29" s="257"/>
      <c r="CD29" s="257"/>
      <c r="CE29" s="257"/>
      <c r="CF29" s="257"/>
      <c r="CG29" s="257"/>
      <c r="CH29" s="257"/>
      <c r="CI29" s="257"/>
      <c r="CJ29" s="257"/>
      <c r="CK29" s="1"/>
      <c r="CL29" s="257"/>
      <c r="CM29" s="1"/>
      <c r="CN29" s="314"/>
      <c r="CO29" s="1"/>
      <c r="CP29" s="1"/>
      <c r="CQ29" s="1"/>
      <c r="CR29" s="1"/>
      <c r="CS29" s="191" t="s">
        <v>32</v>
      </c>
    </row>
    <row r="30" spans="2:136" ht="23.4" thickBot="1" x14ac:dyDescent="0.45">
      <c r="H30" s="243"/>
      <c r="I30" s="243"/>
      <c r="J30" s="243"/>
      <c r="K30" s="243"/>
      <c r="L30" s="243"/>
      <c r="M30" s="243"/>
      <c r="N30" s="243"/>
      <c r="O30" s="243"/>
      <c r="P30" s="243"/>
      <c r="Q30" s="243"/>
      <c r="R30" s="243"/>
      <c r="S30" s="243"/>
      <c r="T30" s="243"/>
      <c r="AF30" s="243"/>
      <c r="AG30" s="243"/>
      <c r="AH30" s="243"/>
      <c r="AI30" s="243"/>
      <c r="AJ30" s="243"/>
      <c r="AK30" s="243"/>
      <c r="AL30" s="243"/>
      <c r="AM30" s="243"/>
      <c r="AN30" s="243"/>
      <c r="AO30" s="243"/>
      <c r="AP30" s="243"/>
      <c r="AQ30" s="243"/>
      <c r="AR30" s="243"/>
      <c r="AS30" s="243"/>
      <c r="AT30" s="243"/>
      <c r="AU30" s="243"/>
      <c r="AV30" s="243"/>
      <c r="AW30" s="243"/>
      <c r="AX30" s="243"/>
      <c r="AY30" s="243"/>
      <c r="AZ30" s="243"/>
      <c r="BA30" s="243"/>
      <c r="BB30" s="14"/>
      <c r="BE30" s="14"/>
      <c r="BF30" s="14"/>
      <c r="BG30" s="14"/>
      <c r="BH30" s="14"/>
      <c r="BI30" s="14"/>
      <c r="BJ30" s="14"/>
      <c r="BK30" s="14"/>
      <c r="BL30" s="14"/>
      <c r="BM30" s="14"/>
      <c r="BN30" s="1347">
        <f>+IF(AND(CR30&gt;0,BX30&gt;0),BX30)</f>
        <v>150.07007053524907</v>
      </c>
      <c r="BO30" s="192" t="s">
        <v>79</v>
      </c>
      <c r="BP30" s="1981"/>
      <c r="BQ30" s="1982"/>
      <c r="BR30" s="1982"/>
      <c r="BS30" s="1982"/>
      <c r="BT30" s="1982"/>
      <c r="BU30" s="1982"/>
      <c r="BV30" s="1982"/>
      <c r="BW30" s="1983"/>
      <c r="BX30" s="2005">
        <f>+((D4-D3)/D4)*C7</f>
        <v>150.07007053524907</v>
      </c>
      <c r="BY30" s="2006"/>
      <c r="BZ30" s="258"/>
      <c r="CA30" s="258"/>
      <c r="CB30" s="258"/>
      <c r="CC30" s="258"/>
      <c r="CD30" s="258"/>
      <c r="CE30" s="258"/>
      <c r="CF30" s="258"/>
      <c r="CG30" s="258"/>
      <c r="CH30" s="258"/>
      <c r="CI30" s="258"/>
      <c r="CJ30" s="258"/>
      <c r="CK30" s="2"/>
      <c r="CL30" s="258"/>
      <c r="CM30" s="2"/>
      <c r="CN30" s="315"/>
      <c r="CO30" s="2"/>
      <c r="CP30" s="2"/>
      <c r="CQ30" s="2"/>
      <c r="CR30" s="1989">
        <f>+(D3/D4)*C7</f>
        <v>26.729929464750938</v>
      </c>
      <c r="CS30" s="1990"/>
      <c r="CT30" s="1347">
        <f>+IF(AND(BX30&gt;0,CR30&gt;0),CR30)</f>
        <v>26.729929464750938</v>
      </c>
    </row>
    <row r="31" spans="2:136" ht="21" thickBot="1" x14ac:dyDescent="0.4">
      <c r="H31" s="243"/>
      <c r="I31" s="243"/>
      <c r="J31" s="243"/>
      <c r="K31" s="243"/>
      <c r="L31" s="243"/>
      <c r="M31" s="243"/>
      <c r="N31" s="243"/>
      <c r="O31" s="243"/>
      <c r="P31" s="243"/>
      <c r="Q31" s="243"/>
      <c r="R31" s="243"/>
      <c r="S31" s="243"/>
      <c r="T31" s="243"/>
      <c r="AF31" s="243"/>
      <c r="AG31" s="243"/>
      <c r="AH31" s="243"/>
      <c r="AI31" s="243"/>
      <c r="AJ31" s="243"/>
      <c r="AK31" s="243"/>
      <c r="AL31" s="243"/>
      <c r="AM31" s="243"/>
      <c r="AN31" s="243"/>
      <c r="AO31" s="243"/>
      <c r="AP31" s="243"/>
      <c r="AQ31" s="243"/>
      <c r="AR31" s="243"/>
      <c r="AS31" s="243"/>
      <c r="AT31" s="243"/>
      <c r="AU31" s="243"/>
      <c r="AV31" s="243"/>
      <c r="AW31" s="243"/>
      <c r="AX31" s="243"/>
      <c r="AY31" s="243"/>
      <c r="AZ31" s="243"/>
      <c r="BA31" s="243"/>
      <c r="BB31" s="14"/>
      <c r="BE31" s="14"/>
      <c r="BF31" s="86"/>
      <c r="BG31" s="86"/>
      <c r="BH31" s="86"/>
      <c r="BI31" s="86"/>
      <c r="BJ31" s="86"/>
      <c r="BK31" s="86"/>
      <c r="BL31" s="86"/>
      <c r="BM31" s="86"/>
      <c r="BN31" s="86"/>
      <c r="BO31" s="185"/>
      <c r="BP31" s="59"/>
      <c r="BQ31" s="59"/>
      <c r="BR31" s="59"/>
      <c r="BS31" s="59"/>
      <c r="BT31" s="59"/>
      <c r="BU31" s="59"/>
      <c r="BV31" s="59"/>
      <c r="BW31" s="59"/>
      <c r="BX31" s="59"/>
      <c r="BY31" s="59"/>
      <c r="BZ31" s="59"/>
      <c r="CA31" s="59"/>
      <c r="CB31" s="59"/>
      <c r="CC31" s="59"/>
      <c r="CD31" s="59"/>
      <c r="CE31" s="59"/>
      <c r="CF31" s="59"/>
      <c r="CG31" s="59"/>
      <c r="CH31" s="59"/>
      <c r="CI31" s="59"/>
      <c r="CJ31" s="59"/>
      <c r="CK31" s="59"/>
      <c r="CL31" s="59"/>
      <c r="CM31" s="59"/>
      <c r="CN31" s="59"/>
      <c r="CQ31" s="14"/>
      <c r="CR31" s="14"/>
      <c r="CS31" s="14"/>
      <c r="CT31" s="14"/>
      <c r="CU31" s="14"/>
      <c r="CV31" s="14"/>
      <c r="CW31" s="14"/>
      <c r="CX31" s="14"/>
      <c r="CY31" s="14"/>
      <c r="CZ31" s="14"/>
      <c r="DA31" s="14"/>
      <c r="DB31" s="14"/>
      <c r="DC31" s="14"/>
      <c r="DD31" s="14"/>
      <c r="DE31" s="14"/>
      <c r="DF31" s="14"/>
      <c r="DG31" s="14"/>
      <c r="DH31" s="14"/>
      <c r="DI31" s="14"/>
      <c r="DJ31" s="14"/>
      <c r="DK31" s="14"/>
      <c r="DL31" s="14"/>
      <c r="DM31" s="14"/>
      <c r="DN31" s="14"/>
      <c r="DO31" s="14"/>
      <c r="DP31" s="14"/>
      <c r="DQ31" s="14"/>
      <c r="DR31" s="14"/>
      <c r="DS31" s="14"/>
      <c r="DT31" s="14"/>
      <c r="DU31" s="14"/>
      <c r="DV31" s="14"/>
      <c r="DW31" s="14"/>
      <c r="DX31" s="14"/>
      <c r="DY31" s="14"/>
      <c r="DZ31" s="14"/>
      <c r="EA31" s="14"/>
      <c r="EB31" s="14"/>
      <c r="EC31" s="14"/>
      <c r="ED31" s="14"/>
      <c r="EE31" s="14"/>
      <c r="EF31" s="14"/>
    </row>
    <row r="32" spans="2:136" ht="26.25" hidden="1" customHeight="1" x14ac:dyDescent="0.35">
      <c r="E32" s="85"/>
      <c r="F32" s="85"/>
      <c r="G32" s="85"/>
      <c r="H32" s="243"/>
      <c r="I32" s="243"/>
      <c r="J32" s="243"/>
      <c r="K32" s="243"/>
      <c r="L32" s="243"/>
      <c r="M32" s="243"/>
      <c r="N32" s="243"/>
      <c r="O32" s="243"/>
      <c r="P32" s="243"/>
      <c r="Q32" s="243"/>
      <c r="R32" s="243"/>
      <c r="S32" s="243"/>
      <c r="T32" s="243"/>
      <c r="U32" s="243"/>
      <c r="V32" s="243"/>
      <c r="W32" s="243"/>
      <c r="X32" s="243"/>
      <c r="Y32" s="243"/>
      <c r="Z32" s="243"/>
      <c r="AA32" s="243"/>
      <c r="AB32" s="243"/>
      <c r="AC32" s="243"/>
      <c r="AD32" s="243"/>
      <c r="AE32" s="243"/>
      <c r="AF32" s="243"/>
      <c r="AG32" s="243"/>
      <c r="AH32" s="243"/>
      <c r="AI32" s="243"/>
      <c r="AJ32" s="243"/>
      <c r="AK32" s="243"/>
      <c r="AL32" s="243"/>
      <c r="AM32" s="243"/>
      <c r="AN32" s="243"/>
      <c r="AO32" s="243"/>
      <c r="AP32" s="243"/>
      <c r="AQ32" s="243"/>
      <c r="AR32" s="243"/>
      <c r="AS32" s="243"/>
      <c r="AT32" s="243"/>
      <c r="AU32" s="243"/>
      <c r="AV32" s="243"/>
      <c r="AW32" s="243"/>
      <c r="AX32" s="243"/>
      <c r="AY32" s="243"/>
      <c r="AZ32" s="243"/>
      <c r="BA32" s="243"/>
      <c r="BB32" s="14"/>
      <c r="BE32" s="14"/>
      <c r="BF32" s="323"/>
      <c r="BG32" s="323"/>
      <c r="BH32" s="323"/>
      <c r="BI32" s="323"/>
      <c r="BJ32" s="323"/>
      <c r="BK32" s="323"/>
      <c r="BL32" s="323"/>
      <c r="BM32" s="323"/>
      <c r="BN32" s="323"/>
      <c r="BO32" s="185"/>
      <c r="CN32" s="59"/>
    </row>
    <row r="33" spans="5:97" ht="26.25" hidden="1" customHeight="1" thickBot="1" x14ac:dyDescent="0.45">
      <c r="E33" s="85"/>
      <c r="F33" s="85"/>
      <c r="G33" s="85"/>
      <c r="H33" s="243"/>
      <c r="I33" s="243"/>
      <c r="J33" s="243"/>
      <c r="K33" s="243"/>
      <c r="L33" s="243"/>
      <c r="M33" s="243"/>
      <c r="N33" s="243"/>
      <c r="O33" s="243"/>
      <c r="P33" s="243"/>
      <c r="Q33" s="243"/>
      <c r="R33" s="243"/>
      <c r="S33" s="243"/>
      <c r="T33" s="243"/>
      <c r="U33" s="243"/>
      <c r="V33" s="243"/>
      <c r="W33" s="243"/>
      <c r="X33" s="243"/>
      <c r="Y33" s="243"/>
      <c r="Z33" s="243"/>
      <c r="AA33" s="243"/>
      <c r="AB33" s="243"/>
      <c r="AC33" s="243"/>
      <c r="AD33" s="243"/>
      <c r="AE33" s="243"/>
      <c r="AF33" s="243"/>
      <c r="AG33" s="243"/>
      <c r="AH33" s="243"/>
      <c r="AI33" s="243"/>
      <c r="AJ33" s="243"/>
      <c r="AK33" s="243"/>
      <c r="AL33" s="243"/>
      <c r="AM33" s="243"/>
      <c r="AN33" s="243"/>
      <c r="AO33" s="243"/>
      <c r="AP33" s="243"/>
      <c r="AQ33" s="243"/>
      <c r="AR33" s="243"/>
      <c r="AS33" s="243"/>
      <c r="AT33" s="243"/>
      <c r="AU33" s="243"/>
      <c r="AV33" s="243"/>
      <c r="AW33" s="243"/>
      <c r="AX33" s="243"/>
      <c r="AY33" s="243"/>
      <c r="AZ33" s="243"/>
      <c r="BA33" s="243"/>
      <c r="BB33" s="14"/>
      <c r="BF33" s="4"/>
      <c r="BG33" s="4"/>
      <c r="BH33" s="4"/>
      <c r="BI33" s="4"/>
      <c r="BJ33" s="4"/>
      <c r="BK33" s="4"/>
      <c r="BL33" s="4"/>
      <c r="BM33" s="4"/>
      <c r="BN33" s="4"/>
      <c r="BO33" s="1883" t="s">
        <v>93</v>
      </c>
      <c r="BP33" s="198"/>
      <c r="BQ33" s="198"/>
      <c r="BR33" s="198"/>
      <c r="BS33" s="198"/>
      <c r="BT33" s="198"/>
      <c r="BU33" s="199"/>
      <c r="BV33" s="198"/>
      <c r="BW33" s="198"/>
      <c r="BX33" s="198"/>
      <c r="BY33" s="198"/>
      <c r="BZ33" s="198"/>
      <c r="CA33" s="198"/>
      <c r="CB33" s="198"/>
      <c r="CC33" s="198"/>
      <c r="CD33" s="198"/>
      <c r="CE33" s="198"/>
      <c r="CF33" s="198"/>
      <c r="CG33" s="198"/>
      <c r="CH33" s="198"/>
      <c r="CI33" s="198"/>
      <c r="CJ33" s="198"/>
      <c r="CK33" s="198"/>
      <c r="CL33" s="198"/>
      <c r="CM33" s="199"/>
      <c r="CN33" s="185"/>
      <c r="CO33" s="185"/>
      <c r="CP33" s="185"/>
      <c r="CQ33" s="185"/>
      <c r="CR33" s="185"/>
      <c r="CS33" s="185"/>
    </row>
    <row r="34" spans="5:97" ht="26.25" hidden="1" customHeight="1" thickBot="1" x14ac:dyDescent="0.45">
      <c r="E34" s="85"/>
      <c r="F34" s="85"/>
      <c r="G34" s="85"/>
      <c r="H34" s="243"/>
      <c r="I34" s="243"/>
      <c r="J34" s="243"/>
      <c r="K34" s="243"/>
      <c r="L34" s="243"/>
      <c r="M34" s="243"/>
      <c r="N34" s="243"/>
      <c r="O34" s="243"/>
      <c r="P34" s="243"/>
      <c r="Q34" s="243"/>
      <c r="R34" s="243"/>
      <c r="S34" s="243"/>
      <c r="T34" s="243"/>
      <c r="U34" s="243"/>
      <c r="V34" s="243"/>
      <c r="W34" s="243"/>
      <c r="X34" s="243"/>
      <c r="Y34" s="243"/>
      <c r="Z34" s="243"/>
      <c r="AA34" s="243"/>
      <c r="AB34" s="243"/>
      <c r="AC34" s="243"/>
      <c r="AD34" s="243"/>
      <c r="AE34" s="243"/>
      <c r="AF34" s="243"/>
      <c r="AG34" s="243"/>
      <c r="AH34" s="243"/>
      <c r="AI34" s="243"/>
      <c r="AJ34" s="243"/>
      <c r="AK34" s="243"/>
      <c r="AL34" s="243"/>
      <c r="AM34" s="243"/>
      <c r="AN34" s="243"/>
      <c r="AO34" s="243"/>
      <c r="AP34" s="243"/>
      <c r="AQ34" s="243"/>
      <c r="AR34" s="243"/>
      <c r="AS34" s="243"/>
      <c r="AT34" s="243"/>
      <c r="AU34" s="243"/>
      <c r="AV34" s="243"/>
      <c r="AW34" s="243"/>
      <c r="AX34" s="243"/>
      <c r="AY34" s="243"/>
      <c r="AZ34" s="243"/>
      <c r="BA34" s="243"/>
      <c r="BB34" s="14"/>
      <c r="BF34" s="4"/>
      <c r="BG34" s="4"/>
      <c r="BH34" s="4"/>
      <c r="BI34" s="4"/>
      <c r="BJ34" s="4"/>
      <c r="BK34" s="4"/>
      <c r="BL34" s="4"/>
      <c r="BM34" s="4"/>
      <c r="BN34" s="4"/>
      <c r="BO34" s="1883" t="s">
        <v>92</v>
      </c>
      <c r="BP34" s="185"/>
      <c r="BQ34" s="185"/>
      <c r="BR34" s="185"/>
      <c r="BS34" s="185"/>
      <c r="BT34" s="185"/>
      <c r="BU34" s="185"/>
      <c r="BV34" s="185"/>
      <c r="BW34" s="185"/>
      <c r="BX34" s="185"/>
      <c r="BY34" s="185"/>
      <c r="BZ34" s="185"/>
      <c r="CA34" s="185"/>
      <c r="CB34" s="185"/>
      <c r="CC34" s="185"/>
      <c r="CD34" s="185"/>
      <c r="CE34" s="185"/>
      <c r="CF34" s="185"/>
      <c r="CG34" s="185"/>
      <c r="CH34" s="185"/>
      <c r="CI34" s="185"/>
      <c r="CJ34" s="185"/>
      <c r="CK34" s="185"/>
      <c r="CL34" s="185"/>
      <c r="CM34" s="185"/>
      <c r="CN34" s="185"/>
      <c r="CO34" s="185"/>
      <c r="CP34" s="185"/>
      <c r="CQ34" s="210" t="b">
        <f>IF(CR84=29,28)</f>
        <v>0</v>
      </c>
      <c r="CR34" s="234"/>
      <c r="CS34" s="212" t="b">
        <f>IF(CR84=29,30)</f>
        <v>0</v>
      </c>
    </row>
    <row r="35" spans="5:97" ht="26.25" hidden="1" customHeight="1" thickBot="1" x14ac:dyDescent="0.45">
      <c r="E35" s="85"/>
      <c r="F35" s="85"/>
      <c r="G35" s="85"/>
      <c r="H35" s="243"/>
      <c r="I35" s="243"/>
      <c r="J35" s="243"/>
      <c r="K35" s="243"/>
      <c r="L35" s="243"/>
      <c r="M35" s="243"/>
      <c r="N35" s="243"/>
      <c r="O35" s="243"/>
      <c r="P35" s="243"/>
      <c r="Q35" s="243"/>
      <c r="R35" s="243"/>
      <c r="S35" s="243"/>
      <c r="T35" s="243"/>
      <c r="U35" s="243"/>
      <c r="V35" s="243"/>
      <c r="W35" s="243"/>
      <c r="X35" s="243"/>
      <c r="Y35" s="243"/>
      <c r="Z35" s="243"/>
      <c r="AA35" s="243"/>
      <c r="AB35" s="243"/>
      <c r="AC35" s="243"/>
      <c r="AD35" s="243"/>
      <c r="AE35" s="243"/>
      <c r="AF35" s="243"/>
      <c r="AG35" s="243"/>
      <c r="AH35" s="243"/>
      <c r="AI35" s="243"/>
      <c r="AJ35" s="243"/>
      <c r="AK35" s="243"/>
      <c r="AL35" s="243"/>
      <c r="AM35" s="243"/>
      <c r="AN35" s="243"/>
      <c r="AO35" s="243"/>
      <c r="AP35" s="243"/>
      <c r="AQ35" s="243"/>
      <c r="AR35" s="243"/>
      <c r="AS35" s="243"/>
      <c r="AT35" s="243"/>
      <c r="AU35" s="243"/>
      <c r="AV35" s="243"/>
      <c r="AW35" s="243"/>
      <c r="AX35" s="243"/>
      <c r="AY35" s="243"/>
      <c r="AZ35" s="243"/>
      <c r="BA35" s="243"/>
      <c r="BB35" s="14"/>
      <c r="BF35" s="4"/>
      <c r="BG35" s="4"/>
      <c r="BH35" s="4"/>
      <c r="BI35" s="4"/>
      <c r="BJ35" s="4"/>
      <c r="BK35" s="4"/>
      <c r="BL35" s="4"/>
      <c r="BM35" s="4"/>
      <c r="BN35" s="4"/>
      <c r="BO35" s="1883" t="s">
        <v>91</v>
      </c>
      <c r="BP35" s="185"/>
      <c r="BQ35" s="185"/>
      <c r="BR35" s="185"/>
      <c r="BS35" s="185"/>
      <c r="BT35" s="185"/>
      <c r="BU35" s="185"/>
      <c r="BV35" s="185"/>
      <c r="BW35" s="185"/>
      <c r="BX35" s="185"/>
      <c r="BY35" s="185"/>
      <c r="BZ35" s="185"/>
      <c r="CA35" s="185"/>
      <c r="CB35" s="185"/>
      <c r="CC35" s="185"/>
      <c r="CD35" s="185"/>
      <c r="CE35" s="185"/>
      <c r="CF35" s="185"/>
      <c r="CG35" s="185"/>
      <c r="CH35" s="185"/>
      <c r="CI35" s="185"/>
      <c r="CJ35" s="185"/>
      <c r="CK35" s="185"/>
      <c r="CL35" s="185"/>
      <c r="CM35" s="185"/>
      <c r="CN35" s="185"/>
      <c r="CO35" s="210" t="b">
        <f>IF(CQ84=28,26)</f>
        <v>0</v>
      </c>
      <c r="CP35" s="234"/>
      <c r="CQ35" s="234"/>
      <c r="CR35" s="234"/>
      <c r="CS35" s="212" t="b">
        <f>IF(CQ84=28,30)</f>
        <v>0</v>
      </c>
    </row>
    <row r="36" spans="5:97" ht="26.25" hidden="1" customHeight="1" thickBot="1" x14ac:dyDescent="0.45">
      <c r="E36" s="85"/>
      <c r="F36" s="85"/>
      <c r="G36" s="85"/>
      <c r="H36" s="243"/>
      <c r="I36" s="243"/>
      <c r="J36" s="243"/>
      <c r="K36" s="243"/>
      <c r="L36" s="243"/>
      <c r="M36" s="243"/>
      <c r="N36" s="243"/>
      <c r="O36" s="243"/>
      <c r="P36" s="243"/>
      <c r="Q36" s="243"/>
      <c r="R36" s="243"/>
      <c r="S36" s="243"/>
      <c r="T36" s="243"/>
      <c r="U36" s="243"/>
      <c r="V36" s="243"/>
      <c r="W36" s="243"/>
      <c r="X36" s="243"/>
      <c r="Y36" s="243"/>
      <c r="Z36" s="243"/>
      <c r="AA36" s="243"/>
      <c r="AB36" s="243"/>
      <c r="AC36" s="243"/>
      <c r="AD36" s="243"/>
      <c r="AE36" s="243"/>
      <c r="AF36" s="243"/>
      <c r="AG36" s="243"/>
      <c r="AH36" s="243"/>
      <c r="AI36" s="243"/>
      <c r="AJ36" s="243"/>
      <c r="AK36" s="243"/>
      <c r="AL36" s="243"/>
      <c r="AM36" s="243"/>
      <c r="AN36" s="243"/>
      <c r="AO36" s="243"/>
      <c r="AP36" s="243"/>
      <c r="AQ36" s="243"/>
      <c r="AR36" s="243"/>
      <c r="AS36" s="243"/>
      <c r="AT36" s="243"/>
      <c r="AU36" s="243"/>
      <c r="AV36" s="243"/>
      <c r="AW36" s="243"/>
      <c r="AX36" s="243"/>
      <c r="AY36" s="243"/>
      <c r="AZ36" s="243"/>
      <c r="BA36" s="243"/>
      <c r="BB36" s="14"/>
      <c r="BF36" s="4"/>
      <c r="BG36" s="4"/>
      <c r="BH36" s="4"/>
      <c r="BI36" s="4"/>
      <c r="BJ36" s="4"/>
      <c r="BK36" s="4"/>
      <c r="BL36" s="4"/>
      <c r="BM36" s="4"/>
      <c r="BN36" s="4"/>
      <c r="BO36" s="1883" t="s">
        <v>90</v>
      </c>
      <c r="BP36" s="185"/>
      <c r="BQ36" s="185"/>
      <c r="BR36" s="185"/>
      <c r="BS36" s="185"/>
      <c r="BT36" s="185"/>
      <c r="BU36" s="185"/>
      <c r="BV36" s="185"/>
      <c r="BW36" s="185"/>
      <c r="BX36" s="185"/>
      <c r="BY36" s="185"/>
      <c r="BZ36" s="185"/>
      <c r="CA36" s="185"/>
      <c r="CB36" s="185"/>
      <c r="CC36" s="185"/>
      <c r="CD36" s="185"/>
      <c r="CE36" s="185"/>
      <c r="CF36" s="185"/>
      <c r="CG36" s="185"/>
      <c r="CH36" s="185"/>
      <c r="CI36" s="185"/>
      <c r="CJ36" s="185"/>
      <c r="CK36" s="185"/>
      <c r="CL36" s="185"/>
      <c r="CM36" s="210" t="b">
        <f>IF(CP84=27,24)</f>
        <v>0</v>
      </c>
      <c r="CN36" s="234"/>
      <c r="CO36" s="234"/>
      <c r="CP36" s="234"/>
      <c r="CQ36" s="234"/>
      <c r="CR36" s="234"/>
      <c r="CS36" s="212" t="b">
        <f>IF(CP84=27,30)</f>
        <v>0</v>
      </c>
    </row>
    <row r="37" spans="5:97" ht="26.25" hidden="1" customHeight="1" thickBot="1" x14ac:dyDescent="0.45">
      <c r="E37" s="85"/>
      <c r="F37" s="85"/>
      <c r="G37" s="85"/>
      <c r="H37" s="243"/>
      <c r="I37" s="243"/>
      <c r="J37" s="243"/>
      <c r="K37" s="243"/>
      <c r="L37" s="243"/>
      <c r="M37" s="243"/>
      <c r="N37" s="243"/>
      <c r="O37" s="243"/>
      <c r="P37" s="243"/>
      <c r="Q37" s="243"/>
      <c r="R37" s="243"/>
      <c r="S37" s="243"/>
      <c r="T37" s="243"/>
      <c r="U37" s="243"/>
      <c r="V37" s="243"/>
      <c r="W37" s="243"/>
      <c r="X37" s="243"/>
      <c r="Y37" s="243"/>
      <c r="Z37" s="243"/>
      <c r="AA37" s="243"/>
      <c r="AB37" s="243"/>
      <c r="AC37" s="243"/>
      <c r="AD37" s="243"/>
      <c r="AE37" s="243"/>
      <c r="AF37" s="243"/>
      <c r="AG37" s="243"/>
      <c r="AH37" s="243"/>
      <c r="AI37" s="243"/>
      <c r="AJ37" s="243"/>
      <c r="AK37" s="243"/>
      <c r="AL37" s="243"/>
      <c r="AM37" s="243"/>
      <c r="AN37" s="243"/>
      <c r="AO37" s="243"/>
      <c r="AP37" s="243"/>
      <c r="AQ37" s="243"/>
      <c r="AR37" s="243"/>
      <c r="AS37" s="243"/>
      <c r="AT37" s="243"/>
      <c r="AU37" s="243"/>
      <c r="AV37" s="243"/>
      <c r="AW37" s="243"/>
      <c r="AX37" s="243"/>
      <c r="AY37" s="243"/>
      <c r="AZ37" s="243"/>
      <c r="BA37" s="243"/>
      <c r="BB37" s="14"/>
      <c r="BF37" s="4"/>
      <c r="BG37" s="4"/>
      <c r="BH37" s="4"/>
      <c r="BI37" s="4"/>
      <c r="BJ37" s="4"/>
      <c r="BK37" s="4"/>
      <c r="BL37" s="4"/>
      <c r="BM37" s="4"/>
      <c r="BN37" s="4"/>
      <c r="BO37" s="1883" t="s">
        <v>89</v>
      </c>
      <c r="BP37" s="185"/>
      <c r="BQ37" s="185"/>
      <c r="BR37" s="185"/>
      <c r="BS37" s="185"/>
      <c r="BT37" s="185"/>
      <c r="BU37" s="185"/>
      <c r="BV37" s="185"/>
      <c r="BW37" s="185"/>
      <c r="BX37" s="185"/>
      <c r="BY37" s="185"/>
      <c r="BZ37" s="185"/>
      <c r="CA37" s="185"/>
      <c r="CB37" s="185"/>
      <c r="CC37" s="185"/>
      <c r="CD37" s="185"/>
      <c r="CE37" s="185"/>
      <c r="CF37" s="185"/>
      <c r="CG37" s="185"/>
      <c r="CH37" s="185"/>
      <c r="CI37" s="185"/>
      <c r="CJ37" s="185"/>
      <c r="CK37" s="210" t="b">
        <f>IF(CO84=26,22)</f>
        <v>0</v>
      </c>
      <c r="CL37" s="234"/>
      <c r="CM37" s="234"/>
      <c r="CN37" s="234"/>
      <c r="CO37" s="234"/>
      <c r="CP37" s="234"/>
      <c r="CQ37" s="234"/>
      <c r="CR37" s="234"/>
      <c r="CS37" s="212" t="b">
        <f>IF(CO84=26,30)</f>
        <v>0</v>
      </c>
    </row>
    <row r="38" spans="5:97" ht="26.25" hidden="1" customHeight="1" thickBot="1" x14ac:dyDescent="0.45">
      <c r="E38" s="85"/>
      <c r="F38" s="85"/>
      <c r="G38" s="85"/>
      <c r="H38" s="243"/>
      <c r="I38" s="243"/>
      <c r="J38" s="243"/>
      <c r="K38" s="243"/>
      <c r="L38" s="243"/>
      <c r="M38" s="243"/>
      <c r="N38" s="243"/>
      <c r="O38" s="243"/>
      <c r="P38" s="243"/>
      <c r="Q38" s="243"/>
      <c r="R38" s="243"/>
      <c r="S38" s="243"/>
      <c r="T38" s="243"/>
      <c r="U38" s="243"/>
      <c r="V38" s="243"/>
      <c r="W38" s="243"/>
      <c r="X38" s="243"/>
      <c r="Y38" s="243"/>
      <c r="Z38" s="243"/>
      <c r="AA38" s="243"/>
      <c r="AB38" s="243"/>
      <c r="AC38" s="243"/>
      <c r="AD38" s="243"/>
      <c r="AE38" s="243"/>
      <c r="AF38" s="243"/>
      <c r="AG38" s="243"/>
      <c r="AH38" s="243"/>
      <c r="AI38" s="243"/>
      <c r="AJ38" s="243"/>
      <c r="AK38" s="243"/>
      <c r="AL38" s="243"/>
      <c r="AM38" s="243"/>
      <c r="AN38" s="243"/>
      <c r="AO38" s="243"/>
      <c r="AP38" s="243"/>
      <c r="AQ38" s="243"/>
      <c r="AR38" s="243"/>
      <c r="AS38" s="243"/>
      <c r="AT38" s="243"/>
      <c r="AU38" s="243"/>
      <c r="AV38" s="243"/>
      <c r="AW38" s="243"/>
      <c r="AX38" s="243"/>
      <c r="AY38" s="243"/>
      <c r="AZ38" s="243"/>
      <c r="BA38" s="243"/>
      <c r="BB38" s="14"/>
      <c r="BF38" s="4"/>
      <c r="BG38" s="4"/>
      <c r="BH38" s="4"/>
      <c r="BI38" s="4"/>
      <c r="BJ38" s="4"/>
      <c r="BK38" s="4"/>
      <c r="BL38" s="4"/>
      <c r="BM38" s="4"/>
      <c r="BN38" s="4"/>
      <c r="BO38" s="1883" t="s">
        <v>88</v>
      </c>
      <c r="BP38" s="185"/>
      <c r="BQ38" s="185"/>
      <c r="BR38" s="185"/>
      <c r="BS38" s="185"/>
      <c r="BT38" s="185"/>
      <c r="BU38" s="185"/>
      <c r="BV38" s="185"/>
      <c r="BW38" s="185"/>
      <c r="BX38" s="185"/>
      <c r="BY38" s="185"/>
      <c r="BZ38" s="185"/>
      <c r="CA38" s="185"/>
      <c r="CB38" s="185"/>
      <c r="CC38" s="185"/>
      <c r="CD38" s="185"/>
      <c r="CE38" s="185"/>
      <c r="CF38" s="185"/>
      <c r="CG38" s="185"/>
      <c r="CH38" s="185"/>
      <c r="CI38" s="210" t="b">
        <f>IF(CN84=25,20)</f>
        <v>0</v>
      </c>
      <c r="CJ38" s="234"/>
      <c r="CK38" s="234"/>
      <c r="CL38" s="234"/>
      <c r="CM38" s="234"/>
      <c r="CN38" s="234"/>
      <c r="CO38" s="234"/>
      <c r="CP38" s="234"/>
      <c r="CQ38" s="234"/>
      <c r="CR38" s="234"/>
      <c r="CS38" s="212" t="b">
        <f>IF(CN84=25,30)</f>
        <v>0</v>
      </c>
    </row>
    <row r="39" spans="5:97" ht="26.25" hidden="1" customHeight="1" thickBot="1" x14ac:dyDescent="0.45">
      <c r="E39" s="85"/>
      <c r="F39" s="85"/>
      <c r="G39" s="85"/>
      <c r="H39" s="243"/>
      <c r="I39" s="243"/>
      <c r="J39" s="243"/>
      <c r="K39" s="243"/>
      <c r="L39" s="243"/>
      <c r="M39" s="243"/>
      <c r="N39" s="243"/>
      <c r="O39" s="243"/>
      <c r="P39" s="243"/>
      <c r="Q39" s="243"/>
      <c r="R39" s="243"/>
      <c r="S39" s="243"/>
      <c r="T39" s="243"/>
      <c r="U39" s="243"/>
      <c r="V39" s="243"/>
      <c r="W39" s="243"/>
      <c r="X39" s="243"/>
      <c r="Y39" s="243"/>
      <c r="Z39" s="243"/>
      <c r="AA39" s="243"/>
      <c r="AB39" s="243"/>
      <c r="AC39" s="243"/>
      <c r="AD39" s="243"/>
      <c r="AE39" s="243"/>
      <c r="AF39" s="243"/>
      <c r="AG39" s="243"/>
      <c r="AH39" s="243"/>
      <c r="AI39" s="243"/>
      <c r="AJ39" s="243"/>
      <c r="AK39" s="243"/>
      <c r="AL39" s="243"/>
      <c r="AM39" s="243"/>
      <c r="AN39" s="243"/>
      <c r="AO39" s="243"/>
      <c r="AP39" s="243"/>
      <c r="AQ39" s="243"/>
      <c r="AR39" s="243"/>
      <c r="AS39" s="243"/>
      <c r="AT39" s="243"/>
      <c r="AU39" s="243"/>
      <c r="AV39" s="243"/>
      <c r="AW39" s="243"/>
      <c r="AX39" s="243"/>
      <c r="AY39" s="243"/>
      <c r="AZ39" s="243"/>
      <c r="BA39" s="243"/>
      <c r="BB39" s="14"/>
      <c r="BF39" s="4"/>
      <c r="BG39" s="4"/>
      <c r="BH39" s="4"/>
      <c r="BI39" s="4"/>
      <c r="BJ39" s="4"/>
      <c r="BK39" s="4"/>
      <c r="BL39" s="4"/>
      <c r="BM39" s="4"/>
      <c r="BN39" s="4"/>
      <c r="BO39" s="181" t="s">
        <v>15</v>
      </c>
      <c r="BP39" s="185"/>
      <c r="BQ39" s="185"/>
      <c r="BR39" s="185"/>
      <c r="BS39" s="185"/>
      <c r="BT39" s="185"/>
      <c r="BU39" s="185"/>
      <c r="BV39" s="185"/>
      <c r="BW39" s="185"/>
      <c r="BX39" s="185"/>
      <c r="BY39" s="185"/>
      <c r="BZ39" s="185"/>
      <c r="CA39" s="185"/>
      <c r="CB39" s="185"/>
      <c r="CC39" s="185"/>
      <c r="CD39" s="185"/>
      <c r="CE39" s="185"/>
      <c r="CF39" s="185"/>
      <c r="CG39" s="210" t="b">
        <f>IF(CM84=24,18)</f>
        <v>0</v>
      </c>
      <c r="CH39" s="234"/>
      <c r="CI39" s="234"/>
      <c r="CJ39" s="234"/>
      <c r="CK39" s="234"/>
      <c r="CL39" s="234"/>
      <c r="CM39" s="234"/>
      <c r="CN39" s="234"/>
      <c r="CO39" s="234"/>
      <c r="CP39" s="234"/>
      <c r="CQ39" s="234"/>
      <c r="CR39" s="234"/>
      <c r="CS39" s="212" t="b">
        <f>IF(CM84=24,30)</f>
        <v>0</v>
      </c>
    </row>
    <row r="40" spans="5:97" ht="26.25" hidden="1" customHeight="1" thickBot="1" x14ac:dyDescent="0.45">
      <c r="E40" s="85"/>
      <c r="F40" s="85"/>
      <c r="G40" s="85"/>
      <c r="H40" s="243"/>
      <c r="I40" s="243"/>
      <c r="J40" s="243"/>
      <c r="K40" s="243"/>
      <c r="L40" s="243"/>
      <c r="M40" s="243"/>
      <c r="N40" s="243"/>
      <c r="O40" s="243"/>
      <c r="P40" s="243"/>
      <c r="Q40" s="243"/>
      <c r="R40" s="243"/>
      <c r="S40" s="243"/>
      <c r="T40" s="243"/>
      <c r="U40" s="243"/>
      <c r="V40" s="243"/>
      <c r="W40" s="243"/>
      <c r="X40" s="243"/>
      <c r="Y40" s="243"/>
      <c r="Z40" s="243"/>
      <c r="AA40" s="243"/>
      <c r="AB40" s="243"/>
      <c r="AC40" s="243"/>
      <c r="AD40" s="243"/>
      <c r="AE40" s="243"/>
      <c r="AF40" s="243"/>
      <c r="AG40" s="243"/>
      <c r="AH40" s="243"/>
      <c r="AI40" s="243"/>
      <c r="AJ40" s="243"/>
      <c r="AK40" s="243"/>
      <c r="AL40" s="243"/>
      <c r="AM40" s="243"/>
      <c r="AN40" s="243"/>
      <c r="AO40" s="243"/>
      <c r="AP40" s="243"/>
      <c r="AQ40" s="243"/>
      <c r="AR40" s="243"/>
      <c r="AS40" s="243"/>
      <c r="AT40" s="243"/>
      <c r="AU40" s="243"/>
      <c r="AV40" s="243"/>
      <c r="AW40" s="243"/>
      <c r="AX40" s="243"/>
      <c r="AY40" s="243"/>
      <c r="AZ40" s="243"/>
      <c r="BA40" s="243"/>
      <c r="BB40" s="14"/>
      <c r="BF40" s="4"/>
      <c r="BG40" s="4"/>
      <c r="BH40" s="4"/>
      <c r="BI40" s="4"/>
      <c r="BJ40" s="4"/>
      <c r="BK40" s="4"/>
      <c r="BL40" s="4"/>
      <c r="BM40" s="4"/>
      <c r="BN40" s="4"/>
      <c r="BO40" s="181" t="s">
        <v>87</v>
      </c>
      <c r="BP40" s="185"/>
      <c r="BQ40" s="185"/>
      <c r="BR40" s="185"/>
      <c r="BS40" s="185"/>
      <c r="BT40" s="185"/>
      <c r="BU40" s="185"/>
      <c r="BV40" s="185"/>
      <c r="BW40" s="185"/>
      <c r="BX40" s="185"/>
      <c r="BY40" s="185"/>
      <c r="BZ40" s="185"/>
      <c r="CA40" s="185"/>
      <c r="CB40" s="185"/>
      <c r="CC40" s="185"/>
      <c r="CD40" s="185"/>
      <c r="CE40" s="210" t="b">
        <f>IF(CL84=23,16)</f>
        <v>0</v>
      </c>
      <c r="CF40" s="234"/>
      <c r="CG40" s="234"/>
      <c r="CH40" s="234"/>
      <c r="CI40" s="234"/>
      <c r="CJ40" s="234"/>
      <c r="CK40" s="234"/>
      <c r="CL40" s="234"/>
      <c r="CM40" s="234"/>
      <c r="CN40" s="234"/>
      <c r="CO40" s="234"/>
      <c r="CP40" s="234"/>
      <c r="CQ40" s="234"/>
      <c r="CR40" s="234"/>
      <c r="CS40" s="212" t="b">
        <f>IF(CL84=23,30)</f>
        <v>0</v>
      </c>
    </row>
    <row r="41" spans="5:97" ht="26.25" hidden="1" customHeight="1" thickBot="1" x14ac:dyDescent="0.45">
      <c r="E41" s="85"/>
      <c r="F41" s="85"/>
      <c r="G41" s="85"/>
      <c r="H41" s="243"/>
      <c r="I41" s="243"/>
      <c r="J41" s="243"/>
      <c r="K41" s="243"/>
      <c r="L41" s="243"/>
      <c r="M41" s="243"/>
      <c r="N41" s="243"/>
      <c r="O41" s="243"/>
      <c r="P41" s="243"/>
      <c r="Q41" s="243"/>
      <c r="R41" s="243"/>
      <c r="S41" s="243"/>
      <c r="T41" s="243"/>
      <c r="U41" s="243"/>
      <c r="V41" s="243"/>
      <c r="W41" s="243"/>
      <c r="X41" s="243"/>
      <c r="Y41" s="243"/>
      <c r="Z41" s="243"/>
      <c r="AA41" s="243"/>
      <c r="AB41" s="243"/>
      <c r="AC41" s="243"/>
      <c r="AD41" s="243"/>
      <c r="AE41" s="243"/>
      <c r="AF41" s="243"/>
      <c r="AG41" s="243"/>
      <c r="AH41" s="243"/>
      <c r="AI41" s="243"/>
      <c r="AJ41" s="243"/>
      <c r="AK41" s="243"/>
      <c r="AL41" s="243"/>
      <c r="AM41" s="243"/>
      <c r="AN41" s="243"/>
      <c r="AO41" s="243"/>
      <c r="AP41" s="243"/>
      <c r="AQ41" s="243"/>
      <c r="AR41" s="243"/>
      <c r="AS41" s="243"/>
      <c r="AT41" s="243"/>
      <c r="AU41" s="243"/>
      <c r="AV41" s="243"/>
      <c r="AW41" s="243"/>
      <c r="AX41" s="243"/>
      <c r="AY41" s="243"/>
      <c r="AZ41" s="243"/>
      <c r="BA41" s="243"/>
      <c r="BB41" s="14"/>
      <c r="BF41" s="4"/>
      <c r="BG41" s="4"/>
      <c r="BH41" s="4"/>
      <c r="BI41" s="4"/>
      <c r="BJ41" s="4"/>
      <c r="BK41" s="4"/>
      <c r="BL41" s="4"/>
      <c r="BM41" s="4"/>
      <c r="BN41" s="4"/>
      <c r="BO41" s="181">
        <v>12</v>
      </c>
      <c r="BP41" s="182"/>
      <c r="BQ41" s="182"/>
      <c r="BR41" s="182"/>
      <c r="BS41" s="182"/>
      <c r="BT41" s="182"/>
      <c r="BU41" s="182"/>
      <c r="BV41" s="182"/>
      <c r="BW41" s="182"/>
      <c r="BX41" s="182"/>
      <c r="BY41" s="182"/>
      <c r="BZ41" s="182"/>
      <c r="CA41" s="182"/>
      <c r="CB41" s="182"/>
      <c r="CC41" s="182"/>
      <c r="CD41" s="182"/>
      <c r="CE41" s="208" t="b">
        <f>IF(CK84=22,16)</f>
        <v>0</v>
      </c>
      <c r="CF41" s="230"/>
      <c r="CG41" s="230"/>
      <c r="CH41" s="230"/>
      <c r="CI41" s="230"/>
      <c r="CJ41" s="230"/>
      <c r="CK41" s="230"/>
      <c r="CL41" s="230"/>
      <c r="CM41" s="230"/>
      <c r="CN41" s="235"/>
      <c r="CO41" s="235"/>
      <c r="CP41" s="209" t="b">
        <f>IF(CK84=22,27)</f>
        <v>0</v>
      </c>
      <c r="CQ41" s="185"/>
      <c r="CR41" s="185"/>
      <c r="CS41" s="185"/>
    </row>
    <row r="42" spans="5:97" ht="26.25" hidden="1" customHeight="1" thickBot="1" x14ac:dyDescent="0.45">
      <c r="E42" s="85"/>
      <c r="F42" s="85"/>
      <c r="G42" s="85"/>
      <c r="H42" s="243"/>
      <c r="I42" s="243"/>
      <c r="J42" s="243"/>
      <c r="K42" s="243"/>
      <c r="L42" s="243"/>
      <c r="M42" s="243"/>
      <c r="N42" s="243"/>
      <c r="O42" s="243"/>
      <c r="P42" s="243"/>
      <c r="Q42" s="243"/>
      <c r="R42" s="243"/>
      <c r="S42" s="243"/>
      <c r="T42" s="243"/>
      <c r="U42" s="243"/>
      <c r="V42" s="243"/>
      <c r="W42" s="243"/>
      <c r="X42" s="243"/>
      <c r="Y42" s="243"/>
      <c r="Z42" s="243"/>
      <c r="AA42" s="243"/>
      <c r="AB42" s="243"/>
      <c r="AC42" s="243"/>
      <c r="AD42" s="243"/>
      <c r="AE42" s="243"/>
      <c r="AF42" s="243"/>
      <c r="AG42" s="243"/>
      <c r="AH42" s="243"/>
      <c r="AI42" s="243"/>
      <c r="AJ42" s="243"/>
      <c r="AK42" s="243"/>
      <c r="AL42" s="243"/>
      <c r="AM42" s="243"/>
      <c r="AN42" s="243"/>
      <c r="AO42" s="243"/>
      <c r="AP42" s="243"/>
      <c r="AQ42" s="243"/>
      <c r="AR42" s="243"/>
      <c r="AS42" s="243"/>
      <c r="AT42" s="243"/>
      <c r="AU42" s="243"/>
      <c r="AV42" s="243"/>
      <c r="AW42" s="243"/>
      <c r="AX42" s="243"/>
      <c r="AY42" s="243"/>
      <c r="AZ42" s="243"/>
      <c r="BA42" s="243"/>
      <c r="BB42" s="14"/>
      <c r="BF42" s="4"/>
      <c r="BG42" s="4"/>
      <c r="BH42" s="4"/>
      <c r="BI42" s="4"/>
      <c r="BJ42" s="4"/>
      <c r="BK42" s="4"/>
      <c r="BL42" s="4"/>
      <c r="BM42" s="4"/>
      <c r="BN42" s="4"/>
      <c r="BO42" s="181">
        <v>11</v>
      </c>
      <c r="BP42" s="185"/>
      <c r="BQ42" s="185"/>
      <c r="BR42" s="185"/>
      <c r="BS42" s="185"/>
      <c r="BT42" s="185"/>
      <c r="BU42" s="185"/>
      <c r="BV42" s="185"/>
      <c r="BW42" s="185"/>
      <c r="BX42" s="185"/>
      <c r="BY42" s="185"/>
      <c r="BZ42" s="185"/>
      <c r="CA42" s="210" t="b">
        <f>IF(CJ84=21,12)</f>
        <v>0</v>
      </c>
      <c r="CB42" s="234"/>
      <c r="CC42" s="234"/>
      <c r="CD42" s="234"/>
      <c r="CE42" s="234"/>
      <c r="CF42" s="234"/>
      <c r="CG42" s="234"/>
      <c r="CH42" s="234"/>
      <c r="CI42" s="234"/>
      <c r="CJ42" s="234"/>
      <c r="CK42" s="234"/>
      <c r="CL42" s="234"/>
      <c r="CM42" s="234"/>
      <c r="CN42" s="234"/>
      <c r="CO42" s="234"/>
      <c r="CP42" s="234"/>
      <c r="CQ42" s="234"/>
      <c r="CR42" s="234"/>
      <c r="CS42" s="212" t="b">
        <f>IF(CJ84=21,30)</f>
        <v>0</v>
      </c>
    </row>
    <row r="43" spans="5:97" ht="26.25" hidden="1" customHeight="1" thickBot="1" x14ac:dyDescent="0.45">
      <c r="E43" s="85"/>
      <c r="F43" s="85"/>
      <c r="G43" s="85"/>
      <c r="H43" s="243"/>
      <c r="I43" s="243"/>
      <c r="J43" s="243"/>
      <c r="K43" s="243"/>
      <c r="L43" s="243"/>
      <c r="M43" s="243"/>
      <c r="N43" s="243"/>
      <c r="O43" s="243"/>
      <c r="P43" s="243"/>
      <c r="Q43" s="243"/>
      <c r="R43" s="243"/>
      <c r="S43" s="243"/>
      <c r="T43" s="243"/>
      <c r="U43" s="243"/>
      <c r="V43" s="243"/>
      <c r="W43" s="243"/>
      <c r="X43" s="243"/>
      <c r="Y43" s="243"/>
      <c r="Z43" s="243"/>
      <c r="AA43" s="243"/>
      <c r="AB43" s="243"/>
      <c r="AC43" s="243"/>
      <c r="AD43" s="243"/>
      <c r="AE43" s="243"/>
      <c r="AF43" s="243"/>
      <c r="AG43" s="243"/>
      <c r="AH43" s="243"/>
      <c r="AI43" s="243"/>
      <c r="AJ43" s="243"/>
      <c r="AK43" s="243"/>
      <c r="AL43" s="243"/>
      <c r="AM43" s="243"/>
      <c r="AN43" s="243"/>
      <c r="AO43" s="243"/>
      <c r="AP43" s="243"/>
      <c r="AQ43" s="243"/>
      <c r="AR43" s="243"/>
      <c r="AS43" s="243"/>
      <c r="AT43" s="243"/>
      <c r="AU43" s="243"/>
      <c r="AV43" s="243"/>
      <c r="AW43" s="243"/>
      <c r="AX43" s="243"/>
      <c r="AY43" s="243"/>
      <c r="AZ43" s="243"/>
      <c r="BA43" s="243"/>
      <c r="BB43" s="14"/>
      <c r="BF43" s="4"/>
      <c r="BG43" s="4"/>
      <c r="BH43" s="4"/>
      <c r="BI43" s="4"/>
      <c r="BJ43" s="4"/>
      <c r="BK43" s="4"/>
      <c r="BL43" s="4"/>
      <c r="BM43" s="4"/>
      <c r="BN43" s="4"/>
      <c r="BO43" s="181">
        <v>10</v>
      </c>
      <c r="BP43" s="185"/>
      <c r="BQ43" s="185"/>
      <c r="BR43" s="185"/>
      <c r="BS43" s="185"/>
      <c r="BT43" s="185"/>
      <c r="BU43" s="185"/>
      <c r="BV43" s="185"/>
      <c r="BW43" s="185"/>
      <c r="BY43" s="210" t="b">
        <f>IF(CI84=20,10)</f>
        <v>0</v>
      </c>
      <c r="BZ43" s="234"/>
      <c r="CA43" s="234"/>
      <c r="CB43" s="234"/>
      <c r="CC43" s="234"/>
      <c r="CD43" s="234"/>
      <c r="CE43" s="234"/>
      <c r="CF43" s="234"/>
      <c r="CG43" s="234"/>
      <c r="CH43" s="234"/>
      <c r="CI43" s="234"/>
      <c r="CJ43" s="234"/>
      <c r="CK43" s="234"/>
      <c r="CL43" s="234"/>
      <c r="CM43" s="234"/>
      <c r="CN43" s="234"/>
      <c r="CO43" s="234"/>
      <c r="CP43" s="234"/>
      <c r="CQ43" s="234"/>
      <c r="CR43" s="234"/>
      <c r="CS43" s="212" t="b">
        <f>IF(CI84=20,30)</f>
        <v>0</v>
      </c>
    </row>
    <row r="44" spans="5:97" ht="26.25" hidden="1" customHeight="1" thickBot="1" x14ac:dyDescent="0.45">
      <c r="E44" s="85"/>
      <c r="F44" s="85"/>
      <c r="G44" s="85"/>
      <c r="H44" s="243"/>
      <c r="I44" s="243"/>
      <c r="J44" s="243"/>
      <c r="K44" s="243"/>
      <c r="L44" s="243"/>
      <c r="M44" s="243"/>
      <c r="N44" s="243"/>
      <c r="O44" s="243"/>
      <c r="P44" s="243"/>
      <c r="Q44" s="243"/>
      <c r="R44" s="243"/>
      <c r="S44" s="243"/>
      <c r="T44" s="243"/>
      <c r="U44" s="243"/>
      <c r="V44" s="243"/>
      <c r="W44" s="243"/>
      <c r="X44" s="243"/>
      <c r="Y44" s="243"/>
      <c r="Z44" s="243"/>
      <c r="AA44" s="243"/>
      <c r="AB44" s="243"/>
      <c r="AC44" s="243"/>
      <c r="AD44" s="243"/>
      <c r="AE44" s="243"/>
      <c r="AF44" s="243"/>
      <c r="AG44" s="243"/>
      <c r="AH44" s="243"/>
      <c r="AI44" s="243"/>
      <c r="AJ44" s="243"/>
      <c r="AK44" s="243"/>
      <c r="AL44" s="243"/>
      <c r="AM44" s="243"/>
      <c r="AN44" s="243"/>
      <c r="AO44" s="243"/>
      <c r="AP44" s="243"/>
      <c r="AQ44" s="243"/>
      <c r="AR44" s="243"/>
      <c r="AS44" s="243"/>
      <c r="AT44" s="243"/>
      <c r="AU44" s="243"/>
      <c r="AV44" s="243"/>
      <c r="AW44" s="243"/>
      <c r="AX44" s="243"/>
      <c r="AY44" s="243"/>
      <c r="AZ44" s="243"/>
      <c r="BA44" s="243"/>
      <c r="BB44" s="14"/>
      <c r="BF44" s="4"/>
      <c r="BG44" s="4"/>
      <c r="BH44" s="4"/>
      <c r="BI44" s="4"/>
      <c r="BJ44" s="4"/>
      <c r="BK44" s="4"/>
      <c r="BL44" s="4"/>
      <c r="BM44" s="4"/>
      <c r="BN44" s="4"/>
      <c r="BO44" s="181">
        <v>9</v>
      </c>
      <c r="BP44" s="185"/>
      <c r="BQ44" s="185"/>
      <c r="BR44" s="185"/>
      <c r="BS44" s="185"/>
      <c r="BT44" s="185"/>
      <c r="BU44" s="185"/>
      <c r="BV44" s="185"/>
      <c r="BW44" s="185"/>
      <c r="BX44" s="210" t="b">
        <f>IF(CH84=19,9)</f>
        <v>0</v>
      </c>
      <c r="BY44" s="229"/>
      <c r="BZ44" s="229"/>
      <c r="CA44" s="229"/>
      <c r="CB44" s="229"/>
      <c r="CC44" s="229"/>
      <c r="CD44" s="224"/>
      <c r="CE44" s="229"/>
      <c r="CF44" s="229"/>
      <c r="CG44" s="229"/>
      <c r="CH44" s="229"/>
      <c r="CI44" s="229"/>
      <c r="CJ44" s="224"/>
      <c r="CK44" s="229"/>
      <c r="CL44" s="229"/>
      <c r="CM44" s="229"/>
      <c r="CN44" s="234"/>
      <c r="CO44" s="234"/>
      <c r="CP44" s="224"/>
      <c r="CQ44" s="234"/>
      <c r="CR44" s="212" t="b">
        <f>IF(CH84=19,29)</f>
        <v>0</v>
      </c>
      <c r="CS44" s="185"/>
    </row>
    <row r="45" spans="5:97" ht="26.25" hidden="1" customHeight="1" thickBot="1" x14ac:dyDescent="0.45">
      <c r="E45" s="85"/>
      <c r="F45" s="85"/>
      <c r="G45" s="85"/>
      <c r="H45" s="243"/>
      <c r="I45" s="243"/>
      <c r="J45" s="243"/>
      <c r="K45" s="243"/>
      <c r="L45" s="243"/>
      <c r="M45" s="243"/>
      <c r="N45" s="243"/>
      <c r="O45" s="243"/>
      <c r="P45" s="243"/>
      <c r="Q45" s="243"/>
      <c r="R45" s="243"/>
      <c r="S45" s="243"/>
      <c r="AF45" s="243"/>
      <c r="AG45" s="243"/>
      <c r="AH45" s="243"/>
      <c r="AI45" s="243"/>
      <c r="AJ45" s="243"/>
      <c r="AK45" s="243"/>
      <c r="AL45" s="243"/>
      <c r="AM45" s="243"/>
      <c r="AN45" s="243"/>
      <c r="AO45" s="243"/>
      <c r="AP45" s="243"/>
      <c r="AQ45" s="243"/>
      <c r="AR45" s="243"/>
      <c r="AS45" s="243"/>
      <c r="AT45" s="243"/>
      <c r="AU45" s="243"/>
      <c r="AV45" s="243"/>
      <c r="AW45" s="243"/>
      <c r="AX45" s="243"/>
      <c r="AY45" s="243"/>
      <c r="AZ45" s="243"/>
      <c r="BA45" s="243"/>
      <c r="BB45" s="14"/>
      <c r="BF45" s="4"/>
      <c r="BG45" s="4"/>
      <c r="BH45" s="4"/>
      <c r="BI45" s="4"/>
      <c r="BJ45" s="4"/>
      <c r="BK45" s="4"/>
      <c r="BL45" s="4"/>
      <c r="BM45" s="4"/>
      <c r="BN45" s="4"/>
      <c r="BO45" s="181">
        <v>8</v>
      </c>
      <c r="BP45" s="182"/>
      <c r="BQ45" s="182"/>
      <c r="BR45" s="182"/>
      <c r="BS45" s="182"/>
      <c r="BT45" s="182"/>
      <c r="BU45" s="182"/>
      <c r="BV45" s="182"/>
      <c r="BW45" s="182"/>
      <c r="BX45" s="208" t="b">
        <f>IF(CG84=18,9)</f>
        <v>0</v>
      </c>
      <c r="BY45" s="230"/>
      <c r="BZ45" s="230"/>
      <c r="CA45" s="230"/>
      <c r="CB45" s="230"/>
      <c r="CC45" s="230"/>
      <c r="CD45" s="2"/>
      <c r="CE45" s="230"/>
      <c r="CF45" s="230"/>
      <c r="CG45" s="230"/>
      <c r="CH45" s="230"/>
      <c r="CI45" s="230"/>
      <c r="CJ45" s="2"/>
      <c r="CK45" s="230"/>
      <c r="CL45" s="230"/>
      <c r="CM45" s="230"/>
      <c r="CN45" s="235"/>
      <c r="CO45" s="235"/>
      <c r="CP45" s="209" t="b">
        <f>IF(CG84=18,27)</f>
        <v>0</v>
      </c>
      <c r="CQ45" s="185"/>
      <c r="CR45" s="185"/>
      <c r="CS45" s="185"/>
    </row>
    <row r="46" spans="5:97" ht="26.25" hidden="1" customHeight="1" thickBot="1" x14ac:dyDescent="0.45">
      <c r="E46" s="85"/>
      <c r="F46" s="85"/>
      <c r="G46" s="85"/>
      <c r="H46" s="243"/>
      <c r="I46" s="243"/>
      <c r="J46" s="243"/>
      <c r="K46" s="243"/>
      <c r="L46" s="243"/>
      <c r="M46" s="243"/>
      <c r="N46" s="243"/>
      <c r="O46" s="243"/>
      <c r="P46" s="243"/>
      <c r="Q46" s="243"/>
      <c r="R46" s="243"/>
      <c r="S46" s="243"/>
      <c r="AF46" s="243"/>
      <c r="AG46" s="243"/>
      <c r="AH46" s="243"/>
      <c r="AI46" s="243"/>
      <c r="AJ46" s="243"/>
      <c r="AK46" s="243"/>
      <c r="AL46" s="243"/>
      <c r="AM46" s="243"/>
      <c r="AN46" s="243"/>
      <c r="AO46" s="243"/>
      <c r="AP46" s="243"/>
      <c r="AQ46" s="243"/>
      <c r="AR46" s="243"/>
      <c r="AS46" s="243"/>
      <c r="AT46" s="243"/>
      <c r="AU46" s="243"/>
      <c r="AV46" s="243"/>
      <c r="AW46" s="243"/>
      <c r="AX46" s="243"/>
      <c r="AY46" s="243"/>
      <c r="AZ46" s="243"/>
      <c r="BA46" s="243"/>
      <c r="BB46" s="14"/>
      <c r="BF46" s="4"/>
      <c r="BG46" s="4"/>
      <c r="BH46" s="4"/>
      <c r="BI46" s="4"/>
      <c r="BJ46" s="4"/>
      <c r="BK46" s="4"/>
      <c r="BL46" s="4"/>
      <c r="BM46" s="4"/>
      <c r="BN46" s="4"/>
      <c r="BO46" s="1884">
        <v>7</v>
      </c>
      <c r="BP46" s="182"/>
      <c r="BQ46" s="182"/>
      <c r="BR46" s="182"/>
      <c r="BS46" s="182"/>
      <c r="BT46" s="182"/>
      <c r="BU46" s="182"/>
      <c r="BV46" s="182"/>
      <c r="BW46" s="182"/>
      <c r="BX46" s="208" t="b">
        <f>IF(CF84=17,9)</f>
        <v>0</v>
      </c>
      <c r="BY46" s="2"/>
      <c r="BZ46" s="230"/>
      <c r="CA46" s="230"/>
      <c r="CB46" s="230"/>
      <c r="CC46" s="230"/>
      <c r="CD46" s="230"/>
      <c r="CE46" s="230"/>
      <c r="CF46" s="230"/>
      <c r="CG46" s="230"/>
      <c r="CH46" s="230"/>
      <c r="CI46" s="230"/>
      <c r="CJ46" s="230"/>
      <c r="CK46" s="230"/>
      <c r="CL46" s="230"/>
      <c r="CM46" s="2"/>
      <c r="CN46" s="209" t="b">
        <f>IF(CF84=17,25)</f>
        <v>0</v>
      </c>
      <c r="CO46" s="185"/>
      <c r="CP46" s="185"/>
      <c r="CQ46" s="185"/>
      <c r="CR46" s="185"/>
      <c r="CS46" s="185"/>
    </row>
    <row r="47" spans="5:97" ht="26.25" hidden="1" customHeight="1" thickBot="1" x14ac:dyDescent="0.45">
      <c r="E47" s="85"/>
      <c r="F47" s="85"/>
      <c r="G47" s="85"/>
      <c r="H47" s="243"/>
      <c r="I47" s="243"/>
      <c r="J47" s="243"/>
      <c r="K47" s="243"/>
      <c r="L47" s="243"/>
      <c r="M47" s="243"/>
      <c r="N47" s="243"/>
      <c r="O47" s="243"/>
      <c r="P47" s="243"/>
      <c r="Q47" s="243"/>
      <c r="R47" s="243"/>
      <c r="S47" s="243"/>
      <c r="AF47" s="243"/>
      <c r="AG47" s="243"/>
      <c r="AH47" s="243"/>
      <c r="AI47" s="243"/>
      <c r="AJ47" s="243"/>
      <c r="AK47" s="243"/>
      <c r="AL47" s="243"/>
      <c r="AM47" s="243"/>
      <c r="AN47" s="243"/>
      <c r="AO47" s="243"/>
      <c r="AP47" s="243"/>
      <c r="AQ47" s="243"/>
      <c r="AR47" s="243"/>
      <c r="AS47" s="243"/>
      <c r="AT47" s="243"/>
      <c r="AU47" s="243"/>
      <c r="AV47" s="243"/>
      <c r="AW47" s="243"/>
      <c r="AX47" s="243"/>
      <c r="AY47" s="243"/>
      <c r="AZ47" s="243"/>
      <c r="BA47" s="243"/>
      <c r="BB47" s="14"/>
      <c r="BF47" s="4"/>
      <c r="BG47" s="4"/>
      <c r="BH47" s="4"/>
      <c r="BI47" s="4"/>
      <c r="BJ47" s="4"/>
      <c r="BK47" s="4"/>
      <c r="BL47" s="4"/>
      <c r="BM47" s="4"/>
      <c r="BN47" s="4"/>
      <c r="BO47" s="1884">
        <v>6</v>
      </c>
      <c r="BP47" s="182"/>
      <c r="BQ47" s="182"/>
      <c r="BR47" s="182"/>
      <c r="BS47" s="182"/>
      <c r="BT47" s="182"/>
      <c r="BU47" s="182"/>
      <c r="BV47" s="182"/>
      <c r="BX47" s="233" t="b">
        <f>IF(CE84=16,9)</f>
        <v>0</v>
      </c>
      <c r="BY47" s="182"/>
      <c r="BZ47" s="182"/>
      <c r="CA47" s="182"/>
      <c r="CB47" s="182"/>
      <c r="CC47" s="182"/>
      <c r="CD47" s="182"/>
      <c r="CE47" s="182"/>
      <c r="CF47" s="182"/>
      <c r="CG47" s="182"/>
      <c r="CH47" s="182"/>
      <c r="CI47" s="182"/>
      <c r="CJ47" s="182"/>
      <c r="CK47" s="182"/>
      <c r="CL47" s="209" t="b">
        <f>IF(CE84=16,23)</f>
        <v>0</v>
      </c>
      <c r="CN47" s="185"/>
      <c r="CO47" s="185"/>
      <c r="CP47" s="185"/>
      <c r="CQ47" s="185"/>
      <c r="CR47" s="185"/>
      <c r="CS47" s="185"/>
    </row>
    <row r="48" spans="5:97" ht="26.25" hidden="1" customHeight="1" thickBot="1" x14ac:dyDescent="0.45">
      <c r="E48" s="85"/>
      <c r="F48" s="85"/>
      <c r="G48" s="85"/>
      <c r="H48" s="243"/>
      <c r="I48" s="243"/>
      <c r="J48" s="243"/>
      <c r="K48" s="243"/>
      <c r="L48" s="243"/>
      <c r="M48" s="243"/>
      <c r="N48" s="243"/>
      <c r="O48" s="243"/>
      <c r="P48" s="243"/>
      <c r="Q48" s="243"/>
      <c r="R48" s="243"/>
      <c r="S48" s="243"/>
      <c r="AF48" s="243"/>
      <c r="AG48" s="243"/>
      <c r="AH48" s="243"/>
      <c r="AI48" s="243"/>
      <c r="AJ48" s="243"/>
      <c r="AK48" s="243"/>
      <c r="AL48" s="243"/>
      <c r="AM48" s="243"/>
      <c r="AN48" s="243"/>
      <c r="AO48" s="243"/>
      <c r="AP48" s="243"/>
      <c r="AQ48" s="243"/>
      <c r="AR48" s="243"/>
      <c r="AS48" s="243"/>
      <c r="AT48" s="243"/>
      <c r="AU48" s="243"/>
      <c r="AV48" s="243"/>
      <c r="AW48" s="243"/>
      <c r="AX48" s="243"/>
      <c r="AY48" s="243"/>
      <c r="AZ48" s="243"/>
      <c r="BA48" s="243"/>
      <c r="BB48" s="14"/>
      <c r="BF48" s="4"/>
      <c r="BG48" s="4"/>
      <c r="BH48" s="4"/>
      <c r="BI48" s="4"/>
      <c r="BJ48" s="4"/>
      <c r="BK48" s="4"/>
      <c r="BL48" s="4"/>
      <c r="BM48" s="4"/>
      <c r="BN48" s="4"/>
      <c r="BO48" s="181" t="s">
        <v>86</v>
      </c>
      <c r="BP48" s="182"/>
      <c r="BQ48" s="182"/>
      <c r="BR48" s="182"/>
      <c r="BS48" s="182"/>
      <c r="BT48" s="182"/>
      <c r="BU48" s="182"/>
      <c r="BV48" s="182"/>
      <c r="BW48" s="210" t="b">
        <f>IF(CD84=15,8)</f>
        <v>0</v>
      </c>
      <c r="BX48" s="229"/>
      <c r="BY48" s="229"/>
      <c r="BZ48" s="224"/>
      <c r="CA48" s="229"/>
      <c r="CB48" s="229"/>
      <c r="CC48" s="229"/>
      <c r="CD48" s="229"/>
      <c r="CE48" s="229"/>
      <c r="CF48" s="229"/>
      <c r="CG48" s="229"/>
      <c r="CH48" s="224"/>
      <c r="CI48" s="229"/>
      <c r="CJ48" s="229"/>
      <c r="CK48" s="212" t="b">
        <f>IF(CD84=15,22)</f>
        <v>0</v>
      </c>
      <c r="CL48" s="182"/>
      <c r="CM48" s="182"/>
      <c r="CN48" s="185"/>
      <c r="CO48" s="185"/>
      <c r="CP48" s="185"/>
      <c r="CQ48" s="185"/>
      <c r="CR48" s="185"/>
      <c r="CS48" s="185"/>
    </row>
    <row r="49" spans="2:97" ht="26.25" hidden="1" customHeight="1" thickBot="1" x14ac:dyDescent="0.45">
      <c r="E49" s="85"/>
      <c r="F49" s="85"/>
      <c r="G49" s="85"/>
      <c r="H49" s="243"/>
      <c r="I49" s="243"/>
      <c r="J49" s="243"/>
      <c r="K49" s="243"/>
      <c r="L49" s="243"/>
      <c r="M49" s="243"/>
      <c r="N49" s="243"/>
      <c r="O49" s="243"/>
      <c r="P49" s="243"/>
      <c r="Q49" s="243"/>
      <c r="R49" s="243"/>
      <c r="S49" s="243"/>
      <c r="AF49" s="243"/>
      <c r="AG49" s="243"/>
      <c r="AH49" s="243"/>
      <c r="AI49" s="243"/>
      <c r="AJ49" s="243"/>
      <c r="AK49" s="243"/>
      <c r="AL49" s="243"/>
      <c r="AM49" s="243"/>
      <c r="AN49" s="243"/>
      <c r="AO49" s="243"/>
      <c r="AP49" s="243"/>
      <c r="AQ49" s="243"/>
      <c r="AR49" s="243"/>
      <c r="AS49" s="243"/>
      <c r="AT49" s="243"/>
      <c r="AU49" s="243"/>
      <c r="AV49" s="243"/>
      <c r="AW49" s="243"/>
      <c r="AX49" s="243"/>
      <c r="AY49" s="243"/>
      <c r="AZ49" s="243"/>
      <c r="BA49" s="243"/>
      <c r="BB49" s="14"/>
      <c r="BF49" s="4"/>
      <c r="BG49" s="4"/>
      <c r="BH49" s="4"/>
      <c r="BI49" s="4"/>
      <c r="BJ49" s="4"/>
      <c r="BK49" s="4"/>
      <c r="BL49" s="4"/>
      <c r="BM49" s="4"/>
      <c r="BN49" s="4"/>
      <c r="BO49" s="181" t="s">
        <v>85</v>
      </c>
      <c r="BP49" s="182"/>
      <c r="BQ49" s="182"/>
      <c r="BR49" s="182"/>
      <c r="BS49" s="182"/>
      <c r="BT49" s="182"/>
      <c r="BU49" s="210" t="b">
        <f>IF(CC84=14,6)</f>
        <v>0</v>
      </c>
      <c r="BV49" s="229"/>
      <c r="BW49" s="229"/>
      <c r="BX49" s="224"/>
      <c r="BY49" s="229"/>
      <c r="BZ49" s="229"/>
      <c r="CA49" s="229"/>
      <c r="CB49" s="229"/>
      <c r="CC49" s="229"/>
      <c r="CD49" s="229"/>
      <c r="CE49" s="229"/>
      <c r="CF49" s="229"/>
      <c r="CG49" s="229"/>
      <c r="CH49" s="224"/>
      <c r="CI49" s="229"/>
      <c r="CJ49" s="229"/>
      <c r="CK49" s="212" t="b">
        <f>IF(CC84=14,22)</f>
        <v>0</v>
      </c>
      <c r="CL49" s="182"/>
      <c r="CM49" s="182"/>
      <c r="CN49" s="185"/>
      <c r="CO49" s="185"/>
      <c r="CP49" s="185"/>
      <c r="CQ49" s="185"/>
      <c r="CR49" s="185"/>
      <c r="CS49" s="185"/>
    </row>
    <row r="50" spans="2:97" ht="21.6" hidden="1" thickBot="1" x14ac:dyDescent="0.45">
      <c r="E50" s="85"/>
      <c r="F50" s="85"/>
      <c r="G50" s="85"/>
      <c r="H50" s="243"/>
      <c r="I50" s="243"/>
      <c r="J50" s="243"/>
      <c r="K50" s="243"/>
      <c r="L50" s="243"/>
      <c r="M50" s="243"/>
      <c r="N50" s="243"/>
      <c r="O50" s="243"/>
      <c r="P50" s="243"/>
      <c r="Q50" s="243"/>
      <c r="R50" s="243"/>
      <c r="S50" s="243"/>
      <c r="T50" s="243"/>
      <c r="U50" s="86"/>
      <c r="V50" s="243"/>
      <c r="W50" s="243"/>
      <c r="X50" s="243"/>
      <c r="Y50" s="243"/>
      <c r="Z50" s="243"/>
      <c r="AA50" s="243"/>
      <c r="AB50" s="86"/>
      <c r="AC50" s="86"/>
      <c r="AD50" s="86"/>
      <c r="AE50" s="86"/>
      <c r="AF50" s="243"/>
      <c r="AG50" s="243"/>
      <c r="AH50" s="243"/>
      <c r="AI50" s="243"/>
      <c r="AJ50" s="243"/>
      <c r="AK50" s="243"/>
      <c r="AL50" s="243"/>
      <c r="AM50" s="243"/>
      <c r="AN50" s="243"/>
      <c r="AO50" s="243"/>
      <c r="AP50" s="243"/>
      <c r="AQ50" s="243"/>
      <c r="AR50" s="243"/>
      <c r="AS50" s="243"/>
      <c r="AT50" s="243"/>
      <c r="AU50" s="243"/>
      <c r="AV50" s="243"/>
      <c r="AW50" s="243"/>
      <c r="AX50" s="243"/>
      <c r="AY50" s="243"/>
      <c r="AZ50" s="243"/>
      <c r="BA50" s="243"/>
      <c r="BB50" s="14"/>
      <c r="BF50" s="4"/>
      <c r="BG50" s="4"/>
      <c r="BH50" s="4"/>
      <c r="BI50" s="4"/>
      <c r="BJ50" s="4"/>
      <c r="BK50" s="4"/>
      <c r="BL50" s="4"/>
      <c r="BM50" s="4"/>
      <c r="BN50" s="4"/>
      <c r="BO50" s="181">
        <v>5</v>
      </c>
      <c r="BP50" s="182"/>
      <c r="BQ50" s="182"/>
      <c r="BR50" s="182"/>
      <c r="BS50" s="210" t="b">
        <f>IF(CB84=13,4)</f>
        <v>0</v>
      </c>
      <c r="BT50" s="229"/>
      <c r="BU50" s="229"/>
      <c r="BV50" s="224"/>
      <c r="BW50" s="229"/>
      <c r="BX50" s="229"/>
      <c r="BY50" s="229"/>
      <c r="BZ50" s="229"/>
      <c r="CA50" s="229"/>
      <c r="CB50" s="229"/>
      <c r="CC50" s="229"/>
      <c r="CD50" s="229"/>
      <c r="CE50" s="229"/>
      <c r="CF50" s="229"/>
      <c r="CG50" s="229"/>
      <c r="CH50" s="224"/>
      <c r="CI50" s="229"/>
      <c r="CJ50" s="229"/>
      <c r="CK50" s="212" t="b">
        <f>IF(CB84=13,22)</f>
        <v>0</v>
      </c>
      <c r="CL50" s="182"/>
      <c r="CM50" s="182"/>
      <c r="CN50" s="185"/>
      <c r="CO50" s="185"/>
      <c r="CP50" s="185"/>
      <c r="CQ50" s="185"/>
      <c r="CR50" s="185"/>
      <c r="CS50" s="185"/>
    </row>
    <row r="51" spans="2:97" ht="21.6" hidden="1" thickBot="1" x14ac:dyDescent="0.45">
      <c r="E51" s="85"/>
      <c r="F51" s="85"/>
      <c r="G51" s="85"/>
      <c r="H51" s="243"/>
      <c r="I51" s="243"/>
      <c r="J51" s="243"/>
      <c r="K51" s="243"/>
      <c r="L51" s="243"/>
      <c r="M51" s="243"/>
      <c r="N51" s="243"/>
      <c r="O51" s="243"/>
      <c r="P51" s="243"/>
      <c r="Q51" s="243"/>
      <c r="R51" s="243"/>
      <c r="S51" s="265"/>
      <c r="T51" s="244"/>
      <c r="U51" s="244"/>
      <c r="AF51" s="243"/>
      <c r="AG51" s="243"/>
      <c r="AH51" s="243"/>
      <c r="AI51" s="243"/>
      <c r="AJ51" s="243"/>
      <c r="AK51" s="243"/>
      <c r="AL51" s="243"/>
      <c r="AM51" s="243"/>
      <c r="AN51" s="243"/>
      <c r="AO51" s="243"/>
      <c r="AP51" s="243"/>
      <c r="AQ51" s="243"/>
      <c r="AR51" s="243"/>
      <c r="AS51" s="243"/>
      <c r="AT51" s="243"/>
      <c r="AU51" s="243"/>
      <c r="AV51" s="243"/>
      <c r="AW51" s="243"/>
      <c r="AX51" s="243"/>
      <c r="AY51" s="243"/>
      <c r="AZ51" s="243"/>
      <c r="BA51" s="243"/>
      <c r="BB51" s="14"/>
      <c r="BF51" s="4"/>
      <c r="BG51" s="4"/>
      <c r="BH51" s="4"/>
      <c r="BI51" s="4"/>
      <c r="BJ51" s="4"/>
      <c r="BK51" s="4"/>
      <c r="BL51" s="4"/>
      <c r="BM51" s="4"/>
      <c r="BN51" s="4"/>
      <c r="BO51" s="181">
        <v>4</v>
      </c>
      <c r="BP51" s="182"/>
      <c r="BQ51" s="210">
        <f>IF(CA84=12,2)</f>
        <v>2</v>
      </c>
      <c r="BR51" s="229"/>
      <c r="BS51" s="229"/>
      <c r="BT51" s="224"/>
      <c r="BU51" s="229"/>
      <c r="BV51" s="229"/>
      <c r="BW51" s="229"/>
      <c r="BX51" s="229"/>
      <c r="BY51" s="229"/>
      <c r="BZ51" s="229"/>
      <c r="CA51" s="229"/>
      <c r="CB51" s="229"/>
      <c r="CC51" s="229"/>
      <c r="CD51" s="229"/>
      <c r="CE51" s="229"/>
      <c r="CF51" s="229"/>
      <c r="CG51" s="229"/>
      <c r="CH51" s="224"/>
      <c r="CI51" s="229"/>
      <c r="CJ51" s="229"/>
      <c r="CK51" s="212">
        <f>IF(CA84=12,22)</f>
        <v>22</v>
      </c>
      <c r="CL51" s="182"/>
      <c r="CM51" s="182"/>
      <c r="CN51" s="185"/>
      <c r="CO51" s="185"/>
      <c r="CP51" s="185"/>
      <c r="CQ51" s="185"/>
      <c r="CR51" s="185"/>
      <c r="CS51" s="185"/>
    </row>
    <row r="52" spans="2:97" ht="21.6" hidden="1" thickBot="1" x14ac:dyDescent="0.45">
      <c r="E52" s="85"/>
      <c r="F52" s="85"/>
      <c r="G52" s="85"/>
      <c r="H52" s="243"/>
      <c r="I52" s="243"/>
      <c r="J52" s="243"/>
      <c r="K52" s="243"/>
      <c r="L52" s="243"/>
      <c r="M52" s="243"/>
      <c r="N52" s="243"/>
      <c r="O52" s="243"/>
      <c r="P52" s="243"/>
      <c r="Q52" s="243"/>
      <c r="R52" s="243"/>
      <c r="S52" s="265"/>
      <c r="T52" s="266"/>
      <c r="U52" s="244"/>
      <c r="AF52" s="243"/>
      <c r="AG52" s="243"/>
      <c r="AH52" s="243"/>
      <c r="AI52" s="243"/>
      <c r="AJ52" s="243"/>
      <c r="AK52" s="243"/>
      <c r="AL52" s="243"/>
      <c r="AM52" s="243"/>
      <c r="AN52" s="243"/>
      <c r="AO52" s="243"/>
      <c r="AP52" s="243"/>
      <c r="AQ52" s="243"/>
      <c r="AR52" s="243"/>
      <c r="AS52" s="243"/>
      <c r="AT52" s="243"/>
      <c r="AU52" s="243"/>
      <c r="AV52" s="243"/>
      <c r="AW52" s="243"/>
      <c r="AX52" s="243"/>
      <c r="AY52" s="243"/>
      <c r="AZ52" s="243"/>
      <c r="BA52" s="243"/>
      <c r="BB52" s="14"/>
      <c r="BF52" s="4"/>
      <c r="BG52" s="4"/>
      <c r="BH52" s="4"/>
      <c r="BI52" s="4"/>
      <c r="BJ52" s="4"/>
      <c r="BK52" s="4"/>
      <c r="BL52" s="4"/>
      <c r="BM52" s="4"/>
      <c r="BN52" s="4"/>
      <c r="BO52" s="181">
        <v>3</v>
      </c>
      <c r="BP52" s="210" t="b">
        <f>IF(BZ84=11,1)</f>
        <v>0</v>
      </c>
      <c r="BQ52" s="230"/>
      <c r="BR52" s="2"/>
      <c r="BS52" s="230"/>
      <c r="BT52" s="230"/>
      <c r="BU52" s="230"/>
      <c r="BV52" s="230"/>
      <c r="BW52" s="230"/>
      <c r="BX52" s="230"/>
      <c r="BY52" s="230"/>
      <c r="BZ52" s="230"/>
      <c r="CA52" s="230"/>
      <c r="CB52" s="230"/>
      <c r="CC52" s="230"/>
      <c r="CD52" s="230"/>
      <c r="CE52" s="230"/>
      <c r="CF52" s="230"/>
      <c r="CG52" s="230"/>
      <c r="CH52" s="2"/>
      <c r="CI52" s="230"/>
      <c r="CJ52" s="209" t="b">
        <f>IF(BZ84=11,21)</f>
        <v>0</v>
      </c>
      <c r="CK52" s="182"/>
      <c r="CL52" s="182"/>
      <c r="CM52" s="182"/>
      <c r="CN52" s="185"/>
      <c r="CO52" s="185"/>
      <c r="CP52" s="185"/>
      <c r="CQ52" s="185"/>
      <c r="CR52" s="185"/>
      <c r="CS52" s="185"/>
    </row>
    <row r="53" spans="2:97" ht="21.6" hidden="1" thickBot="1" x14ac:dyDescent="0.45">
      <c r="E53" s="85"/>
      <c r="F53" s="85"/>
      <c r="G53" s="85"/>
      <c r="H53" s="243"/>
      <c r="I53" s="243"/>
      <c r="J53" s="243"/>
      <c r="K53" s="243"/>
      <c r="L53" s="243"/>
      <c r="M53" s="243"/>
      <c r="N53" s="243"/>
      <c r="O53" s="243"/>
      <c r="P53" s="243"/>
      <c r="Q53" s="243"/>
      <c r="R53" s="243"/>
      <c r="S53" s="265"/>
      <c r="T53" s="265"/>
      <c r="U53" s="86"/>
      <c r="V53" s="243"/>
      <c r="W53" s="243"/>
      <c r="X53" s="243"/>
      <c r="Y53" s="243"/>
      <c r="Z53" s="243"/>
      <c r="AA53" s="243"/>
      <c r="AB53" s="86"/>
      <c r="AC53" s="86"/>
      <c r="AD53" s="86"/>
      <c r="AE53" s="86"/>
      <c r="AF53" s="243"/>
      <c r="AG53" s="243"/>
      <c r="AH53" s="243"/>
      <c r="AI53" s="243"/>
      <c r="AJ53" s="243"/>
      <c r="AK53" s="243"/>
      <c r="AL53" s="243"/>
      <c r="AM53" s="243"/>
      <c r="AN53" s="243"/>
      <c r="AO53" s="243"/>
      <c r="AP53" s="243"/>
      <c r="AQ53" s="243"/>
      <c r="AR53" s="243"/>
      <c r="AS53" s="243"/>
      <c r="AT53" s="243"/>
      <c r="AU53" s="243"/>
      <c r="AV53" s="243"/>
      <c r="AW53" s="243"/>
      <c r="AX53" s="243"/>
      <c r="AY53" s="243"/>
      <c r="AZ53" s="243"/>
      <c r="BA53" s="243"/>
      <c r="BB53" s="14"/>
      <c r="BF53" s="4"/>
      <c r="BG53" s="4"/>
      <c r="BH53" s="4"/>
      <c r="BI53" s="4"/>
      <c r="BJ53" s="4"/>
      <c r="BK53" s="4"/>
      <c r="BL53" s="4"/>
      <c r="BM53" s="4"/>
      <c r="BN53" s="4"/>
      <c r="BO53" s="181">
        <v>2</v>
      </c>
      <c r="BP53" s="208" t="b">
        <f>IF(BY84=10,1)</f>
        <v>0</v>
      </c>
      <c r="BQ53" s="230"/>
      <c r="BR53" s="230"/>
      <c r="BS53" s="230"/>
      <c r="BT53" s="230"/>
      <c r="BU53" s="230"/>
      <c r="BV53" s="230"/>
      <c r="BW53" s="230"/>
      <c r="BX53" s="230"/>
      <c r="BY53" s="230"/>
      <c r="BZ53" s="230"/>
      <c r="CA53" s="230"/>
      <c r="CB53" s="230"/>
      <c r="CC53" s="230"/>
      <c r="CD53" s="230"/>
      <c r="CE53" s="230"/>
      <c r="CF53" s="230"/>
      <c r="CG53" s="230"/>
      <c r="CH53" s="209" t="b">
        <f>IF(BY84=10,19)</f>
        <v>0</v>
      </c>
      <c r="CI53" s="182"/>
      <c r="CJ53" s="182"/>
      <c r="CK53" s="182"/>
      <c r="CL53" s="182"/>
      <c r="CM53" s="182"/>
      <c r="CN53" s="185"/>
      <c r="CO53" s="185"/>
      <c r="CP53" s="185"/>
      <c r="CQ53" s="185"/>
      <c r="CR53" s="185"/>
      <c r="CS53" s="185"/>
    </row>
    <row r="54" spans="2:97" ht="21.6" hidden="1" thickBot="1" x14ac:dyDescent="0.45">
      <c r="E54" s="85"/>
      <c r="F54" s="85"/>
      <c r="G54" s="85"/>
      <c r="H54" s="243"/>
      <c r="I54" s="243"/>
      <c r="J54" s="243"/>
      <c r="K54" s="243"/>
      <c r="L54" s="243"/>
      <c r="M54" s="243"/>
      <c r="N54" s="243"/>
      <c r="O54" s="243"/>
      <c r="P54" s="243"/>
      <c r="Q54" s="243"/>
      <c r="R54" s="243"/>
      <c r="U54" s="86"/>
      <c r="V54" s="243"/>
      <c r="W54" s="243"/>
      <c r="X54" s="243"/>
      <c r="Y54" s="243"/>
      <c r="Z54" s="243"/>
      <c r="AA54" s="243"/>
      <c r="AB54" s="86"/>
      <c r="AC54" s="86"/>
      <c r="AD54" s="86"/>
      <c r="AE54" s="86"/>
      <c r="AF54" s="243"/>
      <c r="AG54" s="243"/>
      <c r="AH54" s="243"/>
      <c r="AI54" s="243"/>
      <c r="AJ54" s="243"/>
      <c r="AK54" s="243"/>
      <c r="AL54" s="243"/>
      <c r="AM54" s="243"/>
      <c r="AN54" s="243"/>
      <c r="AO54" s="243"/>
      <c r="AP54" s="243"/>
      <c r="AQ54" s="243"/>
      <c r="AR54" s="243"/>
      <c r="AS54" s="243"/>
      <c r="AT54" s="243"/>
      <c r="AU54" s="243"/>
      <c r="AV54" s="243"/>
      <c r="AW54" s="243"/>
      <c r="AX54" s="243"/>
      <c r="AY54" s="243"/>
      <c r="AZ54" s="243"/>
      <c r="BA54" s="243"/>
      <c r="BB54" s="14"/>
      <c r="BF54" s="4"/>
      <c r="BG54" s="4"/>
      <c r="BH54" s="4"/>
      <c r="BI54" s="4"/>
      <c r="BJ54" s="4"/>
      <c r="BK54" s="4"/>
      <c r="BL54" s="4"/>
      <c r="BM54" s="4"/>
      <c r="BN54" s="4"/>
      <c r="BO54" s="181">
        <v>1</v>
      </c>
      <c r="BP54" s="208" t="b">
        <f>IF(BX84=9,1)</f>
        <v>0</v>
      </c>
      <c r="BQ54" s="230"/>
      <c r="BR54" s="230"/>
      <c r="BS54" s="230"/>
      <c r="BT54" s="230"/>
      <c r="BU54" s="230"/>
      <c r="BV54" s="230"/>
      <c r="BW54" s="230"/>
      <c r="BX54" s="230"/>
      <c r="BY54" s="230"/>
      <c r="BZ54" s="230"/>
      <c r="CA54" s="230"/>
      <c r="CB54" s="230"/>
      <c r="CC54" s="230"/>
      <c r="CD54" s="230"/>
      <c r="CE54" s="230"/>
      <c r="CF54" s="209" t="b">
        <f>IF(BX84=9,17)</f>
        <v>0</v>
      </c>
      <c r="CG54" s="182"/>
      <c r="CH54" s="182"/>
      <c r="CI54" s="182"/>
      <c r="CJ54" s="182"/>
      <c r="CK54" s="182"/>
      <c r="CL54" s="182"/>
      <c r="CM54" s="182"/>
      <c r="CN54" s="185"/>
      <c r="CO54" s="185"/>
      <c r="CP54" s="185"/>
      <c r="CQ54" s="185"/>
      <c r="CR54" s="185"/>
      <c r="CS54" s="185"/>
    </row>
    <row r="55" spans="2:97" ht="21.6" hidden="1" thickBot="1" x14ac:dyDescent="0.45">
      <c r="E55" s="85"/>
      <c r="F55" s="85"/>
      <c r="G55" s="85"/>
      <c r="H55" s="243"/>
      <c r="I55" s="243"/>
      <c r="J55" s="243"/>
      <c r="K55" s="243"/>
      <c r="L55" s="243"/>
      <c r="M55" s="243"/>
      <c r="N55" s="243"/>
      <c r="O55" s="243"/>
      <c r="P55" s="243"/>
      <c r="Q55" s="243"/>
      <c r="R55" s="243"/>
      <c r="U55" s="86"/>
      <c r="V55" s="243"/>
      <c r="W55" s="243"/>
      <c r="X55" s="243"/>
      <c r="Y55" s="243"/>
      <c r="Z55" s="243"/>
      <c r="AA55" s="243"/>
      <c r="AB55" s="86"/>
      <c r="AC55" s="86"/>
      <c r="AD55" s="86"/>
      <c r="AE55" s="86"/>
      <c r="AF55" s="243"/>
      <c r="AG55" s="243"/>
      <c r="AH55" s="243"/>
      <c r="AI55" s="243"/>
      <c r="AJ55" s="243"/>
      <c r="AK55" s="243"/>
      <c r="AL55" s="243"/>
      <c r="AM55" s="243"/>
      <c r="AN55" s="243"/>
      <c r="AO55" s="243"/>
      <c r="AP55" s="243"/>
      <c r="AQ55" s="243"/>
      <c r="AR55" s="243"/>
      <c r="AS55" s="243"/>
      <c r="AT55" s="243"/>
      <c r="AU55" s="243"/>
      <c r="AV55" s="243"/>
      <c r="AW55" s="243"/>
      <c r="AX55" s="243"/>
      <c r="AY55" s="243"/>
      <c r="AZ55" s="243"/>
      <c r="BA55" s="243"/>
      <c r="BB55" s="14"/>
      <c r="BF55" s="4"/>
      <c r="BG55" s="4"/>
      <c r="BH55" s="4"/>
      <c r="BI55" s="4"/>
      <c r="BJ55" s="4"/>
      <c r="BK55" s="4"/>
      <c r="BL55" s="4"/>
      <c r="BM55" s="4"/>
      <c r="BN55" s="4"/>
      <c r="BO55" s="181" t="s">
        <v>84</v>
      </c>
      <c r="BQ55" s="182"/>
      <c r="BR55" s="208" t="b">
        <f>IF(BW84=8,3)</f>
        <v>0</v>
      </c>
      <c r="BS55" s="230"/>
      <c r="BT55" s="230"/>
      <c r="BU55" s="230"/>
      <c r="BV55" s="230"/>
      <c r="BW55" s="230"/>
      <c r="BX55" s="230"/>
      <c r="BY55" s="230"/>
      <c r="BZ55" s="230"/>
      <c r="CA55" s="230"/>
      <c r="CB55" s="209" t="b">
        <f>IF(BW84=8,5)</f>
        <v>0</v>
      </c>
      <c r="CC55" s="182"/>
      <c r="CE55" s="182"/>
      <c r="CF55" s="182"/>
      <c r="CG55" s="182"/>
      <c r="CH55" s="182"/>
      <c r="CI55" s="182"/>
      <c r="CJ55" s="182"/>
      <c r="CK55" s="182"/>
      <c r="CL55" s="182"/>
      <c r="CM55" s="182"/>
      <c r="CN55" s="185"/>
      <c r="CO55" s="185"/>
      <c r="CP55" s="185"/>
      <c r="CQ55" s="185"/>
      <c r="CR55" s="185"/>
      <c r="CS55" s="185"/>
    </row>
    <row r="56" spans="2:97" ht="21.6" hidden="1" thickBot="1" x14ac:dyDescent="0.45">
      <c r="E56" s="85"/>
      <c r="F56" s="85"/>
      <c r="G56" s="85"/>
      <c r="H56" s="243"/>
      <c r="I56" s="243"/>
      <c r="J56" s="243"/>
      <c r="K56" s="243"/>
      <c r="L56" s="243"/>
      <c r="M56" s="243"/>
      <c r="N56" s="243"/>
      <c r="O56" s="243"/>
      <c r="P56" s="243"/>
      <c r="Q56" s="243"/>
      <c r="R56" s="243"/>
      <c r="U56" s="86"/>
      <c r="V56" s="243"/>
      <c r="W56" s="243"/>
      <c r="X56" s="243"/>
      <c r="Y56" s="243"/>
      <c r="Z56" s="243"/>
      <c r="AA56" s="243"/>
      <c r="AB56" s="86"/>
      <c r="AC56" s="86"/>
      <c r="AD56" s="86"/>
      <c r="AE56" s="86"/>
      <c r="AF56" s="243"/>
      <c r="AG56" s="243"/>
      <c r="AH56" s="243"/>
      <c r="AI56" s="243"/>
      <c r="AJ56" s="243"/>
      <c r="AK56" s="243"/>
      <c r="AL56" s="243"/>
      <c r="AM56" s="243"/>
      <c r="AN56" s="243"/>
      <c r="AO56" s="243"/>
      <c r="AP56" s="243"/>
      <c r="AQ56" s="243"/>
      <c r="AR56" s="243"/>
      <c r="AS56" s="243"/>
      <c r="AT56" s="243"/>
      <c r="AU56" s="243"/>
      <c r="AV56" s="243"/>
      <c r="AW56" s="243"/>
      <c r="AX56" s="243"/>
      <c r="AY56" s="243"/>
      <c r="AZ56" s="243"/>
      <c r="BA56" s="243"/>
      <c r="BB56" s="14"/>
      <c r="BF56" s="4"/>
      <c r="BG56" s="4"/>
      <c r="BH56" s="4"/>
      <c r="BI56" s="4"/>
      <c r="BJ56" s="4"/>
      <c r="BK56" s="4"/>
      <c r="BL56" s="4"/>
      <c r="BM56" s="4"/>
      <c r="BN56" s="4"/>
      <c r="BO56" s="181" t="s">
        <v>16</v>
      </c>
      <c r="BP56" s="182"/>
      <c r="BQ56" s="210" t="b">
        <f>IF(BV84=7,2)</f>
        <v>0</v>
      </c>
      <c r="BR56" s="230"/>
      <c r="BS56" s="230"/>
      <c r="BT56" s="230"/>
      <c r="BU56" s="230"/>
      <c r="BV56" s="230"/>
      <c r="BW56" s="230"/>
      <c r="BX56" s="230"/>
      <c r="BY56" s="230"/>
      <c r="BZ56" s="2"/>
      <c r="CA56" s="209" t="b">
        <f>IF(BV84=7,12)</f>
        <v>0</v>
      </c>
      <c r="CB56" s="182"/>
      <c r="CC56" s="182"/>
      <c r="CD56" s="182"/>
      <c r="CE56" s="182"/>
      <c r="CF56" s="182"/>
      <c r="CG56" s="182"/>
      <c r="CH56" s="182"/>
      <c r="CI56" s="182"/>
      <c r="CJ56" s="182"/>
      <c r="CK56" s="182"/>
      <c r="CL56" s="182"/>
      <c r="CM56" s="182"/>
      <c r="CN56" s="185"/>
      <c r="CO56" s="185"/>
      <c r="CP56" s="185"/>
      <c r="CQ56" s="185"/>
      <c r="CR56" s="185"/>
      <c r="CS56" s="185"/>
    </row>
    <row r="57" spans="2:97" ht="21.6" hidden="1" thickBot="1" x14ac:dyDescent="0.45">
      <c r="E57" s="85"/>
      <c r="F57" s="85"/>
      <c r="G57" s="85"/>
      <c r="H57" s="243"/>
      <c r="I57" s="243"/>
      <c r="J57" s="243"/>
      <c r="K57" s="243"/>
      <c r="L57" s="243"/>
      <c r="M57" s="243"/>
      <c r="N57" s="243"/>
      <c r="O57" s="243"/>
      <c r="P57" s="243"/>
      <c r="Q57" s="243"/>
      <c r="R57" s="243"/>
      <c r="S57" s="243"/>
      <c r="T57" s="243"/>
      <c r="U57" s="86"/>
      <c r="V57" s="243"/>
      <c r="W57" s="243"/>
      <c r="X57" s="243"/>
      <c r="Y57" s="243"/>
      <c r="Z57" s="243"/>
      <c r="AA57" s="243"/>
      <c r="AB57" s="86"/>
      <c r="AC57" s="86"/>
      <c r="AD57" s="86"/>
      <c r="AE57" s="86"/>
      <c r="AF57" s="243"/>
      <c r="AG57" s="243"/>
      <c r="AH57" s="243"/>
      <c r="AI57" s="243"/>
      <c r="AJ57" s="243"/>
      <c r="AK57" s="243"/>
      <c r="AL57" s="243"/>
      <c r="AM57" s="243"/>
      <c r="AN57" s="243"/>
      <c r="AO57" s="243"/>
      <c r="AP57" s="243"/>
      <c r="AQ57" s="243"/>
      <c r="AR57" s="243"/>
      <c r="AS57" s="243"/>
      <c r="AT57" s="243"/>
      <c r="AU57" s="243"/>
      <c r="AV57" s="243"/>
      <c r="AW57" s="243"/>
      <c r="AX57" s="243"/>
      <c r="AY57" s="243"/>
      <c r="AZ57" s="243"/>
      <c r="BA57" s="243"/>
      <c r="BB57" s="14"/>
      <c r="BF57" s="4"/>
      <c r="BG57" s="4"/>
      <c r="BH57" s="4"/>
      <c r="BI57" s="4"/>
      <c r="BJ57" s="4"/>
      <c r="BK57" s="4"/>
      <c r="BL57" s="4"/>
      <c r="BM57" s="4"/>
      <c r="BN57" s="4"/>
      <c r="BO57" s="181" t="s">
        <v>83</v>
      </c>
      <c r="BP57" s="210" t="b">
        <f>IF(BU84=6,1)</f>
        <v>0</v>
      </c>
      <c r="BQ57" s="229"/>
      <c r="BR57" s="229"/>
      <c r="BS57" s="229"/>
      <c r="BT57" s="229"/>
      <c r="BU57" s="229"/>
      <c r="BV57" s="229"/>
      <c r="BW57" s="229"/>
      <c r="BX57" s="229"/>
      <c r="BY57" s="229"/>
      <c r="BZ57" s="212" t="b">
        <f>IF(BU84=6,11)</f>
        <v>0</v>
      </c>
      <c r="CA57" s="182"/>
      <c r="CB57" s="182"/>
      <c r="CC57" s="182"/>
      <c r="CD57" s="182"/>
      <c r="CE57" s="182"/>
      <c r="CF57" s="182"/>
      <c r="CG57" s="182"/>
      <c r="CH57" s="182"/>
      <c r="CI57" s="182"/>
      <c r="CJ57" s="182"/>
      <c r="CK57" s="182"/>
      <c r="CL57" s="182"/>
      <c r="CM57" s="182"/>
      <c r="CN57" s="185"/>
      <c r="CO57" s="185"/>
      <c r="CP57" s="185"/>
      <c r="CQ57" s="185"/>
      <c r="CR57" s="185"/>
      <c r="CS57" s="185"/>
    </row>
    <row r="58" spans="2:97" ht="21.6" hidden="1" thickBot="1" x14ac:dyDescent="0.45">
      <c r="E58" s="85"/>
      <c r="F58" s="85"/>
      <c r="G58" s="85"/>
      <c r="H58" s="243"/>
      <c r="I58" s="243"/>
      <c r="J58" s="243"/>
      <c r="K58" s="243"/>
      <c r="L58" s="243"/>
      <c r="M58" s="243"/>
      <c r="N58" s="243"/>
      <c r="O58" s="243"/>
      <c r="P58" s="243"/>
      <c r="Q58" s="243"/>
      <c r="R58" s="243"/>
      <c r="S58" s="243"/>
      <c r="T58" s="243"/>
      <c r="U58" s="86"/>
      <c r="V58" s="243"/>
      <c r="W58" s="243"/>
      <c r="X58" s="243"/>
      <c r="Y58" s="243"/>
      <c r="Z58" s="243"/>
      <c r="AA58" s="243"/>
      <c r="AB58" s="86"/>
      <c r="AC58" s="86"/>
      <c r="AD58" s="86"/>
      <c r="AE58" s="86"/>
      <c r="AF58" s="243"/>
      <c r="AG58" s="243"/>
      <c r="AH58" s="243"/>
      <c r="AI58" s="243"/>
      <c r="AJ58" s="243"/>
      <c r="AK58" s="243"/>
      <c r="AL58" s="243"/>
      <c r="AM58" s="243"/>
      <c r="AN58" s="243"/>
      <c r="AO58" s="243"/>
      <c r="AP58" s="243"/>
      <c r="AQ58" s="243"/>
      <c r="AR58" s="243"/>
      <c r="AS58" s="243"/>
      <c r="AT58" s="243"/>
      <c r="AU58" s="243"/>
      <c r="AV58" s="243"/>
      <c r="AW58" s="243"/>
      <c r="AX58" s="243"/>
      <c r="AY58" s="243"/>
      <c r="AZ58" s="243"/>
      <c r="BA58" s="243"/>
      <c r="BB58" s="14"/>
      <c r="BF58" s="4"/>
      <c r="BG58" s="4"/>
      <c r="BH58" s="4"/>
      <c r="BI58" s="4"/>
      <c r="BJ58" s="4"/>
      <c r="BK58" s="4"/>
      <c r="BL58" s="4"/>
      <c r="BM58" s="4"/>
      <c r="BN58" s="4"/>
      <c r="BO58" s="181" t="s">
        <v>37</v>
      </c>
      <c r="BP58" s="208" t="b">
        <f>IF(BT84=5,1)</f>
        <v>0</v>
      </c>
      <c r="BQ58" s="2"/>
      <c r="BR58" s="230"/>
      <c r="BS58" s="230"/>
      <c r="BT58" s="230"/>
      <c r="BU58" s="230"/>
      <c r="BV58" s="230"/>
      <c r="BW58" s="2"/>
      <c r="BX58" s="209" t="b">
        <f>IF(BT84=5,9)</f>
        <v>0</v>
      </c>
      <c r="BY58" s="182"/>
      <c r="BZ58" s="182"/>
      <c r="CA58" s="182"/>
      <c r="CB58" s="182"/>
      <c r="CC58" s="182"/>
      <c r="CD58" s="182"/>
      <c r="CE58" s="182"/>
      <c r="CF58" s="182"/>
      <c r="CG58" s="182"/>
      <c r="CH58" s="182"/>
      <c r="CI58" s="182"/>
      <c r="CJ58" s="182"/>
      <c r="CK58" s="182"/>
      <c r="CL58" s="182"/>
      <c r="CM58" s="182"/>
      <c r="CN58" s="185"/>
      <c r="CO58" s="185"/>
      <c r="CP58" s="185"/>
      <c r="CQ58" s="185"/>
      <c r="CR58" s="185"/>
      <c r="CS58" s="185"/>
    </row>
    <row r="59" spans="2:97" ht="21.6" hidden="1" thickBot="1" x14ac:dyDescent="0.45">
      <c r="E59" s="85"/>
      <c r="F59" s="85"/>
      <c r="G59" s="85"/>
      <c r="H59" s="243"/>
      <c r="I59" s="243"/>
      <c r="J59" s="243"/>
      <c r="K59" s="243"/>
      <c r="L59" s="243"/>
      <c r="M59" s="243"/>
      <c r="N59" s="243"/>
      <c r="O59" s="243"/>
      <c r="P59" s="243"/>
      <c r="Q59" s="243"/>
      <c r="R59" s="243"/>
      <c r="S59" s="243"/>
      <c r="T59" s="243"/>
      <c r="U59" s="86"/>
      <c r="V59" s="243"/>
      <c r="W59" s="243"/>
      <c r="X59" s="243"/>
      <c r="Y59" s="243"/>
      <c r="Z59" s="243"/>
      <c r="AA59" s="243"/>
      <c r="AB59" s="86"/>
      <c r="AC59" s="86"/>
      <c r="AD59" s="86"/>
      <c r="AE59" s="86"/>
      <c r="AF59" s="243"/>
      <c r="AG59" s="243"/>
      <c r="AH59" s="243"/>
      <c r="AI59" s="243"/>
      <c r="AJ59" s="243"/>
      <c r="AK59" s="243"/>
      <c r="AL59" s="243"/>
      <c r="AM59" s="243"/>
      <c r="AN59" s="243"/>
      <c r="AO59" s="243"/>
      <c r="AP59" s="243"/>
      <c r="AQ59" s="243"/>
      <c r="AR59" s="243"/>
      <c r="AS59" s="243"/>
      <c r="AT59" s="243"/>
      <c r="AU59" s="243"/>
      <c r="AV59" s="243"/>
      <c r="AW59" s="243"/>
      <c r="AX59" s="243"/>
      <c r="AY59" s="243"/>
      <c r="AZ59" s="243"/>
      <c r="BA59" s="243"/>
      <c r="BB59" s="14"/>
      <c r="BF59" s="4"/>
      <c r="BG59" s="4"/>
      <c r="BH59" s="4"/>
      <c r="BI59" s="4"/>
      <c r="BJ59" s="4"/>
      <c r="BK59" s="4"/>
      <c r="BL59" s="4"/>
      <c r="BM59" s="4"/>
      <c r="BN59" s="4"/>
      <c r="BO59" s="181" t="s">
        <v>36</v>
      </c>
      <c r="BP59" s="208" t="b">
        <f>IF(BS84=4,1)</f>
        <v>0</v>
      </c>
      <c r="BQ59" s="230"/>
      <c r="BR59" s="230"/>
      <c r="BS59" s="230"/>
      <c r="BT59" s="230"/>
      <c r="BU59" s="230"/>
      <c r="BV59" s="209" t="b">
        <f>IF(BS84=4,7)</f>
        <v>0</v>
      </c>
      <c r="BW59" s="182"/>
      <c r="BX59" s="194"/>
      <c r="BY59" s="194"/>
      <c r="BZ59" s="182"/>
      <c r="CA59" s="194"/>
      <c r="CB59" s="182"/>
      <c r="CC59" s="182"/>
      <c r="CD59" s="182"/>
      <c r="CE59" s="182"/>
      <c r="CF59" s="182"/>
      <c r="CG59" s="182"/>
      <c r="CH59" s="182"/>
      <c r="CI59" s="182"/>
      <c r="CJ59" s="182"/>
      <c r="CK59" s="182"/>
      <c r="CL59" s="182"/>
      <c r="CM59" s="182"/>
      <c r="CN59" s="185"/>
      <c r="CO59" s="185"/>
      <c r="CP59" s="185"/>
      <c r="CQ59" s="185"/>
      <c r="CR59" s="185"/>
      <c r="CS59" s="185"/>
    </row>
    <row r="60" spans="2:97" ht="21.6" hidden="1" thickBot="1" x14ac:dyDescent="0.45">
      <c r="D60" s="85"/>
      <c r="E60" s="85"/>
      <c r="F60" s="85"/>
      <c r="G60" s="85"/>
      <c r="H60" s="243"/>
      <c r="I60" s="243"/>
      <c r="J60" s="243"/>
      <c r="K60" s="243"/>
      <c r="L60" s="243"/>
      <c r="M60" s="243"/>
      <c r="N60" s="243"/>
      <c r="O60" s="243"/>
      <c r="P60" s="243"/>
      <c r="Q60" s="243"/>
      <c r="R60" s="243"/>
      <c r="S60" s="243"/>
      <c r="T60" s="243"/>
      <c r="U60" s="86"/>
      <c r="V60" s="243"/>
      <c r="W60" s="243"/>
      <c r="X60" s="243"/>
      <c r="Y60" s="243"/>
      <c r="Z60" s="243"/>
      <c r="AA60" s="243"/>
      <c r="AB60" s="86"/>
      <c r="AC60" s="86"/>
      <c r="AD60" s="86"/>
      <c r="AE60" s="86"/>
      <c r="AF60" s="243"/>
      <c r="AG60" s="243"/>
      <c r="AH60" s="243"/>
      <c r="AI60" s="243"/>
      <c r="AJ60" s="243"/>
      <c r="AK60" s="243"/>
      <c r="AL60" s="243"/>
      <c r="AM60" s="243"/>
      <c r="AN60" s="243"/>
      <c r="AO60" s="243"/>
      <c r="AP60" s="243"/>
      <c r="AQ60" s="243"/>
      <c r="AR60" s="243"/>
      <c r="AS60" s="243"/>
      <c r="AT60" s="243"/>
      <c r="AU60" s="243"/>
      <c r="AV60" s="243"/>
      <c r="AW60" s="243"/>
      <c r="AX60" s="243"/>
      <c r="AY60" s="243"/>
      <c r="AZ60" s="243"/>
      <c r="BA60" s="243"/>
      <c r="BB60" s="14"/>
      <c r="BF60" s="4"/>
      <c r="BG60" s="4"/>
      <c r="BH60" s="4"/>
      <c r="BI60" s="4"/>
      <c r="BJ60" s="4"/>
      <c r="BK60" s="4"/>
      <c r="BL60" s="4"/>
      <c r="BM60" s="4"/>
      <c r="BN60" s="4"/>
      <c r="BO60" s="181" t="s">
        <v>35</v>
      </c>
      <c r="BP60" s="208" t="b">
        <f>IF(BR84=3,1)</f>
        <v>0</v>
      </c>
      <c r="BQ60" s="230"/>
      <c r="BR60" s="230"/>
      <c r="BS60" s="230"/>
      <c r="BT60" s="209" t="b">
        <f>IF(BR84=3,5)</f>
        <v>0</v>
      </c>
      <c r="BU60" s="182"/>
      <c r="BV60" s="182"/>
      <c r="BW60" s="182"/>
      <c r="BX60" s="182"/>
      <c r="BY60" s="182"/>
      <c r="BZ60" s="182"/>
      <c r="CA60" s="182"/>
      <c r="CB60" s="182"/>
      <c r="CC60" s="182"/>
      <c r="CD60" s="182"/>
      <c r="CE60" s="182"/>
      <c r="CF60" s="182"/>
      <c r="CG60" s="182"/>
      <c r="CH60" s="182"/>
      <c r="CI60" s="182"/>
      <c r="CJ60" s="182"/>
      <c r="CK60" s="182"/>
      <c r="CL60" s="182"/>
      <c r="CM60" s="182"/>
      <c r="CN60" s="185"/>
      <c r="CO60" s="185"/>
      <c r="CP60" s="185"/>
      <c r="CQ60" s="185"/>
      <c r="CR60" s="185"/>
      <c r="CS60" s="185"/>
    </row>
    <row r="61" spans="2:97" ht="21.6" hidden="1" thickBot="1" x14ac:dyDescent="0.45">
      <c r="D61" s="85"/>
      <c r="E61" s="85"/>
      <c r="F61" s="85"/>
      <c r="G61" s="85"/>
      <c r="H61" s="243"/>
      <c r="I61" s="243"/>
      <c r="J61" s="243"/>
      <c r="K61" s="243"/>
      <c r="L61" s="243"/>
      <c r="M61" s="243"/>
      <c r="N61" s="243"/>
      <c r="O61" s="243"/>
      <c r="P61" s="243"/>
      <c r="Q61" s="243"/>
      <c r="R61" s="243"/>
      <c r="S61" s="243"/>
      <c r="T61" s="243"/>
      <c r="U61" s="86"/>
      <c r="V61" s="243"/>
      <c r="W61" s="243"/>
      <c r="X61" s="243"/>
      <c r="Y61" s="243"/>
      <c r="Z61" s="243"/>
      <c r="AA61" s="243"/>
      <c r="AB61" s="86"/>
      <c r="AC61" s="86"/>
      <c r="AD61" s="86"/>
      <c r="AE61" s="86"/>
      <c r="AF61" s="243"/>
      <c r="AG61" s="243"/>
      <c r="AH61" s="243"/>
      <c r="AI61" s="243"/>
      <c r="AJ61" s="243"/>
      <c r="AK61" s="243"/>
      <c r="AL61" s="243"/>
      <c r="AM61" s="243"/>
      <c r="AN61" s="243"/>
      <c r="AO61" s="243"/>
      <c r="AP61" s="243"/>
      <c r="AQ61" s="243"/>
      <c r="AR61" s="243"/>
      <c r="AS61" s="243"/>
      <c r="AT61" s="243"/>
      <c r="AU61" s="243"/>
      <c r="AV61" s="243"/>
      <c r="AW61" s="243"/>
      <c r="AX61" s="243"/>
      <c r="AY61" s="243"/>
      <c r="AZ61" s="243"/>
      <c r="BA61" s="243"/>
      <c r="BB61" s="14"/>
      <c r="BF61" s="4"/>
      <c r="BG61" s="4"/>
      <c r="BH61" s="4"/>
      <c r="BI61" s="4"/>
      <c r="BJ61" s="4"/>
      <c r="BK61" s="4"/>
      <c r="BL61" s="4"/>
      <c r="BM61" s="4"/>
      <c r="BN61" s="4"/>
      <c r="BO61" s="181" t="s">
        <v>34</v>
      </c>
      <c r="BP61" s="208" t="b">
        <f>IF(BQ84=2,1)</f>
        <v>0</v>
      </c>
      <c r="BQ61" s="230"/>
      <c r="BR61" s="209" t="b">
        <f>IF(BQ84=2,3)</f>
        <v>0</v>
      </c>
      <c r="BS61" s="182"/>
      <c r="BT61" s="182"/>
      <c r="BU61" s="182"/>
      <c r="BV61" s="182"/>
      <c r="BW61" s="182"/>
      <c r="BX61" s="182"/>
      <c r="BY61" s="182"/>
      <c r="BZ61" s="182"/>
      <c r="CA61" s="182"/>
      <c r="CB61" s="182"/>
      <c r="CC61" s="182"/>
      <c r="CD61" s="182"/>
      <c r="CE61" s="182"/>
      <c r="CF61" s="182"/>
      <c r="CG61" s="182"/>
      <c r="CH61" s="182"/>
      <c r="CI61" s="182"/>
      <c r="CJ61" s="182"/>
      <c r="CK61" s="182"/>
      <c r="CL61" s="182"/>
      <c r="CM61" s="182"/>
      <c r="CN61" s="185"/>
      <c r="CO61" s="185"/>
      <c r="CP61" s="185"/>
      <c r="CQ61" s="185"/>
      <c r="CR61" s="185"/>
      <c r="CS61" s="185"/>
    </row>
    <row r="62" spans="2:97" ht="21.6" hidden="1" thickBot="1" x14ac:dyDescent="0.45">
      <c r="B62" s="84"/>
      <c r="C62" s="84"/>
      <c r="D62" s="85"/>
      <c r="E62" s="85"/>
      <c r="F62" s="85"/>
      <c r="G62" s="85"/>
      <c r="H62" s="243"/>
      <c r="I62" s="243"/>
      <c r="J62" s="243"/>
      <c r="K62" s="243"/>
      <c r="L62" s="243"/>
      <c r="M62" s="243"/>
      <c r="N62" s="243"/>
      <c r="O62" s="243"/>
      <c r="P62" s="243"/>
      <c r="Q62" s="243"/>
      <c r="R62" s="243"/>
      <c r="S62" s="243"/>
      <c r="T62" s="243"/>
      <c r="U62" s="86"/>
      <c r="V62" s="243"/>
      <c r="W62" s="243"/>
      <c r="X62" s="243"/>
      <c r="Y62" s="243"/>
      <c r="Z62" s="243"/>
      <c r="AA62" s="243"/>
      <c r="AB62" s="86"/>
      <c r="AC62" s="86"/>
      <c r="AD62" s="86"/>
      <c r="AE62" s="86"/>
      <c r="AF62" s="243"/>
      <c r="AG62" s="243"/>
      <c r="AH62" s="243"/>
      <c r="AI62" s="243"/>
      <c r="AJ62" s="243"/>
      <c r="AK62" s="243"/>
      <c r="AL62" s="243"/>
      <c r="AM62" s="243"/>
      <c r="AN62" s="243"/>
      <c r="AO62" s="243"/>
      <c r="AP62" s="243"/>
      <c r="AQ62" s="243"/>
      <c r="AR62" s="243"/>
      <c r="AS62" s="243"/>
      <c r="AT62" s="243"/>
      <c r="AU62" s="243"/>
      <c r="AV62" s="243"/>
      <c r="AW62" s="243"/>
      <c r="AX62" s="243"/>
      <c r="AY62" s="243"/>
      <c r="AZ62" s="243"/>
      <c r="BA62" s="243"/>
      <c r="BB62" s="14"/>
      <c r="BF62" s="4"/>
      <c r="BG62" s="4"/>
      <c r="BH62" s="4"/>
      <c r="BI62" s="4"/>
      <c r="BJ62" s="4"/>
      <c r="BK62" s="4"/>
      <c r="BL62" s="4"/>
      <c r="BM62" s="4"/>
      <c r="BN62" s="4"/>
      <c r="BO62" s="195"/>
      <c r="BP62" s="196">
        <f>SUM(BP33:BP61)</f>
        <v>0</v>
      </c>
      <c r="BQ62" s="196">
        <f t="shared" ref="BQ62:CS62" si="0">SUM(BQ33:BQ61)</f>
        <v>2</v>
      </c>
      <c r="BR62" s="196">
        <f t="shared" si="0"/>
        <v>0</v>
      </c>
      <c r="BS62" s="196">
        <f t="shared" si="0"/>
        <v>0</v>
      </c>
      <c r="BT62" s="196">
        <f t="shared" si="0"/>
        <v>0</v>
      </c>
      <c r="BU62" s="196">
        <f t="shared" si="0"/>
        <v>0</v>
      </c>
      <c r="BV62" s="196">
        <f t="shared" si="0"/>
        <v>0</v>
      </c>
      <c r="BW62" s="196">
        <f t="shared" si="0"/>
        <v>0</v>
      </c>
      <c r="BX62" s="196">
        <f t="shared" si="0"/>
        <v>0</v>
      </c>
      <c r="BY62" s="196">
        <f t="shared" si="0"/>
        <v>0</v>
      </c>
      <c r="BZ62" s="196">
        <f t="shared" si="0"/>
        <v>0</v>
      </c>
      <c r="CA62" s="196">
        <f t="shared" si="0"/>
        <v>0</v>
      </c>
      <c r="CB62" s="196">
        <f t="shared" si="0"/>
        <v>0</v>
      </c>
      <c r="CC62" s="196">
        <f t="shared" si="0"/>
        <v>0</v>
      </c>
      <c r="CD62" s="196">
        <f t="shared" si="0"/>
        <v>0</v>
      </c>
      <c r="CE62" s="196">
        <f t="shared" si="0"/>
        <v>0</v>
      </c>
      <c r="CF62" s="196">
        <f t="shared" si="0"/>
        <v>0</v>
      </c>
      <c r="CG62" s="196">
        <f t="shared" si="0"/>
        <v>0</v>
      </c>
      <c r="CH62" s="196">
        <f t="shared" si="0"/>
        <v>0</v>
      </c>
      <c r="CI62" s="196">
        <f t="shared" si="0"/>
        <v>0</v>
      </c>
      <c r="CJ62" s="196">
        <f t="shared" si="0"/>
        <v>0</v>
      </c>
      <c r="CK62" s="196">
        <f t="shared" si="0"/>
        <v>22</v>
      </c>
      <c r="CL62" s="196">
        <f t="shared" si="0"/>
        <v>0</v>
      </c>
      <c r="CM62" s="196">
        <f t="shared" si="0"/>
        <v>0</v>
      </c>
      <c r="CN62" s="196">
        <f t="shared" si="0"/>
        <v>0</v>
      </c>
      <c r="CO62" s="196">
        <f t="shared" si="0"/>
        <v>0</v>
      </c>
      <c r="CP62" s="196">
        <f t="shared" si="0"/>
        <v>0</v>
      </c>
      <c r="CQ62" s="196">
        <f t="shared" si="0"/>
        <v>0</v>
      </c>
      <c r="CR62" s="196">
        <f t="shared" si="0"/>
        <v>0</v>
      </c>
      <c r="CS62" s="196">
        <f t="shared" si="0"/>
        <v>0</v>
      </c>
    </row>
    <row r="63" spans="2:97" ht="42.6" thickBot="1" x14ac:dyDescent="0.45">
      <c r="B63" s="84"/>
      <c r="C63" s="84"/>
      <c r="D63" s="85"/>
      <c r="E63" s="85"/>
      <c r="F63" s="85"/>
      <c r="G63" s="85"/>
      <c r="H63" s="243"/>
      <c r="I63" s="243"/>
      <c r="J63" s="243"/>
      <c r="K63" s="243"/>
      <c r="L63" s="243"/>
      <c r="M63" s="243"/>
      <c r="N63" s="243"/>
      <c r="O63" s="243"/>
      <c r="P63" s="243"/>
      <c r="Q63" s="243"/>
      <c r="R63" s="243"/>
      <c r="S63" s="243"/>
      <c r="T63" s="243"/>
      <c r="U63" s="86"/>
      <c r="V63" s="243"/>
      <c r="W63" s="243"/>
      <c r="X63" s="243"/>
      <c r="Y63" s="243"/>
      <c r="Z63" s="243"/>
      <c r="AA63" s="243"/>
      <c r="AB63" s="86"/>
      <c r="AC63" s="86"/>
      <c r="AD63" s="86"/>
      <c r="AE63" s="86"/>
      <c r="AF63" s="243"/>
      <c r="AG63" s="243"/>
      <c r="AH63" s="243"/>
      <c r="AI63" s="243"/>
      <c r="AJ63" s="243"/>
      <c r="AK63" s="243"/>
      <c r="AL63" s="243"/>
      <c r="AM63" s="243"/>
      <c r="AN63" s="243"/>
      <c r="AO63" s="243"/>
      <c r="AP63" s="243"/>
      <c r="AQ63" s="243"/>
      <c r="AR63" s="243"/>
      <c r="AS63" s="243"/>
      <c r="AT63" s="243"/>
      <c r="AU63" s="243"/>
      <c r="AV63" s="243"/>
      <c r="AW63" s="243"/>
      <c r="AX63" s="243"/>
      <c r="AY63" s="243"/>
      <c r="AZ63" s="243"/>
      <c r="BA63" s="243"/>
      <c r="BB63" s="14"/>
      <c r="BF63" s="4"/>
      <c r="BG63" s="4"/>
      <c r="BH63" s="4"/>
      <c r="BI63" s="4"/>
      <c r="BJ63" s="4"/>
      <c r="BK63" s="4"/>
      <c r="BL63" s="4"/>
      <c r="BM63" s="4"/>
      <c r="BN63" s="4"/>
      <c r="BO63" s="197" t="s">
        <v>80</v>
      </c>
      <c r="BP63" s="765" t="str">
        <f>IF(BP62=1,"A ","")</f>
        <v/>
      </c>
      <c r="BQ63" s="766" t="str">
        <f>IF(BQ62=2,"B ","")</f>
        <v xml:space="preserve">B </v>
      </c>
      <c r="BR63" s="766" t="str">
        <f>IF(BR62=3,"C ","")</f>
        <v/>
      </c>
      <c r="BS63" s="766" t="str">
        <f>IF(BS62=4,"D ","")</f>
        <v/>
      </c>
      <c r="BT63" s="766" t="str">
        <f>IF(BT62=5,"E ","")</f>
        <v/>
      </c>
      <c r="BU63" s="766" t="str">
        <f>IF(BU62=6,"F ","")</f>
        <v/>
      </c>
      <c r="BV63" s="766" t="str">
        <f>IF(BV62=7,"G ","")</f>
        <v/>
      </c>
      <c r="BW63" s="766" t="str">
        <f>IF(BW62=8,"H ","")</f>
        <v/>
      </c>
      <c r="BX63" s="766" t="str">
        <f>IF(BX62=9,"1 ","")</f>
        <v/>
      </c>
      <c r="BY63" s="766" t="str">
        <f>IF(BY62=10,"2 ","")</f>
        <v/>
      </c>
      <c r="BZ63" s="766" t="str">
        <f>IF(BZ62=11,"3 ","")</f>
        <v/>
      </c>
      <c r="CA63" s="766" t="str">
        <f>IF(CA62=12,"4 ","")</f>
        <v/>
      </c>
      <c r="CB63" s="766" t="str">
        <f>IF(CB62=13,"5 ","")</f>
        <v/>
      </c>
      <c r="CC63" s="766" t="str">
        <f>IF(CC62=14,"i ","")</f>
        <v/>
      </c>
      <c r="CD63" s="766" t="str">
        <f>IF(CD62=15,"J ","")</f>
        <v/>
      </c>
      <c r="CE63" s="766" t="str">
        <f>IF(CE62=16,"6 ","")</f>
        <v/>
      </c>
      <c r="CF63" s="766" t="str">
        <f>IF(CF62=17,"7 ","")</f>
        <v/>
      </c>
      <c r="CG63" s="766" t="str">
        <f>IF(CG62=18,"8 ","")</f>
        <v/>
      </c>
      <c r="CH63" s="766" t="str">
        <f>IF(CH62=19,"9 ","")</f>
        <v/>
      </c>
      <c r="CI63" s="766" t="str">
        <f>IF(CI62=20,"10 ","")</f>
        <v/>
      </c>
      <c r="CJ63" s="766" t="str">
        <f>IF(CJ62=21,"11 ","")</f>
        <v/>
      </c>
      <c r="CK63" s="766" t="str">
        <f>IF(CK62=22,"12 ","")</f>
        <v xml:space="preserve">12 </v>
      </c>
      <c r="CL63" s="766" t="str">
        <f>IF(CL62=23,"K ","")</f>
        <v/>
      </c>
      <c r="CM63" s="766" t="str">
        <f>IF(CM62=24,"L ","")</f>
        <v/>
      </c>
      <c r="CN63" s="766" t="str">
        <f>IF(CN62=25,"M ","")</f>
        <v/>
      </c>
      <c r="CO63" s="766" t="str">
        <f>IF(CO62=26,"N ","")</f>
        <v/>
      </c>
      <c r="CP63" s="766" t="str">
        <f>IF(CP62=27,"O ","")</f>
        <v/>
      </c>
      <c r="CQ63" s="766" t="str">
        <f>IF(CQ62=28,"P ","")</f>
        <v/>
      </c>
      <c r="CR63" s="766" t="str">
        <f>IF(CR62=29,"Q ","")</f>
        <v/>
      </c>
      <c r="CS63" s="767" t="str">
        <f>IF(CS62=30,"R ","")</f>
        <v/>
      </c>
    </row>
    <row r="64" spans="2:97" ht="21.6" thickBot="1" x14ac:dyDescent="0.45">
      <c r="B64" s="266"/>
      <c r="E64" s="85"/>
      <c r="F64" s="85"/>
      <c r="G64" s="85"/>
      <c r="H64" s="243"/>
      <c r="I64" s="243"/>
      <c r="J64" s="243"/>
      <c r="K64" s="243"/>
      <c r="L64" s="243"/>
      <c r="M64" s="243"/>
      <c r="N64" s="243"/>
      <c r="O64" s="243"/>
      <c r="P64" s="243"/>
      <c r="Q64" s="243"/>
      <c r="R64" s="243"/>
      <c r="S64" s="243"/>
      <c r="T64" s="243"/>
      <c r="U64" s="86"/>
      <c r="V64" s="243"/>
      <c r="W64" s="243"/>
      <c r="X64" s="243"/>
      <c r="Y64" s="243"/>
      <c r="Z64" s="243"/>
      <c r="AA64" s="243"/>
      <c r="AB64" s="86"/>
      <c r="AC64" s="86"/>
      <c r="AD64" s="86"/>
      <c r="AE64" s="86"/>
      <c r="AF64" s="243"/>
      <c r="AG64" s="243"/>
      <c r="AH64" s="243"/>
      <c r="AI64" s="243"/>
      <c r="AJ64" s="243"/>
      <c r="AK64" s="243"/>
      <c r="AL64" s="243"/>
      <c r="AM64" s="243"/>
      <c r="AN64" s="243"/>
      <c r="AO64" s="243"/>
      <c r="AP64" s="243"/>
      <c r="AQ64" s="243"/>
      <c r="AR64" s="243"/>
      <c r="AS64" s="243"/>
      <c r="AT64" s="243"/>
      <c r="AU64" s="243"/>
      <c r="AV64" s="243"/>
      <c r="AW64" s="243"/>
      <c r="AX64" s="243"/>
      <c r="AY64" s="243"/>
      <c r="AZ64" s="243"/>
      <c r="BA64" s="243"/>
      <c r="BB64" s="14"/>
      <c r="BF64" s="4"/>
      <c r="BG64" s="4"/>
      <c r="BH64" s="4"/>
      <c r="BI64" s="4"/>
      <c r="BJ64" s="4"/>
      <c r="BK64" s="4"/>
      <c r="BL64" s="4"/>
      <c r="BM64" s="4"/>
      <c r="BN64" s="4"/>
      <c r="BO64" s="185"/>
      <c r="BP64" s="185"/>
      <c r="BQ64" s="185"/>
      <c r="BR64" s="185"/>
      <c r="BS64" s="185"/>
      <c r="BT64" s="185"/>
      <c r="BU64" s="185"/>
      <c r="BV64" s="185"/>
      <c r="BW64" s="185"/>
      <c r="BX64" s="185"/>
      <c r="BY64" s="185"/>
      <c r="BZ64" s="185"/>
      <c r="CA64" s="185"/>
      <c r="CB64" s="185"/>
      <c r="CC64" s="185"/>
      <c r="CD64" s="185"/>
      <c r="CE64" s="185"/>
      <c r="CF64" s="185"/>
      <c r="CG64" s="185"/>
      <c r="CH64" s="185"/>
      <c r="CI64" s="198"/>
      <c r="CJ64" s="198"/>
      <c r="CK64" s="198"/>
      <c r="CL64" s="198"/>
      <c r="CM64" s="199"/>
      <c r="CN64" s="185"/>
      <c r="CO64" s="185"/>
      <c r="CP64" s="185"/>
      <c r="CQ64" s="185"/>
      <c r="CR64" s="185"/>
      <c r="CS64" s="185"/>
    </row>
    <row r="65" spans="2:136" ht="21" hidden="1" thickBot="1" x14ac:dyDescent="0.4">
      <c r="B65" s="305" t="b">
        <f>AND(B86&gt;=10,D86&gt;=10,AZ106&gt;=10,BA106&gt;=10)</f>
        <v>1</v>
      </c>
      <c r="C65" s="84"/>
      <c r="D65" s="85"/>
      <c r="E65" s="305" t="b">
        <f>AND(B86&gt;=10,D86&gt;=10,E86&gt;=10,AZ106&gt;=10,BA106&gt;=10)</f>
        <v>1</v>
      </c>
      <c r="G65" s="85"/>
      <c r="H65" s="243"/>
      <c r="I65" s="243"/>
      <c r="J65" s="243"/>
      <c r="K65" s="243"/>
      <c r="L65" s="243"/>
      <c r="M65" s="243"/>
      <c r="N65" s="243"/>
      <c r="O65" s="243"/>
      <c r="P65" s="243"/>
      <c r="Q65" s="243"/>
      <c r="R65" s="243"/>
      <c r="S65" s="243"/>
      <c r="T65" s="243"/>
      <c r="U65" s="86"/>
      <c r="V65" s="243"/>
      <c r="W65" s="243"/>
      <c r="X65" s="243"/>
      <c r="Y65" s="243"/>
      <c r="Z65" s="243"/>
      <c r="AA65" s="243"/>
      <c r="AB65" s="86"/>
      <c r="AC65" s="86"/>
      <c r="AD65" s="86"/>
      <c r="AE65" s="86"/>
      <c r="AF65" s="243"/>
      <c r="AG65" s="243"/>
      <c r="AH65" s="243"/>
      <c r="AI65" s="243"/>
      <c r="AJ65" s="243"/>
      <c r="AK65" s="243"/>
      <c r="AL65" s="243"/>
      <c r="AM65" s="243"/>
      <c r="AN65" s="243"/>
      <c r="AO65" s="243"/>
      <c r="AP65" s="243"/>
      <c r="AQ65" s="243"/>
      <c r="AR65" s="243"/>
      <c r="AS65" s="243"/>
      <c r="AT65" s="243"/>
      <c r="AU65" s="243"/>
      <c r="AV65" s="243"/>
      <c r="AW65" s="243"/>
      <c r="AX65" s="243"/>
      <c r="AY65" s="243"/>
      <c r="AZ65" s="243"/>
      <c r="BA65" s="243"/>
      <c r="BB65" s="14"/>
      <c r="BF65" s="4"/>
      <c r="BG65" s="4"/>
      <c r="BH65" s="4"/>
      <c r="BI65" s="4"/>
      <c r="BJ65" s="4"/>
      <c r="BK65" s="4"/>
      <c r="BL65" s="4"/>
      <c r="BM65" s="4"/>
      <c r="BN65" s="4"/>
      <c r="BO65" s="185"/>
      <c r="BP65" s="59"/>
      <c r="BQ65" s="59"/>
      <c r="BR65" s="59"/>
      <c r="BS65" s="59"/>
      <c r="BT65" s="59"/>
      <c r="BU65" s="59"/>
      <c r="BV65" s="59"/>
      <c r="BW65" s="59"/>
      <c r="BX65" s="59"/>
      <c r="BY65" s="59"/>
      <c r="BZ65" s="59"/>
      <c r="CA65" s="59"/>
      <c r="CB65" s="59"/>
      <c r="CC65" s="59"/>
      <c r="CD65" s="59"/>
      <c r="CE65" s="59"/>
      <c r="CF65" s="59"/>
      <c r="CG65" s="59"/>
      <c r="CH65" s="59"/>
      <c r="CI65" s="259"/>
      <c r="CJ65" s="259"/>
      <c r="CK65" s="259"/>
      <c r="CL65" s="259"/>
      <c r="CM65" s="69"/>
      <c r="CN65" s="59"/>
    </row>
    <row r="66" spans="2:136" ht="21.6" thickBot="1" x14ac:dyDescent="0.45">
      <c r="B66" s="84"/>
      <c r="C66" s="84"/>
      <c r="D66" s="85"/>
      <c r="E66" s="85"/>
      <c r="F66" s="85"/>
      <c r="G66" s="85"/>
      <c r="H66" s="243"/>
      <c r="I66" s="243"/>
      <c r="J66" s="243"/>
      <c r="K66" s="243"/>
      <c r="L66" s="243"/>
      <c r="M66" s="243"/>
      <c r="N66" s="243"/>
      <c r="O66" s="243"/>
      <c r="P66" s="243"/>
      <c r="Q66" s="243"/>
      <c r="R66" s="243"/>
      <c r="S66" s="243"/>
      <c r="T66" s="243"/>
      <c r="U66" s="86"/>
      <c r="V66" s="243"/>
      <c r="W66" s="243"/>
      <c r="X66" s="243"/>
      <c r="Y66" s="243"/>
      <c r="Z66" s="243"/>
      <c r="AA66" s="243"/>
      <c r="AB66" s="86"/>
      <c r="AC66" s="86"/>
      <c r="AD66" s="86"/>
      <c r="AE66" s="86"/>
      <c r="AF66" s="243"/>
      <c r="AG66" s="243"/>
      <c r="AH66" s="243"/>
      <c r="AI66" s="243"/>
      <c r="AJ66" s="243"/>
      <c r="AK66" s="243"/>
      <c r="AL66" s="243"/>
      <c r="AM66" s="243"/>
      <c r="AN66" s="243"/>
      <c r="AO66" s="243"/>
      <c r="AP66" s="243"/>
      <c r="AQ66" s="243"/>
      <c r="AR66" s="243"/>
      <c r="AS66" s="243"/>
      <c r="AT66" s="243"/>
      <c r="AU66" s="243"/>
      <c r="AV66" s="243"/>
      <c r="AW66" s="243"/>
      <c r="AX66" s="243"/>
      <c r="AY66" s="243"/>
      <c r="AZ66" s="243"/>
      <c r="BA66" s="243"/>
      <c r="BB66" s="14"/>
      <c r="BF66" s="4"/>
      <c r="BG66" s="4"/>
      <c r="BH66" s="4"/>
      <c r="BI66" s="4"/>
      <c r="BJ66" s="4"/>
      <c r="BK66" s="4"/>
      <c r="BL66" s="4"/>
      <c r="BM66" s="4"/>
      <c r="BN66" s="4"/>
      <c r="BO66" s="200" t="s">
        <v>30</v>
      </c>
      <c r="BP66" s="1978"/>
      <c r="BQ66" s="1979"/>
      <c r="BR66" s="1979"/>
      <c r="BS66" s="1979"/>
      <c r="BT66" s="1979"/>
      <c r="BU66" s="1979"/>
      <c r="BV66" s="1979"/>
      <c r="BW66" s="1980"/>
      <c r="BX66" s="202" t="s">
        <v>31</v>
      </c>
      <c r="BY66" s="201"/>
      <c r="BZ66" s="260"/>
      <c r="CA66" s="260"/>
      <c r="CB66" s="260"/>
      <c r="CC66" s="260"/>
      <c r="CD66" s="260"/>
      <c r="CE66" s="260"/>
      <c r="CF66" s="260"/>
      <c r="CG66" s="260"/>
      <c r="CH66" s="1"/>
      <c r="CI66" s="257"/>
      <c r="CJ66" s="257"/>
      <c r="CK66" s="203" t="s">
        <v>32</v>
      </c>
      <c r="CL66" s="1978"/>
      <c r="CM66" s="1979"/>
      <c r="CN66" s="1979"/>
      <c r="CO66" s="1979"/>
      <c r="CP66" s="1979"/>
      <c r="CQ66" s="1979"/>
      <c r="CR66" s="1979"/>
      <c r="CS66" s="1980"/>
    </row>
    <row r="67" spans="2:136" ht="24.75" customHeight="1" thickTop="1" thickBot="1" x14ac:dyDescent="0.45">
      <c r="B67" s="1356" t="s">
        <v>190</v>
      </c>
      <c r="C67" s="1473"/>
      <c r="D67" s="1488"/>
      <c r="E67" s="1356" t="s">
        <v>191</v>
      </c>
      <c r="G67" s="85"/>
      <c r="H67" s="243"/>
      <c r="I67" s="243"/>
      <c r="J67" s="243"/>
      <c r="K67" s="243"/>
      <c r="L67" s="243"/>
      <c r="M67" s="243"/>
      <c r="N67" s="243"/>
      <c r="O67" s="243"/>
      <c r="P67" s="243"/>
      <c r="Q67" s="243"/>
      <c r="R67" s="243"/>
      <c r="S67" s="243"/>
      <c r="T67" s="243"/>
      <c r="U67" s="86"/>
      <c r="V67" s="243"/>
      <c r="W67" s="243"/>
      <c r="X67" s="243"/>
      <c r="Y67" s="243"/>
      <c r="Z67" s="243"/>
      <c r="AA67" s="243"/>
      <c r="AB67" s="86"/>
      <c r="AC67" s="86"/>
      <c r="AD67" s="86"/>
      <c r="AE67" s="86"/>
      <c r="AF67" s="243"/>
      <c r="AG67" s="243"/>
      <c r="AH67" s="243"/>
      <c r="AI67" s="243"/>
      <c r="AJ67" s="243"/>
      <c r="AK67" s="243"/>
      <c r="AL67" s="243"/>
      <c r="AM67" s="243"/>
      <c r="AN67" s="243"/>
      <c r="AO67" s="243"/>
      <c r="AP67" s="243"/>
      <c r="AQ67" s="243"/>
      <c r="AR67" s="243"/>
      <c r="AS67" s="243"/>
      <c r="AT67" s="243"/>
      <c r="AU67" s="243"/>
      <c r="AV67" s="243"/>
      <c r="AW67" s="243"/>
      <c r="AX67" s="243"/>
      <c r="AY67" s="243"/>
      <c r="AZ67" s="243"/>
      <c r="BA67" s="243"/>
      <c r="BB67" s="14"/>
      <c r="BE67" s="39"/>
      <c r="BF67" s="40"/>
      <c r="BG67" s="40"/>
      <c r="BH67" s="59"/>
      <c r="BI67" s="59"/>
      <c r="BJ67" s="59"/>
      <c r="BK67" s="59"/>
      <c r="BL67" s="1348" t="s">
        <v>223</v>
      </c>
      <c r="BM67" s="1348">
        <f>+MAX(BN28,BN30,BN67)</f>
        <v>150.07007053524907</v>
      </c>
      <c r="BN67" s="1347">
        <f>+IF(AND(CJ67&gt;0,BX67&gt;0),BX67)</f>
        <v>133.62088317232542</v>
      </c>
      <c r="BO67" s="204" t="s">
        <v>41</v>
      </c>
      <c r="BP67" s="1981"/>
      <c r="BQ67" s="1982"/>
      <c r="BR67" s="1982"/>
      <c r="BS67" s="1982"/>
      <c r="BT67" s="1982"/>
      <c r="BU67" s="1982"/>
      <c r="BV67" s="1982"/>
      <c r="BW67" s="1983"/>
      <c r="BX67" s="2003">
        <f>+((D2-D3)/D2)*C7</f>
        <v>133.62088317232542</v>
      </c>
      <c r="BY67" s="2004"/>
      <c r="BZ67" s="261"/>
      <c r="CA67" s="261"/>
      <c r="CB67" s="261"/>
      <c r="CC67" s="261"/>
      <c r="CD67" s="261"/>
      <c r="CE67" s="261"/>
      <c r="CF67" s="261"/>
      <c r="CG67" s="261"/>
      <c r="CH67" s="2"/>
      <c r="CI67" s="258"/>
      <c r="CJ67" s="1987">
        <f>+(D3/D2)*C7</f>
        <v>43.179116827674591</v>
      </c>
      <c r="CK67" s="1988"/>
      <c r="CL67" s="1981"/>
      <c r="CM67" s="1982"/>
      <c r="CN67" s="1982"/>
      <c r="CO67" s="1982"/>
      <c r="CP67" s="1982"/>
      <c r="CQ67" s="1982"/>
      <c r="CR67" s="1982"/>
      <c r="CS67" s="1983"/>
      <c r="CT67" s="1347">
        <f>+IF(AND(BX67&gt;0,CJ67&gt;0),CJ67)</f>
        <v>43.179116827674591</v>
      </c>
      <c r="CU67" s="1348">
        <f>+MAX(CT28,CT30,CT67)</f>
        <v>94.082310417131893</v>
      </c>
      <c r="CV67" s="1348" t="s">
        <v>224</v>
      </c>
    </row>
    <row r="68" spans="2:136" ht="31.2" thickTop="1" thickBot="1" x14ac:dyDescent="0.55000000000000004">
      <c r="B68" s="1358" t="str">
        <f>IF(B65=TRUE,"O K","OVERLOAD")</f>
        <v>O K</v>
      </c>
      <c r="C68" s="1473"/>
      <c r="D68" s="1483"/>
      <c r="E68" s="1361" t="str">
        <f>IF(E65=TRUE,"O K ","OVERLOAD")</f>
        <v xml:space="preserve">O K </v>
      </c>
      <c r="G68" s="85"/>
      <c r="H68" s="243"/>
      <c r="I68" s="243"/>
      <c r="J68" s="243"/>
      <c r="K68" s="243"/>
      <c r="L68" s="243"/>
      <c r="M68" s="243"/>
      <c r="N68" s="243"/>
      <c r="O68" s="243"/>
      <c r="P68" s="243"/>
      <c r="Q68" s="243"/>
      <c r="R68" s="243"/>
      <c r="S68" s="243"/>
      <c r="T68" s="243"/>
      <c r="U68" s="86"/>
      <c r="V68" s="243"/>
      <c r="W68" s="243"/>
      <c r="X68" s="243"/>
      <c r="Y68" s="243"/>
      <c r="Z68" s="243"/>
      <c r="AA68" s="243"/>
      <c r="AB68" s="86"/>
      <c r="AC68" s="86"/>
      <c r="AD68" s="86"/>
      <c r="AE68" s="86"/>
      <c r="AF68" s="243"/>
      <c r="AG68" s="243"/>
      <c r="AH68" s="243"/>
      <c r="AI68" s="243"/>
      <c r="AJ68" s="243"/>
      <c r="AK68" s="243"/>
      <c r="AL68" s="243"/>
      <c r="AM68" s="243"/>
      <c r="AN68" s="243"/>
      <c r="AO68" s="243"/>
      <c r="AP68" s="243"/>
      <c r="AQ68" s="243"/>
      <c r="AR68" s="243"/>
      <c r="AS68" s="243"/>
      <c r="AT68" s="243"/>
      <c r="AU68" s="243"/>
      <c r="AV68" s="243"/>
      <c r="AW68" s="243"/>
      <c r="AX68" s="243"/>
      <c r="AY68" s="243"/>
      <c r="AZ68" s="243"/>
      <c r="BA68" s="243"/>
      <c r="BB68" s="14"/>
      <c r="BE68" s="39"/>
      <c r="BF68" s="40"/>
      <c r="BG68" s="40"/>
      <c r="BH68" s="59"/>
      <c r="BI68" s="59"/>
      <c r="BJ68" s="59"/>
      <c r="BK68" s="59"/>
      <c r="BL68" s="59"/>
      <c r="BM68" s="4"/>
      <c r="BN68" s="4"/>
      <c r="BO68" s="206"/>
      <c r="BP68" s="262"/>
      <c r="BQ68" s="70"/>
      <c r="BR68" s="262"/>
      <c r="BS68" s="262"/>
      <c r="BT68" s="262"/>
      <c r="BU68" s="70"/>
      <c r="BV68" s="262"/>
      <c r="BW68" s="262"/>
      <c r="BX68" s="262"/>
      <c r="BY68" s="262"/>
      <c r="BZ68" s="262"/>
      <c r="CA68" s="262"/>
      <c r="CB68" s="262"/>
      <c r="CC68" s="262"/>
      <c r="CD68" s="262"/>
      <c r="CE68" s="262"/>
      <c r="CF68" s="140"/>
      <c r="CG68" s="262"/>
      <c r="CH68" s="140"/>
      <c r="CI68" s="259"/>
      <c r="CJ68" s="259"/>
      <c r="CK68" s="259"/>
      <c r="CL68" s="259"/>
      <c r="CM68" s="155"/>
      <c r="CN68" s="155"/>
    </row>
    <row r="69" spans="2:136" ht="22.2" hidden="1" thickTop="1" thickBot="1" x14ac:dyDescent="0.45">
      <c r="B69" s="1473"/>
      <c r="C69" s="1473"/>
      <c r="D69" s="1474"/>
      <c r="E69" s="1474"/>
      <c r="F69" s="85"/>
      <c r="G69" s="85"/>
      <c r="H69" s="243"/>
      <c r="I69" s="243"/>
      <c r="J69" s="243"/>
      <c r="K69" s="243"/>
      <c r="L69" s="243"/>
      <c r="M69" s="243"/>
      <c r="N69" s="243"/>
      <c r="O69" s="243"/>
      <c r="P69" s="243"/>
      <c r="Q69" s="243"/>
      <c r="R69" s="243"/>
      <c r="S69" s="243"/>
      <c r="T69" s="243"/>
      <c r="U69" s="86"/>
      <c r="V69" s="243"/>
      <c r="W69" s="243"/>
      <c r="X69" s="243"/>
      <c r="Y69" s="243"/>
      <c r="Z69" s="243"/>
      <c r="AA69" s="243"/>
      <c r="AB69" s="86"/>
      <c r="AC69" s="86"/>
      <c r="AD69" s="86"/>
      <c r="AE69" s="86"/>
      <c r="AF69" s="243"/>
      <c r="AG69" s="243"/>
      <c r="AH69" s="243"/>
      <c r="AI69" s="243"/>
      <c r="AJ69" s="243"/>
      <c r="AK69" s="243"/>
      <c r="AL69" s="243"/>
      <c r="AM69" s="243"/>
      <c r="AN69" s="243"/>
      <c r="AO69" s="243"/>
      <c r="AP69" s="243"/>
      <c r="AQ69" s="243"/>
      <c r="AR69" s="243"/>
      <c r="AS69" s="243"/>
      <c r="AT69" s="243"/>
      <c r="AU69" s="243"/>
      <c r="AV69" s="243"/>
      <c r="AW69" s="243"/>
      <c r="AX69" s="243"/>
      <c r="AY69" s="243"/>
      <c r="AZ69" s="243"/>
      <c r="BA69" s="243"/>
      <c r="BB69" s="14"/>
      <c r="BE69" s="39"/>
      <c r="BF69" s="40"/>
      <c r="BG69" s="40"/>
      <c r="BH69" s="59"/>
      <c r="BI69" s="59"/>
      <c r="BJ69" s="59"/>
      <c r="BK69" s="59"/>
      <c r="BL69" s="59"/>
      <c r="BM69" s="4"/>
      <c r="BN69" s="27"/>
      <c r="BO69" s="206"/>
      <c r="BP69" s="206"/>
      <c r="BQ69" s="207"/>
      <c r="BR69" s="206"/>
      <c r="BS69" s="206"/>
      <c r="BT69" s="206"/>
      <c r="BW69">
        <v>11</v>
      </c>
      <c r="BX69" s="207"/>
      <c r="BY69" s="206"/>
      <c r="BZ69" s="206"/>
      <c r="CA69" s="206"/>
      <c r="CB69" s="206"/>
      <c r="CC69" s="206"/>
      <c r="CD69" s="206"/>
      <c r="CE69" s="206"/>
      <c r="CF69" s="206"/>
      <c r="CG69" s="206"/>
      <c r="CH69" s="206"/>
      <c r="CI69" s="208" t="b">
        <f>IF(CJ84=21,10)</f>
        <v>0</v>
      </c>
      <c r="CJ69" s="205"/>
      <c r="CK69" s="209" t="b">
        <f>IF(CJ84=21,12)</f>
        <v>0</v>
      </c>
      <c r="CL69" s="198"/>
      <c r="CM69" s="184"/>
      <c r="CN69" s="185"/>
      <c r="CO69" s="185"/>
      <c r="CP69" s="185"/>
      <c r="CQ69" s="185"/>
      <c r="CR69" s="185"/>
      <c r="CS69" s="185"/>
      <c r="CT69" s="185"/>
      <c r="CU69" s="185"/>
    </row>
    <row r="70" spans="2:136" ht="22.2" hidden="1" thickTop="1" thickBot="1" x14ac:dyDescent="0.45">
      <c r="B70" s="1473"/>
      <c r="C70" s="1473"/>
      <c r="D70" s="1474"/>
      <c r="E70" s="1474"/>
      <c r="F70" s="85"/>
      <c r="G70" s="85"/>
      <c r="H70" s="243"/>
      <c r="I70" s="243"/>
      <c r="J70" s="243"/>
      <c r="K70" s="243"/>
      <c r="L70" s="243"/>
      <c r="M70" s="243"/>
      <c r="N70" s="243"/>
      <c r="O70" s="243"/>
      <c r="P70" s="243"/>
      <c r="Q70" s="243"/>
      <c r="R70" s="243"/>
      <c r="S70" s="243"/>
      <c r="T70" s="243"/>
      <c r="U70" s="86"/>
      <c r="V70" s="243"/>
      <c r="W70" s="243"/>
      <c r="X70" s="243"/>
      <c r="Y70" s="243"/>
      <c r="Z70" s="243"/>
      <c r="AA70" s="243"/>
      <c r="AB70" s="86"/>
      <c r="AC70" s="86"/>
      <c r="AD70" s="86"/>
      <c r="AE70" s="86"/>
      <c r="AF70" s="243"/>
      <c r="AG70" s="243"/>
      <c r="AH70" s="243"/>
      <c r="AI70" s="243"/>
      <c r="AJ70" s="243"/>
      <c r="AK70" s="243"/>
      <c r="AL70" s="243"/>
      <c r="AM70" s="243"/>
      <c r="AN70" s="243"/>
      <c r="AO70" s="243"/>
      <c r="AP70" s="243"/>
      <c r="AQ70" s="243"/>
      <c r="AR70" s="243"/>
      <c r="AS70" s="243"/>
      <c r="AT70" s="243"/>
      <c r="AU70" s="243"/>
      <c r="AV70" s="243"/>
      <c r="AW70" s="243"/>
      <c r="AX70" s="243"/>
      <c r="AY70" s="243"/>
      <c r="AZ70" s="243"/>
      <c r="BA70" s="243"/>
      <c r="BB70" s="14"/>
      <c r="BE70" s="39"/>
      <c r="BF70" s="40"/>
      <c r="BG70" s="40"/>
      <c r="BH70" s="59"/>
      <c r="BI70" s="59"/>
      <c r="BJ70" s="59"/>
      <c r="BK70" s="59"/>
      <c r="BL70" s="59"/>
      <c r="BM70" s="4"/>
      <c r="BN70" s="27"/>
      <c r="BO70" s="206"/>
      <c r="BP70" s="206"/>
      <c r="BQ70" s="207"/>
      <c r="BR70" s="206"/>
      <c r="BS70" s="206"/>
      <c r="BT70" s="206"/>
      <c r="BW70">
        <v>10</v>
      </c>
      <c r="BX70" s="207"/>
      <c r="BY70" s="206"/>
      <c r="BZ70" s="206"/>
      <c r="CA70" s="206"/>
      <c r="CB70" s="206"/>
      <c r="CC70" s="206"/>
      <c r="CD70" s="206"/>
      <c r="CE70" s="206"/>
      <c r="CF70" s="206"/>
      <c r="CG70" s="222" t="b">
        <f>IF(CI84=20,8)</f>
        <v>0</v>
      </c>
      <c r="CH70" s="201"/>
      <c r="CI70" s="201"/>
      <c r="CJ70" s="201"/>
      <c r="CK70" s="226" t="b">
        <f>IF(CI84=20,12)</f>
        <v>0</v>
      </c>
      <c r="CL70" s="198"/>
      <c r="CM70" s="184"/>
      <c r="CN70" s="185"/>
      <c r="CO70" s="185"/>
      <c r="CP70" s="185"/>
      <c r="CQ70" s="185"/>
      <c r="CR70" s="185"/>
      <c r="CS70" s="185"/>
      <c r="CT70" s="185"/>
      <c r="CU70" s="185"/>
    </row>
    <row r="71" spans="2:136" ht="22.2" hidden="1" thickTop="1" thickBot="1" x14ac:dyDescent="0.45">
      <c r="B71" s="1473"/>
      <c r="C71" s="1473"/>
      <c r="D71" s="1474"/>
      <c r="E71" s="1474"/>
      <c r="F71" s="85"/>
      <c r="G71" s="85"/>
      <c r="H71" s="243"/>
      <c r="I71" s="243"/>
      <c r="J71" s="243"/>
      <c r="K71" s="243"/>
      <c r="L71" s="243"/>
      <c r="M71" s="243"/>
      <c r="N71" s="243"/>
      <c r="O71" s="243"/>
      <c r="P71" s="243"/>
      <c r="Q71" s="243"/>
      <c r="R71" s="243"/>
      <c r="S71" s="243"/>
      <c r="T71" s="243"/>
      <c r="U71" s="86"/>
      <c r="V71" s="243"/>
      <c r="W71" s="243"/>
      <c r="X71" s="243"/>
      <c r="Y71" s="243"/>
      <c r="Z71" s="243"/>
      <c r="AA71" s="243"/>
      <c r="AB71" s="86"/>
      <c r="AC71" s="86"/>
      <c r="AD71" s="86"/>
      <c r="AE71" s="86"/>
      <c r="AF71" s="243"/>
      <c r="AG71" s="243"/>
      <c r="AH71" s="243"/>
      <c r="AI71" s="243"/>
      <c r="AJ71" s="243"/>
      <c r="AK71" s="243"/>
      <c r="AL71" s="243"/>
      <c r="AM71" s="243"/>
      <c r="AN71" s="243"/>
      <c r="AO71" s="243"/>
      <c r="AP71" s="243"/>
      <c r="AQ71" s="243"/>
      <c r="AR71" s="243"/>
      <c r="AS71" s="243"/>
      <c r="AT71" s="243"/>
      <c r="AU71" s="243"/>
      <c r="AV71" s="243"/>
      <c r="AW71" s="243"/>
      <c r="AX71" s="243"/>
      <c r="AY71" s="243"/>
      <c r="AZ71" s="243"/>
      <c r="BA71" s="243"/>
      <c r="BB71" s="14"/>
      <c r="BE71" s="39"/>
      <c r="BF71" s="40"/>
      <c r="BG71" s="40"/>
      <c r="BH71" s="59"/>
      <c r="BI71" s="59"/>
      <c r="BJ71" s="59"/>
      <c r="BK71" s="59"/>
      <c r="BL71" s="59"/>
      <c r="BM71" s="4"/>
      <c r="BN71" s="27"/>
      <c r="BO71" s="206"/>
      <c r="BP71" s="206"/>
      <c r="BQ71" s="207"/>
      <c r="BR71" s="206"/>
      <c r="BS71" s="206"/>
      <c r="BT71" s="206"/>
      <c r="BW71">
        <v>9</v>
      </c>
      <c r="BX71" s="207"/>
      <c r="BY71" s="206"/>
      <c r="BZ71" s="206"/>
      <c r="CA71" s="206"/>
      <c r="CB71" s="206"/>
      <c r="CC71" s="206"/>
      <c r="CD71" s="206"/>
      <c r="CE71" s="210" t="b">
        <f>IF(CH84=19,6)</f>
        <v>0</v>
      </c>
      <c r="CF71" s="211"/>
      <c r="CG71" s="224"/>
      <c r="CH71" s="211"/>
      <c r="CI71" s="224"/>
      <c r="CJ71" s="211"/>
      <c r="CK71" s="212" t="b">
        <f>IF(CH84=19,12)</f>
        <v>0</v>
      </c>
      <c r="CL71" s="198"/>
      <c r="CM71" s="184"/>
      <c r="CN71" s="185"/>
      <c r="CO71" s="185"/>
      <c r="CP71" s="185"/>
      <c r="CQ71" s="185"/>
      <c r="CR71" s="185"/>
      <c r="CS71" s="185"/>
      <c r="CT71" s="185"/>
      <c r="CU71" s="185"/>
    </row>
    <row r="72" spans="2:136" ht="22.2" hidden="1" thickTop="1" thickBot="1" x14ac:dyDescent="0.45">
      <c r="B72" s="1473"/>
      <c r="C72" s="1473"/>
      <c r="D72" s="1474"/>
      <c r="E72" s="1474"/>
      <c r="F72" s="85"/>
      <c r="G72" s="85"/>
      <c r="H72" s="243"/>
      <c r="I72" s="243"/>
      <c r="J72" s="243"/>
      <c r="K72" s="243"/>
      <c r="L72" s="243"/>
      <c r="M72" s="243"/>
      <c r="N72" s="243"/>
      <c r="O72" s="243"/>
      <c r="P72" s="243"/>
      <c r="Q72" s="243"/>
      <c r="R72" s="243"/>
      <c r="S72" s="243"/>
      <c r="T72" s="243"/>
      <c r="U72" s="86"/>
      <c r="V72" s="243"/>
      <c r="W72" s="243"/>
      <c r="X72" s="243"/>
      <c r="Y72" s="243"/>
      <c r="Z72" s="243"/>
      <c r="AA72" s="243"/>
      <c r="AB72" s="86"/>
      <c r="AC72" s="86"/>
      <c r="AD72" s="86"/>
      <c r="AE72" s="86"/>
      <c r="AF72" s="243"/>
      <c r="AG72" s="243"/>
      <c r="AH72" s="243"/>
      <c r="AI72" s="243"/>
      <c r="AJ72" s="243"/>
      <c r="AK72" s="243"/>
      <c r="AL72" s="243"/>
      <c r="AM72" s="243"/>
      <c r="AN72" s="243"/>
      <c r="AO72" s="243"/>
      <c r="AP72" s="243"/>
      <c r="AQ72" s="243"/>
      <c r="AR72" s="243"/>
      <c r="AS72" s="243"/>
      <c r="AT72" s="243"/>
      <c r="AU72" s="243"/>
      <c r="AV72" s="243"/>
      <c r="AW72" s="243"/>
      <c r="AX72" s="243"/>
      <c r="AY72" s="243"/>
      <c r="AZ72" s="243"/>
      <c r="BA72" s="243"/>
      <c r="BB72" s="14"/>
      <c r="BE72" s="39"/>
      <c r="BF72" s="40"/>
      <c r="BG72" s="40"/>
      <c r="BH72" s="59"/>
      <c r="BI72" s="59"/>
      <c r="BJ72" s="59"/>
      <c r="BK72" s="59"/>
      <c r="BL72" s="59"/>
      <c r="BM72" s="4"/>
      <c r="BN72" s="27"/>
      <c r="BO72" s="206"/>
      <c r="BP72" s="206"/>
      <c r="BQ72" s="207"/>
      <c r="BR72" s="206"/>
      <c r="BS72" s="206"/>
      <c r="BT72" s="206"/>
      <c r="BW72">
        <v>8</v>
      </c>
      <c r="BX72" s="207"/>
      <c r="BY72" s="206"/>
      <c r="BZ72" s="206"/>
      <c r="CA72" s="206"/>
      <c r="CB72" s="206"/>
      <c r="CE72" s="208" t="b">
        <f>IF(CG84=18,6)</f>
        <v>0</v>
      </c>
      <c r="CF72" s="205"/>
      <c r="CG72" s="205"/>
      <c r="CH72" s="205"/>
      <c r="CI72" s="209" t="b">
        <f>IF(CG84=18,10)</f>
        <v>0</v>
      </c>
      <c r="CJ72" s="206"/>
      <c r="CL72" s="198"/>
      <c r="CM72" s="184"/>
      <c r="CN72" s="185"/>
      <c r="CO72" s="185"/>
      <c r="CP72" s="185"/>
      <c r="CQ72" s="185"/>
      <c r="CR72" s="185"/>
      <c r="CS72" s="185"/>
      <c r="CT72" s="185"/>
      <c r="CU72" s="185"/>
    </row>
    <row r="73" spans="2:136" ht="22.2" hidden="1" thickTop="1" thickBot="1" x14ac:dyDescent="0.45">
      <c r="B73" s="1473"/>
      <c r="C73" s="1473"/>
      <c r="D73" s="1474"/>
      <c r="E73" s="1474"/>
      <c r="F73" s="85"/>
      <c r="G73" s="85"/>
      <c r="H73" s="243"/>
      <c r="I73" s="243"/>
      <c r="J73" s="243"/>
      <c r="K73" s="243"/>
      <c r="L73" s="243"/>
      <c r="M73" s="243"/>
      <c r="N73" s="243"/>
      <c r="O73" s="243"/>
      <c r="P73" s="243"/>
      <c r="Q73" s="243"/>
      <c r="R73" s="243"/>
      <c r="S73" s="243"/>
      <c r="T73" s="243"/>
      <c r="U73" s="86"/>
      <c r="V73" s="243"/>
      <c r="W73" s="243"/>
      <c r="X73" s="243"/>
      <c r="Y73" s="243"/>
      <c r="Z73" s="243"/>
      <c r="AA73" s="243"/>
      <c r="AB73" s="86"/>
      <c r="AC73" s="86"/>
      <c r="AD73" s="86"/>
      <c r="AE73" s="86"/>
      <c r="AF73" s="243"/>
      <c r="AG73" s="243"/>
      <c r="AH73" s="243"/>
      <c r="AI73" s="243"/>
      <c r="AJ73" s="243"/>
      <c r="AK73" s="243"/>
      <c r="AL73" s="243"/>
      <c r="AM73" s="243"/>
      <c r="AN73" s="243"/>
      <c r="AO73" s="243"/>
      <c r="AP73" s="243"/>
      <c r="AQ73" s="243"/>
      <c r="AR73" s="243"/>
      <c r="AS73" s="243"/>
      <c r="AT73" s="243"/>
      <c r="AU73" s="243"/>
      <c r="AV73" s="243"/>
      <c r="AW73" s="243"/>
      <c r="AX73" s="243"/>
      <c r="AY73" s="243"/>
      <c r="AZ73" s="243"/>
      <c r="BA73" s="243"/>
      <c r="BB73" s="14"/>
      <c r="BE73" s="39"/>
      <c r="BF73" s="40"/>
      <c r="BG73" s="40"/>
      <c r="BH73" s="59"/>
      <c r="BI73" s="59"/>
      <c r="BJ73" s="59"/>
      <c r="BK73" s="59"/>
      <c r="BL73" s="59"/>
      <c r="BM73" s="4"/>
      <c r="BN73" s="27"/>
      <c r="BO73" s="206"/>
      <c r="BP73" s="206"/>
      <c r="BQ73" s="207"/>
      <c r="BR73" s="206"/>
      <c r="BS73" s="206"/>
      <c r="BT73" s="206"/>
      <c r="BW73">
        <v>7</v>
      </c>
      <c r="BX73" s="207"/>
      <c r="BY73" s="206"/>
      <c r="BZ73" s="206"/>
      <c r="CA73" s="210" t="b">
        <f>IF(CF84=17,4)</f>
        <v>0</v>
      </c>
      <c r="CB73" s="211"/>
      <c r="CC73" s="211"/>
      <c r="CD73" s="211"/>
      <c r="CE73" s="211"/>
      <c r="CF73" s="211"/>
      <c r="CG73" s="211"/>
      <c r="CH73" s="211"/>
      <c r="CI73" s="211"/>
      <c r="CJ73" s="205"/>
      <c r="CK73" s="212" t="b">
        <f>IF(CF84=17,12)</f>
        <v>0</v>
      </c>
      <c r="CL73" s="198"/>
      <c r="CM73" s="184"/>
      <c r="CN73" s="185"/>
      <c r="CO73" s="185"/>
      <c r="CP73" s="185"/>
      <c r="CQ73" s="185"/>
      <c r="CR73" s="185"/>
      <c r="CS73" s="185"/>
      <c r="CT73" s="185"/>
      <c r="CU73" s="185"/>
    </row>
    <row r="74" spans="2:136" ht="22.2" hidden="1" thickTop="1" thickBot="1" x14ac:dyDescent="0.45">
      <c r="B74" s="1473"/>
      <c r="C74" s="1473"/>
      <c r="D74" s="1474"/>
      <c r="E74" s="1474"/>
      <c r="F74" s="85"/>
      <c r="G74" s="85"/>
      <c r="H74" s="243"/>
      <c r="I74" s="243"/>
      <c r="J74" s="243"/>
      <c r="K74" s="243"/>
      <c r="L74" s="243"/>
      <c r="M74" s="243"/>
      <c r="N74" s="243"/>
      <c r="O74" s="243"/>
      <c r="P74" s="243"/>
      <c r="Q74" s="243"/>
      <c r="R74" s="243"/>
      <c r="S74" s="243"/>
      <c r="T74" s="243"/>
      <c r="U74" s="86"/>
      <c r="V74" s="243"/>
      <c r="W74" s="243"/>
      <c r="X74" s="243"/>
      <c r="Y74" s="243"/>
      <c r="Z74" s="243"/>
      <c r="AA74" s="243"/>
      <c r="AB74" s="86"/>
      <c r="AC74" s="86"/>
      <c r="AD74" s="86"/>
      <c r="AE74" s="86"/>
      <c r="AF74" s="243"/>
      <c r="AG74" s="243"/>
      <c r="AH74" s="243"/>
      <c r="AI74" s="243"/>
      <c r="AJ74" s="243"/>
      <c r="AK74" s="243"/>
      <c r="AL74" s="243"/>
      <c r="AM74" s="243"/>
      <c r="AN74" s="243"/>
      <c r="AO74" s="243"/>
      <c r="AP74" s="243"/>
      <c r="AQ74" s="243"/>
      <c r="AR74" s="243"/>
      <c r="AS74" s="243"/>
      <c r="AT74" s="243"/>
      <c r="AU74" s="243"/>
      <c r="AV74" s="243"/>
      <c r="AW74" s="243"/>
      <c r="AX74" s="243"/>
      <c r="AY74" s="243"/>
      <c r="AZ74" s="243"/>
      <c r="BA74" s="243"/>
      <c r="BB74" s="14"/>
      <c r="BE74" s="41"/>
      <c r="BF74" s="40"/>
      <c r="BG74" s="40"/>
      <c r="BH74" s="59"/>
      <c r="BI74" s="59"/>
      <c r="BJ74" s="59"/>
      <c r="BK74" s="59"/>
      <c r="BL74" s="59"/>
      <c r="BM74" s="4"/>
      <c r="BN74" s="27"/>
      <c r="BO74" s="206"/>
      <c r="BP74" s="206"/>
      <c r="BQ74" s="207"/>
      <c r="BR74" s="206"/>
      <c r="BS74" s="206"/>
      <c r="BT74" s="206"/>
      <c r="BW74">
        <v>6</v>
      </c>
      <c r="BX74" s="207"/>
      <c r="BY74" s="210" t="b">
        <f>IF(CE84=16,2)</f>
        <v>0</v>
      </c>
      <c r="BZ74" s="211"/>
      <c r="CA74" s="211"/>
      <c r="CB74" s="211"/>
      <c r="CC74" s="211"/>
      <c r="CD74" s="211"/>
      <c r="CE74" s="211"/>
      <c r="CF74" s="211"/>
      <c r="CG74" s="211"/>
      <c r="CH74" s="211"/>
      <c r="CI74" s="211"/>
      <c r="CJ74" s="211"/>
      <c r="CK74" s="212" t="b">
        <f>IF(CE84=16,12)</f>
        <v>0</v>
      </c>
      <c r="CL74" s="198"/>
      <c r="CM74" s="184"/>
      <c r="CN74" s="185"/>
      <c r="CO74" s="185"/>
      <c r="CP74" s="185"/>
      <c r="CQ74" s="185"/>
      <c r="CR74" s="185"/>
      <c r="CS74" s="185"/>
      <c r="CT74" s="185"/>
      <c r="CU74" s="185"/>
    </row>
    <row r="75" spans="2:136" ht="22.2" hidden="1" thickTop="1" thickBot="1" x14ac:dyDescent="0.45">
      <c r="B75" s="1473"/>
      <c r="C75" s="1473"/>
      <c r="D75" s="1474"/>
      <c r="E75" s="1474"/>
      <c r="F75" s="85"/>
      <c r="G75" s="85"/>
      <c r="H75" s="243"/>
      <c r="I75" s="243"/>
      <c r="J75" s="243"/>
      <c r="K75" s="243"/>
      <c r="L75" s="243"/>
      <c r="M75" s="243"/>
      <c r="N75" s="243"/>
      <c r="O75" s="243"/>
      <c r="P75" s="243"/>
      <c r="Q75" s="243"/>
      <c r="R75" s="243"/>
      <c r="S75" s="243"/>
      <c r="T75" s="243"/>
      <c r="U75" s="86"/>
      <c r="V75" s="243"/>
      <c r="W75" s="243"/>
      <c r="X75" s="243"/>
      <c r="Y75" s="243"/>
      <c r="Z75" s="243"/>
      <c r="AA75" s="243"/>
      <c r="AB75" s="86"/>
      <c r="AC75" s="86"/>
      <c r="AD75" s="86"/>
      <c r="AE75" s="86"/>
      <c r="AF75" s="243"/>
      <c r="AG75" s="243"/>
      <c r="AH75" s="243"/>
      <c r="AI75" s="243"/>
      <c r="AJ75" s="243"/>
      <c r="AK75" s="243"/>
      <c r="AL75" s="243"/>
      <c r="AM75" s="243"/>
      <c r="AN75" s="243"/>
      <c r="AO75" s="243"/>
      <c r="AP75" s="243"/>
      <c r="AQ75" s="243"/>
      <c r="AR75" s="243"/>
      <c r="AS75" s="243"/>
      <c r="AT75" s="243"/>
      <c r="AU75" s="243"/>
      <c r="AV75" s="243"/>
      <c r="AW75" s="243"/>
      <c r="AX75" s="243"/>
      <c r="AY75" s="243"/>
      <c r="AZ75" s="243"/>
      <c r="BA75" s="243"/>
      <c r="BB75" s="14"/>
      <c r="BE75" s="40"/>
      <c r="BF75" s="40"/>
      <c r="BG75" s="40"/>
      <c r="BH75" s="59"/>
      <c r="BI75" s="59"/>
      <c r="BJ75" s="59"/>
      <c r="BK75" s="59"/>
      <c r="BL75" s="59"/>
      <c r="BM75" s="4"/>
      <c r="BN75" s="27"/>
      <c r="BO75" s="206"/>
      <c r="BP75" s="206"/>
      <c r="BQ75" s="207"/>
      <c r="BR75" s="206"/>
      <c r="BS75" s="206"/>
      <c r="BT75" s="206"/>
      <c r="BW75" s="17" t="s">
        <v>86</v>
      </c>
      <c r="BX75" s="210" t="b">
        <f>IF(CD84=15,1)</f>
        <v>0</v>
      </c>
      <c r="BY75" s="211"/>
      <c r="BZ75" s="211"/>
      <c r="CA75" s="211"/>
      <c r="CB75" s="211"/>
      <c r="CC75" s="211"/>
      <c r="CD75" s="211"/>
      <c r="CE75" s="211"/>
      <c r="CF75" s="211"/>
      <c r="CG75" s="211"/>
      <c r="CH75" s="211"/>
      <c r="CI75" s="211"/>
      <c r="CJ75" s="212" t="b">
        <f>IF(CD84=15,11)</f>
        <v>0</v>
      </c>
      <c r="CK75" s="207"/>
      <c r="CL75" s="198"/>
      <c r="CM75" s="184"/>
      <c r="CN75" s="185"/>
      <c r="CO75" s="185"/>
      <c r="CP75" s="185"/>
      <c r="CQ75" s="185"/>
      <c r="CR75" s="185"/>
      <c r="CS75" s="185"/>
      <c r="CT75" s="185"/>
      <c r="CU75" s="185"/>
    </row>
    <row r="76" spans="2:136" ht="22.2" hidden="1" thickTop="1" thickBot="1" x14ac:dyDescent="0.45">
      <c r="B76" s="1473"/>
      <c r="C76" s="1473"/>
      <c r="D76" s="1474"/>
      <c r="E76" s="1474"/>
      <c r="F76" s="85"/>
      <c r="G76" s="85"/>
      <c r="H76" s="243"/>
      <c r="I76" s="243"/>
      <c r="J76" s="243"/>
      <c r="K76" s="243"/>
      <c r="L76" s="243"/>
      <c r="M76" s="243"/>
      <c r="N76" s="243"/>
      <c r="O76" s="243"/>
      <c r="P76" s="243"/>
      <c r="Q76" s="243"/>
      <c r="R76" s="243"/>
      <c r="S76" s="243"/>
      <c r="T76" s="243"/>
      <c r="U76" s="86"/>
      <c r="V76" s="243"/>
      <c r="W76" s="243"/>
      <c r="X76" s="243"/>
      <c r="Y76" s="243"/>
      <c r="Z76" s="243"/>
      <c r="AA76" s="243"/>
      <c r="AB76" s="86"/>
      <c r="AC76" s="86"/>
      <c r="AD76" s="86"/>
      <c r="AE76" s="86"/>
      <c r="AF76" s="243"/>
      <c r="AG76" s="243"/>
      <c r="AH76" s="243"/>
      <c r="AI76" s="243"/>
      <c r="AJ76" s="243"/>
      <c r="AK76" s="243"/>
      <c r="AL76" s="243"/>
      <c r="AM76" s="243"/>
      <c r="AN76" s="243"/>
      <c r="AO76" s="243"/>
      <c r="AP76" s="243"/>
      <c r="AQ76" s="243"/>
      <c r="AR76" s="243"/>
      <c r="AS76" s="243"/>
      <c r="AT76" s="243"/>
      <c r="AU76" s="243"/>
      <c r="AV76" s="243"/>
      <c r="AW76" s="243"/>
      <c r="AX76" s="243"/>
      <c r="AY76" s="243"/>
      <c r="AZ76" s="243"/>
      <c r="BA76" s="243"/>
      <c r="BB76" s="14"/>
      <c r="BE76" s="40"/>
      <c r="BF76" s="40"/>
      <c r="BG76" s="40"/>
      <c r="BH76" s="59"/>
      <c r="BI76" s="59"/>
      <c r="BJ76" s="59"/>
      <c r="BK76" s="59"/>
      <c r="BL76" s="59"/>
      <c r="BM76" s="4"/>
      <c r="BN76" s="27"/>
      <c r="BO76" s="206"/>
      <c r="BP76" s="206"/>
      <c r="BQ76" s="207"/>
      <c r="BR76" s="206"/>
      <c r="BS76" s="206"/>
      <c r="BT76" s="206"/>
      <c r="BW76" s="17" t="s">
        <v>85</v>
      </c>
      <c r="BX76" s="208" t="b">
        <f>IF(CC84=14,1)</f>
        <v>0</v>
      </c>
      <c r="BY76" s="205"/>
      <c r="BZ76" s="205"/>
      <c r="CA76" s="205"/>
      <c r="CB76" s="205"/>
      <c r="CC76" s="205"/>
      <c r="CD76" s="205"/>
      <c r="CE76" s="205"/>
      <c r="CF76" s="205"/>
      <c r="CG76" s="205"/>
      <c r="CH76" s="209" t="b">
        <f>IF(CC84=14,9)</f>
        <v>0</v>
      </c>
      <c r="CI76" s="206"/>
      <c r="CJ76" s="206"/>
      <c r="CK76" s="207"/>
      <c r="CL76" s="198"/>
      <c r="CM76" s="184"/>
      <c r="CN76" s="185"/>
      <c r="CO76" s="185"/>
      <c r="CP76" s="185"/>
      <c r="CQ76" s="185"/>
      <c r="CR76" s="185"/>
      <c r="CS76" s="185"/>
      <c r="CT76" s="185"/>
      <c r="CU76" s="185"/>
    </row>
    <row r="77" spans="2:136" ht="22.2" hidden="1" thickTop="1" thickBot="1" x14ac:dyDescent="0.45">
      <c r="B77" s="1473"/>
      <c r="C77" s="1473"/>
      <c r="D77" s="1474"/>
      <c r="E77" s="1474"/>
      <c r="F77" s="85"/>
      <c r="G77" s="85"/>
      <c r="H77" s="243"/>
      <c r="I77" s="243"/>
      <c r="J77" s="243"/>
      <c r="K77" s="243"/>
      <c r="L77" s="243"/>
      <c r="M77" s="243"/>
      <c r="N77" s="243"/>
      <c r="O77" s="243"/>
      <c r="P77" s="243"/>
      <c r="Q77" s="243"/>
      <c r="R77" s="243"/>
      <c r="S77" s="243"/>
      <c r="T77" s="243"/>
      <c r="U77" s="86"/>
      <c r="V77" s="243"/>
      <c r="W77" s="243"/>
      <c r="X77" s="243"/>
      <c r="Y77" s="243"/>
      <c r="Z77" s="243"/>
      <c r="AA77" s="243"/>
      <c r="AB77" s="86"/>
      <c r="AC77" s="86"/>
      <c r="AD77" s="86"/>
      <c r="AE77" s="86"/>
      <c r="AF77" s="243"/>
      <c r="AG77" s="243"/>
      <c r="AH77" s="243"/>
      <c r="AI77" s="243"/>
      <c r="AJ77" s="243"/>
      <c r="AK77" s="243"/>
      <c r="AL77" s="243"/>
      <c r="AM77" s="243"/>
      <c r="AN77" s="243"/>
      <c r="AO77" s="243"/>
      <c r="AP77" s="243"/>
      <c r="AQ77" s="243"/>
      <c r="AR77" s="243"/>
      <c r="AS77" s="243"/>
      <c r="AT77" s="243"/>
      <c r="AU77" s="243"/>
      <c r="AV77" s="243"/>
      <c r="AW77" s="243"/>
      <c r="AX77" s="243"/>
      <c r="AY77" s="243"/>
      <c r="AZ77" s="243"/>
      <c r="BA77" s="243"/>
      <c r="BB77" s="14"/>
      <c r="BE77" s="40"/>
      <c r="BF77" s="40"/>
      <c r="BG77" s="40"/>
      <c r="BH77" s="59"/>
      <c r="BI77" s="59"/>
      <c r="BJ77" s="59"/>
      <c r="BK77" s="59"/>
      <c r="BL77" s="59"/>
      <c r="BM77" s="4"/>
      <c r="BN77" s="27"/>
      <c r="BO77" s="206"/>
      <c r="BP77" s="206"/>
      <c r="BQ77" s="207"/>
      <c r="BR77" s="206"/>
      <c r="BS77" s="206"/>
      <c r="BT77" s="206"/>
      <c r="BW77">
        <v>5</v>
      </c>
      <c r="BX77" s="210" t="b">
        <f>IF(CB84=13,1)</f>
        <v>0</v>
      </c>
      <c r="BY77" s="211"/>
      <c r="BZ77" s="211"/>
      <c r="CA77" s="224"/>
      <c r="CB77" s="211"/>
      <c r="CC77" s="224"/>
      <c r="CD77" s="211"/>
      <c r="CE77" s="211"/>
      <c r="CF77" s="212" t="b">
        <f>IF(CB84=13,7)</f>
        <v>0</v>
      </c>
      <c r="CG77" s="206"/>
      <c r="CH77" s="206"/>
      <c r="CI77" s="206"/>
      <c r="CJ77" s="206"/>
      <c r="CK77" s="207"/>
      <c r="CL77" s="198"/>
      <c r="CM77" s="184"/>
      <c r="CN77" s="185"/>
      <c r="CO77" s="185"/>
      <c r="CP77" s="185"/>
      <c r="CQ77" s="185"/>
      <c r="CR77" s="185"/>
      <c r="CS77" s="185"/>
      <c r="CT77" s="185"/>
      <c r="CU77" s="185"/>
    </row>
    <row r="78" spans="2:136" ht="22.2" hidden="1" thickTop="1" thickBot="1" x14ac:dyDescent="0.45">
      <c r="B78" s="1473"/>
      <c r="C78" s="1473"/>
      <c r="D78" s="1474"/>
      <c r="E78" s="1474"/>
      <c r="F78" s="85"/>
      <c r="G78" s="85"/>
      <c r="H78" s="243"/>
      <c r="I78" s="243"/>
      <c r="J78" s="243"/>
      <c r="K78" s="243"/>
      <c r="L78" s="243"/>
      <c r="M78" s="243"/>
      <c r="N78" s="243"/>
      <c r="O78" s="243"/>
      <c r="P78" s="243"/>
      <c r="Q78" s="243"/>
      <c r="R78" s="243"/>
      <c r="S78" s="243"/>
      <c r="T78" s="243"/>
      <c r="U78" s="86"/>
      <c r="V78" s="243"/>
      <c r="W78" s="243"/>
      <c r="X78" s="243"/>
      <c r="Y78" s="243"/>
      <c r="Z78" s="243"/>
      <c r="AA78" s="243"/>
      <c r="AB78" s="86"/>
      <c r="AC78" s="86"/>
      <c r="AD78" s="86"/>
      <c r="AE78" s="86"/>
      <c r="AF78" s="243"/>
      <c r="AG78" s="243"/>
      <c r="AH78" s="243"/>
      <c r="AI78" s="243"/>
      <c r="AJ78" s="243"/>
      <c r="AK78" s="243"/>
      <c r="AL78" s="243"/>
      <c r="AM78" s="243"/>
      <c r="AN78" s="243"/>
      <c r="AO78" s="243"/>
      <c r="AP78" s="243"/>
      <c r="AQ78" s="243"/>
      <c r="AR78" s="243"/>
      <c r="AS78" s="243"/>
      <c r="AT78" s="243"/>
      <c r="AU78" s="243"/>
      <c r="AV78" s="243"/>
      <c r="AW78" s="243"/>
      <c r="AX78" s="243"/>
      <c r="AY78" s="243"/>
      <c r="AZ78" s="243"/>
      <c r="BA78" s="243"/>
      <c r="BB78" s="14"/>
      <c r="BE78" s="40"/>
      <c r="BF78" s="40"/>
      <c r="BG78" s="40"/>
      <c r="BH78" s="59"/>
      <c r="BI78" s="59"/>
      <c r="BJ78" s="59"/>
      <c r="BK78" s="59"/>
      <c r="BL78" s="59"/>
      <c r="BM78" s="4"/>
      <c r="BN78" s="27"/>
      <c r="BO78" s="206"/>
      <c r="BP78" s="206"/>
      <c r="BQ78" s="207"/>
      <c r="BR78" s="206"/>
      <c r="BS78" s="206"/>
      <c r="BT78" s="206"/>
      <c r="BW78">
        <v>4</v>
      </c>
      <c r="BX78" s="207"/>
      <c r="BZ78" s="208">
        <f>IF(CA84=12,3)</f>
        <v>3</v>
      </c>
      <c r="CA78" s="205"/>
      <c r="CB78" s="209">
        <f>IF(CA84=12,5)</f>
        <v>5</v>
      </c>
      <c r="CD78" s="206"/>
      <c r="CE78" s="206"/>
      <c r="CF78" s="206"/>
      <c r="CG78" s="206"/>
      <c r="CH78" s="206"/>
      <c r="CI78" s="206"/>
      <c r="CJ78" s="206"/>
      <c r="CK78" s="207"/>
      <c r="CL78" s="198"/>
      <c r="CM78" s="184"/>
      <c r="CN78" s="185"/>
      <c r="CO78" s="185"/>
      <c r="CP78" s="185"/>
      <c r="CQ78" s="185"/>
      <c r="CR78" s="185"/>
      <c r="CS78" s="185"/>
      <c r="CT78" s="185"/>
      <c r="CU78" s="185"/>
    </row>
    <row r="79" spans="2:136" ht="22.2" hidden="1" thickTop="1" thickBot="1" x14ac:dyDescent="0.45">
      <c r="B79" s="1473"/>
      <c r="C79" s="1473"/>
      <c r="D79" s="1474"/>
      <c r="E79" s="1474"/>
      <c r="F79" s="85"/>
      <c r="G79" s="85"/>
      <c r="H79" s="243"/>
      <c r="I79" s="243"/>
      <c r="J79" s="243"/>
      <c r="K79" s="243"/>
      <c r="L79" s="243"/>
      <c r="M79" s="243"/>
      <c r="N79" s="243"/>
      <c r="O79" s="243"/>
      <c r="P79" s="243"/>
      <c r="Q79" s="243"/>
      <c r="R79" s="243"/>
      <c r="S79" s="243"/>
      <c r="T79" s="243"/>
      <c r="U79" s="86"/>
      <c r="V79" s="243"/>
      <c r="W79" s="243"/>
      <c r="X79" s="243"/>
      <c r="Y79" s="243"/>
      <c r="Z79" s="243"/>
      <c r="AA79" s="243"/>
      <c r="AB79" s="86"/>
      <c r="AC79" s="86"/>
      <c r="AD79" s="86"/>
      <c r="AE79" s="86"/>
      <c r="AF79" s="243"/>
      <c r="AG79" s="243"/>
      <c r="AH79" s="243"/>
      <c r="AI79" s="243"/>
      <c r="AJ79" s="243"/>
      <c r="AK79" s="243"/>
      <c r="AL79" s="243"/>
      <c r="AM79" s="243"/>
      <c r="AN79" s="243"/>
      <c r="AO79" s="243"/>
      <c r="AP79" s="243"/>
      <c r="AQ79" s="243"/>
      <c r="AR79" s="243"/>
      <c r="AS79" s="243"/>
      <c r="AT79" s="243"/>
      <c r="AU79" s="243"/>
      <c r="AV79" s="243"/>
      <c r="AW79" s="243"/>
      <c r="AX79" s="243"/>
      <c r="AY79" s="243"/>
      <c r="AZ79" s="243"/>
      <c r="BA79" s="243"/>
      <c r="BB79" s="14"/>
      <c r="BE79" s="40"/>
      <c r="BF79" s="40"/>
      <c r="BG79" s="40"/>
      <c r="BH79" s="59"/>
      <c r="BI79" s="59"/>
      <c r="BJ79" s="59"/>
      <c r="BK79" s="59"/>
      <c r="BL79" s="59"/>
      <c r="BM79" s="4"/>
      <c r="BN79" s="27"/>
      <c r="BO79" s="206"/>
      <c r="BP79" s="206"/>
      <c r="BQ79" s="207"/>
      <c r="BR79" s="206"/>
      <c r="BS79" s="206"/>
      <c r="BT79" s="206"/>
      <c r="BW79">
        <v>3</v>
      </c>
      <c r="BX79" s="210" t="b">
        <f>IF(BZ84=11,1)</f>
        <v>0</v>
      </c>
      <c r="BY79" s="211"/>
      <c r="BZ79" s="211"/>
      <c r="CA79" s="211"/>
      <c r="CB79" s="212" t="b">
        <f>IF(BZ84=11,5)</f>
        <v>0</v>
      </c>
      <c r="CC79" s="206"/>
      <c r="CD79" s="206"/>
      <c r="CE79" s="206"/>
      <c r="CF79" s="206"/>
      <c r="CG79" s="206"/>
      <c r="CH79" s="206"/>
      <c r="CI79" s="206"/>
      <c r="CJ79" s="206"/>
      <c r="CK79" s="207"/>
      <c r="CL79" s="198"/>
      <c r="CM79" s="184"/>
      <c r="CN79" s="185"/>
      <c r="CO79" s="185"/>
      <c r="CP79" s="185"/>
      <c r="CQ79" s="185"/>
      <c r="CR79" s="185"/>
      <c r="CS79" s="185"/>
      <c r="CT79" s="185"/>
      <c r="CU79" s="185"/>
      <c r="CY79" s="1994"/>
      <c r="CZ79" s="1994"/>
      <c r="DA79" s="182"/>
      <c r="DB79" s="182"/>
      <c r="DC79" s="183"/>
      <c r="DD79" s="184"/>
      <c r="DE79" s="184"/>
      <c r="DF79" s="184"/>
      <c r="DG79" s="184"/>
      <c r="DH79" s="184"/>
      <c r="DI79" s="184"/>
      <c r="DJ79" s="184"/>
      <c r="DK79" s="184"/>
      <c r="DL79" s="184"/>
      <c r="DM79" s="184"/>
      <c r="DN79" s="184"/>
      <c r="DO79" s="184"/>
      <c r="DP79" s="184"/>
      <c r="DQ79" s="184"/>
      <c r="DR79" s="184"/>
      <c r="DS79" s="184"/>
      <c r="DT79" s="184"/>
      <c r="DU79" s="184"/>
      <c r="DV79" s="184"/>
      <c r="DW79" s="185"/>
      <c r="DX79" s="185"/>
      <c r="DY79" s="185"/>
      <c r="DZ79" s="185"/>
      <c r="EA79" s="185"/>
      <c r="EB79" s="185"/>
      <c r="EC79" s="185"/>
      <c r="ED79" s="185"/>
      <c r="EE79" s="143"/>
      <c r="EF79" s="143"/>
    </row>
    <row r="80" spans="2:136" ht="22.2" hidden="1" thickTop="1" thickBot="1" x14ac:dyDescent="0.45">
      <c r="B80" s="1473"/>
      <c r="C80" s="1473"/>
      <c r="D80" s="1474"/>
      <c r="E80" s="1474"/>
      <c r="F80" s="85"/>
      <c r="G80" s="85"/>
      <c r="H80" s="243"/>
      <c r="I80" s="243"/>
      <c r="J80" s="243"/>
      <c r="K80" s="243"/>
      <c r="L80" s="243"/>
      <c r="M80" s="243"/>
      <c r="N80" s="243"/>
      <c r="O80" s="243"/>
      <c r="P80" s="243"/>
      <c r="Q80" s="243"/>
      <c r="R80" s="243"/>
      <c r="S80" s="243"/>
      <c r="T80" s="243"/>
      <c r="U80" s="86"/>
      <c r="V80" s="243"/>
      <c r="W80" s="243"/>
      <c r="X80" s="243"/>
      <c r="Y80" s="243"/>
      <c r="Z80" s="243"/>
      <c r="AA80" s="243"/>
      <c r="AB80" s="86"/>
      <c r="AC80" s="86"/>
      <c r="AD80" s="86"/>
      <c r="AE80" s="86"/>
      <c r="AF80" s="243"/>
      <c r="AG80" s="243"/>
      <c r="AH80" s="243"/>
      <c r="AI80" s="243"/>
      <c r="AJ80" s="243"/>
      <c r="AK80" s="243"/>
      <c r="AL80" s="243"/>
      <c r="AM80" s="243"/>
      <c r="AN80" s="243"/>
      <c r="AO80" s="243"/>
      <c r="AP80" s="243"/>
      <c r="AQ80" s="243"/>
      <c r="AR80" s="243"/>
      <c r="AS80" s="243"/>
      <c r="AT80" s="243"/>
      <c r="AU80" s="243"/>
      <c r="AV80" s="243"/>
      <c r="AW80" s="243"/>
      <c r="AX80" s="243"/>
      <c r="AY80" s="243"/>
      <c r="AZ80" s="243"/>
      <c r="BA80" s="243"/>
      <c r="BB80" s="14"/>
      <c r="BE80" s="40"/>
      <c r="BF80" s="40"/>
      <c r="BG80" s="40"/>
      <c r="BH80" s="59"/>
      <c r="BI80" s="59"/>
      <c r="BJ80" s="59"/>
      <c r="BK80" s="59"/>
      <c r="BL80" s="59"/>
      <c r="BM80" s="4"/>
      <c r="BN80" s="27"/>
      <c r="BO80" s="206"/>
      <c r="BP80" s="206"/>
      <c r="BQ80" s="207"/>
      <c r="BR80" s="206"/>
      <c r="BS80" s="206"/>
      <c r="BT80" s="206"/>
      <c r="BW80">
        <v>2</v>
      </c>
      <c r="BX80" s="208" t="b">
        <f>IF(BY84=10,1)</f>
        <v>0</v>
      </c>
      <c r="BY80" s="205"/>
      <c r="BZ80" s="209" t="b">
        <f>IF(BY84=10,3)</f>
        <v>0</v>
      </c>
      <c r="CA80" s="206"/>
      <c r="CB80" s="206"/>
      <c r="CC80" s="206"/>
      <c r="CD80" s="206"/>
      <c r="CE80" s="206"/>
      <c r="CF80" s="206"/>
      <c r="CG80" s="206"/>
      <c r="CH80" s="206"/>
      <c r="CI80" s="206"/>
      <c r="CJ80" s="206"/>
      <c r="CK80" s="207"/>
      <c r="CL80" s="198"/>
      <c r="CM80" s="184"/>
      <c r="CN80" s="185"/>
      <c r="CO80" s="185"/>
      <c r="CP80" s="185"/>
      <c r="CQ80" s="185"/>
      <c r="CR80" s="185"/>
      <c r="CS80" s="185"/>
      <c r="CT80" s="185"/>
      <c r="CU80" s="185"/>
      <c r="EC80" s="185"/>
      <c r="ED80" s="185"/>
    </row>
    <row r="81" spans="2:134" ht="22.2" hidden="1" thickTop="1" thickBot="1" x14ac:dyDescent="0.45">
      <c r="B81" s="1359"/>
      <c r="C81" s="1473"/>
      <c r="D81" s="1475"/>
      <c r="E81" s="1475"/>
      <c r="H81" s="243"/>
      <c r="I81" s="243"/>
      <c r="J81" s="243"/>
      <c r="K81" s="243"/>
      <c r="L81" s="243"/>
      <c r="M81" s="243"/>
      <c r="N81" s="243"/>
      <c r="O81" s="243"/>
      <c r="P81" s="243"/>
      <c r="Q81" s="243"/>
      <c r="R81" s="243"/>
      <c r="S81" s="243"/>
      <c r="T81" s="243"/>
      <c r="U81" s="86"/>
      <c r="V81" s="243"/>
      <c r="W81" s="243"/>
      <c r="X81" s="243"/>
      <c r="Y81" s="243"/>
      <c r="Z81" s="243"/>
      <c r="AA81" s="243"/>
      <c r="AB81" s="86"/>
      <c r="AC81" s="86"/>
      <c r="AD81" s="86"/>
      <c r="AE81" s="86"/>
      <c r="AF81" s="243"/>
      <c r="AG81" s="243"/>
      <c r="AH81" s="243"/>
      <c r="AI81" s="243"/>
      <c r="AJ81" s="243"/>
      <c r="AK81" s="243"/>
      <c r="AL81" s="243"/>
      <c r="AM81" s="243"/>
      <c r="AN81" s="243"/>
      <c r="AO81" s="243"/>
      <c r="AP81" s="243"/>
      <c r="AQ81" s="243"/>
      <c r="AR81" s="243"/>
      <c r="AS81" s="243"/>
      <c r="AT81" s="243"/>
      <c r="AU81" s="243"/>
      <c r="AV81" s="243"/>
      <c r="AW81" s="243"/>
      <c r="AX81" s="243"/>
      <c r="AY81" s="243"/>
      <c r="AZ81" s="243"/>
      <c r="BA81" s="243"/>
      <c r="BB81" s="14"/>
      <c r="BE81" s="40"/>
      <c r="BF81" s="40"/>
      <c r="BG81" s="40"/>
      <c r="BH81" s="59"/>
      <c r="BI81" s="59"/>
      <c r="BJ81" s="59"/>
      <c r="BK81" s="59"/>
      <c r="BL81" s="59"/>
      <c r="BM81" s="4"/>
      <c r="BN81" s="27"/>
      <c r="BO81" s="206"/>
      <c r="BP81" s="206"/>
      <c r="BQ81" s="207"/>
      <c r="BR81" s="206"/>
      <c r="BS81" s="206"/>
      <c r="BT81" s="206"/>
      <c r="BU81" s="182"/>
      <c r="BV81" s="206"/>
      <c r="BW81" s="206"/>
      <c r="BX81" s="206"/>
      <c r="BY81" s="206"/>
      <c r="BZ81" s="206"/>
      <c r="CA81" s="206"/>
      <c r="CB81" s="206"/>
      <c r="CC81" s="206"/>
      <c r="CD81" s="206"/>
      <c r="CE81" s="206"/>
      <c r="CF81" s="206"/>
      <c r="CG81" s="206"/>
      <c r="CH81" s="207"/>
      <c r="CI81" s="198"/>
      <c r="CJ81" s="198"/>
      <c r="CK81" s="198"/>
      <c r="CL81" s="198"/>
      <c r="CM81" s="184"/>
      <c r="CN81" s="185"/>
      <c r="CO81" s="185"/>
      <c r="CP81" s="185"/>
      <c r="CQ81" s="185"/>
      <c r="CR81" s="185"/>
      <c r="CS81" s="185"/>
      <c r="CT81" s="185"/>
      <c r="CU81" s="185"/>
      <c r="EC81" s="185"/>
      <c r="ED81" s="185"/>
    </row>
    <row r="82" spans="2:134" ht="43.2" thickTop="1" thickBot="1" x14ac:dyDescent="0.45">
      <c r="B82" s="2048" t="s">
        <v>165</v>
      </c>
      <c r="C82" s="2048"/>
      <c r="D82" s="2048"/>
      <c r="E82" s="2048"/>
      <c r="H82" s="243"/>
      <c r="I82" s="243"/>
      <c r="J82" s="243"/>
      <c r="K82" s="243"/>
      <c r="L82" s="243"/>
      <c r="M82" s="243"/>
      <c r="N82" s="243"/>
      <c r="O82" s="243"/>
      <c r="P82" s="243"/>
      <c r="Q82" s="243"/>
      <c r="R82" s="243"/>
      <c r="S82" s="243"/>
      <c r="T82" s="243"/>
      <c r="U82" s="86"/>
      <c r="V82" s="243"/>
      <c r="W82" s="243"/>
      <c r="X82" s="243"/>
      <c r="Y82" s="243"/>
      <c r="Z82" s="243"/>
      <c r="AA82" s="243"/>
      <c r="AB82" s="86"/>
      <c r="AC82" s="86"/>
      <c r="AD82" s="86"/>
      <c r="AE82" s="86"/>
      <c r="AF82" s="243"/>
      <c r="AG82" s="243"/>
      <c r="AH82" s="243"/>
      <c r="AI82" s="243"/>
      <c r="AJ82" s="243"/>
      <c r="AK82" s="243"/>
      <c r="AL82" s="243"/>
      <c r="AM82" s="243"/>
      <c r="AN82" s="243"/>
      <c r="AO82" s="243"/>
      <c r="AP82" s="243"/>
      <c r="AQ82" s="243"/>
      <c r="AR82" s="243"/>
      <c r="AS82" s="243"/>
      <c r="AT82" s="243"/>
      <c r="AU82" s="243"/>
      <c r="AV82" s="243"/>
      <c r="AW82" s="243"/>
      <c r="AX82" s="243"/>
      <c r="AY82" s="243"/>
      <c r="AZ82" s="243"/>
      <c r="BA82" s="243"/>
      <c r="BB82" s="14"/>
      <c r="BE82" s="40"/>
      <c r="BF82" s="40"/>
      <c r="BG82" s="40"/>
      <c r="BH82" s="59"/>
      <c r="BI82" s="59"/>
      <c r="BJ82" s="59"/>
      <c r="BK82" s="59"/>
      <c r="BL82" s="59"/>
      <c r="BM82" s="4"/>
      <c r="BN82" s="27"/>
      <c r="BO82" s="213" t="s">
        <v>82</v>
      </c>
      <c r="BP82" s="1984"/>
      <c r="BQ82" s="1985"/>
      <c r="BR82" s="1985"/>
      <c r="BS82" s="1985"/>
      <c r="BT82" s="1985"/>
      <c r="BU82" s="1985"/>
      <c r="BV82" s="1985"/>
      <c r="BW82" s="1986"/>
      <c r="BX82" s="765">
        <f t="shared" ref="BX82:CH82" si="1">SUM(BX69:BX81)</f>
        <v>0</v>
      </c>
      <c r="BY82" s="766">
        <f t="shared" si="1"/>
        <v>0</v>
      </c>
      <c r="BZ82" s="766">
        <f t="shared" si="1"/>
        <v>3</v>
      </c>
      <c r="CA82" s="766">
        <f t="shared" si="1"/>
        <v>0</v>
      </c>
      <c r="CB82" s="766">
        <f t="shared" si="1"/>
        <v>5</v>
      </c>
      <c r="CC82" s="766">
        <f t="shared" si="1"/>
        <v>0</v>
      </c>
      <c r="CD82" s="766">
        <f t="shared" si="1"/>
        <v>0</v>
      </c>
      <c r="CE82" s="766">
        <f t="shared" si="1"/>
        <v>0</v>
      </c>
      <c r="CF82" s="766">
        <f t="shared" si="1"/>
        <v>0</v>
      </c>
      <c r="CG82" s="766">
        <f t="shared" si="1"/>
        <v>0</v>
      </c>
      <c r="CH82" s="766">
        <f t="shared" si="1"/>
        <v>0</v>
      </c>
      <c r="CI82" s="766">
        <f>SUM(CI69:CI81)</f>
        <v>0</v>
      </c>
      <c r="CJ82" s="766">
        <f>SUM(CJ69:CJ81)</f>
        <v>0</v>
      </c>
      <c r="CK82" s="767">
        <f>SUM(CK69:CK81)</f>
        <v>0</v>
      </c>
      <c r="CL82" s="1984"/>
      <c r="CM82" s="1985"/>
      <c r="CN82" s="1985"/>
      <c r="CO82" s="1985"/>
      <c r="CP82" s="1985"/>
      <c r="CQ82" s="1985"/>
      <c r="CR82" s="1985"/>
      <c r="CS82" s="1986"/>
      <c r="CT82" s="185"/>
      <c r="CU82" s="185"/>
      <c r="EC82" s="185"/>
      <c r="ED82" s="185"/>
    </row>
    <row r="83" spans="2:134" ht="22.2" thickTop="1" thickBot="1" x14ac:dyDescent="0.45">
      <c r="B83" s="1362" t="s">
        <v>170</v>
      </c>
      <c r="C83" s="1484"/>
      <c r="D83" s="1362" t="s">
        <v>171</v>
      </c>
      <c r="E83" s="1362" t="s">
        <v>168</v>
      </c>
      <c r="F83" s="85"/>
      <c r="G83" s="85"/>
      <c r="H83" s="243"/>
      <c r="I83" s="243"/>
      <c r="J83" s="243"/>
      <c r="K83" s="243"/>
      <c r="L83" s="243"/>
      <c r="M83" s="243"/>
      <c r="N83" s="243"/>
      <c r="O83" s="243"/>
      <c r="P83" s="243"/>
      <c r="Q83" s="243"/>
      <c r="R83" s="243"/>
      <c r="S83" s="243"/>
      <c r="T83" s="243"/>
      <c r="U83" s="86"/>
      <c r="V83" s="243"/>
      <c r="W83" s="243"/>
      <c r="X83" s="243"/>
      <c r="Y83" s="243"/>
      <c r="Z83" s="243"/>
      <c r="AA83" s="243"/>
      <c r="AB83" s="86"/>
      <c r="AC83" s="86"/>
      <c r="AD83" s="86"/>
      <c r="AE83" s="86"/>
      <c r="AF83" s="243"/>
      <c r="AG83" s="243"/>
      <c r="AH83" s="243"/>
      <c r="AI83" s="243"/>
      <c r="AJ83" s="243"/>
      <c r="AK83" s="243"/>
      <c r="AL83" s="243"/>
      <c r="AM83" s="243"/>
      <c r="AN83" s="243"/>
      <c r="AO83" s="243"/>
      <c r="AP83" s="243"/>
      <c r="AQ83" s="243"/>
      <c r="AR83" s="243"/>
      <c r="AS83" s="243"/>
      <c r="AT83" s="243"/>
      <c r="AU83" s="243"/>
      <c r="AV83" s="243"/>
      <c r="AW83" s="243"/>
      <c r="AX83" s="243"/>
      <c r="AY83" s="243"/>
      <c r="AZ83" s="243"/>
      <c r="BA83" s="243"/>
      <c r="BB83" s="14"/>
      <c r="BE83" s="40"/>
      <c r="BF83" s="40"/>
      <c r="BG83" s="40"/>
      <c r="BH83" s="59"/>
      <c r="BI83" s="59"/>
      <c r="BJ83" s="59"/>
      <c r="BK83" s="59"/>
      <c r="BL83" s="59"/>
      <c r="BM83" s="4"/>
      <c r="BN83" s="27"/>
      <c r="BO83" s="214"/>
      <c r="BP83" s="198"/>
      <c r="BQ83" s="199"/>
      <c r="BR83" s="198"/>
      <c r="BS83" s="198"/>
      <c r="BT83" s="198"/>
      <c r="BU83" s="199"/>
      <c r="BV83" s="198"/>
      <c r="BW83" s="198"/>
      <c r="BX83" s="198"/>
      <c r="BY83" s="198"/>
      <c r="BZ83" s="198"/>
      <c r="CA83" s="198"/>
      <c r="CB83" s="198"/>
      <c r="CC83" s="198"/>
      <c r="CD83" s="198"/>
      <c r="CE83" s="198"/>
      <c r="CF83" s="198"/>
      <c r="CG83" s="198"/>
      <c r="CH83" s="198"/>
      <c r="CI83" s="198"/>
      <c r="CJ83" s="198"/>
      <c r="CK83" s="198"/>
      <c r="CL83" s="198"/>
      <c r="CM83" s="184"/>
      <c r="CN83" s="185"/>
      <c r="CO83" s="185"/>
      <c r="CP83" s="185"/>
      <c r="CQ83" s="185"/>
      <c r="CR83" s="185"/>
      <c r="CS83" s="185"/>
      <c r="CT83" s="185"/>
      <c r="CU83" s="185"/>
      <c r="EC83" s="185"/>
      <c r="ED83" s="185"/>
    </row>
    <row r="84" spans="2:134" ht="22.2" hidden="1" thickTop="1" thickBot="1" x14ac:dyDescent="0.45">
      <c r="B84" s="1485">
        <f>+C20/BM67</f>
        <v>53.308430998044528</v>
      </c>
      <c r="C84" s="1484"/>
      <c r="D84" s="1486">
        <f>+D20/CU67</f>
        <v>85.031925390973839</v>
      </c>
      <c r="E84" s="1363">
        <f>+E20/BP26</f>
        <v>45.248868778280539</v>
      </c>
      <c r="F84" s="85"/>
      <c r="G84" s="85"/>
      <c r="H84" s="243"/>
      <c r="I84" s="243"/>
      <c r="J84" s="243"/>
      <c r="K84" s="243"/>
      <c r="L84" s="243"/>
      <c r="M84" s="243"/>
      <c r="N84" s="243"/>
      <c r="O84" s="243"/>
      <c r="P84" s="243"/>
      <c r="Q84" s="243"/>
      <c r="R84" s="243"/>
      <c r="S84" s="243"/>
      <c r="T84" s="243"/>
      <c r="U84" s="86"/>
      <c r="V84" s="243"/>
      <c r="W84" s="243"/>
      <c r="X84" s="243"/>
      <c r="Y84" s="243"/>
      <c r="Z84" s="243"/>
      <c r="AA84" s="243"/>
      <c r="AB84" s="86"/>
      <c r="AC84" s="86"/>
      <c r="AD84" s="86"/>
      <c r="AE84" s="86"/>
      <c r="AF84" s="243"/>
      <c r="AG84" s="243"/>
      <c r="AH84" s="243"/>
      <c r="AI84" s="243"/>
      <c r="AJ84" s="243"/>
      <c r="AK84" s="243"/>
      <c r="AL84" s="243"/>
      <c r="AM84" s="243"/>
      <c r="AN84" s="243"/>
      <c r="AO84" s="243"/>
      <c r="AP84" s="243"/>
      <c r="AQ84" s="243"/>
      <c r="AR84" s="243"/>
      <c r="AS84" s="243"/>
      <c r="AT84" s="243"/>
      <c r="AU84" s="243"/>
      <c r="AV84" s="243"/>
      <c r="AW84" s="243"/>
      <c r="AX84" s="243"/>
      <c r="AY84" s="243"/>
      <c r="AZ84" s="243"/>
      <c r="BA84" s="243"/>
      <c r="BB84" s="14"/>
      <c r="BE84" s="40"/>
      <c r="BF84" s="40"/>
      <c r="BG84" s="40"/>
      <c r="BH84" s="59"/>
      <c r="BI84" s="59"/>
      <c r="BJ84" s="59"/>
      <c r="BK84" s="59"/>
      <c r="BL84" s="59"/>
      <c r="BM84" s="4"/>
      <c r="BN84" s="27"/>
      <c r="BO84" s="182"/>
      <c r="BP84" s="225" t="b">
        <f>+BN99</f>
        <v>0</v>
      </c>
      <c r="BQ84" s="225" t="b">
        <f>+BN100</f>
        <v>0</v>
      </c>
      <c r="BR84" s="225" t="b">
        <f>+BN101</f>
        <v>0</v>
      </c>
      <c r="BS84" s="225" t="b">
        <f>+BN102</f>
        <v>0</v>
      </c>
      <c r="BT84" s="225" t="b">
        <f>+BN103</f>
        <v>0</v>
      </c>
      <c r="BU84" s="225" t="b">
        <f>+BN104</f>
        <v>0</v>
      </c>
      <c r="BV84" s="225" t="b">
        <f>+BN105</f>
        <v>0</v>
      </c>
      <c r="BW84" s="225" t="b">
        <f>+BN106</f>
        <v>0</v>
      </c>
      <c r="BX84" s="225" t="b">
        <f>+BN107</f>
        <v>0</v>
      </c>
      <c r="BY84" s="225" t="b">
        <f>+BN108</f>
        <v>0</v>
      </c>
      <c r="BZ84" s="225" t="b">
        <f>+BN109</f>
        <v>0</v>
      </c>
      <c r="CA84" s="225">
        <f>+BN110</f>
        <v>12</v>
      </c>
      <c r="CB84" s="225" t="b">
        <f>+BN111</f>
        <v>0</v>
      </c>
      <c r="CC84" s="225" t="b">
        <f>+BN112</f>
        <v>0</v>
      </c>
      <c r="CD84" s="225" t="b">
        <f>+BN113</f>
        <v>0</v>
      </c>
      <c r="CE84" s="225" t="b">
        <f>+BN114</f>
        <v>0</v>
      </c>
      <c r="CF84" s="225" t="b">
        <f>+BN115</f>
        <v>0</v>
      </c>
      <c r="CG84" s="225" t="b">
        <f>+BN116</f>
        <v>0</v>
      </c>
      <c r="CH84" s="225" t="b">
        <f>+BN117</f>
        <v>0</v>
      </c>
      <c r="CI84" s="225" t="b">
        <f>+BN118</f>
        <v>0</v>
      </c>
      <c r="CJ84" s="225" t="b">
        <f>+BN119</f>
        <v>0</v>
      </c>
      <c r="CK84" s="225" t="b">
        <f>+BN120</f>
        <v>0</v>
      </c>
      <c r="CL84" s="225" t="b">
        <f>+BN121</f>
        <v>0</v>
      </c>
      <c r="CM84" s="225" t="b">
        <f>+BN122</f>
        <v>0</v>
      </c>
      <c r="CN84" s="225" t="b">
        <f>+BN123</f>
        <v>0</v>
      </c>
      <c r="CO84" s="225" t="b">
        <f>+BN124</f>
        <v>0</v>
      </c>
      <c r="CP84" s="225" t="b">
        <f>+BN125</f>
        <v>0</v>
      </c>
      <c r="CQ84" s="225" t="b">
        <f>+BN126</f>
        <v>0</v>
      </c>
      <c r="CR84" s="225" t="b">
        <f>+BN127</f>
        <v>0</v>
      </c>
      <c r="CS84" s="225" t="b">
        <f>+BN128</f>
        <v>0</v>
      </c>
      <c r="CT84" s="185"/>
      <c r="CU84" s="185"/>
      <c r="CY84" s="198"/>
      <c r="CZ84" s="198"/>
      <c r="DA84" s="198"/>
      <c r="DB84" s="198"/>
      <c r="DC84" s="198"/>
      <c r="DD84" s="199"/>
      <c r="DE84" s="198"/>
      <c r="DF84" s="198"/>
      <c r="DG84" s="198"/>
      <c r="DH84" s="198"/>
      <c r="DI84" s="198"/>
      <c r="DJ84" s="198"/>
      <c r="DK84" s="198"/>
      <c r="DL84" s="198"/>
      <c r="DM84" s="198"/>
      <c r="DN84" s="198"/>
      <c r="DO84" s="198"/>
      <c r="DP84" s="198"/>
      <c r="DQ84" s="198"/>
      <c r="DR84" s="198"/>
      <c r="DS84" s="198"/>
      <c r="DT84" s="198"/>
      <c r="DU84" s="198"/>
      <c r="DV84" s="199"/>
      <c r="DW84" s="185"/>
      <c r="DX84" s="185"/>
      <c r="DY84" s="185"/>
      <c r="DZ84" s="185"/>
      <c r="EA84" s="185"/>
      <c r="EB84" s="185"/>
      <c r="EC84" s="185"/>
      <c r="ED84" s="185"/>
    </row>
    <row r="85" spans="2:134" ht="22.2" hidden="1" thickTop="1" thickBot="1" x14ac:dyDescent="0.45">
      <c r="B85" s="1484"/>
      <c r="C85" s="1484"/>
      <c r="D85" s="1487"/>
      <c r="E85" s="1487"/>
      <c r="F85" s="85"/>
      <c r="G85" s="85"/>
      <c r="H85" s="243"/>
      <c r="I85" s="243"/>
      <c r="J85" s="243"/>
      <c r="K85" s="243"/>
      <c r="L85" s="243"/>
      <c r="M85" s="243"/>
      <c r="N85" s="243"/>
      <c r="O85" s="243"/>
      <c r="P85" s="243"/>
      <c r="Q85" s="243"/>
      <c r="R85" s="243"/>
      <c r="S85" s="243"/>
      <c r="T85" s="243"/>
      <c r="U85" s="86"/>
      <c r="V85" s="243"/>
      <c r="W85" s="243"/>
      <c r="X85" s="243"/>
      <c r="Y85" s="243"/>
      <c r="Z85" s="243"/>
      <c r="AA85" s="243"/>
      <c r="AB85" s="86"/>
      <c r="AC85" s="86"/>
      <c r="AD85" s="86"/>
      <c r="AE85" s="86"/>
      <c r="AF85" s="243"/>
      <c r="AG85" s="243"/>
      <c r="AH85" s="243"/>
      <c r="AI85" s="243"/>
      <c r="AJ85" s="243"/>
      <c r="AK85" s="243"/>
      <c r="AL85" s="243"/>
      <c r="AM85" s="243"/>
      <c r="AN85" s="243"/>
      <c r="AO85" s="243"/>
      <c r="AP85" s="243"/>
      <c r="AQ85" s="243"/>
      <c r="AR85" s="243"/>
      <c r="AS85" s="243"/>
      <c r="AT85" s="243"/>
      <c r="AU85" s="243"/>
      <c r="AV85" s="243"/>
      <c r="AW85" s="243"/>
      <c r="AX85" s="243"/>
      <c r="AY85" s="243"/>
      <c r="AZ85" s="243"/>
      <c r="BA85" s="243"/>
      <c r="BB85" s="14"/>
      <c r="BE85" s="40"/>
      <c r="BF85" s="40"/>
      <c r="BG85" s="40"/>
      <c r="BH85" s="59"/>
      <c r="BI85" s="59"/>
      <c r="BJ85" s="59"/>
      <c r="BK85" s="59"/>
      <c r="BL85" s="59"/>
      <c r="BM85" s="4"/>
      <c r="BN85" s="27"/>
      <c r="BO85" s="184" t="s">
        <v>27</v>
      </c>
      <c r="BP85" s="225" t="b">
        <f>+BP84</f>
        <v>0</v>
      </c>
      <c r="BQ85" s="225" t="b">
        <f t="shared" ref="BQ85:CH85" si="2">+BQ84</f>
        <v>0</v>
      </c>
      <c r="BR85" s="225" t="b">
        <f t="shared" si="2"/>
        <v>0</v>
      </c>
      <c r="BS85" s="225" t="b">
        <f t="shared" si="2"/>
        <v>0</v>
      </c>
      <c r="BT85" s="225" t="b">
        <f t="shared" si="2"/>
        <v>0</v>
      </c>
      <c r="BU85" s="225" t="b">
        <f t="shared" si="2"/>
        <v>0</v>
      </c>
      <c r="BV85" s="225" t="b">
        <f>+BV84</f>
        <v>0</v>
      </c>
      <c r="BW85" s="225" t="b">
        <f t="shared" si="2"/>
        <v>0</v>
      </c>
      <c r="BX85" s="225" t="b">
        <f t="shared" si="2"/>
        <v>0</v>
      </c>
      <c r="BY85" s="225" t="b">
        <f t="shared" si="2"/>
        <v>0</v>
      </c>
      <c r="BZ85" s="225" t="b">
        <f t="shared" si="2"/>
        <v>0</v>
      </c>
      <c r="CA85" s="225">
        <f>+CA84</f>
        <v>12</v>
      </c>
      <c r="CB85" s="225" t="b">
        <f>+CB84</f>
        <v>0</v>
      </c>
      <c r="CC85" s="225" t="b">
        <f>+CC84</f>
        <v>0</v>
      </c>
      <c r="CD85" s="225" t="b">
        <f>+CD84</f>
        <v>0</v>
      </c>
      <c r="CE85" s="225" t="b">
        <f>+CE84</f>
        <v>0</v>
      </c>
      <c r="CF85" s="225" t="b">
        <f t="shared" si="2"/>
        <v>0</v>
      </c>
      <c r="CG85" s="225" t="b">
        <f t="shared" si="2"/>
        <v>0</v>
      </c>
      <c r="CH85" s="225" t="b">
        <f t="shared" si="2"/>
        <v>0</v>
      </c>
      <c r="CI85" s="225" t="b">
        <f>+CI84</f>
        <v>0</v>
      </c>
      <c r="CJ85" s="225" t="b">
        <f>+CJ84</f>
        <v>0</v>
      </c>
      <c r="CK85" s="225" t="b">
        <f>+CK84</f>
        <v>0</v>
      </c>
      <c r="CL85" s="225" t="b">
        <f>+CL84</f>
        <v>0</v>
      </c>
      <c r="CM85" s="225" t="b">
        <f>+CM84</f>
        <v>0</v>
      </c>
      <c r="CN85" s="225" t="b">
        <f t="shared" ref="CN85:CS85" si="3">+CN84</f>
        <v>0</v>
      </c>
      <c r="CO85" s="225" t="b">
        <f t="shared" si="3"/>
        <v>0</v>
      </c>
      <c r="CP85" s="225" t="b">
        <f t="shared" si="3"/>
        <v>0</v>
      </c>
      <c r="CQ85" s="225" t="b">
        <f t="shared" si="3"/>
        <v>0</v>
      </c>
      <c r="CR85" s="225" t="b">
        <f t="shared" si="3"/>
        <v>0</v>
      </c>
      <c r="CS85" s="225" t="b">
        <f t="shared" si="3"/>
        <v>0</v>
      </c>
      <c r="CT85" s="185"/>
      <c r="CU85" s="185"/>
      <c r="CY85" s="198"/>
      <c r="CZ85" s="198"/>
      <c r="DA85" s="198"/>
      <c r="DB85" s="198"/>
      <c r="DC85" s="198"/>
      <c r="DD85" s="199"/>
      <c r="DE85" s="198"/>
      <c r="DF85" s="198"/>
      <c r="DG85" s="198"/>
      <c r="DH85" s="198"/>
      <c r="DI85" s="198"/>
      <c r="DJ85" s="198"/>
      <c r="DK85" s="198"/>
      <c r="DL85" s="198"/>
      <c r="DM85" s="198"/>
      <c r="DN85" s="198"/>
      <c r="DO85" s="198"/>
      <c r="DP85" s="198"/>
      <c r="DQ85" s="198"/>
      <c r="DR85" s="198"/>
      <c r="DS85" s="198"/>
      <c r="DT85" s="198"/>
      <c r="DU85" s="198"/>
      <c r="DV85" s="199"/>
      <c r="DW85" s="185"/>
      <c r="DX85" s="185"/>
      <c r="DY85" s="185"/>
      <c r="DZ85" s="185"/>
      <c r="EA85" s="185"/>
      <c r="EB85" s="185"/>
      <c r="EC85" s="185"/>
      <c r="ED85" s="185"/>
    </row>
    <row r="86" spans="2:134" ht="27.75" customHeight="1" thickTop="1" thickBot="1" x14ac:dyDescent="0.45">
      <c r="B86" s="1365">
        <f>ABS(B84)</f>
        <v>53.308430998044528</v>
      </c>
      <c r="C86" s="1484"/>
      <c r="D86" s="1365">
        <f>ABS(D84)</f>
        <v>85.031925390973839</v>
      </c>
      <c r="E86" s="1367">
        <f>+IF(AND(D84&lt;&gt;TRUE,B84&lt;&gt;TRUE),E84)</f>
        <v>45.248868778280539</v>
      </c>
      <c r="F86" s="85"/>
      <c r="G86" s="85"/>
      <c r="H86" s="243"/>
      <c r="I86" s="243"/>
      <c r="J86" s="243"/>
      <c r="K86" s="243"/>
      <c r="L86" s="243"/>
      <c r="M86" s="243"/>
      <c r="N86" s="243"/>
      <c r="O86" s="243"/>
      <c r="P86" s="243"/>
      <c r="Q86" s="243"/>
      <c r="R86" s="243"/>
      <c r="S86" s="243"/>
      <c r="T86" s="243"/>
      <c r="U86" s="86"/>
      <c r="V86" s="243"/>
      <c r="W86" s="243"/>
      <c r="X86" s="243"/>
      <c r="Y86" s="243"/>
      <c r="Z86" s="243"/>
      <c r="AA86" s="243"/>
      <c r="AB86" s="86"/>
      <c r="AC86" s="86"/>
      <c r="AD86" s="86"/>
      <c r="AE86" s="86"/>
      <c r="AF86" s="243"/>
      <c r="AG86" s="243"/>
      <c r="AH86" s="243"/>
      <c r="AI86" s="243"/>
      <c r="AJ86" s="243"/>
      <c r="AK86" s="243"/>
      <c r="AL86" s="243"/>
      <c r="AM86" s="243"/>
      <c r="AN86" s="243"/>
      <c r="AO86" s="243"/>
      <c r="AP86" s="243"/>
      <c r="AQ86" s="243"/>
      <c r="AR86" s="243"/>
      <c r="AS86" s="243"/>
      <c r="AT86" s="243"/>
      <c r="AU86" s="243"/>
      <c r="AV86" s="243"/>
      <c r="AW86" s="243"/>
      <c r="AX86" s="243"/>
      <c r="AY86" s="243"/>
      <c r="AZ86" s="243"/>
      <c r="BA86" s="243"/>
      <c r="BB86" s="14"/>
      <c r="BE86" s="40"/>
      <c r="BF86" s="40"/>
      <c r="BH86" s="59"/>
      <c r="BI86" s="59"/>
      <c r="BJ86" s="59"/>
      <c r="BK86" s="59"/>
      <c r="BL86" s="59"/>
      <c r="BM86" s="4"/>
      <c r="BN86" s="27"/>
      <c r="BO86" s="210" t="s">
        <v>27</v>
      </c>
      <c r="BP86" s="768" t="str">
        <f>IF(BP85=1,"A ","")</f>
        <v/>
      </c>
      <c r="BQ86" s="769" t="str">
        <f>IF(BQ85=2,"B ","")</f>
        <v/>
      </c>
      <c r="BR86" s="769" t="str">
        <f>IF(BR85=3,"C ","")</f>
        <v/>
      </c>
      <c r="BS86" s="769" t="str">
        <f>IF(BS85=4,"D ","")</f>
        <v/>
      </c>
      <c r="BT86" s="769" t="str">
        <f>IF(BT85=5,"E ","")</f>
        <v/>
      </c>
      <c r="BU86" s="769" t="str">
        <f>IF(BU85=6,"F ","")</f>
        <v/>
      </c>
      <c r="BV86" s="769" t="str">
        <f>IF(BV85=7,"G ","")</f>
        <v/>
      </c>
      <c r="BW86" s="769" t="str">
        <f>IF(BW85=8,"H ","")</f>
        <v/>
      </c>
      <c r="BX86" s="769" t="str">
        <f>IF(BX85=9,"1 ","")</f>
        <v/>
      </c>
      <c r="BY86" s="769" t="str">
        <f>IF(BY85=10,"2 ","")</f>
        <v/>
      </c>
      <c r="BZ86" s="769" t="str">
        <f>IF(BZ85=11,"3 ","")</f>
        <v/>
      </c>
      <c r="CA86" s="769" t="str">
        <f>IF(CA85=12,"4 ","")</f>
        <v xml:space="preserve">4 </v>
      </c>
      <c r="CB86" s="769" t="str">
        <f>IF(CB85=13,"5 ","")</f>
        <v/>
      </c>
      <c r="CC86" s="769" t="str">
        <f>IF(CC85=14,"i ","")</f>
        <v/>
      </c>
      <c r="CD86" s="769" t="str">
        <f>IF(CD85=15,"J ","")</f>
        <v/>
      </c>
      <c r="CE86" s="769" t="str">
        <f>IF(CE85=16,"6 ","")</f>
        <v/>
      </c>
      <c r="CF86" s="769" t="str">
        <f>IF(CF85=17,"7 ","")</f>
        <v/>
      </c>
      <c r="CG86" s="769" t="str">
        <f>IF(CG85=18,"8 ","")</f>
        <v/>
      </c>
      <c r="CH86" s="769" t="str">
        <f>IF(CH85=19,"9 ","")</f>
        <v/>
      </c>
      <c r="CI86" s="769" t="str">
        <f>IF(CI85=20,"10 ","")</f>
        <v/>
      </c>
      <c r="CJ86" s="769" t="str">
        <f>IF(CJ85=21,"11 ","")</f>
        <v/>
      </c>
      <c r="CK86" s="769" t="str">
        <f>IF(CK85=22,"12 ","")</f>
        <v/>
      </c>
      <c r="CL86" s="769" t="str">
        <f>IF(CL85=23,"K ","")</f>
        <v/>
      </c>
      <c r="CM86" s="769" t="str">
        <f>IF(CM85=24,"L ","")</f>
        <v/>
      </c>
      <c r="CN86" s="769" t="str">
        <f>IF(CN85=25,"M ","")</f>
        <v/>
      </c>
      <c r="CO86" s="769" t="str">
        <f>IF(CO85=26,"N ","")</f>
        <v/>
      </c>
      <c r="CP86" s="769" t="str">
        <f>IF(CP85=27,"O ","")</f>
        <v/>
      </c>
      <c r="CQ86" s="769" t="str">
        <f>IF(CQ85=28,"P ","")</f>
        <v/>
      </c>
      <c r="CR86" s="769" t="str">
        <f>IF(CR85=29,"Q ","")</f>
        <v/>
      </c>
      <c r="CS86" s="770" t="str">
        <f>IF(CS85=30,"R ","")</f>
        <v/>
      </c>
      <c r="CT86" s="185"/>
      <c r="CU86" s="185"/>
      <c r="EC86" s="185"/>
      <c r="ED86" s="185"/>
    </row>
    <row r="87" spans="2:134" ht="21.6" hidden="1" thickTop="1" x14ac:dyDescent="0.4">
      <c r="B87" s="84"/>
      <c r="C87" s="84"/>
      <c r="F87" s="85"/>
      <c r="G87" s="85"/>
      <c r="H87" s="243"/>
      <c r="I87" s="243"/>
      <c r="J87" s="243"/>
      <c r="K87" s="243"/>
      <c r="L87" s="243"/>
      <c r="M87" s="243"/>
      <c r="N87" s="243"/>
      <c r="O87" s="243"/>
      <c r="P87" s="243"/>
      <c r="Q87" s="243"/>
      <c r="R87" s="243"/>
      <c r="S87" s="243"/>
      <c r="T87" s="243"/>
      <c r="U87" s="86"/>
      <c r="V87" s="243"/>
      <c r="W87" s="243"/>
      <c r="X87" s="243"/>
      <c r="Y87" s="243"/>
      <c r="Z87" s="243"/>
      <c r="AA87" s="243"/>
      <c r="AB87" s="86"/>
      <c r="AC87" s="86"/>
      <c r="AD87" s="86"/>
      <c r="AE87" s="86"/>
      <c r="AF87" s="243"/>
      <c r="AG87" s="243"/>
      <c r="AH87" s="243"/>
      <c r="AI87" s="243"/>
      <c r="AJ87" s="243"/>
      <c r="AK87" s="243"/>
      <c r="AL87" s="243"/>
      <c r="AM87" s="243"/>
      <c r="AN87" s="243"/>
      <c r="AO87" s="243"/>
      <c r="AP87" s="243"/>
      <c r="AQ87" s="243"/>
      <c r="AR87" s="243"/>
      <c r="AS87" s="243"/>
      <c r="AT87" s="243"/>
      <c r="AU87" s="243"/>
      <c r="AV87" s="243"/>
      <c r="AW87" s="243"/>
      <c r="AX87" s="243"/>
      <c r="AY87" s="243"/>
      <c r="AZ87" s="243"/>
      <c r="BA87" s="243"/>
      <c r="BB87" s="14"/>
      <c r="BE87" s="40"/>
      <c r="BF87" s="40"/>
      <c r="BH87" s="59"/>
      <c r="BI87" s="59"/>
      <c r="BJ87" s="59"/>
      <c r="BK87" s="59"/>
      <c r="BL87" s="59"/>
      <c r="BM87" s="4"/>
      <c r="BN87" s="27"/>
      <c r="BO87" s="185"/>
      <c r="BP87" s="216">
        <v>1</v>
      </c>
      <c r="BQ87" s="216">
        <v>2</v>
      </c>
      <c r="BR87" s="216">
        <v>3</v>
      </c>
      <c r="BS87" s="216">
        <v>4</v>
      </c>
      <c r="BT87" s="216">
        <v>5</v>
      </c>
      <c r="BU87" s="216">
        <v>6</v>
      </c>
      <c r="BV87" s="216">
        <v>7</v>
      </c>
      <c r="BW87" s="216">
        <v>8</v>
      </c>
      <c r="BX87" s="216">
        <v>9</v>
      </c>
      <c r="BY87" s="216">
        <v>10</v>
      </c>
      <c r="BZ87" s="216">
        <v>11</v>
      </c>
      <c r="CA87" s="216">
        <v>12</v>
      </c>
      <c r="CB87" s="216">
        <v>13</v>
      </c>
      <c r="CC87" s="216">
        <v>14</v>
      </c>
      <c r="CD87" s="216">
        <v>15</v>
      </c>
      <c r="CE87" s="216">
        <v>16</v>
      </c>
      <c r="CF87" s="216">
        <v>17</v>
      </c>
      <c r="CG87" s="216">
        <v>18</v>
      </c>
      <c r="CH87" s="216">
        <v>19</v>
      </c>
      <c r="CI87" s="216">
        <v>20</v>
      </c>
      <c r="CJ87" s="216">
        <v>21</v>
      </c>
      <c r="CK87" s="216">
        <v>22</v>
      </c>
      <c r="CL87" s="216">
        <v>23</v>
      </c>
      <c r="CM87" s="216">
        <v>24</v>
      </c>
      <c r="CN87" s="216">
        <v>25</v>
      </c>
      <c r="CO87" s="216">
        <v>26</v>
      </c>
      <c r="CP87" s="216">
        <v>27</v>
      </c>
      <c r="CQ87" s="216">
        <v>28</v>
      </c>
      <c r="CR87" s="216">
        <v>29</v>
      </c>
      <c r="CS87" s="216">
        <v>30</v>
      </c>
      <c r="CT87" s="185"/>
      <c r="CU87" s="185"/>
      <c r="EC87" s="185"/>
      <c r="ED87" s="185"/>
    </row>
    <row r="88" spans="2:134" ht="21" hidden="1" x14ac:dyDescent="0.4">
      <c r="B88" s="84"/>
      <c r="C88" s="84"/>
      <c r="G88" s="85"/>
      <c r="H88" s="243"/>
      <c r="I88" s="243"/>
      <c r="J88" s="243"/>
      <c r="K88" s="243"/>
      <c r="L88" s="243"/>
      <c r="M88" s="243"/>
      <c r="N88" s="243"/>
      <c r="O88" s="243"/>
      <c r="P88" s="243"/>
      <c r="Q88" s="243"/>
      <c r="R88" s="243"/>
      <c r="S88" s="243"/>
      <c r="T88" s="243"/>
      <c r="U88" s="86"/>
      <c r="V88" s="243"/>
      <c r="W88" s="243"/>
      <c r="X88" s="243"/>
      <c r="Y88" s="243"/>
      <c r="Z88" s="243"/>
      <c r="AA88" s="243"/>
      <c r="AB88" s="86"/>
      <c r="AC88" s="86"/>
      <c r="AD88" s="86"/>
      <c r="AE88" s="86"/>
      <c r="AF88" s="243"/>
      <c r="AG88" s="243"/>
      <c r="AH88" s="243"/>
      <c r="AI88" s="243"/>
      <c r="AJ88" s="243"/>
      <c r="AK88" s="243"/>
      <c r="AL88" s="243"/>
      <c r="AM88" s="243"/>
      <c r="AN88" s="243"/>
      <c r="AO88" s="243"/>
      <c r="AP88" s="243"/>
      <c r="AQ88" s="243"/>
      <c r="AR88" s="243"/>
      <c r="AS88" s="243"/>
      <c r="AT88" s="243"/>
      <c r="AU88" s="243"/>
      <c r="AV88" s="243"/>
      <c r="AW88" s="243"/>
      <c r="AX88" s="243"/>
      <c r="AY88" s="243"/>
      <c r="AZ88" s="243"/>
      <c r="BA88" s="243"/>
      <c r="BB88" s="14"/>
      <c r="BE88" s="40"/>
      <c r="BF88" s="40"/>
      <c r="BH88" s="59"/>
      <c r="BI88" s="59"/>
      <c r="BJ88" s="59"/>
      <c r="BK88" s="59"/>
      <c r="BL88" s="59"/>
      <c r="BM88" s="4"/>
      <c r="BN88" s="27"/>
      <c r="BO88" s="185"/>
      <c r="BP88" s="216" t="s">
        <v>33</v>
      </c>
      <c r="BQ88" s="216" t="s">
        <v>34</v>
      </c>
      <c r="BR88" s="216" t="s">
        <v>35</v>
      </c>
      <c r="BS88" s="216" t="s">
        <v>36</v>
      </c>
      <c r="BT88" s="216" t="s">
        <v>37</v>
      </c>
      <c r="BU88" s="216" t="s">
        <v>83</v>
      </c>
      <c r="BV88" s="216" t="s">
        <v>16</v>
      </c>
      <c r="BW88" s="216" t="s">
        <v>84</v>
      </c>
      <c r="BX88" s="216">
        <v>1</v>
      </c>
      <c r="BY88" s="216">
        <v>2</v>
      </c>
      <c r="BZ88" s="216">
        <v>3</v>
      </c>
      <c r="CA88" s="223">
        <v>4</v>
      </c>
      <c r="CB88" s="216">
        <v>5</v>
      </c>
      <c r="CC88" s="216" t="s">
        <v>85</v>
      </c>
      <c r="CD88" s="216" t="s">
        <v>86</v>
      </c>
      <c r="CE88" s="216">
        <v>6</v>
      </c>
      <c r="CF88" s="216">
        <v>7</v>
      </c>
      <c r="CG88" s="216">
        <v>8</v>
      </c>
      <c r="CH88" s="216">
        <v>9</v>
      </c>
      <c r="CI88" s="216">
        <v>10</v>
      </c>
      <c r="CJ88" s="216">
        <v>11</v>
      </c>
      <c r="CK88" s="216">
        <v>12</v>
      </c>
      <c r="CL88" s="216" t="s">
        <v>87</v>
      </c>
      <c r="CM88" s="216" t="s">
        <v>15</v>
      </c>
      <c r="CN88" s="216" t="s">
        <v>88</v>
      </c>
      <c r="CO88" s="216" t="s">
        <v>89</v>
      </c>
      <c r="CP88" s="216" t="s">
        <v>90</v>
      </c>
      <c r="CQ88" s="216" t="s">
        <v>91</v>
      </c>
      <c r="CR88" s="216" t="s">
        <v>92</v>
      </c>
      <c r="CS88" s="216" t="s">
        <v>93</v>
      </c>
      <c r="EC88" s="185"/>
      <c r="ED88" s="185"/>
    </row>
    <row r="89" spans="2:134" ht="21" hidden="1" x14ac:dyDescent="0.4">
      <c r="B89" s="84"/>
      <c r="C89" s="84"/>
      <c r="G89" s="85"/>
      <c r="H89" s="243"/>
      <c r="I89" s="243"/>
      <c r="J89" s="243"/>
      <c r="K89" s="243"/>
      <c r="L89" s="243"/>
      <c r="M89" s="243"/>
      <c r="N89" s="243"/>
      <c r="O89" s="243"/>
      <c r="P89" s="243"/>
      <c r="Q89" s="243"/>
      <c r="R89" s="243"/>
      <c r="S89" s="243"/>
      <c r="T89" s="243"/>
      <c r="U89" s="86"/>
      <c r="V89" s="243"/>
      <c r="W89" s="243"/>
      <c r="X89" s="243"/>
      <c r="Y89" s="243"/>
      <c r="Z89" s="243"/>
      <c r="AA89" s="243"/>
      <c r="AB89" s="86"/>
      <c r="AC89" s="86"/>
      <c r="AD89" s="86"/>
      <c r="AE89" s="86"/>
      <c r="AF89" s="243"/>
      <c r="AG89" s="243"/>
      <c r="AH89" s="243"/>
      <c r="AI89" s="243"/>
      <c r="AJ89" s="243"/>
      <c r="AK89" s="243"/>
      <c r="AL89" s="243"/>
      <c r="AM89" s="243"/>
      <c r="AN89" s="243"/>
      <c r="AO89" s="243"/>
      <c r="AP89" s="243"/>
      <c r="AQ89" s="243"/>
      <c r="AR89" s="243"/>
      <c r="AS89" s="243"/>
      <c r="AT89" s="243"/>
      <c r="AU89" s="243"/>
      <c r="AV89" s="243"/>
      <c r="AW89" s="243"/>
      <c r="AX89" s="243"/>
      <c r="AY89" s="243"/>
      <c r="AZ89" s="243"/>
      <c r="BA89" s="243"/>
      <c r="BB89" s="14"/>
      <c r="BE89" s="40"/>
      <c r="BF89" s="40"/>
      <c r="BH89" s="59"/>
      <c r="BI89" s="59"/>
      <c r="BJ89" s="59"/>
      <c r="BK89" s="59"/>
      <c r="BL89" s="59"/>
      <c r="BM89" s="4"/>
      <c r="BN89" s="27"/>
      <c r="BO89" s="182"/>
      <c r="BP89" s="182"/>
      <c r="BQ89" s="182"/>
      <c r="BR89" s="182"/>
      <c r="BS89" s="182"/>
      <c r="BT89" s="182"/>
      <c r="BU89" s="215"/>
      <c r="BV89" s="215"/>
      <c r="BW89" s="215"/>
      <c r="BX89" s="215"/>
      <c r="BY89" s="215"/>
      <c r="BZ89" s="215"/>
      <c r="CA89" s="215"/>
      <c r="CB89" s="215"/>
      <c r="CC89" s="215"/>
      <c r="CD89" s="215"/>
      <c r="CE89" s="215"/>
      <c r="CF89" s="215"/>
      <c r="CG89" s="215"/>
      <c r="CH89" s="215"/>
      <c r="CI89" s="184"/>
      <c r="CJ89" s="185"/>
      <c r="CK89" s="185"/>
      <c r="CL89" s="185"/>
      <c r="CM89" s="185"/>
      <c r="CN89" s="185"/>
      <c r="CO89" s="185"/>
      <c r="CP89" s="185"/>
      <c r="CQ89" s="185"/>
      <c r="CR89" s="185"/>
      <c r="CS89" s="185"/>
      <c r="CT89" s="185"/>
      <c r="CU89" s="185"/>
      <c r="EC89" s="185"/>
      <c r="ED89" s="185"/>
    </row>
    <row r="90" spans="2:134" ht="20.399999999999999" hidden="1" x14ac:dyDescent="0.35">
      <c r="C90" s="86"/>
      <c r="G90" s="85"/>
      <c r="H90" s="243"/>
      <c r="I90" s="243"/>
      <c r="J90" s="243"/>
      <c r="K90" s="243"/>
      <c r="L90" s="243"/>
      <c r="M90" s="243"/>
      <c r="N90" s="243"/>
      <c r="O90" s="243"/>
      <c r="P90" s="243"/>
      <c r="Q90" s="243"/>
      <c r="R90" s="243"/>
      <c r="S90" s="243"/>
      <c r="T90" s="243"/>
      <c r="U90" s="86"/>
      <c r="V90" s="243"/>
      <c r="W90" s="243"/>
      <c r="X90" s="243"/>
      <c r="Y90" s="243"/>
      <c r="Z90" s="243"/>
      <c r="AA90" s="243"/>
      <c r="AB90" s="86"/>
      <c r="AC90" s="86"/>
      <c r="AD90" s="86"/>
      <c r="AE90" s="86"/>
      <c r="AF90" s="243"/>
      <c r="AG90" s="243"/>
      <c r="AH90" s="243"/>
      <c r="AI90" s="243"/>
      <c r="AJ90" s="243"/>
      <c r="AK90" s="243"/>
      <c r="AL90" s="243"/>
      <c r="AM90" s="243"/>
      <c r="AN90" s="243"/>
      <c r="AO90" s="243"/>
      <c r="AP90" s="243"/>
      <c r="AQ90" s="243"/>
      <c r="AR90" s="243"/>
      <c r="AS90" s="243"/>
      <c r="AT90" s="243"/>
      <c r="AU90" s="243"/>
      <c r="AV90" s="243"/>
      <c r="AW90" s="243"/>
      <c r="AX90" s="243"/>
      <c r="AY90" s="243"/>
      <c r="AZ90" s="243"/>
      <c r="BA90" s="243"/>
      <c r="BB90" s="14"/>
      <c r="BE90" s="40"/>
      <c r="BF90" s="40"/>
      <c r="BH90" s="59"/>
      <c r="BI90" s="59"/>
      <c r="BJ90" s="59"/>
      <c r="BK90" s="59"/>
      <c r="BL90" s="59"/>
      <c r="BM90" s="4"/>
      <c r="BN90" s="27"/>
      <c r="BO90" s="10"/>
      <c r="BP90" s="10"/>
      <c r="BQ90" s="10"/>
      <c r="BR90" s="10"/>
      <c r="BS90" s="10"/>
      <c r="BT90" s="10"/>
      <c r="BU90" s="49"/>
      <c r="BV90" s="49"/>
      <c r="BW90" s="49"/>
      <c r="BX90" s="49"/>
      <c r="BY90" s="49"/>
      <c r="BZ90" s="49"/>
      <c r="CA90" s="49"/>
      <c r="CB90" s="49"/>
      <c r="CC90" s="49"/>
      <c r="CD90" s="49"/>
      <c r="CE90" s="49"/>
      <c r="CF90" s="49"/>
      <c r="CG90" s="49"/>
      <c r="CH90" s="49"/>
      <c r="CI90" s="7"/>
      <c r="EC90" s="185"/>
      <c r="ED90" s="185"/>
    </row>
    <row r="91" spans="2:134" ht="20.399999999999999" hidden="1" x14ac:dyDescent="0.35">
      <c r="B91" s="55"/>
      <c r="C91" s="55"/>
      <c r="D91" s="56"/>
      <c r="E91" s="56"/>
      <c r="F91" s="56"/>
      <c r="G91" s="56"/>
      <c r="BF91" s="4"/>
      <c r="BG91" s="4"/>
      <c r="BH91" s="4"/>
      <c r="BI91" s="4"/>
      <c r="BJ91" s="4"/>
      <c r="BK91" s="4"/>
      <c r="BL91" s="4"/>
      <c r="BM91" s="4"/>
      <c r="BN91" s="218" t="s">
        <v>95</v>
      </c>
      <c r="BO91" s="62"/>
      <c r="BR91" s="10"/>
      <c r="BS91" s="10"/>
      <c r="BT91" s="10"/>
      <c r="BU91" s="49"/>
      <c r="BV91" s="49"/>
      <c r="BW91" s="49"/>
      <c r="BX91" s="49"/>
      <c r="BY91" s="49"/>
      <c r="BZ91" s="49"/>
      <c r="CA91" s="49"/>
      <c r="CB91" s="49"/>
      <c r="CC91" s="49"/>
      <c r="CD91" s="49"/>
      <c r="CE91" s="49"/>
      <c r="CF91" s="49"/>
      <c r="CG91" s="49"/>
      <c r="CH91" s="49"/>
      <c r="CI91" s="7"/>
      <c r="CQ91" s="62"/>
      <c r="CU91" s="218" t="s">
        <v>94</v>
      </c>
      <c r="CV91" s="4"/>
      <c r="CW91" s="4"/>
      <c r="EC91" s="185"/>
      <c r="ED91" s="185"/>
    </row>
    <row r="92" spans="2:134" ht="20.399999999999999" hidden="1" x14ac:dyDescent="0.35">
      <c r="BF92" s="27"/>
      <c r="BG92" s="27"/>
      <c r="BH92" s="27"/>
      <c r="BI92" s="27"/>
      <c r="BJ92" s="27"/>
      <c r="BK92" s="27"/>
      <c r="BL92" s="27"/>
      <c r="BM92" s="27"/>
      <c r="BN92" s="218">
        <f>-+BK99</f>
        <v>558.74675304292123</v>
      </c>
      <c r="BO92" s="62"/>
      <c r="BR92" s="10"/>
      <c r="BS92" s="10"/>
      <c r="BT92" s="10"/>
      <c r="BU92" s="49"/>
      <c r="BV92" s="49"/>
      <c r="BW92" s="49"/>
      <c r="BX92" s="49"/>
      <c r="BY92" s="49"/>
      <c r="BZ92" s="49"/>
      <c r="CA92" s="49"/>
      <c r="CB92" s="49"/>
      <c r="CC92" s="49"/>
      <c r="CD92" s="49"/>
      <c r="CE92" s="49"/>
      <c r="CF92" s="49"/>
      <c r="CG92" s="49"/>
      <c r="CH92" s="49"/>
      <c r="CI92" s="7"/>
      <c r="CO92" s="63"/>
      <c r="CQ92" s="62"/>
      <c r="CU92" s="218">
        <f>+-BK128</f>
        <v>-891.25324695707877</v>
      </c>
      <c r="CV92" s="4"/>
      <c r="CW92" s="4"/>
      <c r="EC92" s="185"/>
      <c r="ED92" s="185"/>
    </row>
    <row r="93" spans="2:134" ht="20.399999999999999" hidden="1" x14ac:dyDescent="0.35">
      <c r="B93" s="14"/>
      <c r="BF93" s="27"/>
      <c r="BG93" s="27"/>
      <c r="BH93" s="27"/>
      <c r="BI93" s="27"/>
      <c r="BJ93" s="27"/>
      <c r="BK93" s="27"/>
      <c r="BL93" s="27"/>
      <c r="BM93" s="27"/>
      <c r="BO93" s="10"/>
      <c r="BP93" s="10"/>
      <c r="BQ93" s="10"/>
      <c r="BR93" s="10"/>
      <c r="BS93" s="10"/>
      <c r="BT93" s="10"/>
      <c r="BU93" s="49"/>
      <c r="BV93" s="49"/>
      <c r="BW93" s="49"/>
      <c r="BX93" s="49"/>
      <c r="BY93" s="49"/>
      <c r="BZ93" s="49"/>
      <c r="CA93" s="49"/>
      <c r="CB93" s="49"/>
      <c r="CC93" s="49"/>
      <c r="CD93" s="49"/>
      <c r="CE93" s="49"/>
      <c r="CF93" s="49"/>
      <c r="CG93" s="49"/>
      <c r="CH93" s="49"/>
      <c r="CI93" s="7"/>
      <c r="CQ93" s="4"/>
      <c r="CR93" s="4"/>
      <c r="CS93" s="4"/>
      <c r="CT93" s="4"/>
      <c r="CU93" s="4"/>
      <c r="CV93" s="4"/>
      <c r="CW93" s="4"/>
      <c r="EC93" s="185"/>
      <c r="ED93" s="185"/>
    </row>
    <row r="94" spans="2:134" ht="20.399999999999999" hidden="1" x14ac:dyDescent="0.35">
      <c r="B94" s="55"/>
      <c r="C94" s="55"/>
      <c r="D94" s="56"/>
      <c r="E94" s="56"/>
      <c r="F94" s="56"/>
      <c r="G94" s="56"/>
      <c r="BF94" s="27"/>
      <c r="BG94" s="27"/>
      <c r="BH94" s="27"/>
      <c r="BI94" s="27"/>
      <c r="BJ94" s="27"/>
      <c r="BK94" s="27"/>
      <c r="BL94" s="27"/>
      <c r="BS94" s="10"/>
      <c r="BT94" s="10"/>
      <c r="BU94" s="49"/>
      <c r="BV94" s="49"/>
      <c r="BW94" s="49"/>
      <c r="BX94" s="49"/>
      <c r="BY94" s="49"/>
      <c r="BZ94" s="49"/>
      <c r="CA94" s="49"/>
      <c r="CB94" s="49"/>
      <c r="CC94" s="49"/>
      <c r="CD94" s="49"/>
      <c r="CE94" s="49"/>
      <c r="CF94" s="49"/>
      <c r="CG94" s="49"/>
      <c r="CH94" s="49"/>
      <c r="CI94" s="7"/>
      <c r="CQ94" s="4"/>
      <c r="CR94" s="4"/>
      <c r="CS94" s="4"/>
      <c r="CT94" s="4"/>
      <c r="CU94" s="4"/>
      <c r="CV94" s="4"/>
      <c r="CW94" s="4"/>
      <c r="EC94" s="185"/>
      <c r="ED94" s="185"/>
    </row>
    <row r="95" spans="2:134" ht="20.399999999999999" hidden="1" x14ac:dyDescent="0.35">
      <c r="B95" s="55"/>
      <c r="C95" s="55"/>
      <c r="D95" s="56"/>
      <c r="E95" s="56"/>
      <c r="F95" s="56"/>
      <c r="G95" s="56"/>
      <c r="BF95" s="27"/>
      <c r="BS95" s="10"/>
      <c r="BT95" s="10"/>
      <c r="BU95" s="49"/>
      <c r="BV95" s="49"/>
      <c r="BW95" s="49"/>
      <c r="BX95" s="49"/>
      <c r="BY95" s="49"/>
      <c r="BZ95" s="49"/>
      <c r="CA95" s="49"/>
      <c r="CB95" s="49"/>
      <c r="CC95" s="49"/>
      <c r="CD95" s="49"/>
      <c r="CE95" s="49"/>
      <c r="CF95" s="49"/>
      <c r="CG95" s="49"/>
      <c r="CH95" s="49"/>
      <c r="CI95" s="7"/>
      <c r="CQ95" s="4"/>
      <c r="CR95" s="4"/>
      <c r="CS95" s="4"/>
      <c r="CT95" s="4"/>
      <c r="CU95" s="4"/>
      <c r="CV95" s="4"/>
      <c r="CW95" s="4"/>
      <c r="EC95" s="185"/>
      <c r="ED95" s="185"/>
    </row>
    <row r="96" spans="2:134" ht="21.6" thickTop="1" thickBot="1" x14ac:dyDescent="0.4">
      <c r="B96" s="55"/>
      <c r="C96" s="55"/>
      <c r="D96" s="56"/>
      <c r="E96" s="56"/>
      <c r="F96" s="56"/>
      <c r="G96" s="56"/>
      <c r="BF96" s="27"/>
      <c r="BS96" s="10"/>
      <c r="BT96" s="10"/>
      <c r="BU96" s="49"/>
      <c r="BV96" s="49"/>
      <c r="BW96" s="49"/>
      <c r="BX96" s="49"/>
      <c r="BY96" s="49"/>
      <c r="BZ96" s="49"/>
      <c r="CA96" s="49"/>
      <c r="CB96" s="49"/>
      <c r="CC96" s="49"/>
      <c r="CD96" s="49"/>
      <c r="CE96" s="49"/>
      <c r="CF96" s="49"/>
      <c r="CG96" s="49"/>
      <c r="CH96" s="49"/>
      <c r="CI96" s="7"/>
      <c r="CQ96" s="4"/>
      <c r="CR96" s="4"/>
      <c r="CS96" s="4"/>
      <c r="CT96" s="4"/>
      <c r="CU96" s="4"/>
      <c r="CV96" s="4"/>
      <c r="CW96" s="4"/>
      <c r="EC96" s="185"/>
      <c r="ED96" s="185"/>
    </row>
    <row r="97" spans="2:134" ht="48" customHeight="1" thickBot="1" x14ac:dyDescent="0.4">
      <c r="B97" s="25"/>
      <c r="D97" s="416" t="str">
        <f>IF(BN92&gt;0," ","change the angle of frame or of cabinets")</f>
        <v xml:space="preserve"> </v>
      </c>
      <c r="E97" s="114"/>
      <c r="F97" s="114"/>
      <c r="G97" s="114"/>
      <c r="H97" s="244"/>
      <c r="I97" s="244"/>
      <c r="J97" s="244"/>
      <c r="K97" s="244"/>
      <c r="L97" s="244"/>
      <c r="M97" s="244"/>
      <c r="N97" s="244"/>
      <c r="O97" s="244"/>
      <c r="P97" s="244"/>
      <c r="Q97" s="244"/>
      <c r="R97" s="244"/>
      <c r="S97" s="244"/>
      <c r="T97" s="244"/>
      <c r="V97" s="244"/>
      <c r="W97" s="244"/>
      <c r="X97" s="244"/>
      <c r="Y97" s="244"/>
      <c r="Z97" s="244"/>
      <c r="AA97" s="244"/>
      <c r="AF97" s="244"/>
      <c r="AG97" s="244"/>
      <c r="AH97" s="244"/>
      <c r="AI97" s="244"/>
      <c r="AJ97" s="244"/>
      <c r="AK97" s="244"/>
      <c r="AL97" s="244"/>
      <c r="AM97" s="244"/>
      <c r="AN97" s="244"/>
      <c r="AO97" s="244"/>
      <c r="AP97" s="244"/>
      <c r="AQ97" s="244"/>
      <c r="AR97" s="244"/>
      <c r="AS97" s="244"/>
      <c r="AT97" s="244"/>
      <c r="AU97" s="244"/>
      <c r="AV97" s="244"/>
      <c r="AW97" s="244"/>
      <c r="AX97" s="244"/>
      <c r="AY97" s="244"/>
      <c r="AZ97" s="244"/>
      <c r="BA97" s="244"/>
      <c r="BB97" s="7"/>
      <c r="BF97" s="27"/>
      <c r="CQ97" s="27"/>
      <c r="CR97" s="27"/>
      <c r="CS97" s="27"/>
      <c r="CT97" s="27"/>
      <c r="CU97" s="27"/>
      <c r="CV97" s="27"/>
      <c r="CW97" s="27"/>
      <c r="EC97" s="185"/>
      <c r="ED97" s="185"/>
    </row>
    <row r="98" spans="2:134" ht="47.25" customHeight="1" thickBot="1" x14ac:dyDescent="0.4">
      <c r="B98" s="2043" t="s">
        <v>70</v>
      </c>
      <c r="D98" s="416" t="str">
        <f>IF(CU92&lt;0," ","change the angle of frame or of cabinets")</f>
        <v xml:space="preserve"> </v>
      </c>
      <c r="E98" s="114"/>
      <c r="F98" s="114"/>
      <c r="G98" s="114"/>
      <c r="H98" s="244"/>
      <c r="I98" s="244"/>
      <c r="J98" s="244"/>
      <c r="K98" s="244"/>
      <c r="L98" s="244"/>
      <c r="M98" s="244"/>
      <c r="N98" s="244"/>
      <c r="O98" s="244"/>
      <c r="P98" s="244"/>
      <c r="Q98" s="244"/>
      <c r="R98" s="244"/>
      <c r="S98" s="244"/>
      <c r="T98" s="244"/>
      <c r="V98" s="313"/>
      <c r="W98" s="313"/>
      <c r="X98" s="313"/>
      <c r="Y98" s="313"/>
      <c r="Z98" s="313"/>
      <c r="AA98" s="313"/>
      <c r="AF98" s="266"/>
      <c r="AG98" s="266"/>
      <c r="AH98" s="266"/>
      <c r="AI98" s="266"/>
      <c r="AJ98" s="266"/>
      <c r="AK98" s="266"/>
      <c r="AL98" s="266"/>
      <c r="AM98" s="266"/>
      <c r="AN98" s="266"/>
      <c r="AO98" s="266"/>
      <c r="AP98" s="266"/>
      <c r="AQ98" s="266"/>
      <c r="AR98" s="266"/>
      <c r="AS98" s="266"/>
      <c r="AT98" s="266"/>
      <c r="AU98" s="266"/>
      <c r="AV98" s="266"/>
      <c r="AW98" s="266"/>
      <c r="AX98" s="266"/>
      <c r="AY98" s="266"/>
      <c r="AZ98" s="266"/>
      <c r="BA98" s="266"/>
      <c r="BB98" s="32"/>
      <c r="BF98" s="27"/>
      <c r="BJ98" s="747" t="s">
        <v>205</v>
      </c>
      <c r="CQ98" s="27"/>
      <c r="CR98" s="27"/>
      <c r="CS98" s="27"/>
      <c r="CT98" s="27"/>
      <c r="CU98" s="27"/>
      <c r="CV98" s="27"/>
      <c r="CW98" s="27"/>
      <c r="EC98" s="185"/>
      <c r="ED98" s="185"/>
    </row>
    <row r="99" spans="2:134" ht="47.25" customHeight="1" thickBot="1" x14ac:dyDescent="0.5">
      <c r="B99" s="2044"/>
      <c r="C99" s="749"/>
      <c r="D99" s="416" t="str">
        <f>IF(BN92&gt;(+COS(($B$100*-1)*3.14159265358979/180)*375)," ","USE EXBAR VR AT THE FRONT")</f>
        <v xml:space="preserve"> </v>
      </c>
      <c r="E99" s="114"/>
      <c r="F99" s="114"/>
      <c r="G99" s="114"/>
      <c r="H99" s="244"/>
      <c r="I99" s="244"/>
      <c r="J99" s="244"/>
      <c r="K99" s="244"/>
      <c r="L99" s="244"/>
      <c r="M99" s="244"/>
      <c r="N99" s="244"/>
      <c r="O99" s="244"/>
      <c r="P99" s="244"/>
      <c r="Q99" s="244"/>
      <c r="R99" s="244"/>
      <c r="S99" s="244"/>
      <c r="T99" s="244"/>
      <c r="AF99" s="244"/>
      <c r="AG99" s="244"/>
      <c r="AH99" s="244"/>
      <c r="AI99" s="244"/>
      <c r="AJ99" s="244"/>
      <c r="AK99" s="244"/>
      <c r="AL99" s="244"/>
      <c r="AM99" s="244"/>
      <c r="AN99" s="244"/>
      <c r="AO99" s="244"/>
      <c r="AP99" s="244"/>
      <c r="AQ99" s="244"/>
      <c r="AR99" s="244"/>
      <c r="AS99" s="244"/>
      <c r="AT99" s="244"/>
      <c r="AU99" s="244"/>
      <c r="AV99" s="244"/>
      <c r="AW99" s="244"/>
      <c r="AX99" s="244"/>
      <c r="AY99" s="244"/>
      <c r="AZ99" s="244"/>
      <c r="BA99" s="244"/>
      <c r="BB99" s="7"/>
      <c r="BF99" s="27"/>
      <c r="BH99" s="219">
        <v>1</v>
      </c>
      <c r="BI99" s="748">
        <v>-400</v>
      </c>
      <c r="BJ99" s="746">
        <f>+COS(($B$100*-1)*3.14159265358979/180)*BI99</f>
        <v>-400</v>
      </c>
      <c r="BK99" s="752">
        <f>+BJ99-D$3</f>
        <v>-558.74675304292123</v>
      </c>
      <c r="BL99" s="180">
        <f t="shared" ref="BL99:BL128" si="4">ABS(BK99)</f>
        <v>558.74675304292123</v>
      </c>
      <c r="BM99" s="180">
        <f>MIN(BL99:BL128)</f>
        <v>8.7467530429212843</v>
      </c>
      <c r="BN99" s="180" t="b">
        <f>IF(BM99=BL99,BH99)</f>
        <v>0</v>
      </c>
      <c r="CQ99" s="27"/>
      <c r="CR99" s="27"/>
      <c r="CS99" s="27"/>
      <c r="CT99" s="27"/>
      <c r="CU99" s="27"/>
      <c r="CV99" s="27"/>
      <c r="CW99" s="27"/>
      <c r="EC99" s="185"/>
      <c r="ED99" s="185"/>
    </row>
    <row r="100" spans="2:134" ht="47.25" customHeight="1" thickBot="1" x14ac:dyDescent="0.5">
      <c r="B100" s="741">
        <v>0</v>
      </c>
      <c r="C100" s="749"/>
      <c r="D100" s="757" t="str">
        <f>IF(CU92&lt;-(+COS(($B$100*-1)*3.14159265358979/180)*375)," ","USE EXBAR VR AT THE BACK")</f>
        <v xml:space="preserve"> </v>
      </c>
      <c r="E100" s="114"/>
      <c r="F100" s="114"/>
      <c r="G100" s="114"/>
      <c r="AF100" s="244"/>
      <c r="AG100" s="244"/>
      <c r="AH100" s="244"/>
      <c r="AI100" s="244"/>
      <c r="AJ100" s="244"/>
      <c r="AK100" s="244"/>
      <c r="AL100" s="244"/>
      <c r="AM100" s="244"/>
      <c r="AN100" s="244"/>
      <c r="AO100" s="244"/>
      <c r="AP100" s="244"/>
      <c r="AQ100" s="244"/>
      <c r="AR100" s="244"/>
      <c r="AS100" s="244"/>
      <c r="AT100" s="244"/>
      <c r="AU100" s="244"/>
      <c r="AV100" s="244"/>
      <c r="AW100" s="244"/>
      <c r="AX100" s="244"/>
      <c r="AY100" s="244"/>
      <c r="AZ100" s="244"/>
      <c r="BA100" s="244"/>
      <c r="BB100" s="7"/>
      <c r="BF100" s="27"/>
      <c r="BH100" s="219">
        <v>2</v>
      </c>
      <c r="BI100" s="748">
        <f>+BI99+50</f>
        <v>-350</v>
      </c>
      <c r="BJ100" s="746">
        <f>+BJ99+$E$2</f>
        <v>-350</v>
      </c>
      <c r="BK100" s="752">
        <f t="shared" ref="BK100:BK128" si="5">+BJ100-D$3</f>
        <v>-508.74675304292128</v>
      </c>
      <c r="BL100" s="180">
        <f t="shared" si="4"/>
        <v>508.74675304292128</v>
      </c>
      <c r="BM100" s="180">
        <f>+BM99</f>
        <v>8.7467530429212843</v>
      </c>
      <c r="BN100" s="180" t="b">
        <f t="shared" ref="BN100:BN128" si="6">IF(BM100=BL100,BH100)</f>
        <v>0</v>
      </c>
      <c r="CQ100" s="27"/>
      <c r="CR100" s="27"/>
      <c r="CS100" s="27"/>
      <c r="CT100" s="27"/>
      <c r="CU100" s="27"/>
      <c r="CV100" s="27"/>
      <c r="CW100" s="27"/>
      <c r="EC100" s="185"/>
      <c r="ED100" s="185"/>
    </row>
    <row r="101" spans="2:134" ht="22.2" thickBot="1" x14ac:dyDescent="0.5">
      <c r="AF101" s="244"/>
      <c r="AG101" s="244"/>
      <c r="AH101" s="244"/>
      <c r="AI101" s="244"/>
      <c r="AJ101" s="244"/>
      <c r="AK101" s="244"/>
      <c r="AL101" s="244"/>
      <c r="AM101" s="244"/>
      <c r="AN101" s="244"/>
      <c r="AO101" s="244"/>
      <c r="AP101" s="244"/>
      <c r="AQ101" s="244"/>
      <c r="AR101" s="244"/>
      <c r="AS101" s="244"/>
      <c r="AT101" s="244"/>
      <c r="AU101" s="244"/>
      <c r="AV101" s="244"/>
      <c r="AW101" s="244"/>
      <c r="AX101" s="244"/>
      <c r="AY101" s="244"/>
      <c r="AZ101" s="244"/>
      <c r="BA101" s="244"/>
      <c r="BB101" s="7"/>
      <c r="BF101" s="27"/>
      <c r="BH101" s="219">
        <v>3</v>
      </c>
      <c r="BI101" s="748">
        <f t="shared" ref="BI101:BI128" si="7">+BI100+50</f>
        <v>-300</v>
      </c>
      <c r="BJ101" s="746">
        <f t="shared" ref="BJ101:BJ128" si="8">+BJ100+$E$2</f>
        <v>-300</v>
      </c>
      <c r="BK101" s="752">
        <f t="shared" si="5"/>
        <v>-458.74675304292128</v>
      </c>
      <c r="BL101" s="180">
        <f t="shared" si="4"/>
        <v>458.74675304292128</v>
      </c>
      <c r="BM101" s="180">
        <f t="shared" ref="BM101:BM128" si="9">+BM100</f>
        <v>8.7467530429212843</v>
      </c>
      <c r="BN101" s="180" t="b">
        <f t="shared" si="6"/>
        <v>0</v>
      </c>
      <c r="CQ101" s="27"/>
      <c r="CR101" s="27"/>
      <c r="CS101" s="27"/>
      <c r="CT101" s="27"/>
      <c r="CU101" s="27"/>
      <c r="CV101" s="27"/>
      <c r="CW101" s="27"/>
      <c r="EC101" s="185"/>
      <c r="ED101" s="185"/>
    </row>
    <row r="102" spans="2:134" ht="48" customHeight="1" thickTop="1" thickBot="1" x14ac:dyDescent="0.5">
      <c r="B102" s="702" t="s">
        <v>43</v>
      </c>
      <c r="C102" s="136"/>
      <c r="D102" s="19"/>
      <c r="E102" s="19"/>
      <c r="F102" s="19"/>
      <c r="G102" s="19"/>
      <c r="T102" s="245"/>
      <c r="U102" s="244"/>
      <c r="V102" s="244"/>
      <c r="W102" s="244"/>
      <c r="X102" s="244"/>
      <c r="Y102" s="244"/>
      <c r="Z102" s="244"/>
      <c r="AA102" s="244"/>
      <c r="AB102" s="244"/>
      <c r="AC102" s="244"/>
      <c r="AD102" s="244"/>
      <c r="AE102" s="244"/>
      <c r="AF102" s="244"/>
      <c r="AG102" s="244"/>
      <c r="AH102" s="244"/>
      <c r="AI102" s="244"/>
      <c r="AJ102" s="244"/>
      <c r="AK102" s="244"/>
      <c r="AL102" s="244"/>
      <c r="AM102" s="244"/>
      <c r="AN102" s="244"/>
      <c r="AO102" s="244"/>
      <c r="AP102" s="244"/>
      <c r="AQ102" s="244"/>
      <c r="AR102" s="244"/>
      <c r="AS102" s="244"/>
      <c r="AT102" s="244"/>
      <c r="AU102" s="244"/>
      <c r="AV102" s="244"/>
      <c r="AW102" s="244"/>
      <c r="AX102" s="244"/>
      <c r="AY102" s="244"/>
      <c r="AZ102" s="244"/>
      <c r="BA102" s="244"/>
      <c r="BB102" s="7"/>
      <c r="BC102" s="7"/>
      <c r="BH102" s="219">
        <v>4</v>
      </c>
      <c r="BI102" s="748">
        <f t="shared" si="7"/>
        <v>-250</v>
      </c>
      <c r="BJ102" s="746">
        <f t="shared" si="8"/>
        <v>-250</v>
      </c>
      <c r="BK102" s="752">
        <f t="shared" si="5"/>
        <v>-408.74675304292128</v>
      </c>
      <c r="BL102" s="180">
        <f t="shared" si="4"/>
        <v>408.74675304292128</v>
      </c>
      <c r="BM102" s="180">
        <f t="shared" si="9"/>
        <v>8.7467530429212843</v>
      </c>
      <c r="BN102" s="180" t="b">
        <f t="shared" si="6"/>
        <v>0</v>
      </c>
      <c r="CQ102" s="27"/>
      <c r="CR102" s="27"/>
      <c r="CS102" s="27"/>
      <c r="CT102" s="27"/>
      <c r="CU102" s="27"/>
      <c r="CV102" s="27"/>
      <c r="CW102" s="27"/>
      <c r="EC102" s="185"/>
      <c r="ED102" s="185"/>
    </row>
    <row r="103" spans="2:134" ht="36" customHeight="1" thickTop="1" thickBot="1" x14ac:dyDescent="0.5">
      <c r="B103" s="742">
        <v>1</v>
      </c>
      <c r="C103" s="671"/>
      <c r="D103" s="706" t="s">
        <v>104</v>
      </c>
      <c r="E103" s="445"/>
      <c r="F103" s="445"/>
      <c r="G103" s="445"/>
      <c r="H103" s="764" t="s">
        <v>172</v>
      </c>
      <c r="I103" s="764" t="s">
        <v>173</v>
      </c>
      <c r="J103" s="764" t="s">
        <v>174</v>
      </c>
      <c r="K103"/>
      <c r="L103"/>
      <c r="M103"/>
      <c r="N103"/>
      <c r="O103"/>
      <c r="P103" s="764" t="s">
        <v>175</v>
      </c>
      <c r="Q103" s="764" t="s">
        <v>176</v>
      </c>
      <c r="R103" s="445"/>
      <c r="S103" s="764" t="s">
        <v>177</v>
      </c>
      <c r="T103" s="307"/>
      <c r="W103" s="2047" t="s">
        <v>178</v>
      </c>
      <c r="X103" s="2047"/>
      <c r="Y103" s="2047"/>
      <c r="Z103" s="2047"/>
      <c r="AA103" s="2047"/>
      <c r="AF103" s="244"/>
      <c r="AG103" s="244"/>
      <c r="AH103" s="244"/>
      <c r="AI103" s="244"/>
      <c r="AJ103" s="244"/>
      <c r="AK103" s="244"/>
      <c r="AL103" s="244"/>
      <c r="AM103" s="244"/>
      <c r="AN103" s="244"/>
      <c r="AO103" s="244"/>
      <c r="AP103" s="244"/>
      <c r="AQ103" s="244"/>
      <c r="AR103" s="244"/>
      <c r="AS103" s="244"/>
      <c r="AT103" s="244"/>
      <c r="AU103" s="244"/>
      <c r="AV103" s="244"/>
      <c r="AW103" s="244"/>
      <c r="AX103" s="244"/>
      <c r="AY103" s="272"/>
      <c r="AZ103" s="2045" t="s">
        <v>68</v>
      </c>
      <c r="BA103" s="2046"/>
      <c r="BB103" s="7"/>
      <c r="BC103" s="7"/>
      <c r="BF103" s="27"/>
      <c r="BH103" s="219">
        <v>5</v>
      </c>
      <c r="BI103" s="748">
        <f t="shared" si="7"/>
        <v>-200</v>
      </c>
      <c r="BJ103" s="746">
        <f t="shared" si="8"/>
        <v>-200</v>
      </c>
      <c r="BK103" s="752">
        <f t="shared" si="5"/>
        <v>-358.74675304292128</v>
      </c>
      <c r="BL103" s="180">
        <f t="shared" si="4"/>
        <v>358.74675304292128</v>
      </c>
      <c r="BM103" s="180">
        <f t="shared" si="9"/>
        <v>8.7467530429212843</v>
      </c>
      <c r="BN103" s="180" t="b">
        <f t="shared" si="6"/>
        <v>0</v>
      </c>
      <c r="CQ103" s="27"/>
      <c r="CR103" s="27"/>
      <c r="CS103" s="27"/>
      <c r="CT103" s="27"/>
      <c r="CU103" s="27"/>
      <c r="CV103" s="27"/>
      <c r="CW103" s="27"/>
      <c r="EC103" s="185"/>
      <c r="ED103" s="185"/>
    </row>
    <row r="104" spans="2:134" ht="37.799999999999997" hidden="1" thickTop="1" thickBot="1" x14ac:dyDescent="0.5">
      <c r="B104" s="358"/>
      <c r="C104" s="76"/>
      <c r="D104" s="705" t="s">
        <v>13</v>
      </c>
      <c r="E104" s="15"/>
      <c r="F104" s="15"/>
      <c r="G104" s="15"/>
      <c r="H104" s="309" t="s">
        <v>4</v>
      </c>
      <c r="I104" s="309" t="s">
        <v>1</v>
      </c>
      <c r="J104" s="334" t="s">
        <v>119</v>
      </c>
      <c r="K104" s="305" t="s">
        <v>2</v>
      </c>
      <c r="L104" s="305" t="s">
        <v>3</v>
      </c>
      <c r="M104" s="305" t="s">
        <v>8</v>
      </c>
      <c r="N104" s="305" t="s">
        <v>5</v>
      </c>
      <c r="O104" s="305" t="s">
        <v>6</v>
      </c>
      <c r="P104" s="305" t="s">
        <v>7</v>
      </c>
      <c r="Q104" s="305" t="s">
        <v>9</v>
      </c>
      <c r="R104" s="309" t="s">
        <v>10</v>
      </c>
      <c r="S104" s="305" t="s">
        <v>11</v>
      </c>
      <c r="T104" s="306" t="s">
        <v>12</v>
      </c>
      <c r="W104" s="309" t="s">
        <v>182</v>
      </c>
      <c r="X104" s="447" t="s">
        <v>179</v>
      </c>
      <c r="Y104" s="309" t="s">
        <v>183</v>
      </c>
      <c r="Z104" s="448" t="s">
        <v>180</v>
      </c>
      <c r="AA104" s="448" t="s">
        <v>181</v>
      </c>
      <c r="AC104" s="305" t="s">
        <v>184</v>
      </c>
      <c r="AD104" s="305"/>
      <c r="AE104" s="305"/>
      <c r="AF104" s="273"/>
      <c r="AG104" s="273"/>
      <c r="AH104" s="273"/>
      <c r="AI104" s="273"/>
      <c r="AJ104" s="273"/>
      <c r="AK104" s="273"/>
      <c r="AL104" s="273"/>
      <c r="AM104" s="273"/>
      <c r="AN104" s="273"/>
      <c r="AO104" s="273" t="s">
        <v>108</v>
      </c>
      <c r="AP104" s="273"/>
      <c r="AQ104" s="273" t="s">
        <v>108</v>
      </c>
      <c r="AR104" s="273"/>
      <c r="AS104" s="273"/>
      <c r="AT104" s="273" t="s">
        <v>108</v>
      </c>
      <c r="AU104" s="273"/>
      <c r="AV104" s="273"/>
      <c r="AW104" s="273"/>
      <c r="AX104" s="272"/>
      <c r="AY104" s="272"/>
      <c r="AZ104" s="273"/>
      <c r="BA104" s="273"/>
      <c r="BB104" s="6"/>
      <c r="BH104" s="219">
        <v>6</v>
      </c>
      <c r="BI104" s="748">
        <f t="shared" si="7"/>
        <v>-150</v>
      </c>
      <c r="BJ104" s="746">
        <f t="shared" si="8"/>
        <v>-150</v>
      </c>
      <c r="BK104" s="752">
        <f t="shared" si="5"/>
        <v>-308.74675304292128</v>
      </c>
      <c r="BL104" s="180">
        <f t="shared" si="4"/>
        <v>308.74675304292128</v>
      </c>
      <c r="BM104" s="180">
        <f t="shared" si="9"/>
        <v>8.7467530429212843</v>
      </c>
      <c r="BN104" s="180" t="b">
        <f t="shared" si="6"/>
        <v>0</v>
      </c>
      <c r="CQ104" s="27"/>
      <c r="CR104" s="27"/>
      <c r="CS104" s="27"/>
      <c r="CT104" s="27"/>
      <c r="CU104" s="27"/>
      <c r="CV104" s="27"/>
      <c r="CW104" s="27"/>
      <c r="EC104" s="185"/>
      <c r="ED104" s="185"/>
    </row>
    <row r="105" spans="2:134" ht="37.799999999999997" thickTop="1" thickBot="1" x14ac:dyDescent="0.5">
      <c r="B105" s="90"/>
      <c r="C105" s="139"/>
      <c r="D105" s="670" t="s">
        <v>24</v>
      </c>
      <c r="E105" s="445"/>
      <c r="F105" s="445"/>
      <c r="G105" s="50"/>
      <c r="H105" s="309"/>
      <c r="I105" s="309"/>
      <c r="J105" s="334"/>
      <c r="K105" s="305"/>
      <c r="L105" s="305"/>
      <c r="M105" s="305"/>
      <c r="N105" s="305"/>
      <c r="O105" s="305"/>
      <c r="P105" s="305"/>
      <c r="Q105" s="305"/>
      <c r="R105" s="309"/>
      <c r="S105" s="305"/>
      <c r="T105" s="306"/>
      <c r="U105" s="265"/>
      <c r="V105" s="273"/>
      <c r="W105" s="273"/>
      <c r="X105" s="273"/>
      <c r="Y105" s="273"/>
      <c r="Z105" s="273"/>
      <c r="AA105" s="273"/>
      <c r="AB105" s="273"/>
      <c r="AC105" s="452">
        <f>SUM(AC106:AC117)</f>
        <v>343.49989132317432</v>
      </c>
      <c r="AD105" s="453"/>
      <c r="AE105" s="453"/>
      <c r="AF105" s="273" t="s">
        <v>51</v>
      </c>
      <c r="AG105" s="274" t="s">
        <v>44</v>
      </c>
      <c r="AH105" s="274"/>
      <c r="AI105" s="310" t="s">
        <v>106</v>
      </c>
      <c r="AJ105" s="275" t="s">
        <v>45</v>
      </c>
      <c r="AK105" s="310" t="s">
        <v>46</v>
      </c>
      <c r="AL105" s="175" t="s">
        <v>107</v>
      </c>
      <c r="AM105" s="276" t="s">
        <v>47</v>
      </c>
      <c r="AN105" s="310" t="s">
        <v>48</v>
      </c>
      <c r="AO105" s="277" t="s">
        <v>61</v>
      </c>
      <c r="AP105" s="310" t="s">
        <v>60</v>
      </c>
      <c r="AQ105" s="277" t="s">
        <v>62</v>
      </c>
      <c r="AR105" s="278" t="s">
        <v>59</v>
      </c>
      <c r="AS105" s="278" t="s">
        <v>52</v>
      </c>
      <c r="AT105" s="277" t="s">
        <v>64</v>
      </c>
      <c r="AU105" s="278" t="s">
        <v>63</v>
      </c>
      <c r="AV105" s="279" t="s">
        <v>54</v>
      </c>
      <c r="AW105" s="279" t="s">
        <v>55</v>
      </c>
      <c r="AX105" s="280" t="s">
        <v>25</v>
      </c>
      <c r="AY105" s="280" t="s">
        <v>26</v>
      </c>
      <c r="AZ105" s="281" t="s">
        <v>25</v>
      </c>
      <c r="BA105" s="281" t="s">
        <v>26</v>
      </c>
      <c r="BB105" s="7"/>
      <c r="BC105" s="12"/>
      <c r="BH105" s="219">
        <v>7</v>
      </c>
      <c r="BI105" s="748">
        <f t="shared" si="7"/>
        <v>-100</v>
      </c>
      <c r="BJ105" s="746">
        <f t="shared" si="8"/>
        <v>-100</v>
      </c>
      <c r="BK105" s="752">
        <f t="shared" si="5"/>
        <v>-258.74675304292128</v>
      </c>
      <c r="BL105" s="180">
        <f t="shared" si="4"/>
        <v>258.74675304292128</v>
      </c>
      <c r="BM105" s="180">
        <f t="shared" si="9"/>
        <v>8.7467530429212843</v>
      </c>
      <c r="BN105" s="180" t="b">
        <f t="shared" si="6"/>
        <v>0</v>
      </c>
      <c r="CQ105" s="27"/>
      <c r="CR105" s="27"/>
      <c r="CS105" s="27"/>
      <c r="CT105" s="27"/>
      <c r="CU105" s="27"/>
      <c r="CV105" s="27"/>
      <c r="CW105" s="27"/>
      <c r="EC105" s="185"/>
      <c r="ED105" s="185"/>
    </row>
    <row r="106" spans="2:134" ht="21" customHeight="1" thickBot="1" x14ac:dyDescent="0.5">
      <c r="B106" s="87">
        <v>1</v>
      </c>
      <c r="C106" s="668">
        <f>+(B100*-1)+D106</f>
        <v>0</v>
      </c>
      <c r="D106" s="738">
        <v>0</v>
      </c>
      <c r="E106" s="703" t="s">
        <v>126</v>
      </c>
      <c r="F106" s="117"/>
      <c r="G106" s="117"/>
      <c r="H106" s="764">
        <v>421.92079999999999</v>
      </c>
      <c r="I106" s="764">
        <v>35.4982179</v>
      </c>
      <c r="J106" s="764">
        <f>+I106-C106</f>
        <v>35.4982179</v>
      </c>
      <c r="K106" s="117"/>
      <c r="L106" s="117"/>
      <c r="M106" s="117"/>
      <c r="N106" s="117"/>
      <c r="O106" s="117"/>
      <c r="P106" s="764">
        <f>COS(J106*3.14159265358979/180)</f>
        <v>0.81413357986421708</v>
      </c>
      <c r="Q106" s="764">
        <f>+P106*H106</f>
        <v>343.49989132317432</v>
      </c>
      <c r="R106" s="446">
        <v>343.5</v>
      </c>
      <c r="S106" s="764">
        <f>+Q106</f>
        <v>343.49989132317432</v>
      </c>
      <c r="T106" s="117">
        <f t="shared" ref="T106:T117" si="10">+S106</f>
        <v>343.49989132317432</v>
      </c>
      <c r="U106" s="117"/>
      <c r="V106" s="117">
        <f>IF(B106&lt;($B$103+1),T106,0)</f>
        <v>343.49989132317432</v>
      </c>
      <c r="W106" s="446">
        <v>35.4982179</v>
      </c>
      <c r="X106" s="117">
        <f>+W106+AH118</f>
        <v>35.4982179</v>
      </c>
      <c r="Y106" s="117">
        <v>421.92079999999999</v>
      </c>
      <c r="Z106" s="449">
        <f>+COS(X106*3.14159265358979/180)*Y106</f>
        <v>343.49989132317432</v>
      </c>
      <c r="AA106" s="450">
        <f>+AC105-Z106</f>
        <v>0</v>
      </c>
      <c r="AB106" s="117"/>
      <c r="AC106" s="454">
        <f>IF(AD106=1,AF106)</f>
        <v>343.49989132317432</v>
      </c>
      <c r="AD106" s="454">
        <f>MAX(AE$106:AE$117)</f>
        <v>1</v>
      </c>
      <c r="AE106" s="454">
        <f>IF(V106=0,0,1)</f>
        <v>1</v>
      </c>
      <c r="AF106" s="282">
        <f>SUM(V106:V117)/($B$103)</f>
        <v>343.49989132317432</v>
      </c>
      <c r="AG106" s="283">
        <f>+D106+C106</f>
        <v>0</v>
      </c>
      <c r="AH106" s="411">
        <f>IF(B106&lt;($B$103+1),AG106)</f>
        <v>0</v>
      </c>
      <c r="AI106" s="311">
        <f>54.5017821+AG106</f>
        <v>54.5017821</v>
      </c>
      <c r="AJ106" s="284">
        <f>SIN(AI106*3.14159265358979/180)</f>
        <v>0.81413357986421619</v>
      </c>
      <c r="AK106" s="312">
        <f>+AJ106*421.92</f>
        <v>343.49924001631013</v>
      </c>
      <c r="AL106" s="311">
        <f>58.7344156-AG106</f>
        <v>58.734415599999998</v>
      </c>
      <c r="AM106" s="285">
        <f>SIN(AL106*3.14159265358979/180)</f>
        <v>0.85477073319485097</v>
      </c>
      <c r="AN106" s="312">
        <f>+AM106*472.06</f>
        <v>403.50307231196138</v>
      </c>
      <c r="AO106" s="287">
        <f>+((AF106*AP106)+($AP$127*($AF$127+$AA$106)))/AQ106</f>
        <v>207.24661160374168</v>
      </c>
      <c r="AP106" s="312">
        <f>57*B103</f>
        <v>57</v>
      </c>
      <c r="AQ106" s="287">
        <f>+AP106+$AP$127+30</f>
        <v>112.5</v>
      </c>
      <c r="AR106" s="288">
        <f>+AN106+AK106</f>
        <v>747.0023123282715</v>
      </c>
      <c r="AS106" s="289">
        <f>+V106-AN106</f>
        <v>-60.003180988787051</v>
      </c>
      <c r="AT106" s="290">
        <f>+AO106-AS106</f>
        <v>267.24979259252871</v>
      </c>
      <c r="AU106" s="289">
        <f>+AF106-AS106</f>
        <v>403.50307231196138</v>
      </c>
      <c r="AV106" s="291">
        <f>+((AR106-AT106)/AR106)*AQ106</f>
        <v>72.251661848340973</v>
      </c>
      <c r="AW106" s="291">
        <f>+(AT106/AR106)*AQ106</f>
        <v>40.248338151659027</v>
      </c>
      <c r="AX106" s="292">
        <f t="shared" ref="AX106:AX117" si="11">2*$C$19/AV106</f>
        <v>160.54994035083715</v>
      </c>
      <c r="AY106" s="292">
        <f t="shared" ref="AY106:AY117" si="12">2*$D$19/AW106</f>
        <v>288.21065745100464</v>
      </c>
      <c r="AZ106" s="293">
        <f>ABS(AX106)</f>
        <v>160.54994035083715</v>
      </c>
      <c r="BA106" s="293">
        <f>ABS(AY106)</f>
        <v>288.21065745100464</v>
      </c>
      <c r="BB106" s="2"/>
      <c r="BC106" s="12"/>
      <c r="BH106" s="219">
        <v>8</v>
      </c>
      <c r="BI106" s="748">
        <f t="shared" si="7"/>
        <v>-50</v>
      </c>
      <c r="BJ106" s="746">
        <f t="shared" si="8"/>
        <v>-50</v>
      </c>
      <c r="BK106" s="752">
        <f t="shared" si="5"/>
        <v>-208.74675304292128</v>
      </c>
      <c r="BL106" s="180">
        <f t="shared" si="4"/>
        <v>208.74675304292128</v>
      </c>
      <c r="BM106" s="180">
        <f t="shared" si="9"/>
        <v>8.7467530429212843</v>
      </c>
      <c r="BN106" s="180" t="b">
        <f t="shared" si="6"/>
        <v>0</v>
      </c>
      <c r="CR106" s="27"/>
      <c r="CS106" s="27"/>
      <c r="CT106" s="27"/>
      <c r="CU106" s="27"/>
      <c r="CV106" s="27"/>
      <c r="CW106" s="27"/>
      <c r="EC106" s="185"/>
      <c r="ED106" s="185"/>
    </row>
    <row r="107" spans="2:134" ht="21" customHeight="1" thickBot="1" x14ac:dyDescent="0.5">
      <c r="B107" s="88">
        <v>2</v>
      </c>
      <c r="C107" s="20"/>
      <c r="D107" s="738">
        <v>0</v>
      </c>
      <c r="E107" s="333" t="s">
        <v>126</v>
      </c>
      <c r="F107" s="81"/>
      <c r="G107" s="81"/>
      <c r="H107" s="81">
        <v>472.06</v>
      </c>
      <c r="I107" s="81">
        <v>62.531168700000002</v>
      </c>
      <c r="J107" s="81">
        <f>+I107+D107</f>
        <v>62.531168700000002</v>
      </c>
      <c r="K107" s="81">
        <f t="shared" ref="K107:K117" si="13">+J107/2</f>
        <v>31.265584350000001</v>
      </c>
      <c r="L107" s="81">
        <f t="shared" ref="L107:L117" si="14">SIN(K107*3.14159265358979/180)</f>
        <v>0.51900577347391186</v>
      </c>
      <c r="M107" s="81">
        <f t="shared" ref="M107:M117" si="15">+L107*H107</f>
        <v>245.00186542609484</v>
      </c>
      <c r="N107" s="81">
        <f t="shared" ref="N107:N117" si="16">+M107*2</f>
        <v>490.00373085218968</v>
      </c>
      <c r="O107" s="81">
        <f>+C106+(D107/2)</f>
        <v>0</v>
      </c>
      <c r="P107" s="81">
        <f t="shared" ref="P107:P117" si="17">SIN(O107*3.14159265358979/180)</f>
        <v>0</v>
      </c>
      <c r="Q107" s="81">
        <f t="shared" ref="Q107:Q117" si="18">+P107*N107</f>
        <v>0</v>
      </c>
      <c r="R107" s="81">
        <f t="shared" ref="R107:R117" si="19">+T106</f>
        <v>343.49989132317432</v>
      </c>
      <c r="S107" s="81">
        <f>+R107+Q107</f>
        <v>343.49989132317432</v>
      </c>
      <c r="T107" s="81">
        <f t="shared" si="10"/>
        <v>343.49989132317432</v>
      </c>
      <c r="U107" s="81"/>
      <c r="V107" s="81">
        <f t="shared" ref="V107:V117" si="20">IF(B107&lt;($B$103+1),T107,0)</f>
        <v>0</v>
      </c>
      <c r="W107" s="81"/>
      <c r="X107" s="81"/>
      <c r="Y107" s="81"/>
      <c r="Z107" s="81"/>
      <c r="AA107" s="81"/>
      <c r="AB107" s="81"/>
      <c r="AC107" s="454" t="b">
        <f>IF(AD107=2,AF107)</f>
        <v>0</v>
      </c>
      <c r="AD107" s="454">
        <f t="shared" ref="AD107:AD117" si="21">MAX(AE$106:AE$117)</f>
        <v>1</v>
      </c>
      <c r="AE107" s="454">
        <f>IF(V107=0,0,2)</f>
        <v>0</v>
      </c>
      <c r="AF107" s="282" t="e">
        <f>SUM(V107:V117)/($B$103-B106)</f>
        <v>#DIV/0!</v>
      </c>
      <c r="AG107" s="301">
        <f>SUM(D107)+$C$106</f>
        <v>0</v>
      </c>
      <c r="AH107" s="411" t="b">
        <f t="shared" ref="AH107:AH117" si="22">IF(B107&lt;($B$103+1),AG107)</f>
        <v>0</v>
      </c>
      <c r="AI107" s="311">
        <f t="shared" ref="AI107:AI117" si="23">54.5017821+AG107</f>
        <v>54.5017821</v>
      </c>
      <c r="AJ107" s="284">
        <f>SIN(AI107*3.14159265358979/180)</f>
        <v>0.81413357986421619</v>
      </c>
      <c r="AK107" s="312">
        <f t="shared" ref="AK107:AK117" si="24">+AJ107*421.92</f>
        <v>343.49924001631013</v>
      </c>
      <c r="AL107" s="311">
        <f t="shared" ref="AL107:AL117" si="25">58.7344156-AG107</f>
        <v>58.734415599999998</v>
      </c>
      <c r="AM107" s="285">
        <f t="shared" ref="AM107:AM117" si="26">SIN(AL107*3.14159265358979/180)</f>
        <v>0.85477073319485097</v>
      </c>
      <c r="AN107" s="312">
        <f t="shared" ref="AN107:AN117" si="27">+AM107*472.06</f>
        <v>403.50307231196138</v>
      </c>
      <c r="AO107" s="287" t="e">
        <f t="shared" ref="AO107:AO117" si="28">+((AF107*AP107)+($AP$127*($AF$127+$AA$106)))/AQ107</f>
        <v>#DIV/0!</v>
      </c>
      <c r="AP107" s="312">
        <f t="shared" ref="AP107:AP117" si="29">57*($B$103-B106)</f>
        <v>0</v>
      </c>
      <c r="AQ107" s="287">
        <f t="shared" ref="AQ107:AQ117" si="30">+AP107+$AP$127+30</f>
        <v>55.5</v>
      </c>
      <c r="AR107" s="288">
        <f t="shared" ref="AR107:AR117" si="31">+AN107+AK107</f>
        <v>747.0023123282715</v>
      </c>
      <c r="AS107" s="289">
        <f>+V107-AN107</f>
        <v>-403.50307231196138</v>
      </c>
      <c r="AT107" s="290" t="e">
        <f t="shared" ref="AT107:AT117" si="32">+AO107-AS107</f>
        <v>#DIV/0!</v>
      </c>
      <c r="AU107" s="289" t="e">
        <f>+AF107-AS107</f>
        <v>#DIV/0!</v>
      </c>
      <c r="AV107" s="291" t="e">
        <f t="shared" ref="AV107:AV117" si="33">+((AR107-AT107)/AR107)*AQ107</f>
        <v>#DIV/0!</v>
      </c>
      <c r="AW107" s="291" t="e">
        <f t="shared" ref="AW107:AW117" si="34">+(AT107/AR107)*AQ107</f>
        <v>#DIV/0!</v>
      </c>
      <c r="AX107" s="292" t="e">
        <f t="shared" si="11"/>
        <v>#DIV/0!</v>
      </c>
      <c r="AY107" s="292" t="e">
        <f t="shared" si="12"/>
        <v>#DIV/0!</v>
      </c>
      <c r="AZ107" s="294" t="e">
        <f t="shared" ref="AZ107:AZ117" si="35">ABS(AX107)</f>
        <v>#DIV/0!</v>
      </c>
      <c r="BA107" s="294" t="e">
        <f t="shared" ref="BA107:BA117" si="36">ABS(AY107)</f>
        <v>#DIV/0!</v>
      </c>
      <c r="BC107" s="12"/>
      <c r="BH107" s="219">
        <v>9</v>
      </c>
      <c r="BI107" s="748">
        <f t="shared" si="7"/>
        <v>0</v>
      </c>
      <c r="BJ107" s="746">
        <f t="shared" si="8"/>
        <v>0</v>
      </c>
      <c r="BK107" s="752">
        <f t="shared" si="5"/>
        <v>-158.74675304292128</v>
      </c>
      <c r="BL107" s="180">
        <f t="shared" si="4"/>
        <v>158.74675304292128</v>
      </c>
      <c r="BM107" s="180">
        <f t="shared" si="9"/>
        <v>8.7467530429212843</v>
      </c>
      <c r="BN107" s="180" t="b">
        <f t="shared" si="6"/>
        <v>0</v>
      </c>
      <c r="CQ107" s="27"/>
      <c r="CR107" s="27"/>
      <c r="CS107" s="27"/>
      <c r="CT107" s="27"/>
      <c r="CU107" s="27"/>
      <c r="CV107" s="27"/>
      <c r="CW107" s="27"/>
      <c r="EC107" s="185"/>
      <c r="ED107" s="185"/>
    </row>
    <row r="108" spans="2:134" ht="21" customHeight="1" thickBot="1" x14ac:dyDescent="0.5">
      <c r="B108" s="88">
        <v>3</v>
      </c>
      <c r="C108" s="20"/>
      <c r="D108" s="738">
        <v>0</v>
      </c>
      <c r="E108" s="333" t="s">
        <v>126</v>
      </c>
      <c r="F108" s="81"/>
      <c r="G108" s="81"/>
      <c r="H108" s="81">
        <v>472.06</v>
      </c>
      <c r="I108" s="81">
        <v>62.531168700000002</v>
      </c>
      <c r="J108" s="81">
        <f t="shared" ref="J108:J117" si="37">+I108+D108</f>
        <v>62.531168700000002</v>
      </c>
      <c r="K108" s="81">
        <f t="shared" si="13"/>
        <v>31.265584350000001</v>
      </c>
      <c r="L108" s="81">
        <f t="shared" si="14"/>
        <v>0.51900577347391186</v>
      </c>
      <c r="M108" s="81">
        <f t="shared" si="15"/>
        <v>245.00186542609484</v>
      </c>
      <c r="N108" s="81">
        <f t="shared" si="16"/>
        <v>490.00373085218968</v>
      </c>
      <c r="O108" s="81">
        <f>+C106+D107+(D108/2)</f>
        <v>0</v>
      </c>
      <c r="P108" s="81">
        <f t="shared" si="17"/>
        <v>0</v>
      </c>
      <c r="Q108" s="81">
        <f t="shared" si="18"/>
        <v>0</v>
      </c>
      <c r="R108" s="81">
        <f t="shared" si="19"/>
        <v>343.49989132317432</v>
      </c>
      <c r="S108" s="81">
        <f t="shared" ref="S108:S117" si="38">+S107+Q108</f>
        <v>343.49989132317432</v>
      </c>
      <c r="T108" s="81">
        <f t="shared" si="10"/>
        <v>343.49989132317432</v>
      </c>
      <c r="U108" s="81"/>
      <c r="V108" s="81">
        <f t="shared" si="20"/>
        <v>0</v>
      </c>
      <c r="W108" s="81"/>
      <c r="X108" s="81"/>
      <c r="Y108" s="81"/>
      <c r="Z108" s="81"/>
      <c r="AA108" s="81"/>
      <c r="AB108" s="81"/>
      <c r="AC108" s="454" t="b">
        <f>IF(AD108=3,AF108)</f>
        <v>0</v>
      </c>
      <c r="AD108" s="454">
        <f t="shared" si="21"/>
        <v>1</v>
      </c>
      <c r="AE108" s="454">
        <f>IF(V108=0,0,3)</f>
        <v>0</v>
      </c>
      <c r="AF108" s="282">
        <f>SUM(V108:V117)/($B$103-B107)</f>
        <v>0</v>
      </c>
      <c r="AG108" s="301">
        <f>SUM(D107:D108)+$C$106</f>
        <v>0</v>
      </c>
      <c r="AH108" s="411" t="b">
        <f t="shared" si="22"/>
        <v>0</v>
      </c>
      <c r="AI108" s="311">
        <f t="shared" si="23"/>
        <v>54.5017821</v>
      </c>
      <c r="AJ108" s="284">
        <f t="shared" ref="AJ108:AJ117" si="39">SIN(AI108*3.14159265358979/180)</f>
        <v>0.81413357986421619</v>
      </c>
      <c r="AK108" s="312">
        <f t="shared" si="24"/>
        <v>343.49924001631013</v>
      </c>
      <c r="AL108" s="311">
        <f t="shared" si="25"/>
        <v>58.734415599999998</v>
      </c>
      <c r="AM108" s="285">
        <f t="shared" si="26"/>
        <v>0.85477073319485097</v>
      </c>
      <c r="AN108" s="312">
        <f t="shared" si="27"/>
        <v>403.50307231196138</v>
      </c>
      <c r="AO108" s="287">
        <f t="shared" si="28"/>
        <v>-2490.5</v>
      </c>
      <c r="AP108" s="312">
        <f t="shared" si="29"/>
        <v>-57</v>
      </c>
      <c r="AQ108" s="287">
        <f t="shared" si="30"/>
        <v>-1.5</v>
      </c>
      <c r="AR108" s="288">
        <f t="shared" si="31"/>
        <v>747.0023123282715</v>
      </c>
      <c r="AS108" s="289">
        <f>+V108-AN108</f>
        <v>-403.50307231196138</v>
      </c>
      <c r="AT108" s="290">
        <f t="shared" si="32"/>
        <v>-2086.9969276880388</v>
      </c>
      <c r="AU108" s="289">
        <f>+AF108-AS108</f>
        <v>403.50307231196138</v>
      </c>
      <c r="AV108" s="291">
        <f t="shared" si="33"/>
        <v>-5.6907439105173161</v>
      </c>
      <c r="AW108" s="291">
        <f t="shared" si="34"/>
        <v>4.1907439105173161</v>
      </c>
      <c r="AX108" s="292">
        <f t="shared" si="11"/>
        <v>-2038.3978232725472</v>
      </c>
      <c r="AY108" s="292">
        <f t="shared" si="12"/>
        <v>2768.0049766076177</v>
      </c>
      <c r="AZ108" s="294">
        <f t="shared" si="35"/>
        <v>2038.3978232725472</v>
      </c>
      <c r="BA108" s="294">
        <f t="shared" si="36"/>
        <v>2768.0049766076177</v>
      </c>
      <c r="BC108" s="12"/>
      <c r="BH108" s="219">
        <v>10</v>
      </c>
      <c r="BI108" s="748">
        <f t="shared" si="7"/>
        <v>50</v>
      </c>
      <c r="BJ108" s="746">
        <f t="shared" si="8"/>
        <v>50</v>
      </c>
      <c r="BK108" s="752">
        <f t="shared" si="5"/>
        <v>-108.74675304292128</v>
      </c>
      <c r="BL108" s="180">
        <f t="shared" si="4"/>
        <v>108.74675304292128</v>
      </c>
      <c r="BM108" s="180">
        <f t="shared" si="9"/>
        <v>8.7467530429212843</v>
      </c>
      <c r="BN108" s="180" t="b">
        <f t="shared" si="6"/>
        <v>0</v>
      </c>
      <c r="CR108" s="27"/>
      <c r="CS108" s="27"/>
      <c r="CT108" s="27"/>
      <c r="CU108" s="27"/>
      <c r="CV108" s="27"/>
      <c r="CW108" s="27"/>
      <c r="EC108" s="185"/>
      <c r="ED108" s="185"/>
    </row>
    <row r="109" spans="2:134" ht="21" customHeight="1" thickBot="1" x14ac:dyDescent="0.5">
      <c r="B109" s="88">
        <v>4</v>
      </c>
      <c r="C109" s="20"/>
      <c r="D109" s="738">
        <v>0</v>
      </c>
      <c r="E109" s="333" t="s">
        <v>126</v>
      </c>
      <c r="F109" s="81"/>
      <c r="G109" s="81"/>
      <c r="H109" s="81">
        <v>472.06</v>
      </c>
      <c r="I109" s="81">
        <v>62.531168700000002</v>
      </c>
      <c r="J109" s="81">
        <f t="shared" si="37"/>
        <v>62.531168700000002</v>
      </c>
      <c r="K109" s="81">
        <f t="shared" si="13"/>
        <v>31.265584350000001</v>
      </c>
      <c r="L109" s="81">
        <f t="shared" si="14"/>
        <v>0.51900577347391186</v>
      </c>
      <c r="M109" s="81">
        <f t="shared" si="15"/>
        <v>245.00186542609484</v>
      </c>
      <c r="N109" s="81">
        <f t="shared" si="16"/>
        <v>490.00373085218968</v>
      </c>
      <c r="O109" s="81">
        <f>+C106+D107+D108+(D109/2)</f>
        <v>0</v>
      </c>
      <c r="P109" s="81">
        <f t="shared" si="17"/>
        <v>0</v>
      </c>
      <c r="Q109" s="81">
        <f t="shared" si="18"/>
        <v>0</v>
      </c>
      <c r="R109" s="81">
        <f t="shared" si="19"/>
        <v>343.49989132317432</v>
      </c>
      <c r="S109" s="81">
        <f t="shared" si="38"/>
        <v>343.49989132317432</v>
      </c>
      <c r="T109" s="81">
        <f t="shared" si="10"/>
        <v>343.49989132317432</v>
      </c>
      <c r="U109" s="81"/>
      <c r="V109" s="81">
        <f t="shared" si="20"/>
        <v>0</v>
      </c>
      <c r="W109" s="81"/>
      <c r="X109" s="81"/>
      <c r="Y109" s="81"/>
      <c r="Z109" s="81"/>
      <c r="AA109" s="81"/>
      <c r="AB109" s="81"/>
      <c r="AC109" s="454" t="b">
        <f>IF(AD109=4,AF109)</f>
        <v>0</v>
      </c>
      <c r="AD109" s="454">
        <f t="shared" si="21"/>
        <v>1</v>
      </c>
      <c r="AE109" s="454">
        <f>IF(V109=0,0,4)</f>
        <v>0</v>
      </c>
      <c r="AF109" s="282">
        <f>SUM(V109:V117)/($B$103-B108)</f>
        <v>0</v>
      </c>
      <c r="AG109" s="301">
        <f>SUM(D107:D109)+$C$106</f>
        <v>0</v>
      </c>
      <c r="AH109" s="411" t="b">
        <f t="shared" si="22"/>
        <v>0</v>
      </c>
      <c r="AI109" s="311">
        <f t="shared" si="23"/>
        <v>54.5017821</v>
      </c>
      <c r="AJ109" s="284">
        <f t="shared" si="39"/>
        <v>0.81413357986421619</v>
      </c>
      <c r="AK109" s="312">
        <f t="shared" si="24"/>
        <v>343.49924001631013</v>
      </c>
      <c r="AL109" s="311">
        <f t="shared" si="25"/>
        <v>58.734415599999998</v>
      </c>
      <c r="AM109" s="285">
        <f t="shared" si="26"/>
        <v>0.85477073319485097</v>
      </c>
      <c r="AN109" s="312">
        <f t="shared" si="27"/>
        <v>403.50307231196138</v>
      </c>
      <c r="AO109" s="287">
        <f t="shared" si="28"/>
        <v>-63.858974358974358</v>
      </c>
      <c r="AP109" s="312">
        <f t="shared" si="29"/>
        <v>-114</v>
      </c>
      <c r="AQ109" s="287">
        <f t="shared" si="30"/>
        <v>-58.5</v>
      </c>
      <c r="AR109" s="288">
        <f t="shared" si="31"/>
        <v>747.0023123282715</v>
      </c>
      <c r="AS109" s="289">
        <f>+V109-AN109</f>
        <v>-403.50307231196138</v>
      </c>
      <c r="AT109" s="290">
        <f t="shared" si="32"/>
        <v>339.64409795298701</v>
      </c>
      <c r="AU109" s="289">
        <f t="shared" ref="AU109:AU117" si="40">+AF109-AS109</f>
        <v>403.50307231196138</v>
      </c>
      <c r="AV109" s="291">
        <f t="shared" si="33"/>
        <v>-31.901448158411867</v>
      </c>
      <c r="AW109" s="291">
        <f t="shared" si="34"/>
        <v>-26.598551841588137</v>
      </c>
      <c r="AX109" s="292">
        <f t="shared" si="11"/>
        <v>-363.61985645285756</v>
      </c>
      <c r="AY109" s="292">
        <f t="shared" si="12"/>
        <v>-436.11396850045168</v>
      </c>
      <c r="AZ109" s="294">
        <f t="shared" si="35"/>
        <v>363.61985645285756</v>
      </c>
      <c r="BA109" s="294">
        <f t="shared" si="36"/>
        <v>436.11396850045168</v>
      </c>
      <c r="BC109" s="12"/>
      <c r="BH109" s="219">
        <v>11</v>
      </c>
      <c r="BI109" s="748">
        <f t="shared" si="7"/>
        <v>100</v>
      </c>
      <c r="BJ109" s="746">
        <f t="shared" si="8"/>
        <v>100</v>
      </c>
      <c r="BK109" s="752">
        <f t="shared" si="5"/>
        <v>-58.746753042921284</v>
      </c>
      <c r="BL109" s="180">
        <f t="shared" si="4"/>
        <v>58.746753042921284</v>
      </c>
      <c r="BM109" s="180">
        <f t="shared" si="9"/>
        <v>8.7467530429212843</v>
      </c>
      <c r="BN109" s="180" t="b">
        <f t="shared" si="6"/>
        <v>0</v>
      </c>
      <c r="CR109" s="27"/>
      <c r="CS109" s="27"/>
      <c r="CT109" s="27"/>
      <c r="CU109" s="27"/>
      <c r="CV109" s="27"/>
      <c r="CW109" s="27"/>
      <c r="EC109" s="185"/>
      <c r="ED109" s="185"/>
    </row>
    <row r="110" spans="2:134" ht="21" customHeight="1" thickBot="1" x14ac:dyDescent="0.5">
      <c r="B110" s="88">
        <v>5</v>
      </c>
      <c r="C110" s="20"/>
      <c r="D110" s="738">
        <v>0</v>
      </c>
      <c r="E110" s="333" t="s">
        <v>126</v>
      </c>
      <c r="F110" s="81"/>
      <c r="G110" s="81"/>
      <c r="H110" s="81">
        <v>472.06</v>
      </c>
      <c r="I110" s="81">
        <v>62.531168700000002</v>
      </c>
      <c r="J110" s="81">
        <f t="shared" si="37"/>
        <v>62.531168700000002</v>
      </c>
      <c r="K110" s="81">
        <f t="shared" si="13"/>
        <v>31.265584350000001</v>
      </c>
      <c r="L110" s="81">
        <f t="shared" si="14"/>
        <v>0.51900577347391186</v>
      </c>
      <c r="M110" s="81">
        <f t="shared" si="15"/>
        <v>245.00186542609484</v>
      </c>
      <c r="N110" s="81">
        <f t="shared" si="16"/>
        <v>490.00373085218968</v>
      </c>
      <c r="O110" s="81">
        <f>+C106+D107+D108+D109+(D110/2)</f>
        <v>0</v>
      </c>
      <c r="P110" s="81">
        <f t="shared" si="17"/>
        <v>0</v>
      </c>
      <c r="Q110" s="81">
        <f t="shared" si="18"/>
        <v>0</v>
      </c>
      <c r="R110" s="81">
        <f t="shared" si="19"/>
        <v>343.49989132317432</v>
      </c>
      <c r="S110" s="81">
        <f t="shared" si="38"/>
        <v>343.49989132317432</v>
      </c>
      <c r="T110" s="81">
        <f t="shared" si="10"/>
        <v>343.49989132317432</v>
      </c>
      <c r="U110" s="81"/>
      <c r="V110" s="81">
        <f t="shared" si="20"/>
        <v>0</v>
      </c>
      <c r="W110" s="81"/>
      <c r="X110" s="81"/>
      <c r="Y110" s="81"/>
      <c r="Z110" s="81"/>
      <c r="AA110" s="81"/>
      <c r="AB110" s="81"/>
      <c r="AC110" s="454" t="b">
        <f>IF(AD110=5,AF110)</f>
        <v>0</v>
      </c>
      <c r="AD110" s="454">
        <f t="shared" si="21"/>
        <v>1</v>
      </c>
      <c r="AE110" s="454">
        <f>IF(V110=0,0,5)</f>
        <v>0</v>
      </c>
      <c r="AF110" s="282">
        <f>SUM(V110:V117)/($B$103-B109)</f>
        <v>0</v>
      </c>
      <c r="AG110" s="301">
        <f>SUM(D107:D110)+$C$106</f>
        <v>0</v>
      </c>
      <c r="AH110" s="411" t="b">
        <f t="shared" si="22"/>
        <v>0</v>
      </c>
      <c r="AI110" s="311">
        <f t="shared" si="23"/>
        <v>54.5017821</v>
      </c>
      <c r="AJ110" s="284">
        <f t="shared" si="39"/>
        <v>0.81413357986421619</v>
      </c>
      <c r="AK110" s="312">
        <f t="shared" si="24"/>
        <v>343.49924001631013</v>
      </c>
      <c r="AL110" s="311">
        <f t="shared" si="25"/>
        <v>58.734415599999998</v>
      </c>
      <c r="AM110" s="285">
        <f t="shared" si="26"/>
        <v>0.85477073319485097</v>
      </c>
      <c r="AN110" s="312">
        <f t="shared" si="27"/>
        <v>403.50307231196138</v>
      </c>
      <c r="AO110" s="287">
        <f t="shared" si="28"/>
        <v>-32.344155844155843</v>
      </c>
      <c r="AP110" s="312">
        <f t="shared" si="29"/>
        <v>-171</v>
      </c>
      <c r="AQ110" s="287">
        <f t="shared" si="30"/>
        <v>-115.5</v>
      </c>
      <c r="AR110" s="288">
        <f t="shared" si="31"/>
        <v>747.0023123282715</v>
      </c>
      <c r="AS110" s="289">
        <f t="shared" ref="AS110:AS117" si="41">+V110-AN110</f>
        <v>-403.50307231196138</v>
      </c>
      <c r="AT110" s="290">
        <f t="shared" si="32"/>
        <v>371.15891646780551</v>
      </c>
      <c r="AU110" s="289">
        <f t="shared" si="40"/>
        <v>403.50307231196138</v>
      </c>
      <c r="AV110" s="291">
        <f t="shared" si="33"/>
        <v>-58.112152406306414</v>
      </c>
      <c r="AW110" s="291">
        <f t="shared" si="34"/>
        <v>-57.387847593693579</v>
      </c>
      <c r="AX110" s="292">
        <f t="shared" si="11"/>
        <v>-199.61401393112314</v>
      </c>
      <c r="AY110" s="292">
        <f t="shared" si="12"/>
        <v>-202.13338688232557</v>
      </c>
      <c r="AZ110" s="294">
        <f t="shared" si="35"/>
        <v>199.61401393112314</v>
      </c>
      <c r="BA110" s="294">
        <f t="shared" si="36"/>
        <v>202.13338688232557</v>
      </c>
      <c r="BC110" s="12"/>
      <c r="BH110" s="219">
        <v>12</v>
      </c>
      <c r="BI110" s="748">
        <f t="shared" si="7"/>
        <v>150</v>
      </c>
      <c r="BJ110" s="746">
        <f t="shared" si="8"/>
        <v>150</v>
      </c>
      <c r="BK110" s="752">
        <f t="shared" si="5"/>
        <v>-8.7467530429212843</v>
      </c>
      <c r="BL110" s="180">
        <f t="shared" si="4"/>
        <v>8.7467530429212843</v>
      </c>
      <c r="BM110" s="180">
        <f t="shared" si="9"/>
        <v>8.7467530429212843</v>
      </c>
      <c r="BN110" s="180">
        <f t="shared" si="6"/>
        <v>12</v>
      </c>
      <c r="CQ110" s="27"/>
      <c r="CR110" s="27"/>
      <c r="CS110" s="27"/>
      <c r="CT110" s="27"/>
      <c r="CU110" s="27"/>
      <c r="CV110" s="27"/>
      <c r="CW110" s="27"/>
      <c r="EC110" s="185"/>
      <c r="ED110" s="185"/>
    </row>
    <row r="111" spans="2:134" ht="21" customHeight="1" thickBot="1" x14ac:dyDescent="0.5">
      <c r="B111" s="88">
        <v>6</v>
      </c>
      <c r="C111" s="20"/>
      <c r="D111" s="738">
        <v>0</v>
      </c>
      <c r="E111" s="333" t="s">
        <v>126</v>
      </c>
      <c r="F111" s="81"/>
      <c r="G111" s="81"/>
      <c r="H111" s="81">
        <v>472.06</v>
      </c>
      <c r="I111" s="81">
        <v>62.531168700000002</v>
      </c>
      <c r="J111" s="81">
        <f t="shared" si="37"/>
        <v>62.531168700000002</v>
      </c>
      <c r="K111" s="81">
        <f t="shared" si="13"/>
        <v>31.265584350000001</v>
      </c>
      <c r="L111" s="81">
        <f t="shared" si="14"/>
        <v>0.51900577347391186</v>
      </c>
      <c r="M111" s="81">
        <f t="shared" si="15"/>
        <v>245.00186542609484</v>
      </c>
      <c r="N111" s="81">
        <f t="shared" si="16"/>
        <v>490.00373085218968</v>
      </c>
      <c r="O111" s="81">
        <f>+C106+D107+D108+D109+D110+(D111/2)</f>
        <v>0</v>
      </c>
      <c r="P111" s="81">
        <f t="shared" si="17"/>
        <v>0</v>
      </c>
      <c r="Q111" s="81">
        <f t="shared" si="18"/>
        <v>0</v>
      </c>
      <c r="R111" s="81">
        <f t="shared" si="19"/>
        <v>343.49989132317432</v>
      </c>
      <c r="S111" s="81">
        <f t="shared" si="38"/>
        <v>343.49989132317432</v>
      </c>
      <c r="T111" s="81">
        <f t="shared" si="10"/>
        <v>343.49989132317432</v>
      </c>
      <c r="U111" s="81"/>
      <c r="V111" s="81">
        <f t="shared" si="20"/>
        <v>0</v>
      </c>
      <c r="W111" s="81"/>
      <c r="X111" s="81"/>
      <c r="Y111" s="81"/>
      <c r="Z111" s="81"/>
      <c r="AA111" s="81"/>
      <c r="AB111" s="81"/>
      <c r="AC111" s="454" t="b">
        <f>IF(AD111=6,AF111)</f>
        <v>0</v>
      </c>
      <c r="AD111" s="454">
        <f t="shared" si="21"/>
        <v>1</v>
      </c>
      <c r="AE111" s="454">
        <f>IF(V111=0,0,6)</f>
        <v>0</v>
      </c>
      <c r="AF111" s="282">
        <f>SUM(V111:V117)/($B$103-B110)</f>
        <v>0</v>
      </c>
      <c r="AG111" s="301">
        <f>SUM(D107:D111)+$C$106</f>
        <v>0</v>
      </c>
      <c r="AH111" s="411" t="b">
        <f t="shared" si="22"/>
        <v>0</v>
      </c>
      <c r="AI111" s="311">
        <f t="shared" si="23"/>
        <v>54.5017821</v>
      </c>
      <c r="AJ111" s="284">
        <f t="shared" si="39"/>
        <v>0.81413357986421619</v>
      </c>
      <c r="AK111" s="312">
        <f t="shared" si="24"/>
        <v>343.49924001631013</v>
      </c>
      <c r="AL111" s="311">
        <f t="shared" si="25"/>
        <v>58.734415599999998</v>
      </c>
      <c r="AM111" s="285">
        <f t="shared" si="26"/>
        <v>0.85477073319485097</v>
      </c>
      <c r="AN111" s="312">
        <f t="shared" si="27"/>
        <v>403.50307231196138</v>
      </c>
      <c r="AO111" s="287">
        <f t="shared" si="28"/>
        <v>-21.656521739130437</v>
      </c>
      <c r="AP111" s="312">
        <f t="shared" si="29"/>
        <v>-228</v>
      </c>
      <c r="AQ111" s="287">
        <f t="shared" si="30"/>
        <v>-172.5</v>
      </c>
      <c r="AR111" s="288">
        <f t="shared" si="31"/>
        <v>747.0023123282715</v>
      </c>
      <c r="AS111" s="289">
        <f t="shared" si="41"/>
        <v>-403.50307231196138</v>
      </c>
      <c r="AT111" s="290">
        <f t="shared" si="32"/>
        <v>381.84655057283095</v>
      </c>
      <c r="AU111" s="289">
        <f t="shared" si="40"/>
        <v>403.50307231196138</v>
      </c>
      <c r="AV111" s="291">
        <f t="shared" si="33"/>
        <v>-84.322856654200962</v>
      </c>
      <c r="AW111" s="291">
        <f t="shared" si="34"/>
        <v>-88.177143345799038</v>
      </c>
      <c r="AX111" s="292">
        <f t="shared" si="11"/>
        <v>-137.5664969175601</v>
      </c>
      <c r="AY111" s="292">
        <f t="shared" si="12"/>
        <v>-131.55336587066529</v>
      </c>
      <c r="AZ111" s="294">
        <f t="shared" si="35"/>
        <v>137.5664969175601</v>
      </c>
      <c r="BA111" s="294">
        <f t="shared" si="36"/>
        <v>131.55336587066529</v>
      </c>
      <c r="BC111" s="12"/>
      <c r="BH111" s="219">
        <v>13</v>
      </c>
      <c r="BI111" s="748">
        <f t="shared" si="7"/>
        <v>200</v>
      </c>
      <c r="BJ111" s="746">
        <f t="shared" si="8"/>
        <v>200</v>
      </c>
      <c r="BK111" s="752">
        <f t="shared" si="5"/>
        <v>41.253246957078716</v>
      </c>
      <c r="BL111" s="180">
        <f t="shared" si="4"/>
        <v>41.253246957078716</v>
      </c>
      <c r="BM111" s="180">
        <f t="shared" si="9"/>
        <v>8.7467530429212843</v>
      </c>
      <c r="BN111" s="180" t="b">
        <f t="shared" si="6"/>
        <v>0</v>
      </c>
      <c r="CR111" s="27"/>
      <c r="CS111" s="27"/>
      <c r="CT111" s="27"/>
      <c r="CU111" s="27"/>
      <c r="CV111" s="27"/>
      <c r="CW111" s="27"/>
      <c r="EC111" s="185"/>
      <c r="ED111" s="185"/>
    </row>
    <row r="112" spans="2:134" ht="21" customHeight="1" thickBot="1" x14ac:dyDescent="0.5">
      <c r="B112" s="88">
        <v>7</v>
      </c>
      <c r="C112" s="20"/>
      <c r="D112" s="738">
        <v>0</v>
      </c>
      <c r="E112" s="333" t="s">
        <v>126</v>
      </c>
      <c r="F112" s="81"/>
      <c r="G112" s="81"/>
      <c r="H112" s="81">
        <v>472.06</v>
      </c>
      <c r="I112" s="81">
        <v>62.531168700000002</v>
      </c>
      <c r="J112" s="81">
        <f t="shared" si="37"/>
        <v>62.531168700000002</v>
      </c>
      <c r="K112" s="81">
        <f t="shared" si="13"/>
        <v>31.265584350000001</v>
      </c>
      <c r="L112" s="81">
        <f t="shared" si="14"/>
        <v>0.51900577347391186</v>
      </c>
      <c r="M112" s="81">
        <f t="shared" si="15"/>
        <v>245.00186542609484</v>
      </c>
      <c r="N112" s="81">
        <f t="shared" si="16"/>
        <v>490.00373085218968</v>
      </c>
      <c r="O112" s="81">
        <f>+C106+D107+D108+D109+D110+D111+(D112/2)</f>
        <v>0</v>
      </c>
      <c r="P112" s="81">
        <f t="shared" si="17"/>
        <v>0</v>
      </c>
      <c r="Q112" s="81">
        <f t="shared" si="18"/>
        <v>0</v>
      </c>
      <c r="R112" s="81">
        <f t="shared" si="19"/>
        <v>343.49989132317432</v>
      </c>
      <c r="S112" s="81">
        <f t="shared" si="38"/>
        <v>343.49989132317432</v>
      </c>
      <c r="T112" s="81">
        <f t="shared" si="10"/>
        <v>343.49989132317432</v>
      </c>
      <c r="U112" s="81"/>
      <c r="V112" s="81">
        <f t="shared" si="20"/>
        <v>0</v>
      </c>
      <c r="W112" s="81"/>
      <c r="X112" s="81"/>
      <c r="Y112" s="81"/>
      <c r="Z112" s="81"/>
      <c r="AA112" s="81"/>
      <c r="AB112" s="81"/>
      <c r="AC112" s="454" t="b">
        <f>IF(AD112=7,AF112)</f>
        <v>0</v>
      </c>
      <c r="AD112" s="454">
        <f t="shared" si="21"/>
        <v>1</v>
      </c>
      <c r="AE112" s="454">
        <f>IF(V112=0,0,7)</f>
        <v>0</v>
      </c>
      <c r="AF112" s="282">
        <f>SUM(V112:V117)/($B$103-B111)</f>
        <v>0</v>
      </c>
      <c r="AG112" s="301">
        <f>SUM(D107:D112)+$C$106</f>
        <v>0</v>
      </c>
      <c r="AH112" s="411" t="b">
        <f t="shared" si="22"/>
        <v>0</v>
      </c>
      <c r="AI112" s="311">
        <f t="shared" si="23"/>
        <v>54.5017821</v>
      </c>
      <c r="AJ112" s="284">
        <f t="shared" si="39"/>
        <v>0.81413357986421619</v>
      </c>
      <c r="AK112" s="312">
        <f t="shared" si="24"/>
        <v>343.49924001631013</v>
      </c>
      <c r="AL112" s="311">
        <f t="shared" si="25"/>
        <v>58.734415599999998</v>
      </c>
      <c r="AM112" s="285">
        <f t="shared" si="26"/>
        <v>0.85477073319485097</v>
      </c>
      <c r="AN112" s="312">
        <f t="shared" si="27"/>
        <v>403.50307231196138</v>
      </c>
      <c r="AO112" s="287">
        <f t="shared" si="28"/>
        <v>-16.277777777777779</v>
      </c>
      <c r="AP112" s="312">
        <f t="shared" si="29"/>
        <v>-285</v>
      </c>
      <c r="AQ112" s="287">
        <f t="shared" si="30"/>
        <v>-229.5</v>
      </c>
      <c r="AR112" s="288">
        <f t="shared" si="31"/>
        <v>747.0023123282715</v>
      </c>
      <c r="AS112" s="289">
        <f t="shared" si="41"/>
        <v>-403.50307231196138</v>
      </c>
      <c r="AT112" s="290">
        <f t="shared" si="32"/>
        <v>387.2252945341836</v>
      </c>
      <c r="AU112" s="289">
        <f t="shared" si="40"/>
        <v>403.50307231196138</v>
      </c>
      <c r="AV112" s="291">
        <f t="shared" si="33"/>
        <v>-110.5335609020955</v>
      </c>
      <c r="AW112" s="291">
        <f t="shared" si="34"/>
        <v>-118.9664390979045</v>
      </c>
      <c r="AX112" s="292">
        <f t="shared" si="11"/>
        <v>-104.94550166781143</v>
      </c>
      <c r="AY112" s="292">
        <f t="shared" si="12"/>
        <v>-97.506490804971278</v>
      </c>
      <c r="AZ112" s="294">
        <f t="shared" si="35"/>
        <v>104.94550166781143</v>
      </c>
      <c r="BA112" s="294">
        <f t="shared" si="36"/>
        <v>97.506490804971278</v>
      </c>
      <c r="BC112" s="12"/>
      <c r="BH112" s="219">
        <v>14</v>
      </c>
      <c r="BI112" s="748">
        <f t="shared" si="7"/>
        <v>250</v>
      </c>
      <c r="BJ112" s="746">
        <f t="shared" si="8"/>
        <v>250</v>
      </c>
      <c r="BK112" s="752">
        <f t="shared" si="5"/>
        <v>91.253246957078716</v>
      </c>
      <c r="BL112" s="180">
        <f t="shared" si="4"/>
        <v>91.253246957078716</v>
      </c>
      <c r="BM112" s="180">
        <f t="shared" si="9"/>
        <v>8.7467530429212843</v>
      </c>
      <c r="BN112" s="180" t="b">
        <f t="shared" si="6"/>
        <v>0</v>
      </c>
      <c r="CQ112" s="27"/>
      <c r="CR112" s="27"/>
      <c r="CS112" s="27"/>
      <c r="CT112" s="27"/>
      <c r="CU112" s="27"/>
      <c r="CV112" s="27"/>
      <c r="CW112" s="27"/>
      <c r="EC112" s="185"/>
      <c r="ED112" s="185"/>
    </row>
    <row r="113" spans="2:134" ht="21" customHeight="1" thickBot="1" x14ac:dyDescent="0.5">
      <c r="B113" s="88">
        <v>8</v>
      </c>
      <c r="C113" s="20"/>
      <c r="D113" s="738">
        <v>0</v>
      </c>
      <c r="E113" s="333" t="s">
        <v>126</v>
      </c>
      <c r="F113" s="81"/>
      <c r="G113" s="81"/>
      <c r="H113" s="81">
        <v>472.06</v>
      </c>
      <c r="I113" s="81">
        <v>62.531168700000002</v>
      </c>
      <c r="J113" s="81">
        <f t="shared" si="37"/>
        <v>62.531168700000002</v>
      </c>
      <c r="K113" s="81">
        <f t="shared" si="13"/>
        <v>31.265584350000001</v>
      </c>
      <c r="L113" s="81">
        <f t="shared" si="14"/>
        <v>0.51900577347391186</v>
      </c>
      <c r="M113" s="81">
        <f t="shared" si="15"/>
        <v>245.00186542609484</v>
      </c>
      <c r="N113" s="81">
        <f t="shared" si="16"/>
        <v>490.00373085218968</v>
      </c>
      <c r="O113" s="81">
        <f>+C106+D107+D108+D109+D110+D111+D112+(D113/2)</f>
        <v>0</v>
      </c>
      <c r="P113" s="81">
        <f t="shared" si="17"/>
        <v>0</v>
      </c>
      <c r="Q113" s="81">
        <f t="shared" si="18"/>
        <v>0</v>
      </c>
      <c r="R113" s="81">
        <f t="shared" si="19"/>
        <v>343.49989132317432</v>
      </c>
      <c r="S113" s="81">
        <f t="shared" si="38"/>
        <v>343.49989132317432</v>
      </c>
      <c r="T113" s="81">
        <f t="shared" si="10"/>
        <v>343.49989132317432</v>
      </c>
      <c r="U113" s="81"/>
      <c r="V113" s="81">
        <f t="shared" si="20"/>
        <v>0</v>
      </c>
      <c r="W113" s="81"/>
      <c r="X113" s="81"/>
      <c r="Y113" s="81"/>
      <c r="Z113" s="81"/>
      <c r="AA113" s="81"/>
      <c r="AB113" s="81"/>
      <c r="AC113" s="454" t="b">
        <f>IF(AD113=8,AF113)</f>
        <v>0</v>
      </c>
      <c r="AD113" s="454">
        <f t="shared" si="21"/>
        <v>1</v>
      </c>
      <c r="AE113" s="454">
        <f>IF(V113=0,0,8)</f>
        <v>0</v>
      </c>
      <c r="AF113" s="282">
        <f>SUM(V113:V117)/($B$103-B112)</f>
        <v>0</v>
      </c>
      <c r="AG113" s="301">
        <f>SUM(D107:D113)+$C$106</f>
        <v>0</v>
      </c>
      <c r="AH113" s="411" t="b">
        <f t="shared" si="22"/>
        <v>0</v>
      </c>
      <c r="AI113" s="311">
        <f t="shared" si="23"/>
        <v>54.5017821</v>
      </c>
      <c r="AJ113" s="284">
        <f t="shared" si="39"/>
        <v>0.81413357986421619</v>
      </c>
      <c r="AK113" s="312">
        <f t="shared" si="24"/>
        <v>343.49924001631013</v>
      </c>
      <c r="AL113" s="311">
        <f t="shared" si="25"/>
        <v>58.734415599999998</v>
      </c>
      <c r="AM113" s="285">
        <f t="shared" si="26"/>
        <v>0.85477073319485097</v>
      </c>
      <c r="AN113" s="312">
        <f t="shared" si="27"/>
        <v>403.50307231196138</v>
      </c>
      <c r="AO113" s="287">
        <f t="shared" si="28"/>
        <v>-13.039267015706807</v>
      </c>
      <c r="AP113" s="312">
        <f t="shared" si="29"/>
        <v>-342</v>
      </c>
      <c r="AQ113" s="287">
        <f t="shared" si="30"/>
        <v>-286.5</v>
      </c>
      <c r="AR113" s="288">
        <f t="shared" si="31"/>
        <v>747.0023123282715</v>
      </c>
      <c r="AS113" s="289">
        <f t="shared" si="41"/>
        <v>-403.50307231196138</v>
      </c>
      <c r="AT113" s="290">
        <f t="shared" si="32"/>
        <v>390.46380529625458</v>
      </c>
      <c r="AU113" s="289">
        <f t="shared" si="40"/>
        <v>403.50307231196138</v>
      </c>
      <c r="AV113" s="291">
        <f t="shared" si="33"/>
        <v>-136.74426514999007</v>
      </c>
      <c r="AW113" s="291">
        <f t="shared" si="34"/>
        <v>-149.75573485000993</v>
      </c>
      <c r="AX113" s="292">
        <f t="shared" si="11"/>
        <v>-84.829882900583513</v>
      </c>
      <c r="AY113" s="292">
        <f t="shared" si="12"/>
        <v>-77.459470995338847</v>
      </c>
      <c r="AZ113" s="294">
        <f t="shared" si="35"/>
        <v>84.829882900583513</v>
      </c>
      <c r="BA113" s="294">
        <f t="shared" si="36"/>
        <v>77.459470995338847</v>
      </c>
      <c r="BC113" s="12"/>
      <c r="BH113" s="219">
        <v>15</v>
      </c>
      <c r="BI113" s="748">
        <f t="shared" si="7"/>
        <v>300</v>
      </c>
      <c r="BJ113" s="746">
        <f t="shared" si="8"/>
        <v>300</v>
      </c>
      <c r="BK113" s="752">
        <f t="shared" si="5"/>
        <v>141.25324695707872</v>
      </c>
      <c r="BL113" s="180">
        <f t="shared" si="4"/>
        <v>141.25324695707872</v>
      </c>
      <c r="BM113" s="180">
        <f t="shared" si="9"/>
        <v>8.7467530429212843</v>
      </c>
      <c r="BN113" s="180" t="b">
        <f t="shared" si="6"/>
        <v>0</v>
      </c>
      <c r="CQ113" s="27"/>
      <c r="CR113" s="27"/>
      <c r="CS113" s="27"/>
      <c r="CT113" s="27"/>
      <c r="CU113" s="27"/>
      <c r="CV113" s="27"/>
      <c r="CW113" s="27"/>
      <c r="EC113" s="185"/>
      <c r="ED113" s="185"/>
    </row>
    <row r="114" spans="2:134" ht="21" customHeight="1" thickBot="1" x14ac:dyDescent="0.5">
      <c r="B114" s="88">
        <v>9</v>
      </c>
      <c r="C114" s="20"/>
      <c r="D114" s="738">
        <v>0</v>
      </c>
      <c r="E114" s="333" t="s">
        <v>126</v>
      </c>
      <c r="F114" s="81"/>
      <c r="G114" s="81"/>
      <c r="H114" s="81">
        <v>472.06</v>
      </c>
      <c r="I114" s="81">
        <v>62.531168700000002</v>
      </c>
      <c r="J114" s="81">
        <f t="shared" si="37"/>
        <v>62.531168700000002</v>
      </c>
      <c r="K114" s="81">
        <f t="shared" si="13"/>
        <v>31.265584350000001</v>
      </c>
      <c r="L114" s="81">
        <f t="shared" si="14"/>
        <v>0.51900577347391186</v>
      </c>
      <c r="M114" s="81">
        <f t="shared" si="15"/>
        <v>245.00186542609484</v>
      </c>
      <c r="N114" s="81">
        <f t="shared" si="16"/>
        <v>490.00373085218968</v>
      </c>
      <c r="O114" s="81">
        <f>+C106+D107+D108+D109+D110+D111+D112+D113+(D114/2)</f>
        <v>0</v>
      </c>
      <c r="P114" s="81">
        <f t="shared" si="17"/>
        <v>0</v>
      </c>
      <c r="Q114" s="81">
        <f t="shared" si="18"/>
        <v>0</v>
      </c>
      <c r="R114" s="81">
        <f t="shared" si="19"/>
        <v>343.49989132317432</v>
      </c>
      <c r="S114" s="81">
        <f t="shared" si="38"/>
        <v>343.49989132317432</v>
      </c>
      <c r="T114" s="81">
        <f t="shared" si="10"/>
        <v>343.49989132317432</v>
      </c>
      <c r="U114" s="81"/>
      <c r="V114" s="81">
        <f t="shared" si="20"/>
        <v>0</v>
      </c>
      <c r="W114" s="81"/>
      <c r="X114" s="81"/>
      <c r="Y114" s="81"/>
      <c r="Z114" s="81"/>
      <c r="AA114" s="81"/>
      <c r="AB114" s="81"/>
      <c r="AC114" s="454" t="b">
        <f>IF(AD114=9,AF114)</f>
        <v>0</v>
      </c>
      <c r="AD114" s="454">
        <f t="shared" si="21"/>
        <v>1</v>
      </c>
      <c r="AE114" s="454">
        <f>IF(V114=0,0,9)</f>
        <v>0</v>
      </c>
      <c r="AF114" s="282">
        <f>SUM(V114:V117)/($B$103-B113)</f>
        <v>0</v>
      </c>
      <c r="AG114" s="301">
        <f>SUM(D107:D114)+$C$106</f>
        <v>0</v>
      </c>
      <c r="AH114" s="411" t="b">
        <f t="shared" si="22"/>
        <v>0</v>
      </c>
      <c r="AI114" s="311">
        <f t="shared" si="23"/>
        <v>54.5017821</v>
      </c>
      <c r="AJ114" s="284">
        <f t="shared" si="39"/>
        <v>0.81413357986421619</v>
      </c>
      <c r="AK114" s="312">
        <f t="shared" si="24"/>
        <v>343.49924001631013</v>
      </c>
      <c r="AL114" s="311">
        <f t="shared" si="25"/>
        <v>58.734415599999998</v>
      </c>
      <c r="AM114" s="285">
        <f t="shared" si="26"/>
        <v>0.85477073319485097</v>
      </c>
      <c r="AN114" s="312">
        <f t="shared" si="27"/>
        <v>403.50307231196138</v>
      </c>
      <c r="AO114" s="287">
        <f t="shared" si="28"/>
        <v>-10.875545851528384</v>
      </c>
      <c r="AP114" s="312">
        <f t="shared" si="29"/>
        <v>-399</v>
      </c>
      <c r="AQ114" s="287">
        <f t="shared" si="30"/>
        <v>-343.5</v>
      </c>
      <c r="AR114" s="288">
        <f t="shared" si="31"/>
        <v>747.0023123282715</v>
      </c>
      <c r="AS114" s="289">
        <f t="shared" si="41"/>
        <v>-403.50307231196138</v>
      </c>
      <c r="AT114" s="290">
        <f t="shared" si="32"/>
        <v>392.62752646043299</v>
      </c>
      <c r="AU114" s="289">
        <f t="shared" si="40"/>
        <v>403.50307231196138</v>
      </c>
      <c r="AV114" s="291">
        <f t="shared" si="33"/>
        <v>-162.95496939788461</v>
      </c>
      <c r="AW114" s="291">
        <f t="shared" si="34"/>
        <v>-180.54503060211539</v>
      </c>
      <c r="AX114" s="292">
        <f t="shared" si="11"/>
        <v>-71.185309922500494</v>
      </c>
      <c r="AY114" s="292">
        <f t="shared" si="12"/>
        <v>-64.249899104473528</v>
      </c>
      <c r="AZ114" s="294">
        <f t="shared" si="35"/>
        <v>71.185309922500494</v>
      </c>
      <c r="BA114" s="294">
        <f t="shared" si="36"/>
        <v>64.249899104473528</v>
      </c>
      <c r="BC114" s="12"/>
      <c r="BH114" s="219">
        <v>16</v>
      </c>
      <c r="BI114" s="748">
        <f t="shared" si="7"/>
        <v>350</v>
      </c>
      <c r="BJ114" s="746">
        <f t="shared" si="8"/>
        <v>350</v>
      </c>
      <c r="BK114" s="752">
        <f t="shared" si="5"/>
        <v>191.25324695707872</v>
      </c>
      <c r="BL114" s="180">
        <f t="shared" si="4"/>
        <v>191.25324695707872</v>
      </c>
      <c r="BM114" s="180">
        <f t="shared" si="9"/>
        <v>8.7467530429212843</v>
      </c>
      <c r="BN114" s="180" t="b">
        <f t="shared" si="6"/>
        <v>0</v>
      </c>
      <c r="CQ114" s="27"/>
      <c r="CR114" s="27"/>
      <c r="CS114" s="27"/>
      <c r="CT114" s="27"/>
      <c r="CU114" s="27"/>
      <c r="CV114" s="27"/>
      <c r="CW114" s="27"/>
      <c r="EC114" s="185"/>
      <c r="ED114" s="185"/>
    </row>
    <row r="115" spans="2:134" ht="21" customHeight="1" thickBot="1" x14ac:dyDescent="0.5">
      <c r="B115" s="88">
        <v>10</v>
      </c>
      <c r="C115" s="20"/>
      <c r="D115" s="738">
        <v>0</v>
      </c>
      <c r="E115" s="333" t="s">
        <v>126</v>
      </c>
      <c r="F115" s="81"/>
      <c r="G115" s="81"/>
      <c r="H115" s="81">
        <v>472.06</v>
      </c>
      <c r="I115" s="81">
        <v>62.531168700000002</v>
      </c>
      <c r="J115" s="81">
        <f t="shared" si="37"/>
        <v>62.531168700000002</v>
      </c>
      <c r="K115" s="81">
        <f t="shared" si="13"/>
        <v>31.265584350000001</v>
      </c>
      <c r="L115" s="81">
        <f t="shared" si="14"/>
        <v>0.51900577347391186</v>
      </c>
      <c r="M115" s="81">
        <f t="shared" si="15"/>
        <v>245.00186542609484</v>
      </c>
      <c r="N115" s="81">
        <f t="shared" si="16"/>
        <v>490.00373085218968</v>
      </c>
      <c r="O115" s="81">
        <f>+C106+D107+D108+D109+D110+D111+D112+D113+D114+(D115/2)</f>
        <v>0</v>
      </c>
      <c r="P115" s="81">
        <f t="shared" si="17"/>
        <v>0</v>
      </c>
      <c r="Q115" s="81">
        <f t="shared" si="18"/>
        <v>0</v>
      </c>
      <c r="R115" s="81">
        <f t="shared" si="19"/>
        <v>343.49989132317432</v>
      </c>
      <c r="S115" s="81">
        <f t="shared" si="38"/>
        <v>343.49989132317432</v>
      </c>
      <c r="T115" s="81">
        <f t="shared" si="10"/>
        <v>343.49989132317432</v>
      </c>
      <c r="U115" s="81"/>
      <c r="V115" s="81">
        <f t="shared" si="20"/>
        <v>0</v>
      </c>
      <c r="W115" s="81"/>
      <c r="X115" s="81"/>
      <c r="Y115" s="81"/>
      <c r="Z115" s="81"/>
      <c r="AA115" s="81"/>
      <c r="AB115" s="81"/>
      <c r="AC115" s="454" t="b">
        <f>IF(AD115=10,AF115)</f>
        <v>0</v>
      </c>
      <c r="AD115" s="454">
        <f t="shared" si="21"/>
        <v>1</v>
      </c>
      <c r="AE115" s="454">
        <f>IF(V115=0,0,10)</f>
        <v>0</v>
      </c>
      <c r="AF115" s="282">
        <f>SUM(V115:V117)/($B$103-B114)</f>
        <v>0</v>
      </c>
      <c r="AG115" s="301">
        <f>SUM(D107:D115)+$C$106</f>
        <v>0</v>
      </c>
      <c r="AH115" s="411" t="b">
        <f t="shared" si="22"/>
        <v>0</v>
      </c>
      <c r="AI115" s="311">
        <f t="shared" si="23"/>
        <v>54.5017821</v>
      </c>
      <c r="AJ115" s="284">
        <f t="shared" si="39"/>
        <v>0.81413357986421619</v>
      </c>
      <c r="AK115" s="312">
        <f t="shared" si="24"/>
        <v>343.49924001631013</v>
      </c>
      <c r="AL115" s="311">
        <f t="shared" si="25"/>
        <v>58.734415599999998</v>
      </c>
      <c r="AM115" s="285">
        <f t="shared" si="26"/>
        <v>0.85477073319485097</v>
      </c>
      <c r="AN115" s="312">
        <f t="shared" si="27"/>
        <v>403.50307231196138</v>
      </c>
      <c r="AO115" s="287">
        <f t="shared" si="28"/>
        <v>-9.3277153558052426</v>
      </c>
      <c r="AP115" s="312">
        <f t="shared" si="29"/>
        <v>-456</v>
      </c>
      <c r="AQ115" s="287">
        <f t="shared" si="30"/>
        <v>-400.5</v>
      </c>
      <c r="AR115" s="288">
        <f t="shared" si="31"/>
        <v>747.0023123282715</v>
      </c>
      <c r="AS115" s="289">
        <f t="shared" si="41"/>
        <v>-403.50307231196138</v>
      </c>
      <c r="AT115" s="290">
        <f t="shared" si="32"/>
        <v>394.17535695615612</v>
      </c>
      <c r="AU115" s="289">
        <f t="shared" si="40"/>
        <v>403.50307231196138</v>
      </c>
      <c r="AV115" s="291">
        <f t="shared" si="33"/>
        <v>-189.16567364577915</v>
      </c>
      <c r="AW115" s="291">
        <f t="shared" si="34"/>
        <v>-211.33432635422082</v>
      </c>
      <c r="AX115" s="292">
        <f t="shared" si="11"/>
        <v>-61.321907809349696</v>
      </c>
      <c r="AY115" s="292">
        <f t="shared" si="12"/>
        <v>-54.889331989338331</v>
      </c>
      <c r="AZ115" s="294">
        <f t="shared" si="35"/>
        <v>61.321907809349696</v>
      </c>
      <c r="BA115" s="294">
        <f t="shared" si="36"/>
        <v>54.889331989338331</v>
      </c>
      <c r="BC115" s="12"/>
      <c r="BH115" s="219">
        <v>17</v>
      </c>
      <c r="BI115" s="748">
        <f t="shared" si="7"/>
        <v>400</v>
      </c>
      <c r="BJ115" s="746">
        <f t="shared" si="8"/>
        <v>400</v>
      </c>
      <c r="BK115" s="752">
        <f t="shared" si="5"/>
        <v>241.25324695707872</v>
      </c>
      <c r="BL115" s="180">
        <f t="shared" si="4"/>
        <v>241.25324695707872</v>
      </c>
      <c r="BM115" s="180">
        <f t="shared" si="9"/>
        <v>8.7467530429212843</v>
      </c>
      <c r="BN115" s="180" t="b">
        <f t="shared" si="6"/>
        <v>0</v>
      </c>
      <c r="CQ115" s="27"/>
      <c r="CR115" s="27"/>
      <c r="CS115" s="27"/>
      <c r="CT115" s="27"/>
      <c r="CU115" s="27"/>
      <c r="CV115" s="27"/>
      <c r="CW115" s="27"/>
      <c r="EC115" s="185"/>
      <c r="ED115" s="185"/>
    </row>
    <row r="116" spans="2:134" ht="21" customHeight="1" thickBot="1" x14ac:dyDescent="0.5">
      <c r="B116" s="88">
        <v>11</v>
      </c>
      <c r="C116" s="20"/>
      <c r="D116" s="738">
        <v>0</v>
      </c>
      <c r="E116" s="333" t="s">
        <v>126</v>
      </c>
      <c r="F116" s="81"/>
      <c r="G116" s="81"/>
      <c r="H116" s="81">
        <v>472.06</v>
      </c>
      <c r="I116" s="81">
        <v>62.531168700000002</v>
      </c>
      <c r="J116" s="81">
        <f t="shared" si="37"/>
        <v>62.531168700000002</v>
      </c>
      <c r="K116" s="81">
        <f t="shared" si="13"/>
        <v>31.265584350000001</v>
      </c>
      <c r="L116" s="81">
        <f t="shared" si="14"/>
        <v>0.51900577347391186</v>
      </c>
      <c r="M116" s="81">
        <f t="shared" si="15"/>
        <v>245.00186542609484</v>
      </c>
      <c r="N116" s="81">
        <f t="shared" si="16"/>
        <v>490.00373085218968</v>
      </c>
      <c r="O116" s="81">
        <f>+C106+D107+D108+D109+D110+D111+D112+D113+D114+D115+(D116/2)</f>
        <v>0</v>
      </c>
      <c r="P116" s="81">
        <f t="shared" si="17"/>
        <v>0</v>
      </c>
      <c r="Q116" s="81">
        <f t="shared" si="18"/>
        <v>0</v>
      </c>
      <c r="R116" s="81">
        <f t="shared" si="19"/>
        <v>343.49989132317432</v>
      </c>
      <c r="S116" s="81">
        <f t="shared" si="38"/>
        <v>343.49989132317432</v>
      </c>
      <c r="T116" s="81">
        <f t="shared" si="10"/>
        <v>343.49989132317432</v>
      </c>
      <c r="U116" s="81"/>
      <c r="V116" s="81">
        <f t="shared" si="20"/>
        <v>0</v>
      </c>
      <c r="W116" s="81"/>
      <c r="X116" s="81"/>
      <c r="Y116" s="81"/>
      <c r="Z116" s="81"/>
      <c r="AA116" s="81"/>
      <c r="AB116" s="81"/>
      <c r="AC116" s="454" t="b">
        <f>IF(AD116=11,AF116)</f>
        <v>0</v>
      </c>
      <c r="AD116" s="454">
        <f t="shared" si="21"/>
        <v>1</v>
      </c>
      <c r="AE116" s="454">
        <f>IF(V116=0,0,11)</f>
        <v>0</v>
      </c>
      <c r="AF116" s="282">
        <f>SUM(V116:V117)/($B$103-B115)</f>
        <v>0</v>
      </c>
      <c r="AG116" s="301">
        <f>SUM(D107:D116)+$C$106</f>
        <v>0</v>
      </c>
      <c r="AH116" s="411" t="b">
        <f t="shared" si="22"/>
        <v>0</v>
      </c>
      <c r="AI116" s="311">
        <f t="shared" si="23"/>
        <v>54.5017821</v>
      </c>
      <c r="AJ116" s="284">
        <f t="shared" si="39"/>
        <v>0.81413357986421619</v>
      </c>
      <c r="AK116" s="312">
        <f t="shared" si="24"/>
        <v>343.49924001631013</v>
      </c>
      <c r="AL116" s="311">
        <f t="shared" si="25"/>
        <v>58.734415599999998</v>
      </c>
      <c r="AM116" s="285">
        <f t="shared" si="26"/>
        <v>0.85477073319485097</v>
      </c>
      <c r="AN116" s="312">
        <f t="shared" si="27"/>
        <v>403.50307231196138</v>
      </c>
      <c r="AO116" s="287">
        <f t="shared" si="28"/>
        <v>-8.1655737704918039</v>
      </c>
      <c r="AP116" s="312">
        <f t="shared" si="29"/>
        <v>-513</v>
      </c>
      <c r="AQ116" s="287">
        <f t="shared" si="30"/>
        <v>-457.5</v>
      </c>
      <c r="AR116" s="288">
        <f t="shared" si="31"/>
        <v>747.0023123282715</v>
      </c>
      <c r="AS116" s="289">
        <f t="shared" si="41"/>
        <v>-403.50307231196138</v>
      </c>
      <c r="AT116" s="290">
        <f t="shared" si="32"/>
        <v>395.33749854146959</v>
      </c>
      <c r="AU116" s="289">
        <f t="shared" si="40"/>
        <v>403.50307231196138</v>
      </c>
      <c r="AV116" s="291">
        <f t="shared" si="33"/>
        <v>-215.37637789367372</v>
      </c>
      <c r="AW116" s="291">
        <f t="shared" si="34"/>
        <v>-242.12362210632631</v>
      </c>
      <c r="AX116" s="292">
        <f t="shared" si="11"/>
        <v>-53.859202728939238</v>
      </c>
      <c r="AY116" s="292">
        <f t="shared" si="12"/>
        <v>-47.909410486623109</v>
      </c>
      <c r="AZ116" s="294">
        <f t="shared" si="35"/>
        <v>53.859202728939238</v>
      </c>
      <c r="BA116" s="294">
        <f t="shared" si="36"/>
        <v>47.909410486623109</v>
      </c>
      <c r="BC116" s="12"/>
      <c r="BH116" s="219">
        <v>18</v>
      </c>
      <c r="BI116" s="748">
        <f t="shared" si="7"/>
        <v>450</v>
      </c>
      <c r="BJ116" s="746">
        <f t="shared" si="8"/>
        <v>450</v>
      </c>
      <c r="BK116" s="752">
        <f t="shared" si="5"/>
        <v>291.25324695707872</v>
      </c>
      <c r="BL116" s="180">
        <f t="shared" si="4"/>
        <v>291.25324695707872</v>
      </c>
      <c r="BM116" s="180">
        <f t="shared" si="9"/>
        <v>8.7467530429212843</v>
      </c>
      <c r="BN116" s="180" t="b">
        <f t="shared" si="6"/>
        <v>0</v>
      </c>
      <c r="CQ116" s="27"/>
      <c r="CR116" s="27"/>
      <c r="CS116" s="27"/>
      <c r="CT116" s="27"/>
      <c r="CU116" s="27"/>
      <c r="CV116" s="27"/>
      <c r="CW116" s="27"/>
      <c r="EC116" s="185"/>
      <c r="ED116" s="185"/>
    </row>
    <row r="117" spans="2:134" ht="21" customHeight="1" thickBot="1" x14ac:dyDescent="0.5">
      <c r="B117" s="88">
        <v>12</v>
      </c>
      <c r="C117" s="20"/>
      <c r="D117" s="738">
        <v>0</v>
      </c>
      <c r="E117" s="333" t="s">
        <v>126</v>
      </c>
      <c r="F117" s="81"/>
      <c r="G117" s="81"/>
      <c r="H117" s="81">
        <v>472.06</v>
      </c>
      <c r="I117" s="81">
        <v>62.531168700000002</v>
      </c>
      <c r="J117" s="81">
        <f t="shared" si="37"/>
        <v>62.531168700000002</v>
      </c>
      <c r="K117" s="81">
        <f t="shared" si="13"/>
        <v>31.265584350000001</v>
      </c>
      <c r="L117" s="81">
        <f t="shared" si="14"/>
        <v>0.51900577347391186</v>
      </c>
      <c r="M117" s="81">
        <f t="shared" si="15"/>
        <v>245.00186542609484</v>
      </c>
      <c r="N117" s="81">
        <f t="shared" si="16"/>
        <v>490.00373085218968</v>
      </c>
      <c r="O117" s="81">
        <f>+C106+D107+D108+D109+D110+D111+D112+D113+D114+D115+D116+(D117/2)</f>
        <v>0</v>
      </c>
      <c r="P117" s="81">
        <f t="shared" si="17"/>
        <v>0</v>
      </c>
      <c r="Q117" s="81">
        <f t="shared" si="18"/>
        <v>0</v>
      </c>
      <c r="R117" s="81">
        <f t="shared" si="19"/>
        <v>343.49989132317432</v>
      </c>
      <c r="S117" s="81">
        <f t="shared" si="38"/>
        <v>343.49989132317432</v>
      </c>
      <c r="T117" s="81">
        <f t="shared" si="10"/>
        <v>343.49989132317432</v>
      </c>
      <c r="U117" s="81"/>
      <c r="V117" s="81">
        <f t="shared" si="20"/>
        <v>0</v>
      </c>
      <c r="W117" s="81"/>
      <c r="X117" s="81"/>
      <c r="Y117" s="81"/>
      <c r="Z117" s="81"/>
      <c r="AA117" s="81"/>
      <c r="AB117" s="81"/>
      <c r="AC117" s="454" t="b">
        <f>IF(AD117=12,AF117)</f>
        <v>0</v>
      </c>
      <c r="AD117" s="454">
        <f t="shared" si="21"/>
        <v>1</v>
      </c>
      <c r="AE117" s="454">
        <f>IF(V117=0,0,12)</f>
        <v>0</v>
      </c>
      <c r="AF117" s="282">
        <f>SUM(V117)/($B$103-B116)</f>
        <v>0</v>
      </c>
      <c r="AG117" s="301">
        <f>SUM(D107:D117)+$C$106</f>
        <v>0</v>
      </c>
      <c r="AH117" s="411" t="b">
        <f t="shared" si="22"/>
        <v>0</v>
      </c>
      <c r="AI117" s="311">
        <f t="shared" si="23"/>
        <v>54.5017821</v>
      </c>
      <c r="AJ117" s="284">
        <f t="shared" si="39"/>
        <v>0.81413357986421619</v>
      </c>
      <c r="AK117" s="312">
        <f t="shared" si="24"/>
        <v>343.49924001631013</v>
      </c>
      <c r="AL117" s="311">
        <f t="shared" si="25"/>
        <v>58.734415599999998</v>
      </c>
      <c r="AM117" s="285">
        <f t="shared" si="26"/>
        <v>0.85477073319485097</v>
      </c>
      <c r="AN117" s="312">
        <f t="shared" si="27"/>
        <v>403.50307231196138</v>
      </c>
      <c r="AO117" s="287">
        <f t="shared" si="28"/>
        <v>-7.2609329446064139</v>
      </c>
      <c r="AP117" s="312">
        <f t="shared" si="29"/>
        <v>-570</v>
      </c>
      <c r="AQ117" s="287">
        <f t="shared" si="30"/>
        <v>-514.5</v>
      </c>
      <c r="AR117" s="288">
        <f t="shared" si="31"/>
        <v>747.0023123282715</v>
      </c>
      <c r="AS117" s="289">
        <f t="shared" si="41"/>
        <v>-403.50307231196138</v>
      </c>
      <c r="AT117" s="290">
        <f t="shared" si="32"/>
        <v>396.24213936735498</v>
      </c>
      <c r="AU117" s="289">
        <f t="shared" si="40"/>
        <v>403.50307231196138</v>
      </c>
      <c r="AV117" s="291">
        <f t="shared" si="33"/>
        <v>-241.58708214156826</v>
      </c>
      <c r="AW117" s="291">
        <f t="shared" si="34"/>
        <v>-272.91291785843174</v>
      </c>
      <c r="AX117" s="292">
        <f t="shared" si="11"/>
        <v>-48.015812340506208</v>
      </c>
      <c r="AY117" s="292">
        <f t="shared" si="12"/>
        <v>-42.504400638218506</v>
      </c>
      <c r="AZ117" s="294">
        <f t="shared" si="35"/>
        <v>48.015812340506208</v>
      </c>
      <c r="BA117" s="294">
        <f t="shared" si="36"/>
        <v>42.504400638218506</v>
      </c>
      <c r="BC117" s="12"/>
      <c r="BH117" s="219">
        <v>19</v>
      </c>
      <c r="BI117" s="748">
        <f t="shared" si="7"/>
        <v>500</v>
      </c>
      <c r="BJ117" s="746">
        <f t="shared" si="8"/>
        <v>500</v>
      </c>
      <c r="BK117" s="752">
        <f t="shared" si="5"/>
        <v>341.25324695707872</v>
      </c>
      <c r="BL117" s="180">
        <f t="shared" si="4"/>
        <v>341.25324695707872</v>
      </c>
      <c r="BM117" s="180">
        <f t="shared" si="9"/>
        <v>8.7467530429212843</v>
      </c>
      <c r="BN117" s="180" t="b">
        <f t="shared" si="6"/>
        <v>0</v>
      </c>
      <c r="CQ117" s="27"/>
      <c r="CR117" s="27"/>
      <c r="CS117" s="27"/>
      <c r="CT117" s="27"/>
      <c r="CU117" s="27"/>
      <c r="CV117" s="27"/>
      <c r="CW117" s="27"/>
      <c r="EC117" s="185"/>
      <c r="ED117" s="185"/>
    </row>
    <row r="118" spans="2:134" ht="22.2" thickBot="1" x14ac:dyDescent="0.5">
      <c r="B118" s="24"/>
      <c r="C118" s="24"/>
      <c r="D118" s="15"/>
      <c r="E118" s="15"/>
      <c r="F118" s="15"/>
      <c r="G118" s="15"/>
      <c r="H118" s="244"/>
      <c r="I118" s="244"/>
      <c r="J118" s="244"/>
      <c r="K118" s="244"/>
      <c r="L118" s="244"/>
      <c r="M118" s="244"/>
      <c r="N118" s="244"/>
      <c r="O118" s="244"/>
      <c r="P118" s="244"/>
      <c r="Q118" s="244"/>
      <c r="R118" s="244"/>
      <c r="S118" s="244"/>
      <c r="T118" s="244"/>
      <c r="U118" s="12"/>
      <c r="V118" s="244"/>
      <c r="W118" s="244"/>
      <c r="X118" s="244"/>
      <c r="Y118" s="244"/>
      <c r="Z118" s="244"/>
      <c r="AA118" s="244"/>
      <c r="AB118" s="244"/>
      <c r="AC118" s="244"/>
      <c r="AD118" s="244"/>
      <c r="AE118" s="244"/>
      <c r="AF118" s="244"/>
      <c r="AG118" s="410" t="s">
        <v>125</v>
      </c>
      <c r="AH118" s="412">
        <f>MAX(AH106:AH117)</f>
        <v>0</v>
      </c>
      <c r="AI118" s="244"/>
      <c r="AJ118" s="244"/>
      <c r="AK118" s="244"/>
      <c r="AL118" s="244"/>
      <c r="AM118" s="244"/>
      <c r="AN118" s="244"/>
      <c r="AO118" s="244"/>
      <c r="AP118" s="244"/>
      <c r="AQ118" s="244"/>
      <c r="AR118" s="244"/>
      <c r="AS118" s="244"/>
      <c r="AT118" s="244"/>
      <c r="AU118" s="244"/>
      <c r="AV118" s="244"/>
      <c r="AW118" s="244"/>
      <c r="AX118" s="244"/>
      <c r="AY118" s="244"/>
      <c r="AZ118" s="244"/>
      <c r="BA118" s="244"/>
      <c r="BB118" s="7"/>
      <c r="BC118" s="12"/>
      <c r="BH118" s="219">
        <v>20</v>
      </c>
      <c r="BI118" s="748">
        <f t="shared" si="7"/>
        <v>550</v>
      </c>
      <c r="BJ118" s="746">
        <f t="shared" si="8"/>
        <v>550</v>
      </c>
      <c r="BK118" s="752">
        <f t="shared" si="5"/>
        <v>391.25324695707872</v>
      </c>
      <c r="BL118" s="180">
        <f t="shared" si="4"/>
        <v>391.25324695707872</v>
      </c>
      <c r="BM118" s="180">
        <f t="shared" si="9"/>
        <v>8.7467530429212843</v>
      </c>
      <c r="BN118" s="180" t="b">
        <f t="shared" si="6"/>
        <v>0</v>
      </c>
      <c r="CQ118" s="27"/>
      <c r="CR118" s="27"/>
      <c r="CS118" s="27"/>
      <c r="CT118" s="27"/>
      <c r="CU118" s="27"/>
      <c r="CV118" s="27"/>
      <c r="CW118" s="27"/>
      <c r="EC118" s="185"/>
      <c r="ED118" s="185"/>
    </row>
    <row r="119" spans="2:134" ht="19.2" hidden="1" x14ac:dyDescent="0.45">
      <c r="B119" s="125"/>
      <c r="C119" s="24"/>
      <c r="D119" s="15"/>
      <c r="E119" s="15"/>
      <c r="F119" s="15"/>
      <c r="G119" s="15"/>
      <c r="H119" s="244"/>
      <c r="I119" s="244"/>
      <c r="J119" s="244"/>
      <c r="K119" s="244"/>
      <c r="L119" s="244"/>
      <c r="M119" s="244"/>
      <c r="N119" s="244"/>
      <c r="O119" s="244"/>
      <c r="P119" s="244"/>
      <c r="Q119" s="244"/>
      <c r="R119" s="244"/>
      <c r="S119" s="244"/>
      <c r="T119" s="244"/>
      <c r="U119" s="12"/>
      <c r="V119" s="244"/>
      <c r="W119" s="244"/>
      <c r="X119" s="244"/>
      <c r="Y119" s="244"/>
      <c r="Z119" s="244"/>
      <c r="AA119" s="244"/>
      <c r="AB119" s="244"/>
      <c r="AC119" s="244"/>
      <c r="AD119" s="244"/>
      <c r="AE119" s="244"/>
      <c r="AF119" s="244"/>
      <c r="AG119" s="244"/>
      <c r="AH119" s="244"/>
      <c r="AI119" s="244"/>
      <c r="AJ119" s="244"/>
      <c r="AK119" s="244"/>
      <c r="AL119" s="244"/>
      <c r="AM119" s="244"/>
      <c r="AN119" s="244"/>
      <c r="AO119" s="244"/>
      <c r="AP119" s="244"/>
      <c r="AQ119" s="244"/>
      <c r="AR119" s="244"/>
      <c r="AS119" s="244"/>
      <c r="AT119" s="244"/>
      <c r="AU119" s="244"/>
      <c r="AV119" s="244"/>
      <c r="AW119" s="244"/>
      <c r="AX119" s="244"/>
      <c r="AY119" s="244"/>
      <c r="AZ119" s="244"/>
      <c r="BA119" s="244"/>
      <c r="BB119" s="7"/>
      <c r="BC119" s="12"/>
      <c r="BH119" s="219">
        <v>21</v>
      </c>
      <c r="BI119" s="748">
        <f t="shared" si="7"/>
        <v>600</v>
      </c>
      <c r="BJ119" s="746">
        <f t="shared" si="8"/>
        <v>600</v>
      </c>
      <c r="BK119" s="752">
        <f t="shared" si="5"/>
        <v>441.25324695707872</v>
      </c>
      <c r="BL119" s="180">
        <f t="shared" si="4"/>
        <v>441.25324695707872</v>
      </c>
      <c r="BM119" s="180">
        <f t="shared" si="9"/>
        <v>8.7467530429212843</v>
      </c>
      <c r="BN119" s="180" t="b">
        <f t="shared" si="6"/>
        <v>0</v>
      </c>
      <c r="CQ119" s="27"/>
      <c r="CR119" s="27"/>
      <c r="CS119" s="27"/>
      <c r="CT119" s="27"/>
      <c r="CU119" s="27"/>
      <c r="CV119" s="27"/>
    </row>
    <row r="120" spans="2:134" ht="19.2" hidden="1" x14ac:dyDescent="0.45">
      <c r="B120" s="125"/>
      <c r="AB120" s="272"/>
      <c r="AC120" s="272"/>
      <c r="AD120" s="272"/>
      <c r="AE120" s="272"/>
      <c r="BF120" s="27"/>
      <c r="BH120" s="219">
        <v>22</v>
      </c>
      <c r="BI120" s="748">
        <f t="shared" si="7"/>
        <v>650</v>
      </c>
      <c r="BJ120" s="746">
        <f t="shared" si="8"/>
        <v>650</v>
      </c>
      <c r="BK120" s="752">
        <f t="shared" si="5"/>
        <v>491.25324695707872</v>
      </c>
      <c r="BL120" s="180">
        <f t="shared" si="4"/>
        <v>491.25324695707872</v>
      </c>
      <c r="BM120" s="180">
        <f t="shared" si="9"/>
        <v>8.7467530429212843</v>
      </c>
      <c r="BN120" s="180" t="b">
        <f t="shared" si="6"/>
        <v>0</v>
      </c>
      <c r="CQ120" s="27"/>
      <c r="CR120" s="27"/>
      <c r="CS120" s="27"/>
      <c r="CT120" s="27"/>
      <c r="CU120" s="27"/>
      <c r="CV120" s="27"/>
    </row>
    <row r="121" spans="2:134" ht="19.2" hidden="1" x14ac:dyDescent="0.45">
      <c r="V121" s="245"/>
      <c r="W121" s="245"/>
      <c r="X121" s="245"/>
      <c r="Y121" s="245"/>
      <c r="Z121" s="245"/>
      <c r="AA121" s="245"/>
      <c r="AB121" s="245"/>
      <c r="AC121" s="245"/>
      <c r="AD121" s="245"/>
      <c r="AE121" s="245"/>
      <c r="AF121" s="245"/>
      <c r="AG121" s="245"/>
      <c r="AH121" s="245"/>
      <c r="AI121" s="245"/>
      <c r="AJ121" s="245"/>
      <c r="AK121" s="245"/>
      <c r="AL121" s="245"/>
      <c r="AM121" s="245"/>
      <c r="AN121" s="245"/>
      <c r="AO121" s="245"/>
      <c r="AP121" s="245"/>
      <c r="AQ121" s="245"/>
      <c r="AR121" s="245"/>
      <c r="AS121" s="245"/>
      <c r="AT121" s="245"/>
      <c r="AU121" s="245"/>
      <c r="AV121" s="245"/>
      <c r="AW121" s="245"/>
      <c r="AX121" s="245"/>
      <c r="AY121" s="245"/>
      <c r="AZ121" s="245"/>
      <c r="BA121" s="245"/>
      <c r="BB121" s="4"/>
      <c r="BH121" s="219">
        <v>23</v>
      </c>
      <c r="BI121" s="748">
        <f t="shared" si="7"/>
        <v>700</v>
      </c>
      <c r="BJ121" s="746">
        <f t="shared" si="8"/>
        <v>700</v>
      </c>
      <c r="BK121" s="752">
        <f t="shared" si="5"/>
        <v>541.25324695707877</v>
      </c>
      <c r="BL121" s="180">
        <f t="shared" si="4"/>
        <v>541.25324695707877</v>
      </c>
      <c r="BM121" s="180">
        <f t="shared" si="9"/>
        <v>8.7467530429212843</v>
      </c>
      <c r="BN121" s="180" t="b">
        <f t="shared" si="6"/>
        <v>0</v>
      </c>
      <c r="CQ121" s="27"/>
      <c r="CR121" s="27"/>
      <c r="CS121" s="27"/>
      <c r="CT121" s="27"/>
      <c r="CU121" s="27"/>
      <c r="CV121" s="27"/>
    </row>
    <row r="122" spans="2:134" ht="19.8" hidden="1" thickBot="1" x14ac:dyDescent="0.5">
      <c r="U122" s="243"/>
      <c r="V122" s="245"/>
      <c r="W122" s="245"/>
      <c r="X122" s="245"/>
      <c r="Y122" s="245"/>
      <c r="Z122" s="245"/>
      <c r="AA122" s="245"/>
      <c r="AB122" s="245"/>
      <c r="AC122" s="245"/>
      <c r="AD122" s="245"/>
      <c r="AE122" s="245"/>
      <c r="AF122" s="245"/>
      <c r="AG122" s="245"/>
      <c r="AH122" s="245"/>
      <c r="AI122" s="245"/>
      <c r="AJ122" s="245"/>
      <c r="AK122" s="245"/>
      <c r="AL122" s="245"/>
      <c r="AM122" s="245"/>
      <c r="AN122" s="245"/>
      <c r="AO122" s="245"/>
      <c r="AP122" s="245"/>
      <c r="AQ122" s="245"/>
      <c r="AR122" s="245"/>
      <c r="AS122" s="245"/>
      <c r="AT122" s="245"/>
      <c r="AU122" s="245"/>
      <c r="AV122" s="245"/>
      <c r="AW122" s="245"/>
      <c r="AX122" s="245"/>
      <c r="AY122" s="245"/>
      <c r="AZ122" s="245"/>
      <c r="BA122" s="245"/>
      <c r="BB122" s="4"/>
      <c r="BC122" s="14"/>
      <c r="BF122" s="27"/>
      <c r="BH122" s="219">
        <v>24</v>
      </c>
      <c r="BI122" s="748">
        <f t="shared" si="7"/>
        <v>750</v>
      </c>
      <c r="BJ122" s="746">
        <f t="shared" si="8"/>
        <v>750</v>
      </c>
      <c r="BK122" s="752">
        <f t="shared" si="5"/>
        <v>591.25324695707877</v>
      </c>
      <c r="BL122" s="180">
        <f t="shared" si="4"/>
        <v>591.25324695707877</v>
      </c>
      <c r="BM122" s="180">
        <f t="shared" si="9"/>
        <v>8.7467530429212843</v>
      </c>
      <c r="BN122" s="180" t="b">
        <f t="shared" si="6"/>
        <v>0</v>
      </c>
      <c r="CQ122" s="27"/>
      <c r="CR122" s="27"/>
      <c r="CS122" s="27"/>
      <c r="CT122" s="27"/>
      <c r="CU122" s="27"/>
      <c r="CV122" s="27"/>
    </row>
    <row r="123" spans="2:134" ht="54.75" customHeight="1" thickTop="1" thickBot="1" x14ac:dyDescent="0.5">
      <c r="B123" s="695" t="s">
        <v>42</v>
      </c>
      <c r="C123" s="707"/>
      <c r="D123" s="708"/>
      <c r="E123" s="74"/>
      <c r="F123" s="74"/>
      <c r="G123" s="74"/>
      <c r="H123" s="248"/>
      <c r="I123" s="248"/>
      <c r="J123" s="248"/>
      <c r="K123" s="248"/>
      <c r="L123" s="248"/>
      <c r="M123" s="248"/>
      <c r="N123" s="248"/>
      <c r="O123" s="248"/>
      <c r="P123" s="248"/>
      <c r="Q123" s="248"/>
      <c r="R123" s="248"/>
      <c r="S123" s="255" t="s">
        <v>105</v>
      </c>
      <c r="T123" s="255">
        <f>SUM(V127:V150)/B124</f>
        <v>146.5</v>
      </c>
      <c r="U123" s="295"/>
      <c r="V123" s="245"/>
      <c r="W123" s="245"/>
      <c r="X123" s="245"/>
      <c r="Y123" s="245"/>
      <c r="Z123" s="245"/>
      <c r="AA123" s="245"/>
      <c r="AB123" s="245"/>
      <c r="AC123" s="245"/>
      <c r="AD123" s="245"/>
      <c r="AE123" s="245"/>
      <c r="AF123" s="245"/>
      <c r="AG123" s="245"/>
      <c r="AH123" s="245"/>
      <c r="AI123" s="245"/>
      <c r="AJ123" s="245"/>
      <c r="AK123" s="245"/>
      <c r="AL123" s="245"/>
      <c r="AM123" s="245"/>
      <c r="AN123" s="245"/>
      <c r="AO123" s="245"/>
      <c r="AP123" s="245"/>
      <c r="AQ123" s="245"/>
      <c r="AR123" s="245"/>
      <c r="AS123" s="245"/>
      <c r="AT123" s="245"/>
      <c r="AU123" s="245"/>
      <c r="AV123" s="245"/>
      <c r="AW123" s="245"/>
      <c r="AX123" s="245"/>
      <c r="AY123" s="245"/>
      <c r="AZ123" s="245"/>
      <c r="BA123" s="245"/>
      <c r="BB123" s="4"/>
      <c r="BC123" s="36"/>
      <c r="BD123" s="36"/>
      <c r="BE123" s="36"/>
      <c r="BF123" s="27"/>
      <c r="BH123" s="219">
        <v>25</v>
      </c>
      <c r="BI123" s="748">
        <f t="shared" si="7"/>
        <v>800</v>
      </c>
      <c r="BJ123" s="746">
        <f t="shared" si="8"/>
        <v>800</v>
      </c>
      <c r="BK123" s="752">
        <f t="shared" si="5"/>
        <v>641.25324695707877</v>
      </c>
      <c r="BL123" s="180">
        <f t="shared" si="4"/>
        <v>641.25324695707877</v>
      </c>
      <c r="BM123" s="180">
        <f t="shared" si="9"/>
        <v>8.7467530429212843</v>
      </c>
      <c r="BN123" s="180" t="b">
        <f t="shared" si="6"/>
        <v>0</v>
      </c>
      <c r="CQ123" s="27"/>
      <c r="CR123" s="27"/>
      <c r="CS123" s="27"/>
      <c r="CT123" s="27"/>
      <c r="CU123" s="27"/>
      <c r="CV123" s="27"/>
    </row>
    <row r="124" spans="2:134" ht="36" customHeight="1" thickTop="1" thickBot="1" x14ac:dyDescent="0.5">
      <c r="B124" s="743">
        <v>1</v>
      </c>
      <c r="C124" s="671"/>
      <c r="D124" s="706" t="s">
        <v>71</v>
      </c>
      <c r="E124" s="445"/>
      <c r="F124" s="445"/>
      <c r="G124" s="445"/>
      <c r="H124" s="246"/>
      <c r="I124" s="247"/>
      <c r="J124" s="247"/>
      <c r="K124" s="247"/>
      <c r="L124" s="247"/>
      <c r="M124" s="247"/>
      <c r="N124" s="247"/>
      <c r="O124" s="247"/>
      <c r="P124" s="247"/>
      <c r="Q124" s="247"/>
      <c r="R124" s="247"/>
      <c r="S124" s="303"/>
      <c r="T124" s="304"/>
      <c r="U124" s="266"/>
      <c r="V124" s="296"/>
      <c r="W124" s="296"/>
      <c r="X124" s="296"/>
      <c r="Y124" s="296"/>
      <c r="Z124" s="296"/>
      <c r="AA124" s="296"/>
      <c r="AB124" s="296"/>
      <c r="AC124" s="296"/>
      <c r="AD124" s="296"/>
      <c r="AE124" s="296"/>
      <c r="AF124" s="296"/>
      <c r="AG124" s="296"/>
      <c r="AH124" s="296"/>
      <c r="AI124" s="296"/>
      <c r="AJ124" s="296"/>
      <c r="AK124" s="296"/>
      <c r="AL124" s="296"/>
      <c r="AM124" s="296"/>
      <c r="AN124" s="296"/>
      <c r="AO124" s="296"/>
      <c r="AP124" s="296"/>
      <c r="AQ124" s="296"/>
      <c r="AR124" s="296"/>
      <c r="AS124" s="296"/>
      <c r="AT124" s="296"/>
      <c r="AU124" s="296"/>
      <c r="AV124" s="296"/>
      <c r="AW124" s="296"/>
      <c r="AX124" s="296"/>
      <c r="AY124" s="296"/>
      <c r="AZ124" s="2045" t="s">
        <v>68</v>
      </c>
      <c r="BA124" s="2046"/>
      <c r="BB124" s="5"/>
      <c r="BC124" s="33"/>
      <c r="BD124" s="33"/>
      <c r="BE124" s="33"/>
      <c r="BF124" s="27"/>
      <c r="BH124" s="219">
        <v>26</v>
      </c>
      <c r="BI124" s="748">
        <f t="shared" si="7"/>
        <v>850</v>
      </c>
      <c r="BJ124" s="746">
        <f t="shared" si="8"/>
        <v>850</v>
      </c>
      <c r="BK124" s="752">
        <f t="shared" si="5"/>
        <v>691.25324695707877</v>
      </c>
      <c r="BL124" s="180">
        <f t="shared" si="4"/>
        <v>691.25324695707877</v>
      </c>
      <c r="BM124" s="180">
        <f t="shared" si="9"/>
        <v>8.7467530429212843</v>
      </c>
      <c r="BN124" s="180" t="b">
        <f t="shared" si="6"/>
        <v>0</v>
      </c>
      <c r="CQ124" s="27"/>
      <c r="CR124" s="27"/>
      <c r="CS124" s="27"/>
      <c r="CT124" s="27"/>
      <c r="CU124" s="27"/>
      <c r="CV124" s="27"/>
    </row>
    <row r="125" spans="2:134" ht="37.799999999999997" hidden="1" thickTop="1" thickBot="1" x14ac:dyDescent="0.5">
      <c r="B125" s="358"/>
      <c r="C125" s="76"/>
      <c r="D125" s="698" t="s">
        <v>13</v>
      </c>
      <c r="E125" s="15"/>
      <c r="F125" s="15"/>
      <c r="G125" s="15"/>
      <c r="H125" s="297" t="s">
        <v>4</v>
      </c>
      <c r="I125" s="297" t="s">
        <v>1</v>
      </c>
      <c r="J125" s="248" t="s">
        <v>0</v>
      </c>
      <c r="K125" s="248" t="s">
        <v>2</v>
      </c>
      <c r="L125" s="248" t="s">
        <v>3</v>
      </c>
      <c r="M125" s="248" t="s">
        <v>8</v>
      </c>
      <c r="N125" s="248" t="s">
        <v>5</v>
      </c>
      <c r="O125" s="248" t="s">
        <v>6</v>
      </c>
      <c r="P125" s="248" t="s">
        <v>7</v>
      </c>
      <c r="Q125" s="248" t="s">
        <v>9</v>
      </c>
      <c r="R125" s="316" t="s">
        <v>10</v>
      </c>
      <c r="S125" s="248" t="s">
        <v>11</v>
      </c>
      <c r="T125" s="249" t="s">
        <v>12</v>
      </c>
      <c r="U125" s="265"/>
      <c r="V125" s="273"/>
      <c r="W125" s="273"/>
      <c r="X125" s="273"/>
      <c r="Y125" s="273"/>
      <c r="Z125" s="273"/>
      <c r="AA125" s="273"/>
      <c r="AB125" s="273"/>
      <c r="AC125" s="273"/>
      <c r="AD125" s="273"/>
      <c r="AE125" s="273"/>
      <c r="AF125" s="273"/>
      <c r="AG125" s="273"/>
      <c r="AH125" s="273"/>
      <c r="AI125" s="273"/>
      <c r="AJ125" s="273"/>
      <c r="AK125" s="273"/>
      <c r="AL125" s="273"/>
      <c r="AM125" s="273"/>
      <c r="AN125" s="273"/>
      <c r="AO125" s="273"/>
      <c r="AP125" s="273"/>
      <c r="AQ125" s="273"/>
      <c r="AR125" s="273"/>
      <c r="AS125" s="273"/>
      <c r="AT125" s="273"/>
      <c r="AU125" s="273"/>
      <c r="AV125" s="273"/>
      <c r="AW125" s="273"/>
      <c r="AX125" s="272"/>
      <c r="AY125" s="273"/>
      <c r="AZ125" s="273"/>
      <c r="BA125" s="273"/>
      <c r="BB125" s="6"/>
      <c r="BC125" s="16"/>
      <c r="BD125" s="7"/>
      <c r="BE125" s="7"/>
      <c r="BF125" s="27"/>
      <c r="BH125" s="219">
        <v>27</v>
      </c>
      <c r="BI125" s="748">
        <f t="shared" si="7"/>
        <v>900</v>
      </c>
      <c r="BJ125" s="746">
        <f t="shared" si="8"/>
        <v>900</v>
      </c>
      <c r="BK125" s="752">
        <f t="shared" si="5"/>
        <v>741.25324695707877</v>
      </c>
      <c r="BL125" s="180">
        <f t="shared" si="4"/>
        <v>741.25324695707877</v>
      </c>
      <c r="BM125" s="180">
        <f t="shared" si="9"/>
        <v>8.7467530429212843</v>
      </c>
      <c r="BN125" s="180" t="b">
        <f t="shared" si="6"/>
        <v>0</v>
      </c>
      <c r="CQ125" s="27"/>
      <c r="CR125" s="27"/>
      <c r="CS125" s="27"/>
      <c r="CT125" s="27"/>
      <c r="CU125" s="27"/>
      <c r="CV125" s="27"/>
    </row>
    <row r="126" spans="2:134" ht="46.5" customHeight="1" thickTop="1" thickBot="1" x14ac:dyDescent="0.5">
      <c r="B126" s="90"/>
      <c r="C126" s="139"/>
      <c r="D126" s="670" t="s">
        <v>24</v>
      </c>
      <c r="E126" s="445"/>
      <c r="F126" s="30" t="s">
        <v>58</v>
      </c>
      <c r="G126" s="50"/>
      <c r="H126" s="298"/>
      <c r="I126" s="317"/>
      <c r="J126" s="244"/>
      <c r="K126" s="244"/>
      <c r="L126" s="244"/>
      <c r="M126" s="244"/>
      <c r="N126" s="244"/>
      <c r="O126" s="244"/>
      <c r="P126" s="244"/>
      <c r="Q126" s="244"/>
      <c r="R126" s="316"/>
      <c r="S126" s="244"/>
      <c r="T126" s="250"/>
      <c r="U126" s="265"/>
      <c r="V126" s="273"/>
      <c r="W126" s="273"/>
      <c r="X126" s="273"/>
      <c r="Y126" s="273"/>
      <c r="Z126" s="273"/>
      <c r="AA126" s="273"/>
      <c r="AB126" s="273"/>
      <c r="AC126" s="273"/>
      <c r="AD126" s="273"/>
      <c r="AE126" s="273"/>
      <c r="AF126" s="273" t="s">
        <v>51</v>
      </c>
      <c r="AG126" s="274" t="s">
        <v>44</v>
      </c>
      <c r="AH126" s="274"/>
      <c r="AI126" s="175" t="s">
        <v>96</v>
      </c>
      <c r="AJ126" s="275" t="s">
        <v>45</v>
      </c>
      <c r="AK126" s="172" t="s">
        <v>46</v>
      </c>
      <c r="AL126" s="175" t="s">
        <v>97</v>
      </c>
      <c r="AM126" s="276" t="s">
        <v>47</v>
      </c>
      <c r="AN126" s="172" t="s">
        <v>48</v>
      </c>
      <c r="AO126" s="276"/>
      <c r="AP126" s="179" t="s">
        <v>49</v>
      </c>
      <c r="AQ126" s="278"/>
      <c r="AR126" s="278" t="s">
        <v>50</v>
      </c>
      <c r="AS126" s="278" t="s">
        <v>52</v>
      </c>
      <c r="AT126" s="278"/>
      <c r="AU126" s="278" t="s">
        <v>53</v>
      </c>
      <c r="AV126" s="279" t="s">
        <v>54</v>
      </c>
      <c r="AW126" s="279" t="s">
        <v>55</v>
      </c>
      <c r="AX126" s="280" t="s">
        <v>25</v>
      </c>
      <c r="AY126" s="280" t="s">
        <v>26</v>
      </c>
      <c r="AZ126" s="281" t="s">
        <v>25</v>
      </c>
      <c r="BA126" s="281" t="s">
        <v>26</v>
      </c>
      <c r="BB126" s="7"/>
      <c r="BC126" s="16"/>
      <c r="BD126" s="7"/>
      <c r="BE126" s="7"/>
      <c r="BF126" s="27"/>
      <c r="BH126" s="219">
        <v>28</v>
      </c>
      <c r="BI126" s="748">
        <f t="shared" si="7"/>
        <v>950</v>
      </c>
      <c r="BJ126" s="746">
        <f t="shared" si="8"/>
        <v>950</v>
      </c>
      <c r="BK126" s="752">
        <f t="shared" si="5"/>
        <v>791.25324695707877</v>
      </c>
      <c r="BL126" s="180">
        <f t="shared" si="4"/>
        <v>791.25324695707877</v>
      </c>
      <c r="BM126" s="180">
        <f t="shared" si="9"/>
        <v>8.7467530429212843</v>
      </c>
      <c r="BN126" s="180" t="b">
        <f t="shared" si="6"/>
        <v>0</v>
      </c>
      <c r="BO126" s="14"/>
      <c r="CQ126" s="27"/>
      <c r="CR126" s="27"/>
      <c r="CS126" s="27"/>
      <c r="CT126" s="27"/>
      <c r="CU126" s="27"/>
      <c r="CV126" s="27"/>
    </row>
    <row r="127" spans="2:134" ht="21" customHeight="1" thickBot="1" x14ac:dyDescent="0.5">
      <c r="B127" s="87">
        <v>1</v>
      </c>
      <c r="C127" s="668">
        <f>+AH118+D127</f>
        <v>0</v>
      </c>
      <c r="D127" s="738">
        <v>0</v>
      </c>
      <c r="E127" s="333" t="s">
        <v>73</v>
      </c>
      <c r="F127" s="81">
        <f>+G127</f>
        <v>0</v>
      </c>
      <c r="G127" s="81">
        <f>+D127</f>
        <v>0</v>
      </c>
      <c r="H127" s="299">
        <v>190.76</v>
      </c>
      <c r="I127" s="318">
        <v>79.651040199999997</v>
      </c>
      <c r="J127" s="251">
        <f>+I127-C127</f>
        <v>79.651040199999997</v>
      </c>
      <c r="K127" s="251">
        <f>+J127/2</f>
        <v>39.825520099999999</v>
      </c>
      <c r="L127" s="251">
        <f t="shared" ref="L127:L150" si="42">SIN(K127*3.14159265358979/180)</f>
        <v>0.64045183696587837</v>
      </c>
      <c r="M127" s="251">
        <f t="shared" ref="M127:M150" si="43">+L127*H127</f>
        <v>122.17259241961095</v>
      </c>
      <c r="N127" s="251">
        <f t="shared" ref="N127:N150" si="44">+M127*2</f>
        <v>244.3451848392219</v>
      </c>
      <c r="O127" s="251">
        <f>+C127/2</f>
        <v>0</v>
      </c>
      <c r="P127" s="251">
        <f t="shared" ref="P127:P150" si="45">SIN(O127*3.14159265358979/180)</f>
        <v>0</v>
      </c>
      <c r="Q127" s="251">
        <f t="shared" ref="Q127:Q150" si="46">+P127*N127</f>
        <v>0</v>
      </c>
      <c r="R127" s="319">
        <v>146.5</v>
      </c>
      <c r="S127" s="251">
        <f>+R127+Q127</f>
        <v>146.5</v>
      </c>
      <c r="T127" s="252">
        <f t="shared" ref="T127:T150" si="47">+S127</f>
        <v>146.5</v>
      </c>
      <c r="V127" s="282">
        <f t="shared" ref="V127:V150" si="48">IF(B127&lt;($B$124+1),T127,0)</f>
        <v>146.5</v>
      </c>
      <c r="W127" s="282"/>
      <c r="X127" s="282"/>
      <c r="Y127" s="282"/>
      <c r="Z127" s="282"/>
      <c r="AA127" s="282"/>
      <c r="AB127" s="300" t="str">
        <f>IF(AY127&lt;0,"pin in groundstacking hole"," ")</f>
        <v xml:space="preserve"> </v>
      </c>
      <c r="AC127" s="451"/>
      <c r="AD127" s="451"/>
      <c r="AE127" s="451"/>
      <c r="AF127" s="282">
        <f>SUM(V127:V150)/($B$124)</f>
        <v>146.5</v>
      </c>
      <c r="AG127" s="301">
        <f>C127</f>
        <v>0</v>
      </c>
      <c r="AH127" s="301"/>
      <c r="AI127" s="173">
        <f>69.3447148-AG127</f>
        <v>69.344714800000006</v>
      </c>
      <c r="AJ127" s="284">
        <f t="shared" ref="AJ127:AJ150" si="49">SIN(AI127*3.14159265358979/180)</f>
        <v>0.93571960494171247</v>
      </c>
      <c r="AK127" s="174">
        <f>+AJ127*192.42</f>
        <v>180.0511663828843</v>
      </c>
      <c r="AL127" s="173">
        <f>50.1744799+AG127</f>
        <v>50.174479900000001</v>
      </c>
      <c r="AM127" s="285">
        <f>SIN(AL127*3.14159265358979/180)</f>
        <v>0.76799833627881664</v>
      </c>
      <c r="AN127" s="174">
        <f>+AM127*190.76</f>
        <v>146.50336262854705</v>
      </c>
      <c r="AO127" s="286"/>
      <c r="AP127" s="174">
        <f>25.5*B124</f>
        <v>25.5</v>
      </c>
      <c r="AQ127" s="288"/>
      <c r="AR127" s="288">
        <f>+AN127+AK127</f>
        <v>326.55452901143133</v>
      </c>
      <c r="AS127" s="289">
        <f>+V127-AN127</f>
        <v>-3.3626285470518269E-3</v>
      </c>
      <c r="AT127" s="289"/>
      <c r="AU127" s="289">
        <f>+AF127-AS127</f>
        <v>146.50336262854705</v>
      </c>
      <c r="AV127" s="291">
        <f>+((AR127-AU127)/AR127)*AP127</f>
        <v>14.059840960291279</v>
      </c>
      <c r="AW127" s="291">
        <f>+(AU127/AR127)*AP127</f>
        <v>11.440159039708721</v>
      </c>
      <c r="AX127" s="292">
        <f>2*$C$18/AV127</f>
        <v>825.04489437408847</v>
      </c>
      <c r="AY127" s="292">
        <f>$D$18/AW127</f>
        <v>874.11372213358766</v>
      </c>
      <c r="AZ127" s="294">
        <f>ABS(AX127)</f>
        <v>825.04489437408847</v>
      </c>
      <c r="BA127" s="294">
        <f>ABS(AY127)</f>
        <v>874.11372213358766</v>
      </c>
      <c r="BB127" s="2" t="s">
        <v>56</v>
      </c>
      <c r="BC127" s="11"/>
      <c r="BF127" s="27"/>
      <c r="BH127" s="219">
        <v>29</v>
      </c>
      <c r="BI127" s="748">
        <f t="shared" si="7"/>
        <v>1000</v>
      </c>
      <c r="BJ127" s="746">
        <f t="shared" si="8"/>
        <v>1000</v>
      </c>
      <c r="BK127" s="752">
        <f t="shared" si="5"/>
        <v>841.25324695707877</v>
      </c>
      <c r="BL127" s="180">
        <f t="shared" si="4"/>
        <v>841.25324695707877</v>
      </c>
      <c r="BM127" s="180">
        <f t="shared" si="9"/>
        <v>8.7467530429212843</v>
      </c>
      <c r="BN127" s="180" t="b">
        <f t="shared" si="6"/>
        <v>0</v>
      </c>
      <c r="BO127" s="14"/>
      <c r="CQ127" s="27"/>
      <c r="CR127" s="27"/>
      <c r="CS127" s="27"/>
      <c r="CT127" s="27"/>
      <c r="CU127" s="27"/>
      <c r="CV127" s="27"/>
    </row>
    <row r="128" spans="2:134" ht="21" customHeight="1" thickBot="1" x14ac:dyDescent="0.5">
      <c r="B128" s="88">
        <v>2</v>
      </c>
      <c r="C128" s="20"/>
      <c r="D128" s="738">
        <v>0</v>
      </c>
      <c r="E128" s="333" t="s">
        <v>72</v>
      </c>
      <c r="F128" s="81" t="e">
        <f t="shared" ref="F128:F150" si="50">+G128</f>
        <v>#DIV/0!</v>
      </c>
      <c r="G128" s="81" t="e">
        <f t="shared" ref="G128:G150" si="51">+D128+BB128</f>
        <v>#DIV/0!</v>
      </c>
      <c r="H128" s="299">
        <v>190.76</v>
      </c>
      <c r="I128" s="318">
        <v>79.651040199999997</v>
      </c>
      <c r="J128" s="251">
        <f t="shared" ref="J128:J150" si="52">+I128-D128</f>
        <v>79.651040199999997</v>
      </c>
      <c r="K128" s="251">
        <f t="shared" ref="K128:K150" si="53">+J128/2</f>
        <v>39.825520099999999</v>
      </c>
      <c r="L128" s="251">
        <f t="shared" si="42"/>
        <v>0.64045183696587837</v>
      </c>
      <c r="M128" s="251">
        <f t="shared" si="43"/>
        <v>122.17259241961095</v>
      </c>
      <c r="N128" s="251">
        <f t="shared" si="44"/>
        <v>244.3451848392219</v>
      </c>
      <c r="O128" s="251">
        <f>+C127+(D128/2)</f>
        <v>0</v>
      </c>
      <c r="P128" s="251">
        <f t="shared" si="45"/>
        <v>0</v>
      </c>
      <c r="Q128" s="251">
        <f t="shared" si="46"/>
        <v>0</v>
      </c>
      <c r="R128" s="251">
        <f t="shared" ref="R128:R150" si="54">+T127</f>
        <v>146.5</v>
      </c>
      <c r="S128" s="251">
        <f>+R128+Q128</f>
        <v>146.5</v>
      </c>
      <c r="T128" s="252">
        <f t="shared" si="47"/>
        <v>146.5</v>
      </c>
      <c r="V128" s="282">
        <f t="shared" si="48"/>
        <v>0</v>
      </c>
      <c r="W128" s="282"/>
      <c r="X128" s="282"/>
      <c r="Y128" s="282"/>
      <c r="Z128" s="282"/>
      <c r="AA128" s="282"/>
      <c r="AB128" s="300" t="e">
        <f t="shared" ref="AB128:AB150" si="55">IF(AY128&lt;0,"pin in groundstacking hole"," ")</f>
        <v>#DIV/0!</v>
      </c>
      <c r="AC128" s="451"/>
      <c r="AD128" s="451"/>
      <c r="AE128" s="451"/>
      <c r="AF128" s="282" t="e">
        <f>SUM(V128:V151)/($B$124-B127)</f>
        <v>#DIV/0!</v>
      </c>
      <c r="AG128" s="301">
        <f>SUM(D128)+$C$127</f>
        <v>0</v>
      </c>
      <c r="AH128" s="301"/>
      <c r="AI128" s="173">
        <f t="shared" ref="AI128:AI150" si="56">69.3447148-AG128</f>
        <v>69.344714800000006</v>
      </c>
      <c r="AJ128" s="284">
        <f t="shared" si="49"/>
        <v>0.93571960494171247</v>
      </c>
      <c r="AK128" s="174">
        <f t="shared" ref="AK128:AK150" si="57">+AJ128*192.42</f>
        <v>180.0511663828843</v>
      </c>
      <c r="AL128" s="173">
        <f t="shared" ref="AL128:AL150" si="58">50.1744799+AG128</f>
        <v>50.174479900000001</v>
      </c>
      <c r="AM128" s="285">
        <f t="shared" ref="AM128:AM150" si="59">SIN(AL128*3.14159265358979/180)</f>
        <v>0.76799833627881664</v>
      </c>
      <c r="AN128" s="174">
        <f t="shared" ref="AN128:AN150" si="60">+AM128*190.76</f>
        <v>146.50336262854705</v>
      </c>
      <c r="AO128" s="286"/>
      <c r="AP128" s="174">
        <f>25.5*($B$124-B127)</f>
        <v>0</v>
      </c>
      <c r="AQ128" s="288"/>
      <c r="AR128" s="288">
        <f t="shared" ref="AR128:AR150" si="61">+AN128+AK128</f>
        <v>326.55452901143133</v>
      </c>
      <c r="AS128" s="289">
        <f>+V128-AN128</f>
        <v>-146.50336262854705</v>
      </c>
      <c r="AT128" s="289"/>
      <c r="AU128" s="289" t="e">
        <f>+AF128-AS128</f>
        <v>#DIV/0!</v>
      </c>
      <c r="AV128" s="291" t="e">
        <f t="shared" ref="AV128:AV150" si="62">+((AR128-AU128)/AR128)*AP128</f>
        <v>#DIV/0!</v>
      </c>
      <c r="AW128" s="291" t="e">
        <f t="shared" ref="AW128:AW150" si="63">+(AU128/AR128)*AP128</f>
        <v>#DIV/0!</v>
      </c>
      <c r="AX128" s="292" t="e">
        <f t="shared" ref="AX128:AX150" si="64">2*$C$18/AV128</f>
        <v>#DIV/0!</v>
      </c>
      <c r="AY128" s="292" t="e">
        <f t="shared" ref="AY128:AY150" si="65">$D$18/AW128</f>
        <v>#DIV/0!</v>
      </c>
      <c r="AZ128" s="294" t="e">
        <f t="shared" ref="AZ128:BA150" si="66">ABS(AX128)</f>
        <v>#DIV/0!</v>
      </c>
      <c r="BA128" s="294" t="e">
        <f t="shared" si="66"/>
        <v>#DIV/0!</v>
      </c>
      <c r="BB128" t="e">
        <f t="shared" ref="BB128:BB150" si="67">IF(AY128&lt;0,0.3,0)</f>
        <v>#DIV/0!</v>
      </c>
      <c r="BF128" s="27"/>
      <c r="BH128" s="219">
        <v>30</v>
      </c>
      <c r="BI128" s="748">
        <f t="shared" si="7"/>
        <v>1050</v>
      </c>
      <c r="BJ128" s="746">
        <f t="shared" si="8"/>
        <v>1050</v>
      </c>
      <c r="BK128" s="752">
        <f t="shared" si="5"/>
        <v>891.25324695707877</v>
      </c>
      <c r="BL128" s="180">
        <f t="shared" si="4"/>
        <v>891.25324695707877</v>
      </c>
      <c r="BM128" s="180">
        <f t="shared" si="9"/>
        <v>8.7467530429212843</v>
      </c>
      <c r="BN128" s="180" t="b">
        <f t="shared" si="6"/>
        <v>0</v>
      </c>
      <c r="BO128" s="14"/>
      <c r="CQ128" s="27"/>
      <c r="CR128" s="27"/>
      <c r="CS128" s="27"/>
      <c r="CT128" s="27"/>
      <c r="CU128" s="27"/>
      <c r="CV128" s="27"/>
    </row>
    <row r="129" spans="1:122" ht="21" customHeight="1" thickBot="1" x14ac:dyDescent="0.35">
      <c r="B129" s="88">
        <v>3</v>
      </c>
      <c r="C129" s="20"/>
      <c r="D129" s="738">
        <v>0</v>
      </c>
      <c r="E129" s="333" t="s">
        <v>72</v>
      </c>
      <c r="F129" s="81">
        <f t="shared" si="50"/>
        <v>0.3</v>
      </c>
      <c r="G129" s="81">
        <f t="shared" si="51"/>
        <v>0.3</v>
      </c>
      <c r="H129" s="299">
        <v>190.76</v>
      </c>
      <c r="I129" s="318">
        <v>79.651040199999997</v>
      </c>
      <c r="J129" s="251">
        <f t="shared" si="52"/>
        <v>79.651040199999997</v>
      </c>
      <c r="K129" s="251">
        <f t="shared" si="53"/>
        <v>39.825520099999999</v>
      </c>
      <c r="L129" s="251">
        <f t="shared" si="42"/>
        <v>0.64045183696587837</v>
      </c>
      <c r="M129" s="251">
        <f t="shared" si="43"/>
        <v>122.17259241961095</v>
      </c>
      <c r="N129" s="251">
        <f t="shared" si="44"/>
        <v>244.3451848392219</v>
      </c>
      <c r="O129" s="251">
        <f>+C127+D128+(D129/2)</f>
        <v>0</v>
      </c>
      <c r="P129" s="251">
        <f t="shared" si="45"/>
        <v>0</v>
      </c>
      <c r="Q129" s="251">
        <f t="shared" si="46"/>
        <v>0</v>
      </c>
      <c r="R129" s="251">
        <f t="shared" si="54"/>
        <v>146.5</v>
      </c>
      <c r="S129" s="251">
        <f t="shared" ref="S129:S150" si="68">+S128+Q129</f>
        <v>146.5</v>
      </c>
      <c r="T129" s="252">
        <f t="shared" si="47"/>
        <v>146.5</v>
      </c>
      <c r="V129" s="282">
        <f t="shared" si="48"/>
        <v>0</v>
      </c>
      <c r="W129" s="282"/>
      <c r="X129" s="282"/>
      <c r="Y129" s="282"/>
      <c r="Z129" s="282"/>
      <c r="AA129" s="282"/>
      <c r="AB129" s="300" t="str">
        <f t="shared" si="55"/>
        <v>pin in groundstacking hole</v>
      </c>
      <c r="AC129" s="451"/>
      <c r="AD129" s="451"/>
      <c r="AE129" s="451"/>
      <c r="AF129" s="282">
        <f t="shared" ref="AF129:AF150" si="69">SUM(V129:V152)/($B$124-B128)</f>
        <v>0</v>
      </c>
      <c r="AG129" s="301">
        <f>SUM(D128:D129)+$C$127</f>
        <v>0</v>
      </c>
      <c r="AH129" s="301"/>
      <c r="AI129" s="173">
        <f t="shared" si="56"/>
        <v>69.344714800000006</v>
      </c>
      <c r="AJ129" s="284">
        <f t="shared" si="49"/>
        <v>0.93571960494171247</v>
      </c>
      <c r="AK129" s="174">
        <f t="shared" si="57"/>
        <v>180.0511663828843</v>
      </c>
      <c r="AL129" s="173">
        <f t="shared" si="58"/>
        <v>50.174479900000001</v>
      </c>
      <c r="AM129" s="285">
        <f t="shared" si="59"/>
        <v>0.76799833627881664</v>
      </c>
      <c r="AN129" s="174">
        <f t="shared" si="60"/>
        <v>146.50336262854705</v>
      </c>
      <c r="AO129" s="286"/>
      <c r="AP129" s="174">
        <f t="shared" ref="AP129:AP150" si="70">25.5*($B$124-B128)</f>
        <v>-25.5</v>
      </c>
      <c r="AQ129" s="288"/>
      <c r="AR129" s="288">
        <f t="shared" si="61"/>
        <v>326.55452901143133</v>
      </c>
      <c r="AS129" s="289">
        <f>+V129-AN129</f>
        <v>-146.50336262854705</v>
      </c>
      <c r="AT129" s="289"/>
      <c r="AU129" s="289">
        <f>+AF129-AS129</f>
        <v>146.50336262854705</v>
      </c>
      <c r="AV129" s="291">
        <f t="shared" si="62"/>
        <v>-14.059840960291279</v>
      </c>
      <c r="AW129" s="291">
        <f t="shared" si="63"/>
        <v>-11.440159039708721</v>
      </c>
      <c r="AX129" s="292">
        <f t="shared" si="64"/>
        <v>-825.04489437408847</v>
      </c>
      <c r="AY129" s="292">
        <f t="shared" si="65"/>
        <v>-874.11372213358766</v>
      </c>
      <c r="AZ129" s="294">
        <f t="shared" si="66"/>
        <v>825.04489437408847</v>
      </c>
      <c r="BA129" s="294">
        <f t="shared" si="66"/>
        <v>874.11372213358766</v>
      </c>
      <c r="BB129">
        <f t="shared" si="67"/>
        <v>0.3</v>
      </c>
      <c r="BF129" s="27"/>
      <c r="BG129" s="27"/>
      <c r="BH129" s="27"/>
      <c r="BI129" s="27"/>
      <c r="BJ129" s="27"/>
      <c r="BK129" s="27"/>
      <c r="BL129" s="27"/>
      <c r="BM129" s="27"/>
      <c r="BN129" s="27"/>
      <c r="BO129" s="14"/>
      <c r="CQ129" s="27"/>
      <c r="CR129" s="27"/>
      <c r="CS129" s="27"/>
      <c r="CT129" s="27"/>
      <c r="CU129" s="27"/>
      <c r="CV129" s="27"/>
    </row>
    <row r="130" spans="1:122" ht="21" customHeight="1" thickBot="1" x14ac:dyDescent="0.35">
      <c r="B130" s="88">
        <v>4</v>
      </c>
      <c r="C130" s="20"/>
      <c r="D130" s="738">
        <v>0</v>
      </c>
      <c r="E130" s="333" t="s">
        <v>72</v>
      </c>
      <c r="F130" s="81">
        <f t="shared" si="50"/>
        <v>0.3</v>
      </c>
      <c r="G130" s="81">
        <f t="shared" si="51"/>
        <v>0.3</v>
      </c>
      <c r="H130" s="299">
        <v>190.76</v>
      </c>
      <c r="I130" s="318">
        <v>79.651040199999997</v>
      </c>
      <c r="J130" s="251">
        <f t="shared" si="52"/>
        <v>79.651040199999997</v>
      </c>
      <c r="K130" s="251">
        <f t="shared" si="53"/>
        <v>39.825520099999999</v>
      </c>
      <c r="L130" s="251">
        <f t="shared" si="42"/>
        <v>0.64045183696587837</v>
      </c>
      <c r="M130" s="251">
        <f t="shared" si="43"/>
        <v>122.17259241961095</v>
      </c>
      <c r="N130" s="251">
        <f t="shared" si="44"/>
        <v>244.3451848392219</v>
      </c>
      <c r="O130" s="251">
        <f>+C127+D128+D129+(D130/2)</f>
        <v>0</v>
      </c>
      <c r="P130" s="251">
        <f t="shared" si="45"/>
        <v>0</v>
      </c>
      <c r="Q130" s="251">
        <f t="shared" si="46"/>
        <v>0</v>
      </c>
      <c r="R130" s="251">
        <f t="shared" si="54"/>
        <v>146.5</v>
      </c>
      <c r="S130" s="251">
        <f t="shared" si="68"/>
        <v>146.5</v>
      </c>
      <c r="T130" s="252">
        <f t="shared" si="47"/>
        <v>146.5</v>
      </c>
      <c r="V130" s="282">
        <f t="shared" si="48"/>
        <v>0</v>
      </c>
      <c r="W130" s="282"/>
      <c r="X130" s="282"/>
      <c r="Y130" s="282"/>
      <c r="Z130" s="282"/>
      <c r="AA130" s="282"/>
      <c r="AB130" s="300" t="str">
        <f t="shared" si="55"/>
        <v>pin in groundstacking hole</v>
      </c>
      <c r="AC130" s="451"/>
      <c r="AD130" s="451"/>
      <c r="AE130" s="451"/>
      <c r="AF130" s="282">
        <f t="shared" si="69"/>
        <v>0</v>
      </c>
      <c r="AG130" s="301">
        <f>SUM(D128:D130)+$C$127</f>
        <v>0</v>
      </c>
      <c r="AH130" s="301"/>
      <c r="AI130" s="173">
        <f t="shared" si="56"/>
        <v>69.344714800000006</v>
      </c>
      <c r="AJ130" s="284">
        <f t="shared" si="49"/>
        <v>0.93571960494171247</v>
      </c>
      <c r="AK130" s="174">
        <f t="shared" si="57"/>
        <v>180.0511663828843</v>
      </c>
      <c r="AL130" s="173">
        <f t="shared" si="58"/>
        <v>50.174479900000001</v>
      </c>
      <c r="AM130" s="285">
        <f t="shared" si="59"/>
        <v>0.76799833627881664</v>
      </c>
      <c r="AN130" s="174">
        <f t="shared" si="60"/>
        <v>146.50336262854705</v>
      </c>
      <c r="AO130" s="286"/>
      <c r="AP130" s="174">
        <f t="shared" si="70"/>
        <v>-51</v>
      </c>
      <c r="AQ130" s="288"/>
      <c r="AR130" s="288">
        <f t="shared" si="61"/>
        <v>326.55452901143133</v>
      </c>
      <c r="AS130" s="289">
        <f>+V130-AN130</f>
        <v>-146.50336262854705</v>
      </c>
      <c r="AT130" s="289"/>
      <c r="AU130" s="289">
        <f t="shared" ref="AU130:AU150" si="71">+AF130-AS130</f>
        <v>146.50336262854705</v>
      </c>
      <c r="AV130" s="291">
        <f t="shared" si="62"/>
        <v>-28.119681920582558</v>
      </c>
      <c r="AW130" s="291">
        <f t="shared" si="63"/>
        <v>-22.880318079417442</v>
      </c>
      <c r="AX130" s="292">
        <f t="shared" si="64"/>
        <v>-412.52244718704424</v>
      </c>
      <c r="AY130" s="292">
        <f t="shared" si="65"/>
        <v>-437.05686106679383</v>
      </c>
      <c r="AZ130" s="294">
        <f t="shared" si="66"/>
        <v>412.52244718704424</v>
      </c>
      <c r="BA130" s="294">
        <f t="shared" si="66"/>
        <v>437.05686106679383</v>
      </c>
      <c r="BB130">
        <f t="shared" si="67"/>
        <v>0.3</v>
      </c>
      <c r="BF130" s="27"/>
      <c r="BG130" s="27"/>
      <c r="BH130" s="27"/>
      <c r="BI130" s="27"/>
      <c r="BJ130" s="27"/>
      <c r="BK130" s="27"/>
      <c r="BL130" s="27"/>
      <c r="BM130" s="27"/>
      <c r="BN130" s="27"/>
      <c r="BO130" s="14"/>
      <c r="CQ130" s="27"/>
      <c r="CR130" s="27"/>
      <c r="CS130" s="27"/>
      <c r="CT130" s="27"/>
      <c r="CU130" s="27"/>
      <c r="CV130" s="27"/>
    </row>
    <row r="131" spans="1:122" ht="21" customHeight="1" thickBot="1" x14ac:dyDescent="0.35">
      <c r="B131" s="88">
        <v>5</v>
      </c>
      <c r="C131" s="20"/>
      <c r="D131" s="738">
        <v>0</v>
      </c>
      <c r="E131" s="333" t="s">
        <v>72</v>
      </c>
      <c r="F131" s="81">
        <f t="shared" si="50"/>
        <v>0.3</v>
      </c>
      <c r="G131" s="81">
        <f t="shared" si="51"/>
        <v>0.3</v>
      </c>
      <c r="H131" s="299">
        <v>190.76</v>
      </c>
      <c r="I131" s="318">
        <v>79.651040199999997</v>
      </c>
      <c r="J131" s="251">
        <f t="shared" si="52"/>
        <v>79.651040199999997</v>
      </c>
      <c r="K131" s="251">
        <f t="shared" si="53"/>
        <v>39.825520099999999</v>
      </c>
      <c r="L131" s="251">
        <f t="shared" si="42"/>
        <v>0.64045183696587837</v>
      </c>
      <c r="M131" s="251">
        <f t="shared" si="43"/>
        <v>122.17259241961095</v>
      </c>
      <c r="N131" s="251">
        <f t="shared" si="44"/>
        <v>244.3451848392219</v>
      </c>
      <c r="O131" s="251">
        <f>+C127+D128+D129+D130+(D131/2)</f>
        <v>0</v>
      </c>
      <c r="P131" s="251">
        <f t="shared" si="45"/>
        <v>0</v>
      </c>
      <c r="Q131" s="251">
        <f t="shared" si="46"/>
        <v>0</v>
      </c>
      <c r="R131" s="251">
        <f t="shared" si="54"/>
        <v>146.5</v>
      </c>
      <c r="S131" s="251">
        <f t="shared" si="68"/>
        <v>146.5</v>
      </c>
      <c r="T131" s="252">
        <f t="shared" si="47"/>
        <v>146.5</v>
      </c>
      <c r="V131" s="282">
        <f t="shared" si="48"/>
        <v>0</v>
      </c>
      <c r="W131" s="282"/>
      <c r="X131" s="282"/>
      <c r="Y131" s="282"/>
      <c r="Z131" s="282"/>
      <c r="AA131" s="282"/>
      <c r="AB131" s="300" t="str">
        <f t="shared" si="55"/>
        <v>pin in groundstacking hole</v>
      </c>
      <c r="AC131" s="451"/>
      <c r="AD131" s="451"/>
      <c r="AE131" s="451"/>
      <c r="AF131" s="282">
        <f t="shared" si="69"/>
        <v>0</v>
      </c>
      <c r="AG131" s="301">
        <f>SUM(D128:D131)+$C$127</f>
        <v>0</v>
      </c>
      <c r="AH131" s="301"/>
      <c r="AI131" s="173">
        <f t="shared" si="56"/>
        <v>69.344714800000006</v>
      </c>
      <c r="AJ131" s="284">
        <f t="shared" si="49"/>
        <v>0.93571960494171247</v>
      </c>
      <c r="AK131" s="174">
        <f t="shared" si="57"/>
        <v>180.0511663828843</v>
      </c>
      <c r="AL131" s="173">
        <f t="shared" si="58"/>
        <v>50.174479900000001</v>
      </c>
      <c r="AM131" s="285">
        <f t="shared" si="59"/>
        <v>0.76799833627881664</v>
      </c>
      <c r="AN131" s="174">
        <f t="shared" si="60"/>
        <v>146.50336262854705</v>
      </c>
      <c r="AO131" s="286"/>
      <c r="AP131" s="174">
        <f t="shared" si="70"/>
        <v>-76.5</v>
      </c>
      <c r="AQ131" s="288"/>
      <c r="AR131" s="288">
        <f t="shared" si="61"/>
        <v>326.55452901143133</v>
      </c>
      <c r="AS131" s="289">
        <f t="shared" ref="AS131:AS150" si="72">+V131-AN131</f>
        <v>-146.50336262854705</v>
      </c>
      <c r="AT131" s="289"/>
      <c r="AU131" s="289">
        <f t="shared" si="71"/>
        <v>146.50336262854705</v>
      </c>
      <c r="AV131" s="291">
        <f t="shared" si="62"/>
        <v>-42.17952288087384</v>
      </c>
      <c r="AW131" s="291">
        <f t="shared" si="63"/>
        <v>-34.32047711912616</v>
      </c>
      <c r="AX131" s="292">
        <f t="shared" si="64"/>
        <v>-275.01496479136279</v>
      </c>
      <c r="AY131" s="292">
        <f t="shared" si="65"/>
        <v>-291.37124071119592</v>
      </c>
      <c r="AZ131" s="294">
        <f t="shared" si="66"/>
        <v>275.01496479136279</v>
      </c>
      <c r="BA131" s="294">
        <f t="shared" si="66"/>
        <v>291.37124071119592</v>
      </c>
      <c r="BB131">
        <f t="shared" si="67"/>
        <v>0.3</v>
      </c>
      <c r="BC131" s="10"/>
      <c r="BD131" s="10"/>
      <c r="BE131" s="10"/>
      <c r="BF131" s="27"/>
      <c r="BG131" s="27"/>
      <c r="BH131" s="27"/>
      <c r="BI131" s="27"/>
      <c r="BJ131" s="27"/>
      <c r="BK131" s="27"/>
      <c r="BL131" s="27"/>
      <c r="BM131" s="27"/>
      <c r="BN131" s="27"/>
      <c r="BO131" s="14"/>
      <c r="CQ131" s="27"/>
      <c r="CR131" s="27"/>
      <c r="CS131" s="27"/>
      <c r="CT131" s="27"/>
      <c r="CU131" s="27"/>
      <c r="CV131" s="27"/>
    </row>
    <row r="132" spans="1:122" ht="21" customHeight="1" thickBot="1" x14ac:dyDescent="0.35">
      <c r="B132" s="88">
        <v>6</v>
      </c>
      <c r="C132" s="20"/>
      <c r="D132" s="738">
        <v>0</v>
      </c>
      <c r="E132" s="333" t="s">
        <v>72</v>
      </c>
      <c r="F132" s="81">
        <f t="shared" si="50"/>
        <v>0.3</v>
      </c>
      <c r="G132" s="81">
        <f t="shared" si="51"/>
        <v>0.3</v>
      </c>
      <c r="H132" s="299">
        <v>190.76</v>
      </c>
      <c r="I132" s="318">
        <v>79.651040199999997</v>
      </c>
      <c r="J132" s="251">
        <f t="shared" si="52"/>
        <v>79.651040199999997</v>
      </c>
      <c r="K132" s="251">
        <f t="shared" si="53"/>
        <v>39.825520099999999</v>
      </c>
      <c r="L132" s="251">
        <f t="shared" si="42"/>
        <v>0.64045183696587837</v>
      </c>
      <c r="M132" s="251">
        <f t="shared" si="43"/>
        <v>122.17259241961095</v>
      </c>
      <c r="N132" s="251">
        <f t="shared" si="44"/>
        <v>244.3451848392219</v>
      </c>
      <c r="O132" s="251">
        <f>+C127+D128+D129+D130+D131+(D132/2)</f>
        <v>0</v>
      </c>
      <c r="P132" s="251">
        <f t="shared" si="45"/>
        <v>0</v>
      </c>
      <c r="Q132" s="251">
        <f t="shared" si="46"/>
        <v>0</v>
      </c>
      <c r="R132" s="251">
        <f t="shared" si="54"/>
        <v>146.5</v>
      </c>
      <c r="S132" s="251">
        <f t="shared" si="68"/>
        <v>146.5</v>
      </c>
      <c r="T132" s="252">
        <f t="shared" si="47"/>
        <v>146.5</v>
      </c>
      <c r="V132" s="282">
        <f t="shared" si="48"/>
        <v>0</v>
      </c>
      <c r="W132" s="282"/>
      <c r="X132" s="282"/>
      <c r="Y132" s="282"/>
      <c r="Z132" s="282"/>
      <c r="AA132" s="282"/>
      <c r="AB132" s="300" t="str">
        <f t="shared" si="55"/>
        <v>pin in groundstacking hole</v>
      </c>
      <c r="AC132" s="451"/>
      <c r="AD132" s="451"/>
      <c r="AE132" s="451"/>
      <c r="AF132" s="282">
        <f t="shared" si="69"/>
        <v>0</v>
      </c>
      <c r="AG132" s="301">
        <f>SUM(D128:D132)+$C$127</f>
        <v>0</v>
      </c>
      <c r="AH132" s="301"/>
      <c r="AI132" s="173">
        <f t="shared" si="56"/>
        <v>69.344714800000006</v>
      </c>
      <c r="AJ132" s="284">
        <f t="shared" si="49"/>
        <v>0.93571960494171247</v>
      </c>
      <c r="AK132" s="174">
        <f t="shared" si="57"/>
        <v>180.0511663828843</v>
      </c>
      <c r="AL132" s="173">
        <f t="shared" si="58"/>
        <v>50.174479900000001</v>
      </c>
      <c r="AM132" s="285">
        <f t="shared" si="59"/>
        <v>0.76799833627881664</v>
      </c>
      <c r="AN132" s="174">
        <f t="shared" si="60"/>
        <v>146.50336262854705</v>
      </c>
      <c r="AO132" s="286"/>
      <c r="AP132" s="174">
        <f t="shared" si="70"/>
        <v>-102</v>
      </c>
      <c r="AQ132" s="288"/>
      <c r="AR132" s="288">
        <f t="shared" si="61"/>
        <v>326.55452901143133</v>
      </c>
      <c r="AS132" s="289">
        <f t="shared" si="72"/>
        <v>-146.50336262854705</v>
      </c>
      <c r="AT132" s="289"/>
      <c r="AU132" s="289">
        <f t="shared" si="71"/>
        <v>146.50336262854705</v>
      </c>
      <c r="AV132" s="291">
        <f t="shared" si="62"/>
        <v>-56.239363841165115</v>
      </c>
      <c r="AW132" s="291">
        <f t="shared" si="63"/>
        <v>-45.760636158834885</v>
      </c>
      <c r="AX132" s="292">
        <f t="shared" si="64"/>
        <v>-206.26122359352212</v>
      </c>
      <c r="AY132" s="292">
        <f t="shared" si="65"/>
        <v>-218.52843053339691</v>
      </c>
      <c r="AZ132" s="294">
        <f t="shared" si="66"/>
        <v>206.26122359352212</v>
      </c>
      <c r="BA132" s="294">
        <f t="shared" si="66"/>
        <v>218.52843053339691</v>
      </c>
      <c r="BB132">
        <f t="shared" si="67"/>
        <v>0.3</v>
      </c>
      <c r="BC132" s="10"/>
      <c r="BD132" s="10"/>
      <c r="BE132" s="10"/>
      <c r="BF132" s="27"/>
      <c r="BG132" s="27"/>
      <c r="BH132" s="27"/>
      <c r="BI132" s="27"/>
      <c r="BJ132" s="27"/>
      <c r="BK132" s="27"/>
      <c r="BL132" s="27"/>
      <c r="BM132" s="27"/>
      <c r="BN132" s="27"/>
      <c r="BO132" s="14"/>
      <c r="CQ132" s="27"/>
      <c r="CR132" s="27"/>
      <c r="CS132" s="27"/>
      <c r="CT132" s="27"/>
      <c r="CU132" s="27"/>
      <c r="CV132" s="27"/>
    </row>
    <row r="133" spans="1:122" ht="21" customHeight="1" thickBot="1" x14ac:dyDescent="0.35">
      <c r="B133" s="88">
        <v>7</v>
      </c>
      <c r="C133" s="20"/>
      <c r="D133" s="738">
        <v>0</v>
      </c>
      <c r="E133" s="333" t="s">
        <v>72</v>
      </c>
      <c r="F133" s="81">
        <f t="shared" si="50"/>
        <v>0.3</v>
      </c>
      <c r="G133" s="81">
        <f t="shared" si="51"/>
        <v>0.3</v>
      </c>
      <c r="H133" s="299">
        <v>190.76</v>
      </c>
      <c r="I133" s="318">
        <v>79.651040199999997</v>
      </c>
      <c r="J133" s="251">
        <f t="shared" si="52"/>
        <v>79.651040199999997</v>
      </c>
      <c r="K133" s="251">
        <f t="shared" si="53"/>
        <v>39.825520099999999</v>
      </c>
      <c r="L133" s="251">
        <f t="shared" si="42"/>
        <v>0.64045183696587837</v>
      </c>
      <c r="M133" s="251">
        <f t="shared" si="43"/>
        <v>122.17259241961095</v>
      </c>
      <c r="N133" s="251">
        <f t="shared" si="44"/>
        <v>244.3451848392219</v>
      </c>
      <c r="O133" s="251">
        <f>+C127+D128+D129+D130+D131+D132+(D133/2)</f>
        <v>0</v>
      </c>
      <c r="P133" s="251">
        <f t="shared" si="45"/>
        <v>0</v>
      </c>
      <c r="Q133" s="251">
        <f t="shared" si="46"/>
        <v>0</v>
      </c>
      <c r="R133" s="251">
        <f t="shared" si="54"/>
        <v>146.5</v>
      </c>
      <c r="S133" s="251">
        <f t="shared" si="68"/>
        <v>146.5</v>
      </c>
      <c r="T133" s="252">
        <f t="shared" si="47"/>
        <v>146.5</v>
      </c>
      <c r="V133" s="282">
        <f t="shared" si="48"/>
        <v>0</v>
      </c>
      <c r="W133" s="282"/>
      <c r="X133" s="282"/>
      <c r="Y133" s="282"/>
      <c r="Z133" s="282"/>
      <c r="AA133" s="282"/>
      <c r="AB133" s="300" t="str">
        <f t="shared" si="55"/>
        <v>pin in groundstacking hole</v>
      </c>
      <c r="AC133" s="451"/>
      <c r="AD133" s="451"/>
      <c r="AE133" s="451"/>
      <c r="AF133" s="282">
        <f t="shared" si="69"/>
        <v>0</v>
      </c>
      <c r="AG133" s="301">
        <f>SUM(D128:D133)+$C$127</f>
        <v>0</v>
      </c>
      <c r="AH133" s="301"/>
      <c r="AI133" s="173">
        <f t="shared" si="56"/>
        <v>69.344714800000006</v>
      </c>
      <c r="AJ133" s="284">
        <f t="shared" si="49"/>
        <v>0.93571960494171247</v>
      </c>
      <c r="AK133" s="174">
        <f t="shared" si="57"/>
        <v>180.0511663828843</v>
      </c>
      <c r="AL133" s="173">
        <f t="shared" si="58"/>
        <v>50.174479900000001</v>
      </c>
      <c r="AM133" s="285">
        <f t="shared" si="59"/>
        <v>0.76799833627881664</v>
      </c>
      <c r="AN133" s="174">
        <f t="shared" si="60"/>
        <v>146.50336262854705</v>
      </c>
      <c r="AO133" s="286"/>
      <c r="AP133" s="174">
        <f t="shared" si="70"/>
        <v>-127.5</v>
      </c>
      <c r="AQ133" s="288"/>
      <c r="AR133" s="288">
        <f t="shared" si="61"/>
        <v>326.55452901143133</v>
      </c>
      <c r="AS133" s="289">
        <f t="shared" si="72"/>
        <v>-146.50336262854705</v>
      </c>
      <c r="AT133" s="289"/>
      <c r="AU133" s="289">
        <f t="shared" si="71"/>
        <v>146.50336262854705</v>
      </c>
      <c r="AV133" s="291">
        <f t="shared" si="62"/>
        <v>-70.299204801456398</v>
      </c>
      <c r="AW133" s="291">
        <f t="shared" si="63"/>
        <v>-57.200795198543602</v>
      </c>
      <c r="AX133" s="292">
        <f t="shared" si="64"/>
        <v>-165.00897887481767</v>
      </c>
      <c r="AY133" s="292">
        <f t="shared" si="65"/>
        <v>-174.82274442671755</v>
      </c>
      <c r="AZ133" s="294">
        <f t="shared" si="66"/>
        <v>165.00897887481767</v>
      </c>
      <c r="BA133" s="294">
        <f t="shared" si="66"/>
        <v>174.82274442671755</v>
      </c>
      <c r="BB133">
        <f t="shared" si="67"/>
        <v>0.3</v>
      </c>
      <c r="BF133" s="27"/>
      <c r="BG133" s="27"/>
      <c r="BH133" s="27"/>
      <c r="BI133" s="27"/>
      <c r="BJ133" s="27"/>
      <c r="BK133" s="27"/>
      <c r="BL133" s="27"/>
      <c r="BM133" s="27"/>
      <c r="BN133" s="27"/>
      <c r="BO133" s="14"/>
      <c r="CQ133" s="27"/>
      <c r="CR133" s="27"/>
      <c r="CS133" s="27"/>
      <c r="CT133" s="27"/>
      <c r="CU133" s="27"/>
      <c r="CV133" s="27"/>
    </row>
    <row r="134" spans="1:122" ht="21" customHeight="1" thickBot="1" x14ac:dyDescent="0.35">
      <c r="B134" s="88">
        <v>8</v>
      </c>
      <c r="C134" s="20"/>
      <c r="D134" s="738">
        <v>0</v>
      </c>
      <c r="E134" s="333" t="s">
        <v>72</v>
      </c>
      <c r="F134" s="81">
        <f t="shared" si="50"/>
        <v>0.3</v>
      </c>
      <c r="G134" s="81">
        <f t="shared" si="51"/>
        <v>0.3</v>
      </c>
      <c r="H134" s="299">
        <v>190.76</v>
      </c>
      <c r="I134" s="318">
        <v>79.651040199999997</v>
      </c>
      <c r="J134" s="251">
        <f t="shared" si="52"/>
        <v>79.651040199999997</v>
      </c>
      <c r="K134" s="251">
        <f t="shared" si="53"/>
        <v>39.825520099999999</v>
      </c>
      <c r="L134" s="251">
        <f t="shared" si="42"/>
        <v>0.64045183696587837</v>
      </c>
      <c r="M134" s="251">
        <f t="shared" si="43"/>
        <v>122.17259241961095</v>
      </c>
      <c r="N134" s="251">
        <f t="shared" si="44"/>
        <v>244.3451848392219</v>
      </c>
      <c r="O134" s="251">
        <f>+C127+D128+D129+D130+D131+D132+D133+(D134/2)</f>
        <v>0</v>
      </c>
      <c r="P134" s="251">
        <f t="shared" si="45"/>
        <v>0</v>
      </c>
      <c r="Q134" s="251">
        <f t="shared" si="46"/>
        <v>0</v>
      </c>
      <c r="R134" s="251">
        <f t="shared" si="54"/>
        <v>146.5</v>
      </c>
      <c r="S134" s="251">
        <f t="shared" si="68"/>
        <v>146.5</v>
      </c>
      <c r="T134" s="252">
        <f t="shared" si="47"/>
        <v>146.5</v>
      </c>
      <c r="V134" s="282">
        <f t="shared" si="48"/>
        <v>0</v>
      </c>
      <c r="W134" s="282"/>
      <c r="X134" s="282"/>
      <c r="Y134" s="282"/>
      <c r="Z134" s="282"/>
      <c r="AA134" s="282"/>
      <c r="AB134" s="300" t="str">
        <f>IF(AY134&lt;0,"pin in groundstacking hole"," ")</f>
        <v>pin in groundstacking hole</v>
      </c>
      <c r="AC134" s="451"/>
      <c r="AD134" s="451"/>
      <c r="AE134" s="451"/>
      <c r="AF134" s="282">
        <f t="shared" si="69"/>
        <v>0</v>
      </c>
      <c r="AG134" s="301">
        <f>SUM(D128:D134)+$C$127</f>
        <v>0</v>
      </c>
      <c r="AH134" s="301"/>
      <c r="AI134" s="173">
        <f t="shared" si="56"/>
        <v>69.344714800000006</v>
      </c>
      <c r="AJ134" s="284">
        <f t="shared" si="49"/>
        <v>0.93571960494171247</v>
      </c>
      <c r="AK134" s="174">
        <f t="shared" si="57"/>
        <v>180.0511663828843</v>
      </c>
      <c r="AL134" s="173">
        <f t="shared" si="58"/>
        <v>50.174479900000001</v>
      </c>
      <c r="AM134" s="285">
        <f t="shared" si="59"/>
        <v>0.76799833627881664</v>
      </c>
      <c r="AN134" s="174">
        <f t="shared" si="60"/>
        <v>146.50336262854705</v>
      </c>
      <c r="AO134" s="286"/>
      <c r="AP134" s="174">
        <f t="shared" si="70"/>
        <v>-153</v>
      </c>
      <c r="AQ134" s="288"/>
      <c r="AR134" s="288">
        <f t="shared" si="61"/>
        <v>326.55452901143133</v>
      </c>
      <c r="AS134" s="289">
        <f t="shared" si="72"/>
        <v>-146.50336262854705</v>
      </c>
      <c r="AT134" s="289"/>
      <c r="AU134" s="289">
        <f t="shared" si="71"/>
        <v>146.50336262854705</v>
      </c>
      <c r="AV134" s="291">
        <f t="shared" si="62"/>
        <v>-84.35904576174768</v>
      </c>
      <c r="AW134" s="291">
        <f t="shared" si="63"/>
        <v>-68.64095423825232</v>
      </c>
      <c r="AX134" s="292">
        <f t="shared" si="64"/>
        <v>-137.50748239568139</v>
      </c>
      <c r="AY134" s="292">
        <f t="shared" si="65"/>
        <v>-145.68562035559796</v>
      </c>
      <c r="AZ134" s="294">
        <f t="shared" si="66"/>
        <v>137.50748239568139</v>
      </c>
      <c r="BA134" s="294">
        <f t="shared" si="66"/>
        <v>145.68562035559796</v>
      </c>
      <c r="BB134">
        <f t="shared" si="67"/>
        <v>0.3</v>
      </c>
      <c r="BF134" s="27"/>
      <c r="BG134" s="27"/>
      <c r="BH134" s="27"/>
      <c r="BI134" s="27"/>
      <c r="BJ134" s="27"/>
      <c r="BK134" s="27"/>
      <c r="BL134" s="27"/>
      <c r="BM134" s="27"/>
      <c r="BN134" s="27"/>
      <c r="BO134" s="14"/>
      <c r="CQ134" s="27"/>
      <c r="CR134" s="27"/>
      <c r="CS134" s="27"/>
      <c r="CT134" s="27"/>
      <c r="CU134" s="27"/>
      <c r="CV134" s="27"/>
    </row>
    <row r="135" spans="1:122" ht="21" customHeight="1" thickBot="1" x14ac:dyDescent="0.35">
      <c r="B135" s="88">
        <v>9</v>
      </c>
      <c r="C135" s="20"/>
      <c r="D135" s="738">
        <v>0</v>
      </c>
      <c r="E135" s="333" t="s">
        <v>72</v>
      </c>
      <c r="F135" s="81">
        <f t="shared" si="50"/>
        <v>0.3</v>
      </c>
      <c r="G135" s="81">
        <f t="shared" si="51"/>
        <v>0.3</v>
      </c>
      <c r="H135" s="299">
        <v>190.76</v>
      </c>
      <c r="I135" s="318">
        <v>79.651040199999997</v>
      </c>
      <c r="J135" s="251">
        <f t="shared" si="52"/>
        <v>79.651040199999997</v>
      </c>
      <c r="K135" s="251">
        <f t="shared" si="53"/>
        <v>39.825520099999999</v>
      </c>
      <c r="L135" s="251">
        <f t="shared" si="42"/>
        <v>0.64045183696587837</v>
      </c>
      <c r="M135" s="251">
        <f t="shared" si="43"/>
        <v>122.17259241961095</v>
      </c>
      <c r="N135" s="251">
        <f t="shared" si="44"/>
        <v>244.3451848392219</v>
      </c>
      <c r="O135" s="251">
        <f>+C127+D128+D129+D130+D131+D132+D133+D134+(D135/2)</f>
        <v>0</v>
      </c>
      <c r="P135" s="251">
        <f t="shared" si="45"/>
        <v>0</v>
      </c>
      <c r="Q135" s="251">
        <f t="shared" si="46"/>
        <v>0</v>
      </c>
      <c r="R135" s="251">
        <f t="shared" si="54"/>
        <v>146.5</v>
      </c>
      <c r="S135" s="251">
        <f t="shared" si="68"/>
        <v>146.5</v>
      </c>
      <c r="T135" s="252">
        <f t="shared" si="47"/>
        <v>146.5</v>
      </c>
      <c r="V135" s="282">
        <f t="shared" si="48"/>
        <v>0</v>
      </c>
      <c r="W135" s="282"/>
      <c r="X135" s="282"/>
      <c r="Y135" s="282"/>
      <c r="Z135" s="282"/>
      <c r="AA135" s="282"/>
      <c r="AB135" s="300" t="str">
        <f t="shared" si="55"/>
        <v>pin in groundstacking hole</v>
      </c>
      <c r="AC135" s="451"/>
      <c r="AD135" s="451"/>
      <c r="AE135" s="451"/>
      <c r="AF135" s="282">
        <f t="shared" si="69"/>
        <v>0</v>
      </c>
      <c r="AG135" s="301">
        <f>SUM(D128:D135)+$C$127</f>
        <v>0</v>
      </c>
      <c r="AH135" s="301"/>
      <c r="AI135" s="173">
        <f t="shared" si="56"/>
        <v>69.344714800000006</v>
      </c>
      <c r="AJ135" s="284">
        <f t="shared" si="49"/>
        <v>0.93571960494171247</v>
      </c>
      <c r="AK135" s="174">
        <f t="shared" si="57"/>
        <v>180.0511663828843</v>
      </c>
      <c r="AL135" s="173">
        <f t="shared" si="58"/>
        <v>50.174479900000001</v>
      </c>
      <c r="AM135" s="285">
        <f t="shared" si="59"/>
        <v>0.76799833627881664</v>
      </c>
      <c r="AN135" s="174">
        <f t="shared" si="60"/>
        <v>146.50336262854705</v>
      </c>
      <c r="AO135" s="286"/>
      <c r="AP135" s="174">
        <f t="shared" si="70"/>
        <v>-178.5</v>
      </c>
      <c r="AQ135" s="288"/>
      <c r="AR135" s="288">
        <f t="shared" si="61"/>
        <v>326.55452901143133</v>
      </c>
      <c r="AS135" s="289">
        <f t="shared" si="72"/>
        <v>-146.50336262854705</v>
      </c>
      <c r="AT135" s="289"/>
      <c r="AU135" s="289">
        <f t="shared" si="71"/>
        <v>146.50336262854705</v>
      </c>
      <c r="AV135" s="291">
        <f t="shared" si="62"/>
        <v>-98.418886722038962</v>
      </c>
      <c r="AW135" s="291">
        <f t="shared" si="63"/>
        <v>-80.081113277961038</v>
      </c>
      <c r="AX135" s="292">
        <f t="shared" si="64"/>
        <v>-117.86355633915548</v>
      </c>
      <c r="AY135" s="292">
        <f t="shared" si="65"/>
        <v>-124.87338887622683</v>
      </c>
      <c r="AZ135" s="294">
        <f t="shared" si="66"/>
        <v>117.86355633915548</v>
      </c>
      <c r="BA135" s="294">
        <f t="shared" si="66"/>
        <v>124.87338887622683</v>
      </c>
      <c r="BB135">
        <f t="shared" si="67"/>
        <v>0.3</v>
      </c>
      <c r="BF135" s="27"/>
      <c r="BG135" s="27"/>
      <c r="BH135" s="27"/>
      <c r="BI135" s="27"/>
      <c r="BJ135" s="27"/>
      <c r="BK135" s="27"/>
      <c r="BL135" s="27"/>
      <c r="BM135" s="27"/>
      <c r="BN135" s="27"/>
      <c r="BO135" s="14"/>
      <c r="CQ135" s="27"/>
      <c r="CR135" s="27"/>
      <c r="CS135" s="27"/>
      <c r="CT135" s="27"/>
      <c r="CU135" s="27"/>
      <c r="CV135" s="27"/>
    </row>
    <row r="136" spans="1:122" ht="21" customHeight="1" thickBot="1" x14ac:dyDescent="0.35">
      <c r="B136" s="88">
        <v>10</v>
      </c>
      <c r="C136" s="20"/>
      <c r="D136" s="738">
        <v>0</v>
      </c>
      <c r="E136" s="333" t="s">
        <v>72</v>
      </c>
      <c r="F136" s="81">
        <f t="shared" si="50"/>
        <v>0.3</v>
      </c>
      <c r="G136" s="81">
        <f t="shared" si="51"/>
        <v>0.3</v>
      </c>
      <c r="H136" s="299">
        <v>190.76</v>
      </c>
      <c r="I136" s="318">
        <v>79.651040199999997</v>
      </c>
      <c r="J136" s="251">
        <f t="shared" si="52"/>
        <v>79.651040199999997</v>
      </c>
      <c r="K136" s="251">
        <f t="shared" si="53"/>
        <v>39.825520099999999</v>
      </c>
      <c r="L136" s="251">
        <f t="shared" si="42"/>
        <v>0.64045183696587837</v>
      </c>
      <c r="M136" s="251">
        <f t="shared" si="43"/>
        <v>122.17259241961095</v>
      </c>
      <c r="N136" s="251">
        <f t="shared" si="44"/>
        <v>244.3451848392219</v>
      </c>
      <c r="O136" s="251">
        <f>+C127+D128+D129+D130+D131+D132+D133+D134+D135+(D136/2)</f>
        <v>0</v>
      </c>
      <c r="P136" s="251">
        <f t="shared" si="45"/>
        <v>0</v>
      </c>
      <c r="Q136" s="251">
        <f t="shared" si="46"/>
        <v>0</v>
      </c>
      <c r="R136" s="251">
        <f t="shared" si="54"/>
        <v>146.5</v>
      </c>
      <c r="S136" s="251">
        <f t="shared" si="68"/>
        <v>146.5</v>
      </c>
      <c r="T136" s="252">
        <f t="shared" si="47"/>
        <v>146.5</v>
      </c>
      <c r="V136" s="282">
        <f t="shared" si="48"/>
        <v>0</v>
      </c>
      <c r="W136" s="282"/>
      <c r="X136" s="282"/>
      <c r="Y136" s="282"/>
      <c r="Z136" s="282"/>
      <c r="AA136" s="282"/>
      <c r="AB136" s="300" t="str">
        <f t="shared" si="55"/>
        <v>pin in groundstacking hole</v>
      </c>
      <c r="AC136" s="451"/>
      <c r="AD136" s="451"/>
      <c r="AE136" s="451"/>
      <c r="AF136" s="282">
        <f t="shared" si="69"/>
        <v>0</v>
      </c>
      <c r="AG136" s="301">
        <f>SUM(D128:D136)+$C$127</f>
        <v>0</v>
      </c>
      <c r="AH136" s="301"/>
      <c r="AI136" s="173">
        <f t="shared" si="56"/>
        <v>69.344714800000006</v>
      </c>
      <c r="AJ136" s="284">
        <f t="shared" si="49"/>
        <v>0.93571960494171247</v>
      </c>
      <c r="AK136" s="174">
        <f t="shared" si="57"/>
        <v>180.0511663828843</v>
      </c>
      <c r="AL136" s="173">
        <f t="shared" si="58"/>
        <v>50.174479900000001</v>
      </c>
      <c r="AM136" s="285">
        <f t="shared" si="59"/>
        <v>0.76799833627881664</v>
      </c>
      <c r="AN136" s="174">
        <f t="shared" si="60"/>
        <v>146.50336262854705</v>
      </c>
      <c r="AO136" s="286"/>
      <c r="AP136" s="174">
        <f t="shared" si="70"/>
        <v>-204</v>
      </c>
      <c r="AQ136" s="288"/>
      <c r="AR136" s="288">
        <f t="shared" si="61"/>
        <v>326.55452901143133</v>
      </c>
      <c r="AS136" s="289">
        <f t="shared" si="72"/>
        <v>-146.50336262854705</v>
      </c>
      <c r="AT136" s="289"/>
      <c r="AU136" s="289">
        <f t="shared" si="71"/>
        <v>146.50336262854705</v>
      </c>
      <c r="AV136" s="291">
        <f t="shared" si="62"/>
        <v>-112.47872768233023</v>
      </c>
      <c r="AW136" s="291">
        <f t="shared" si="63"/>
        <v>-91.521272317669769</v>
      </c>
      <c r="AX136" s="292">
        <f t="shared" si="64"/>
        <v>-103.13061179676106</v>
      </c>
      <c r="AY136" s="292">
        <f t="shared" si="65"/>
        <v>-109.26421526669846</v>
      </c>
      <c r="AZ136" s="294">
        <f t="shared" si="66"/>
        <v>103.13061179676106</v>
      </c>
      <c r="BA136" s="294">
        <f t="shared" si="66"/>
        <v>109.26421526669846</v>
      </c>
      <c r="BB136">
        <f t="shared" si="67"/>
        <v>0.3</v>
      </c>
      <c r="BF136" s="27"/>
      <c r="BG136" s="27"/>
      <c r="BH136" s="27"/>
      <c r="BI136" s="27"/>
      <c r="BJ136" s="27"/>
      <c r="BK136" s="27"/>
      <c r="BL136" s="27"/>
      <c r="BM136" s="27"/>
      <c r="BN136" s="27"/>
      <c r="BO136" s="14"/>
      <c r="CQ136" s="27"/>
      <c r="CR136" s="27"/>
      <c r="CS136" s="27"/>
      <c r="CT136" s="27"/>
      <c r="CU136" s="27"/>
      <c r="CV136" s="27"/>
    </row>
    <row r="137" spans="1:122" ht="21" customHeight="1" thickBot="1" x14ac:dyDescent="0.35">
      <c r="A137" s="9"/>
      <c r="B137" s="88">
        <v>11</v>
      </c>
      <c r="C137" s="20"/>
      <c r="D137" s="738">
        <v>0</v>
      </c>
      <c r="E137" s="333" t="s">
        <v>72</v>
      </c>
      <c r="F137" s="81">
        <f t="shared" si="50"/>
        <v>0.3</v>
      </c>
      <c r="G137" s="81">
        <f t="shared" si="51"/>
        <v>0.3</v>
      </c>
      <c r="H137" s="299">
        <v>190.76</v>
      </c>
      <c r="I137" s="318">
        <v>79.651040199999997</v>
      </c>
      <c r="J137" s="251">
        <f t="shared" si="52"/>
        <v>79.651040199999997</v>
      </c>
      <c r="K137" s="251">
        <f t="shared" si="53"/>
        <v>39.825520099999999</v>
      </c>
      <c r="L137" s="251">
        <f t="shared" si="42"/>
        <v>0.64045183696587837</v>
      </c>
      <c r="M137" s="251">
        <f t="shared" si="43"/>
        <v>122.17259241961095</v>
      </c>
      <c r="N137" s="251">
        <f t="shared" si="44"/>
        <v>244.3451848392219</v>
      </c>
      <c r="O137" s="251">
        <f>+C127+D128+D129+D130+D131+D132+D133+D134+D135+D136+(D137/2)</f>
        <v>0</v>
      </c>
      <c r="P137" s="251">
        <f t="shared" si="45"/>
        <v>0</v>
      </c>
      <c r="Q137" s="251">
        <f t="shared" si="46"/>
        <v>0</v>
      </c>
      <c r="R137" s="251">
        <f t="shared" si="54"/>
        <v>146.5</v>
      </c>
      <c r="S137" s="251">
        <f t="shared" si="68"/>
        <v>146.5</v>
      </c>
      <c r="T137" s="252">
        <f t="shared" si="47"/>
        <v>146.5</v>
      </c>
      <c r="V137" s="282">
        <f t="shared" si="48"/>
        <v>0</v>
      </c>
      <c r="W137" s="282"/>
      <c r="X137" s="282"/>
      <c r="Y137" s="282"/>
      <c r="Z137" s="282"/>
      <c r="AA137" s="282"/>
      <c r="AB137" s="300" t="str">
        <f t="shared" si="55"/>
        <v>pin in groundstacking hole</v>
      </c>
      <c r="AC137" s="451"/>
      <c r="AD137" s="451"/>
      <c r="AE137" s="451"/>
      <c r="AF137" s="282">
        <f t="shared" si="69"/>
        <v>0</v>
      </c>
      <c r="AG137" s="301">
        <f>SUM(D128:D137)+$C$127</f>
        <v>0</v>
      </c>
      <c r="AH137" s="301"/>
      <c r="AI137" s="173">
        <f t="shared" si="56"/>
        <v>69.344714800000006</v>
      </c>
      <c r="AJ137" s="284">
        <f t="shared" si="49"/>
        <v>0.93571960494171247</v>
      </c>
      <c r="AK137" s="174">
        <f t="shared" si="57"/>
        <v>180.0511663828843</v>
      </c>
      <c r="AL137" s="173">
        <f t="shared" si="58"/>
        <v>50.174479900000001</v>
      </c>
      <c r="AM137" s="285">
        <f t="shared" si="59"/>
        <v>0.76799833627881664</v>
      </c>
      <c r="AN137" s="174">
        <f t="shared" si="60"/>
        <v>146.50336262854705</v>
      </c>
      <c r="AO137" s="286"/>
      <c r="AP137" s="174">
        <f t="shared" si="70"/>
        <v>-229.5</v>
      </c>
      <c r="AQ137" s="288"/>
      <c r="AR137" s="288">
        <f t="shared" si="61"/>
        <v>326.55452901143133</v>
      </c>
      <c r="AS137" s="289">
        <f t="shared" si="72"/>
        <v>-146.50336262854705</v>
      </c>
      <c r="AT137" s="289"/>
      <c r="AU137" s="289">
        <f t="shared" si="71"/>
        <v>146.50336262854705</v>
      </c>
      <c r="AV137" s="291">
        <f t="shared" si="62"/>
        <v>-126.53856864262151</v>
      </c>
      <c r="AW137" s="291">
        <f t="shared" si="63"/>
        <v>-102.96143135737849</v>
      </c>
      <c r="AX137" s="292">
        <f t="shared" si="64"/>
        <v>-91.671654930454267</v>
      </c>
      <c r="AY137" s="292">
        <f t="shared" si="65"/>
        <v>-97.12374690373197</v>
      </c>
      <c r="AZ137" s="294">
        <f t="shared" si="66"/>
        <v>91.671654930454267</v>
      </c>
      <c r="BA137" s="294">
        <f t="shared" si="66"/>
        <v>97.12374690373197</v>
      </c>
      <c r="BB137">
        <f t="shared" si="67"/>
        <v>0.3</v>
      </c>
      <c r="BF137" s="27"/>
      <c r="BG137" s="27"/>
      <c r="BH137" s="27"/>
      <c r="BI137" s="27"/>
      <c r="BJ137" s="27"/>
      <c r="BK137" s="27"/>
      <c r="BL137" s="27"/>
      <c r="BM137" s="27"/>
      <c r="BN137" s="27"/>
      <c r="BO137" s="14"/>
      <c r="CQ137" s="27"/>
      <c r="CR137" s="27"/>
      <c r="CS137" s="27"/>
      <c r="CT137" s="27"/>
      <c r="CU137" s="27"/>
      <c r="CV137" s="27"/>
    </row>
    <row r="138" spans="1:122" ht="21" customHeight="1" thickBot="1" x14ac:dyDescent="0.35">
      <c r="A138" s="9"/>
      <c r="B138" s="88">
        <v>12</v>
      </c>
      <c r="C138" s="20"/>
      <c r="D138" s="738">
        <v>0</v>
      </c>
      <c r="E138" s="333" t="s">
        <v>72</v>
      </c>
      <c r="F138" s="81">
        <f t="shared" si="50"/>
        <v>0.3</v>
      </c>
      <c r="G138" s="81">
        <f t="shared" si="51"/>
        <v>0.3</v>
      </c>
      <c r="H138" s="299">
        <v>190.76</v>
      </c>
      <c r="I138" s="318">
        <v>79.651040199999997</v>
      </c>
      <c r="J138" s="251">
        <f t="shared" si="52"/>
        <v>79.651040199999997</v>
      </c>
      <c r="K138" s="251">
        <f t="shared" si="53"/>
        <v>39.825520099999999</v>
      </c>
      <c r="L138" s="251">
        <f t="shared" si="42"/>
        <v>0.64045183696587837</v>
      </c>
      <c r="M138" s="251">
        <f t="shared" si="43"/>
        <v>122.17259241961095</v>
      </c>
      <c r="N138" s="251">
        <f t="shared" si="44"/>
        <v>244.3451848392219</v>
      </c>
      <c r="O138" s="251">
        <f>+C127+D128+D129+D130+D131+D132+D133+D134+D135+D136+D137+(D138/2)</f>
        <v>0</v>
      </c>
      <c r="P138" s="251">
        <f t="shared" si="45"/>
        <v>0</v>
      </c>
      <c r="Q138" s="251">
        <f t="shared" si="46"/>
        <v>0</v>
      </c>
      <c r="R138" s="251">
        <f t="shared" si="54"/>
        <v>146.5</v>
      </c>
      <c r="S138" s="251">
        <f t="shared" si="68"/>
        <v>146.5</v>
      </c>
      <c r="T138" s="252">
        <f t="shared" si="47"/>
        <v>146.5</v>
      </c>
      <c r="V138" s="282">
        <f t="shared" si="48"/>
        <v>0</v>
      </c>
      <c r="W138" s="282"/>
      <c r="X138" s="282"/>
      <c r="Y138" s="282"/>
      <c r="Z138" s="282"/>
      <c r="AA138" s="282"/>
      <c r="AB138" s="300" t="str">
        <f t="shared" si="55"/>
        <v>pin in groundstacking hole</v>
      </c>
      <c r="AC138" s="451"/>
      <c r="AD138" s="451"/>
      <c r="AE138" s="451"/>
      <c r="AF138" s="282">
        <f t="shared" si="69"/>
        <v>0</v>
      </c>
      <c r="AG138" s="301">
        <f>SUM(D128:D138)+$C$127</f>
        <v>0</v>
      </c>
      <c r="AH138" s="301"/>
      <c r="AI138" s="173">
        <f t="shared" si="56"/>
        <v>69.344714800000006</v>
      </c>
      <c r="AJ138" s="284">
        <f t="shared" si="49"/>
        <v>0.93571960494171247</v>
      </c>
      <c r="AK138" s="174">
        <f t="shared" si="57"/>
        <v>180.0511663828843</v>
      </c>
      <c r="AL138" s="173">
        <f t="shared" si="58"/>
        <v>50.174479900000001</v>
      </c>
      <c r="AM138" s="285">
        <f t="shared" si="59"/>
        <v>0.76799833627881664</v>
      </c>
      <c r="AN138" s="174">
        <f t="shared" si="60"/>
        <v>146.50336262854705</v>
      </c>
      <c r="AO138" s="286"/>
      <c r="AP138" s="174">
        <f t="shared" si="70"/>
        <v>-255</v>
      </c>
      <c r="AQ138" s="288"/>
      <c r="AR138" s="288">
        <f t="shared" si="61"/>
        <v>326.55452901143133</v>
      </c>
      <c r="AS138" s="289">
        <f t="shared" si="72"/>
        <v>-146.50336262854705</v>
      </c>
      <c r="AT138" s="289"/>
      <c r="AU138" s="289">
        <f t="shared" si="71"/>
        <v>146.50336262854705</v>
      </c>
      <c r="AV138" s="291">
        <f t="shared" si="62"/>
        <v>-140.5984096029128</v>
      </c>
      <c r="AW138" s="291">
        <f t="shared" si="63"/>
        <v>-114.4015903970872</v>
      </c>
      <c r="AX138" s="292">
        <f t="shared" si="64"/>
        <v>-82.504489437408836</v>
      </c>
      <c r="AY138" s="292">
        <f t="shared" si="65"/>
        <v>-87.411372213358774</v>
      </c>
      <c r="AZ138" s="294">
        <f t="shared" si="66"/>
        <v>82.504489437408836</v>
      </c>
      <c r="BA138" s="294">
        <f t="shared" si="66"/>
        <v>87.411372213358774</v>
      </c>
      <c r="BB138">
        <f t="shared" si="67"/>
        <v>0.3</v>
      </c>
      <c r="BF138" s="27"/>
      <c r="BG138" s="27"/>
      <c r="BH138" s="27"/>
      <c r="BI138" s="27"/>
      <c r="BJ138" s="27"/>
      <c r="BK138" s="27"/>
      <c r="BL138" s="27"/>
      <c r="BM138" s="27"/>
      <c r="BN138" s="27"/>
      <c r="BO138" s="14"/>
      <c r="CQ138" s="27"/>
      <c r="CR138" s="27"/>
      <c r="CS138" s="27"/>
      <c r="CT138" s="27"/>
      <c r="CU138" s="27"/>
      <c r="CV138" s="27"/>
    </row>
    <row r="139" spans="1:122" ht="21" customHeight="1" thickBot="1" x14ac:dyDescent="0.35">
      <c r="B139" s="88">
        <v>13</v>
      </c>
      <c r="C139" s="20"/>
      <c r="D139" s="738">
        <v>0</v>
      </c>
      <c r="E139" s="333" t="s">
        <v>72</v>
      </c>
      <c r="F139" s="81">
        <f t="shared" si="50"/>
        <v>0.3</v>
      </c>
      <c r="G139" s="81">
        <f t="shared" si="51"/>
        <v>0.3</v>
      </c>
      <c r="H139" s="299">
        <v>190.76</v>
      </c>
      <c r="I139" s="318">
        <v>79.651040199999997</v>
      </c>
      <c r="J139" s="251">
        <f t="shared" si="52"/>
        <v>79.651040199999997</v>
      </c>
      <c r="K139" s="251">
        <f t="shared" si="53"/>
        <v>39.825520099999999</v>
      </c>
      <c r="L139" s="251">
        <f t="shared" si="42"/>
        <v>0.64045183696587837</v>
      </c>
      <c r="M139" s="251">
        <f t="shared" si="43"/>
        <v>122.17259241961095</v>
      </c>
      <c r="N139" s="251">
        <f t="shared" si="44"/>
        <v>244.3451848392219</v>
      </c>
      <c r="O139" s="251">
        <f>+C127+D128+D129+D130+D131+D132+D133+D134+D135+D136+D137+D138+(D139/2)</f>
        <v>0</v>
      </c>
      <c r="P139" s="251">
        <f t="shared" si="45"/>
        <v>0</v>
      </c>
      <c r="Q139" s="251">
        <f t="shared" si="46"/>
        <v>0</v>
      </c>
      <c r="R139" s="251">
        <f t="shared" si="54"/>
        <v>146.5</v>
      </c>
      <c r="S139" s="251">
        <f t="shared" si="68"/>
        <v>146.5</v>
      </c>
      <c r="T139" s="252">
        <f t="shared" si="47"/>
        <v>146.5</v>
      </c>
      <c r="V139" s="282">
        <f t="shared" si="48"/>
        <v>0</v>
      </c>
      <c r="W139" s="282"/>
      <c r="X139" s="282"/>
      <c r="Y139" s="282"/>
      <c r="Z139" s="282"/>
      <c r="AA139" s="282"/>
      <c r="AB139" s="300" t="str">
        <f t="shared" si="55"/>
        <v>pin in groundstacking hole</v>
      </c>
      <c r="AC139" s="451"/>
      <c r="AD139" s="451"/>
      <c r="AE139" s="451"/>
      <c r="AF139" s="282">
        <f t="shared" si="69"/>
        <v>0</v>
      </c>
      <c r="AG139" s="301">
        <f>SUM(D128:D139)+$C$127</f>
        <v>0</v>
      </c>
      <c r="AH139" s="301"/>
      <c r="AI139" s="173">
        <f t="shared" si="56"/>
        <v>69.344714800000006</v>
      </c>
      <c r="AJ139" s="284">
        <f t="shared" si="49"/>
        <v>0.93571960494171247</v>
      </c>
      <c r="AK139" s="174">
        <f t="shared" si="57"/>
        <v>180.0511663828843</v>
      </c>
      <c r="AL139" s="173">
        <f t="shared" si="58"/>
        <v>50.174479900000001</v>
      </c>
      <c r="AM139" s="285">
        <f t="shared" si="59"/>
        <v>0.76799833627881664</v>
      </c>
      <c r="AN139" s="174">
        <f t="shared" si="60"/>
        <v>146.50336262854705</v>
      </c>
      <c r="AO139" s="286"/>
      <c r="AP139" s="174">
        <f t="shared" si="70"/>
        <v>-280.5</v>
      </c>
      <c r="AQ139" s="288"/>
      <c r="AR139" s="288">
        <f t="shared" si="61"/>
        <v>326.55452901143133</v>
      </c>
      <c r="AS139" s="289">
        <f t="shared" si="72"/>
        <v>-146.50336262854705</v>
      </c>
      <c r="AT139" s="289"/>
      <c r="AU139" s="289">
        <f t="shared" si="71"/>
        <v>146.50336262854705</v>
      </c>
      <c r="AV139" s="291">
        <f t="shared" si="62"/>
        <v>-154.65825056320406</v>
      </c>
      <c r="AW139" s="291">
        <f t="shared" si="63"/>
        <v>-125.84174943679592</v>
      </c>
      <c r="AX139" s="292">
        <f t="shared" si="64"/>
        <v>-75.004081306735316</v>
      </c>
      <c r="AY139" s="292">
        <f t="shared" si="65"/>
        <v>-79.464883830326158</v>
      </c>
      <c r="AZ139" s="294">
        <f t="shared" si="66"/>
        <v>75.004081306735316</v>
      </c>
      <c r="BA139" s="294">
        <f t="shared" si="66"/>
        <v>79.464883830326158</v>
      </c>
      <c r="BB139">
        <f t="shared" si="67"/>
        <v>0.3</v>
      </c>
      <c r="BF139" s="27"/>
      <c r="BG139" s="27"/>
      <c r="BH139" s="27"/>
      <c r="BI139" s="27"/>
      <c r="BJ139" s="27"/>
      <c r="BK139" s="27"/>
      <c r="BL139" s="27"/>
      <c r="BM139" s="27"/>
      <c r="BN139" s="27"/>
      <c r="BO139" s="14"/>
      <c r="CQ139" s="27"/>
      <c r="CR139" s="27"/>
      <c r="CS139" s="27"/>
      <c r="CT139" s="27"/>
      <c r="CU139" s="27"/>
      <c r="CV139" s="27"/>
    </row>
    <row r="140" spans="1:122" ht="21" customHeight="1" thickBot="1" x14ac:dyDescent="0.35">
      <c r="B140" s="88">
        <v>14</v>
      </c>
      <c r="C140" s="20"/>
      <c r="D140" s="738">
        <v>0</v>
      </c>
      <c r="E140" s="333" t="s">
        <v>72</v>
      </c>
      <c r="F140" s="81">
        <f t="shared" si="50"/>
        <v>0.3</v>
      </c>
      <c r="G140" s="81">
        <f t="shared" si="51"/>
        <v>0.3</v>
      </c>
      <c r="H140" s="299">
        <v>190.76</v>
      </c>
      <c r="I140" s="318">
        <v>79.651040199999997</v>
      </c>
      <c r="J140" s="251">
        <f t="shared" si="52"/>
        <v>79.651040199999997</v>
      </c>
      <c r="K140" s="251">
        <f t="shared" si="53"/>
        <v>39.825520099999999</v>
      </c>
      <c r="L140" s="251">
        <f t="shared" si="42"/>
        <v>0.64045183696587837</v>
      </c>
      <c r="M140" s="251">
        <f t="shared" si="43"/>
        <v>122.17259241961095</v>
      </c>
      <c r="N140" s="251">
        <f t="shared" si="44"/>
        <v>244.3451848392219</v>
      </c>
      <c r="O140" s="251">
        <f>+C127+D128+D129+D130+D131+D132+D133+D134+D135+D136+D137+D138+D139+(D140/2)</f>
        <v>0</v>
      </c>
      <c r="P140" s="251">
        <f t="shared" si="45"/>
        <v>0</v>
      </c>
      <c r="Q140" s="251">
        <f t="shared" si="46"/>
        <v>0</v>
      </c>
      <c r="R140" s="251">
        <f t="shared" si="54"/>
        <v>146.5</v>
      </c>
      <c r="S140" s="251">
        <f t="shared" si="68"/>
        <v>146.5</v>
      </c>
      <c r="T140" s="252">
        <f t="shared" si="47"/>
        <v>146.5</v>
      </c>
      <c r="V140" s="282">
        <f t="shared" si="48"/>
        <v>0</v>
      </c>
      <c r="W140" s="282"/>
      <c r="X140" s="282"/>
      <c r="Y140" s="282"/>
      <c r="Z140" s="282"/>
      <c r="AA140" s="282"/>
      <c r="AB140" s="300" t="str">
        <f t="shared" si="55"/>
        <v>pin in groundstacking hole</v>
      </c>
      <c r="AC140" s="451"/>
      <c r="AD140" s="451"/>
      <c r="AE140" s="451"/>
      <c r="AF140" s="282">
        <f t="shared" si="69"/>
        <v>0</v>
      </c>
      <c r="AG140" s="301">
        <f>SUM(D128:D140)+$C$127</f>
        <v>0</v>
      </c>
      <c r="AH140" s="301"/>
      <c r="AI140" s="173">
        <f t="shared" si="56"/>
        <v>69.344714800000006</v>
      </c>
      <c r="AJ140" s="284">
        <f t="shared" si="49"/>
        <v>0.93571960494171247</v>
      </c>
      <c r="AK140" s="174">
        <f t="shared" si="57"/>
        <v>180.0511663828843</v>
      </c>
      <c r="AL140" s="173">
        <f t="shared" si="58"/>
        <v>50.174479900000001</v>
      </c>
      <c r="AM140" s="285">
        <f t="shared" si="59"/>
        <v>0.76799833627881664</v>
      </c>
      <c r="AN140" s="174">
        <f t="shared" si="60"/>
        <v>146.50336262854705</v>
      </c>
      <c r="AO140" s="286"/>
      <c r="AP140" s="174">
        <f t="shared" si="70"/>
        <v>-306</v>
      </c>
      <c r="AQ140" s="288"/>
      <c r="AR140" s="288">
        <f t="shared" si="61"/>
        <v>326.55452901143133</v>
      </c>
      <c r="AS140" s="289">
        <f t="shared" si="72"/>
        <v>-146.50336262854705</v>
      </c>
      <c r="AT140" s="289"/>
      <c r="AU140" s="289">
        <f t="shared" si="71"/>
        <v>146.50336262854705</v>
      </c>
      <c r="AV140" s="291">
        <f t="shared" si="62"/>
        <v>-168.71809152349536</v>
      </c>
      <c r="AW140" s="291">
        <f t="shared" si="63"/>
        <v>-137.28190847650464</v>
      </c>
      <c r="AX140" s="292">
        <f t="shared" si="64"/>
        <v>-68.753741197840696</v>
      </c>
      <c r="AY140" s="292">
        <f t="shared" si="65"/>
        <v>-72.842810177798981</v>
      </c>
      <c r="AZ140" s="294">
        <f t="shared" si="66"/>
        <v>68.753741197840696</v>
      </c>
      <c r="BA140" s="294">
        <f t="shared" si="66"/>
        <v>72.842810177798981</v>
      </c>
      <c r="BB140">
        <f t="shared" si="67"/>
        <v>0.3</v>
      </c>
      <c r="BF140" s="27"/>
      <c r="BG140" s="27"/>
      <c r="BH140" s="27"/>
      <c r="BI140" s="27"/>
      <c r="BJ140" s="27"/>
      <c r="BK140" s="27"/>
      <c r="BL140" s="27"/>
      <c r="BM140" s="27"/>
      <c r="BN140" s="27"/>
      <c r="BO140" s="14"/>
      <c r="CQ140" s="27"/>
      <c r="CR140" s="27"/>
      <c r="CS140" s="27"/>
      <c r="CT140" s="27"/>
      <c r="CU140" s="27"/>
      <c r="CV140" s="27"/>
    </row>
    <row r="141" spans="1:122" ht="21" customHeight="1" thickBot="1" x14ac:dyDescent="0.35">
      <c r="B141" s="88">
        <v>15</v>
      </c>
      <c r="C141" s="20"/>
      <c r="D141" s="738">
        <v>0</v>
      </c>
      <c r="E141" s="333" t="s">
        <v>72</v>
      </c>
      <c r="F141" s="81">
        <f t="shared" si="50"/>
        <v>0.3</v>
      </c>
      <c r="G141" s="81">
        <f t="shared" si="51"/>
        <v>0.3</v>
      </c>
      <c r="H141" s="299">
        <v>190.76</v>
      </c>
      <c r="I141" s="318">
        <v>79.651040199999997</v>
      </c>
      <c r="J141" s="251">
        <f t="shared" si="52"/>
        <v>79.651040199999997</v>
      </c>
      <c r="K141" s="251">
        <f t="shared" si="53"/>
        <v>39.825520099999999</v>
      </c>
      <c r="L141" s="251">
        <f t="shared" si="42"/>
        <v>0.64045183696587837</v>
      </c>
      <c r="M141" s="251">
        <f t="shared" si="43"/>
        <v>122.17259241961095</v>
      </c>
      <c r="N141" s="251">
        <f t="shared" si="44"/>
        <v>244.3451848392219</v>
      </c>
      <c r="O141" s="251">
        <f>+C127+D128+D129+D130+D131+D132+D133+D134+D135+D136+D137+D138+D139+D140+(D141/2)</f>
        <v>0</v>
      </c>
      <c r="P141" s="251">
        <f t="shared" si="45"/>
        <v>0</v>
      </c>
      <c r="Q141" s="251">
        <f t="shared" si="46"/>
        <v>0</v>
      </c>
      <c r="R141" s="251">
        <f t="shared" si="54"/>
        <v>146.5</v>
      </c>
      <c r="S141" s="251">
        <f t="shared" si="68"/>
        <v>146.5</v>
      </c>
      <c r="T141" s="252">
        <f t="shared" si="47"/>
        <v>146.5</v>
      </c>
      <c r="V141" s="282">
        <f t="shared" si="48"/>
        <v>0</v>
      </c>
      <c r="W141" s="282"/>
      <c r="X141" s="282"/>
      <c r="Y141" s="282"/>
      <c r="Z141" s="282"/>
      <c r="AA141" s="282"/>
      <c r="AB141" s="300" t="str">
        <f t="shared" si="55"/>
        <v>pin in groundstacking hole</v>
      </c>
      <c r="AC141" s="451"/>
      <c r="AD141" s="451"/>
      <c r="AE141" s="451"/>
      <c r="AF141" s="282">
        <f t="shared" si="69"/>
        <v>0</v>
      </c>
      <c r="AG141" s="301">
        <f>SUM(D128:D141)+$C$127</f>
        <v>0</v>
      </c>
      <c r="AH141" s="301"/>
      <c r="AI141" s="173">
        <f t="shared" si="56"/>
        <v>69.344714800000006</v>
      </c>
      <c r="AJ141" s="284">
        <f t="shared" si="49"/>
        <v>0.93571960494171247</v>
      </c>
      <c r="AK141" s="174">
        <f t="shared" si="57"/>
        <v>180.0511663828843</v>
      </c>
      <c r="AL141" s="173">
        <f t="shared" si="58"/>
        <v>50.174479900000001</v>
      </c>
      <c r="AM141" s="285">
        <f t="shared" si="59"/>
        <v>0.76799833627881664</v>
      </c>
      <c r="AN141" s="174">
        <f t="shared" si="60"/>
        <v>146.50336262854705</v>
      </c>
      <c r="AO141" s="286"/>
      <c r="AP141" s="174">
        <f t="shared" si="70"/>
        <v>-331.5</v>
      </c>
      <c r="AQ141" s="288"/>
      <c r="AR141" s="288">
        <f t="shared" si="61"/>
        <v>326.55452901143133</v>
      </c>
      <c r="AS141" s="289">
        <f t="shared" si="72"/>
        <v>-146.50336262854705</v>
      </c>
      <c r="AT141" s="289"/>
      <c r="AU141" s="289">
        <f t="shared" si="71"/>
        <v>146.50336262854705</v>
      </c>
      <c r="AV141" s="291">
        <f t="shared" si="62"/>
        <v>-182.77793248378663</v>
      </c>
      <c r="AW141" s="291">
        <f t="shared" si="63"/>
        <v>-148.72206751621337</v>
      </c>
      <c r="AX141" s="292">
        <f t="shared" si="64"/>
        <v>-63.464991874929879</v>
      </c>
      <c r="AY141" s="292">
        <f t="shared" si="65"/>
        <v>-67.239517087199047</v>
      </c>
      <c r="AZ141" s="294">
        <f t="shared" si="66"/>
        <v>63.464991874929879</v>
      </c>
      <c r="BA141" s="294">
        <f t="shared" si="66"/>
        <v>67.239517087199047</v>
      </c>
      <c r="BB141">
        <f t="shared" si="67"/>
        <v>0.3</v>
      </c>
      <c r="BF141" s="27"/>
      <c r="BG141" s="27"/>
      <c r="BH141" s="27"/>
      <c r="BI141" s="27"/>
      <c r="BJ141" s="27"/>
      <c r="BK141" s="27"/>
      <c r="BL141" s="27"/>
      <c r="BM141" s="27"/>
      <c r="BN141" s="27"/>
      <c r="BO141" s="14"/>
      <c r="CQ141" s="27"/>
      <c r="CR141" s="27"/>
      <c r="CS141" s="27"/>
      <c r="CT141" s="27"/>
      <c r="CU141" s="27"/>
    </row>
    <row r="142" spans="1:122" ht="21" customHeight="1" thickBot="1" x14ac:dyDescent="0.35">
      <c r="B142" s="88">
        <v>16</v>
      </c>
      <c r="C142" s="20"/>
      <c r="D142" s="738">
        <v>0</v>
      </c>
      <c r="E142" s="333" t="s">
        <v>72</v>
      </c>
      <c r="F142" s="81">
        <f t="shared" si="50"/>
        <v>0.3</v>
      </c>
      <c r="G142" s="81">
        <f t="shared" si="51"/>
        <v>0.3</v>
      </c>
      <c r="H142" s="299">
        <v>190.76</v>
      </c>
      <c r="I142" s="318">
        <v>79.651040199999997</v>
      </c>
      <c r="J142" s="251">
        <f t="shared" si="52"/>
        <v>79.651040199999997</v>
      </c>
      <c r="K142" s="251">
        <f t="shared" si="53"/>
        <v>39.825520099999999</v>
      </c>
      <c r="L142" s="251">
        <f t="shared" si="42"/>
        <v>0.64045183696587837</v>
      </c>
      <c r="M142" s="251">
        <f t="shared" si="43"/>
        <v>122.17259241961095</v>
      </c>
      <c r="N142" s="251">
        <f t="shared" si="44"/>
        <v>244.3451848392219</v>
      </c>
      <c r="O142" s="251">
        <f>+C127+D128+D129+D130+D131+D132+D133+D134+D135+D136+D137+D138+D139+D140+D141+(D142/2)</f>
        <v>0</v>
      </c>
      <c r="P142" s="251">
        <f t="shared" si="45"/>
        <v>0</v>
      </c>
      <c r="Q142" s="251">
        <f t="shared" si="46"/>
        <v>0</v>
      </c>
      <c r="R142" s="251">
        <f t="shared" si="54"/>
        <v>146.5</v>
      </c>
      <c r="S142" s="251">
        <f t="shared" si="68"/>
        <v>146.5</v>
      </c>
      <c r="T142" s="252">
        <f t="shared" si="47"/>
        <v>146.5</v>
      </c>
      <c r="V142" s="282">
        <f t="shared" si="48"/>
        <v>0</v>
      </c>
      <c r="W142" s="282"/>
      <c r="X142" s="282"/>
      <c r="Y142" s="282"/>
      <c r="Z142" s="282"/>
      <c r="AA142" s="282"/>
      <c r="AB142" s="300" t="str">
        <f t="shared" si="55"/>
        <v>pin in groundstacking hole</v>
      </c>
      <c r="AC142" s="451"/>
      <c r="AD142" s="451"/>
      <c r="AE142" s="451"/>
      <c r="AF142" s="282">
        <f t="shared" si="69"/>
        <v>0</v>
      </c>
      <c r="AG142" s="301">
        <f>SUM(D128:D142)+$C$127</f>
        <v>0</v>
      </c>
      <c r="AH142" s="301"/>
      <c r="AI142" s="173">
        <f t="shared" si="56"/>
        <v>69.344714800000006</v>
      </c>
      <c r="AJ142" s="284">
        <f t="shared" si="49"/>
        <v>0.93571960494171247</v>
      </c>
      <c r="AK142" s="174">
        <f t="shared" si="57"/>
        <v>180.0511663828843</v>
      </c>
      <c r="AL142" s="173">
        <f t="shared" si="58"/>
        <v>50.174479900000001</v>
      </c>
      <c r="AM142" s="285">
        <f t="shared" si="59"/>
        <v>0.76799833627881664</v>
      </c>
      <c r="AN142" s="174">
        <f t="shared" si="60"/>
        <v>146.50336262854705</v>
      </c>
      <c r="AO142" s="286"/>
      <c r="AP142" s="174">
        <f t="shared" si="70"/>
        <v>-357</v>
      </c>
      <c r="AQ142" s="288"/>
      <c r="AR142" s="288">
        <f t="shared" si="61"/>
        <v>326.55452901143133</v>
      </c>
      <c r="AS142" s="289">
        <f t="shared" si="72"/>
        <v>-146.50336262854705</v>
      </c>
      <c r="AT142" s="289"/>
      <c r="AU142" s="289">
        <f t="shared" si="71"/>
        <v>146.50336262854705</v>
      </c>
      <c r="AV142" s="291">
        <f t="shared" si="62"/>
        <v>-196.83777344407792</v>
      </c>
      <c r="AW142" s="291">
        <f t="shared" si="63"/>
        <v>-160.16222655592208</v>
      </c>
      <c r="AX142" s="292">
        <f t="shared" si="64"/>
        <v>-58.93177816957774</v>
      </c>
      <c r="AY142" s="292">
        <f t="shared" si="65"/>
        <v>-62.436694438113413</v>
      </c>
      <c r="AZ142" s="294">
        <f t="shared" si="66"/>
        <v>58.93177816957774</v>
      </c>
      <c r="BA142" s="294">
        <f t="shared" si="66"/>
        <v>62.436694438113413</v>
      </c>
      <c r="BB142">
        <f t="shared" si="67"/>
        <v>0.3</v>
      </c>
      <c r="BF142" s="27"/>
      <c r="BG142" s="27"/>
      <c r="BH142" s="27"/>
      <c r="BI142" s="27"/>
      <c r="BJ142" s="27"/>
      <c r="BK142" s="27"/>
      <c r="BL142" s="27"/>
      <c r="BM142" s="27"/>
      <c r="BN142" s="27"/>
      <c r="BO142" s="14"/>
      <c r="CQ142" s="27"/>
      <c r="CR142" s="27"/>
      <c r="CS142" s="27"/>
      <c r="CT142" s="27"/>
      <c r="CU142" s="27"/>
      <c r="CV142" s="63"/>
    </row>
    <row r="143" spans="1:122" ht="21" customHeight="1" thickBot="1" x14ac:dyDescent="0.35">
      <c r="B143" s="88">
        <v>17</v>
      </c>
      <c r="C143" s="20"/>
      <c r="D143" s="738">
        <v>0</v>
      </c>
      <c r="E143" s="333" t="s">
        <v>72</v>
      </c>
      <c r="F143" s="81">
        <f t="shared" si="50"/>
        <v>0.3</v>
      </c>
      <c r="G143" s="81">
        <f t="shared" si="51"/>
        <v>0.3</v>
      </c>
      <c r="H143" s="299">
        <v>190.76</v>
      </c>
      <c r="I143" s="318">
        <v>79.651040199999997</v>
      </c>
      <c r="J143" s="251">
        <f t="shared" si="52"/>
        <v>79.651040199999997</v>
      </c>
      <c r="K143" s="251">
        <f t="shared" si="53"/>
        <v>39.825520099999999</v>
      </c>
      <c r="L143" s="251">
        <f t="shared" si="42"/>
        <v>0.64045183696587837</v>
      </c>
      <c r="M143" s="251">
        <f t="shared" si="43"/>
        <v>122.17259241961095</v>
      </c>
      <c r="N143" s="251">
        <f t="shared" si="44"/>
        <v>244.3451848392219</v>
      </c>
      <c r="O143" s="251">
        <f>+C127+D128+D129+D130+D131+D132+D133+D134+D135+D136+D137+D138+D139+D140+D141+D142+(D143/2)</f>
        <v>0</v>
      </c>
      <c r="P143" s="251">
        <f t="shared" si="45"/>
        <v>0</v>
      </c>
      <c r="Q143" s="251">
        <f t="shared" si="46"/>
        <v>0</v>
      </c>
      <c r="R143" s="251">
        <f t="shared" si="54"/>
        <v>146.5</v>
      </c>
      <c r="S143" s="251">
        <f t="shared" si="68"/>
        <v>146.5</v>
      </c>
      <c r="T143" s="252">
        <f t="shared" si="47"/>
        <v>146.5</v>
      </c>
      <c r="V143" s="282">
        <f t="shared" si="48"/>
        <v>0</v>
      </c>
      <c r="W143" s="282"/>
      <c r="X143" s="282"/>
      <c r="Y143" s="282"/>
      <c r="Z143" s="282"/>
      <c r="AA143" s="282"/>
      <c r="AB143" s="300" t="str">
        <f t="shared" si="55"/>
        <v>pin in groundstacking hole</v>
      </c>
      <c r="AC143" s="451"/>
      <c r="AD143" s="451"/>
      <c r="AE143" s="451"/>
      <c r="AF143" s="282">
        <f t="shared" si="69"/>
        <v>0</v>
      </c>
      <c r="AG143" s="301">
        <f>SUM(D128:D143)+$C$127</f>
        <v>0</v>
      </c>
      <c r="AH143" s="301"/>
      <c r="AI143" s="173">
        <f t="shared" si="56"/>
        <v>69.344714800000006</v>
      </c>
      <c r="AJ143" s="284">
        <f t="shared" si="49"/>
        <v>0.93571960494171247</v>
      </c>
      <c r="AK143" s="174">
        <f t="shared" si="57"/>
        <v>180.0511663828843</v>
      </c>
      <c r="AL143" s="173">
        <f t="shared" si="58"/>
        <v>50.174479900000001</v>
      </c>
      <c r="AM143" s="285">
        <f t="shared" si="59"/>
        <v>0.76799833627881664</v>
      </c>
      <c r="AN143" s="174">
        <f t="shared" si="60"/>
        <v>146.50336262854705</v>
      </c>
      <c r="AO143" s="286"/>
      <c r="AP143" s="174">
        <f t="shared" si="70"/>
        <v>-382.5</v>
      </c>
      <c r="AQ143" s="288"/>
      <c r="AR143" s="288">
        <f t="shared" si="61"/>
        <v>326.55452901143133</v>
      </c>
      <c r="AS143" s="289">
        <f t="shared" si="72"/>
        <v>-146.50336262854705</v>
      </c>
      <c r="AT143" s="289"/>
      <c r="AU143" s="289">
        <f t="shared" si="71"/>
        <v>146.50336262854705</v>
      </c>
      <c r="AV143" s="291">
        <f t="shared" si="62"/>
        <v>-210.89761440436919</v>
      </c>
      <c r="AW143" s="291">
        <f t="shared" si="63"/>
        <v>-171.60238559563081</v>
      </c>
      <c r="AX143" s="292">
        <f t="shared" si="64"/>
        <v>-55.002992958272557</v>
      </c>
      <c r="AY143" s="292">
        <f t="shared" si="65"/>
        <v>-58.27424814223918</v>
      </c>
      <c r="AZ143" s="294">
        <f t="shared" si="66"/>
        <v>55.002992958272557</v>
      </c>
      <c r="BA143" s="294">
        <f t="shared" si="66"/>
        <v>58.27424814223918</v>
      </c>
      <c r="BB143">
        <f t="shared" si="67"/>
        <v>0.3</v>
      </c>
      <c r="BF143" s="27"/>
      <c r="BG143" s="27"/>
      <c r="BH143" s="27"/>
      <c r="BI143" s="27"/>
      <c r="BJ143" s="27"/>
      <c r="BK143" s="27"/>
      <c r="BL143" s="27"/>
      <c r="BM143" s="27"/>
      <c r="BN143" s="27"/>
      <c r="BO143" s="14"/>
      <c r="CQ143" s="27"/>
      <c r="CR143" s="27"/>
      <c r="CS143" s="27"/>
      <c r="CT143" s="27"/>
      <c r="CU143" s="27"/>
      <c r="CV143" s="27"/>
      <c r="CW143" s="27"/>
      <c r="CX143" s="10"/>
      <c r="CY143" s="10"/>
      <c r="CZ143" s="10"/>
      <c r="DA143" s="10"/>
      <c r="DB143" s="10"/>
      <c r="DC143" s="10"/>
      <c r="DD143" s="49"/>
      <c r="DE143" s="49"/>
      <c r="DF143" s="49"/>
      <c r="DG143" s="49"/>
      <c r="DH143" s="49"/>
      <c r="DI143" s="49"/>
      <c r="DJ143" s="49"/>
      <c r="DK143" s="49"/>
      <c r="DL143" s="49"/>
      <c r="DM143" s="49"/>
      <c r="DN143" s="49"/>
      <c r="DO143" s="49"/>
      <c r="DP143" s="49"/>
      <c r="DQ143" s="49"/>
      <c r="DR143" s="7"/>
    </row>
    <row r="144" spans="1:122" ht="21" customHeight="1" thickBot="1" x14ac:dyDescent="0.35">
      <c r="B144" s="88">
        <v>18</v>
      </c>
      <c r="C144" s="20"/>
      <c r="D144" s="738">
        <v>0</v>
      </c>
      <c r="E144" s="333" t="s">
        <v>72</v>
      </c>
      <c r="F144" s="81">
        <f t="shared" si="50"/>
        <v>0.3</v>
      </c>
      <c r="G144" s="81">
        <f t="shared" si="51"/>
        <v>0.3</v>
      </c>
      <c r="H144" s="299">
        <v>190.76</v>
      </c>
      <c r="I144" s="318">
        <v>79.651040199999997</v>
      </c>
      <c r="J144" s="251">
        <f t="shared" si="52"/>
        <v>79.651040199999997</v>
      </c>
      <c r="K144" s="251">
        <f t="shared" si="53"/>
        <v>39.825520099999999</v>
      </c>
      <c r="L144" s="251">
        <f t="shared" si="42"/>
        <v>0.64045183696587837</v>
      </c>
      <c r="M144" s="251">
        <f t="shared" si="43"/>
        <v>122.17259241961095</v>
      </c>
      <c r="N144" s="251">
        <f t="shared" si="44"/>
        <v>244.3451848392219</v>
      </c>
      <c r="O144" s="251">
        <f>+C127+D128+D129+D130+D131+D132+D133+D134+D135+D136+D137+D138+D139+D140+D141+D142+D143+(D144/2)</f>
        <v>0</v>
      </c>
      <c r="P144" s="251">
        <f t="shared" si="45"/>
        <v>0</v>
      </c>
      <c r="Q144" s="251">
        <f t="shared" si="46"/>
        <v>0</v>
      </c>
      <c r="R144" s="251">
        <f t="shared" si="54"/>
        <v>146.5</v>
      </c>
      <c r="S144" s="251">
        <f t="shared" si="68"/>
        <v>146.5</v>
      </c>
      <c r="T144" s="252">
        <f t="shared" si="47"/>
        <v>146.5</v>
      </c>
      <c r="V144" s="282">
        <f t="shared" si="48"/>
        <v>0</v>
      </c>
      <c r="W144" s="282"/>
      <c r="X144" s="282"/>
      <c r="Y144" s="282"/>
      <c r="Z144" s="282"/>
      <c r="AA144" s="282"/>
      <c r="AB144" s="300" t="str">
        <f t="shared" si="55"/>
        <v>pin in groundstacking hole</v>
      </c>
      <c r="AC144" s="451"/>
      <c r="AD144" s="451"/>
      <c r="AE144" s="451"/>
      <c r="AF144" s="282">
        <f t="shared" si="69"/>
        <v>0</v>
      </c>
      <c r="AG144" s="301">
        <f>SUM(D128:D144)+$C$127</f>
        <v>0</v>
      </c>
      <c r="AH144" s="301"/>
      <c r="AI144" s="173">
        <f t="shared" si="56"/>
        <v>69.344714800000006</v>
      </c>
      <c r="AJ144" s="284">
        <f t="shared" si="49"/>
        <v>0.93571960494171247</v>
      </c>
      <c r="AK144" s="174">
        <f t="shared" si="57"/>
        <v>180.0511663828843</v>
      </c>
      <c r="AL144" s="173">
        <f t="shared" si="58"/>
        <v>50.174479900000001</v>
      </c>
      <c r="AM144" s="285">
        <f t="shared" si="59"/>
        <v>0.76799833627881664</v>
      </c>
      <c r="AN144" s="174">
        <f t="shared" si="60"/>
        <v>146.50336262854705</v>
      </c>
      <c r="AO144" s="286"/>
      <c r="AP144" s="174">
        <f t="shared" si="70"/>
        <v>-408</v>
      </c>
      <c r="AQ144" s="288"/>
      <c r="AR144" s="288">
        <f t="shared" si="61"/>
        <v>326.55452901143133</v>
      </c>
      <c r="AS144" s="289">
        <f t="shared" si="72"/>
        <v>-146.50336262854705</v>
      </c>
      <c r="AT144" s="289"/>
      <c r="AU144" s="289">
        <f t="shared" si="71"/>
        <v>146.50336262854705</v>
      </c>
      <c r="AV144" s="291">
        <f t="shared" si="62"/>
        <v>-224.95745536466046</v>
      </c>
      <c r="AW144" s="291">
        <f t="shared" si="63"/>
        <v>-183.04254463533954</v>
      </c>
      <c r="AX144" s="292">
        <f t="shared" si="64"/>
        <v>-51.565305898380529</v>
      </c>
      <c r="AY144" s="292">
        <f t="shared" si="65"/>
        <v>-54.632107633349229</v>
      </c>
      <c r="AZ144" s="294">
        <f t="shared" si="66"/>
        <v>51.565305898380529</v>
      </c>
      <c r="BA144" s="294">
        <f t="shared" si="66"/>
        <v>54.632107633349229</v>
      </c>
      <c r="BB144">
        <f t="shared" si="67"/>
        <v>0.3</v>
      </c>
      <c r="BF144" s="27"/>
      <c r="BG144" s="27"/>
      <c r="BH144" s="27"/>
      <c r="BI144" s="27"/>
      <c r="BJ144" s="27"/>
      <c r="BK144" s="27"/>
      <c r="BL144" s="27"/>
      <c r="BM144" s="27"/>
      <c r="BN144" s="27"/>
      <c r="BO144" s="14"/>
      <c r="CW144" s="35"/>
      <c r="CX144" s="10"/>
      <c r="CY144" s="10"/>
      <c r="CZ144" s="10"/>
      <c r="DA144" s="10"/>
      <c r="DB144" s="10"/>
      <c r="DC144" s="10"/>
      <c r="DD144" s="49"/>
      <c r="DE144" s="49"/>
      <c r="DF144" s="49"/>
      <c r="DG144" s="49"/>
      <c r="DH144" s="49"/>
      <c r="DI144" s="49"/>
      <c r="DJ144" s="49"/>
      <c r="DK144" s="49"/>
      <c r="DL144" s="49"/>
      <c r="DM144" s="49"/>
      <c r="DN144" s="49"/>
      <c r="DO144" s="49"/>
      <c r="DP144" s="49"/>
      <c r="DQ144" s="49"/>
      <c r="DR144" s="7"/>
    </row>
    <row r="145" spans="2:126" ht="21" customHeight="1" thickBot="1" x14ac:dyDescent="0.35">
      <c r="B145" s="88">
        <v>19</v>
      </c>
      <c r="C145" s="20"/>
      <c r="D145" s="738">
        <v>0</v>
      </c>
      <c r="E145" s="333" t="s">
        <v>72</v>
      </c>
      <c r="F145" s="81">
        <f t="shared" si="50"/>
        <v>0.3</v>
      </c>
      <c r="G145" s="81">
        <f t="shared" si="51"/>
        <v>0.3</v>
      </c>
      <c r="H145" s="299">
        <v>190.76</v>
      </c>
      <c r="I145" s="318">
        <v>79.651040199999997</v>
      </c>
      <c r="J145" s="251">
        <f t="shared" si="52"/>
        <v>79.651040199999997</v>
      </c>
      <c r="K145" s="251">
        <f t="shared" si="53"/>
        <v>39.825520099999999</v>
      </c>
      <c r="L145" s="251">
        <f t="shared" si="42"/>
        <v>0.64045183696587837</v>
      </c>
      <c r="M145" s="251">
        <f t="shared" si="43"/>
        <v>122.17259241961095</v>
      </c>
      <c r="N145" s="251">
        <f t="shared" si="44"/>
        <v>244.3451848392219</v>
      </c>
      <c r="O145" s="251">
        <f>+C127+D128+D129+D130+D131+D132+D133+D134+D135+D136+D137+D138+D139+D140+D141+D142+D143+D144+(D145/2)</f>
        <v>0</v>
      </c>
      <c r="P145" s="251">
        <f t="shared" si="45"/>
        <v>0</v>
      </c>
      <c r="Q145" s="251">
        <f t="shared" si="46"/>
        <v>0</v>
      </c>
      <c r="R145" s="251">
        <f t="shared" si="54"/>
        <v>146.5</v>
      </c>
      <c r="S145" s="251">
        <f t="shared" si="68"/>
        <v>146.5</v>
      </c>
      <c r="T145" s="252">
        <f t="shared" si="47"/>
        <v>146.5</v>
      </c>
      <c r="V145" s="282">
        <f t="shared" si="48"/>
        <v>0</v>
      </c>
      <c r="W145" s="282"/>
      <c r="X145" s="282"/>
      <c r="Y145" s="282"/>
      <c r="Z145" s="282"/>
      <c r="AA145" s="282"/>
      <c r="AB145" s="300" t="str">
        <f t="shared" si="55"/>
        <v>pin in groundstacking hole</v>
      </c>
      <c r="AC145" s="451"/>
      <c r="AD145" s="451"/>
      <c r="AE145" s="451"/>
      <c r="AF145" s="282">
        <f t="shared" si="69"/>
        <v>0</v>
      </c>
      <c r="AG145" s="301">
        <f>SUM(D127:D145)+$C$127</f>
        <v>0</v>
      </c>
      <c r="AH145" s="301"/>
      <c r="AI145" s="173">
        <f t="shared" si="56"/>
        <v>69.344714800000006</v>
      </c>
      <c r="AJ145" s="284">
        <f t="shared" si="49"/>
        <v>0.93571960494171247</v>
      </c>
      <c r="AK145" s="174">
        <f t="shared" si="57"/>
        <v>180.0511663828843</v>
      </c>
      <c r="AL145" s="173">
        <f t="shared" si="58"/>
        <v>50.174479900000001</v>
      </c>
      <c r="AM145" s="285">
        <f t="shared" si="59"/>
        <v>0.76799833627881664</v>
      </c>
      <c r="AN145" s="174">
        <f t="shared" si="60"/>
        <v>146.50336262854705</v>
      </c>
      <c r="AO145" s="286"/>
      <c r="AP145" s="174">
        <f t="shared" si="70"/>
        <v>-433.5</v>
      </c>
      <c r="AQ145" s="288"/>
      <c r="AR145" s="288">
        <f t="shared" si="61"/>
        <v>326.55452901143133</v>
      </c>
      <c r="AS145" s="289">
        <f t="shared" si="72"/>
        <v>-146.50336262854705</v>
      </c>
      <c r="AT145" s="289"/>
      <c r="AU145" s="289">
        <f t="shared" si="71"/>
        <v>146.50336262854705</v>
      </c>
      <c r="AV145" s="291">
        <f t="shared" si="62"/>
        <v>-239.01729632495176</v>
      </c>
      <c r="AW145" s="291">
        <f t="shared" si="63"/>
        <v>-194.48270367504824</v>
      </c>
      <c r="AX145" s="292">
        <f t="shared" si="64"/>
        <v>-48.532052610240491</v>
      </c>
      <c r="AY145" s="292">
        <f t="shared" si="65"/>
        <v>-51.418454243152219</v>
      </c>
      <c r="AZ145" s="294">
        <f t="shared" si="66"/>
        <v>48.532052610240491</v>
      </c>
      <c r="BA145" s="294">
        <f t="shared" si="66"/>
        <v>51.418454243152219</v>
      </c>
      <c r="BB145">
        <f t="shared" si="67"/>
        <v>0.3</v>
      </c>
      <c r="BF145" s="27"/>
      <c r="BG145" s="27"/>
      <c r="BH145" s="27"/>
      <c r="BI145" s="27"/>
      <c r="BJ145" s="27"/>
      <c r="BK145" s="27"/>
      <c r="BL145" s="27"/>
      <c r="BM145" s="27"/>
      <c r="BN145" s="27"/>
      <c r="BO145" s="14"/>
      <c r="CW145" s="33"/>
      <c r="CX145" s="10"/>
      <c r="CY145" s="10"/>
      <c r="CZ145" s="10"/>
      <c r="DA145" s="10"/>
      <c r="DB145" s="10"/>
      <c r="DC145" s="10"/>
      <c r="DD145" s="49"/>
      <c r="DE145" s="49"/>
      <c r="DF145" s="49"/>
      <c r="DG145" s="49"/>
      <c r="DH145" s="49"/>
      <c r="DI145" s="49"/>
      <c r="DJ145" s="49"/>
      <c r="DK145" s="49"/>
      <c r="DL145" s="49"/>
      <c r="DM145" s="49"/>
      <c r="DN145" s="49"/>
      <c r="DO145" s="49"/>
      <c r="DP145" s="49"/>
      <c r="DQ145" s="49"/>
      <c r="DR145" s="7"/>
    </row>
    <row r="146" spans="2:126" ht="21" customHeight="1" thickBot="1" x14ac:dyDescent="0.35">
      <c r="B146" s="88">
        <v>20</v>
      </c>
      <c r="C146" s="20"/>
      <c r="D146" s="738">
        <v>0</v>
      </c>
      <c r="E146" s="333" t="s">
        <v>72</v>
      </c>
      <c r="F146" s="81">
        <f t="shared" si="50"/>
        <v>0.3</v>
      </c>
      <c r="G146" s="81">
        <f t="shared" si="51"/>
        <v>0.3</v>
      </c>
      <c r="H146" s="299">
        <v>190.76</v>
      </c>
      <c r="I146" s="318">
        <v>79.651040199999997</v>
      </c>
      <c r="J146" s="251">
        <f t="shared" si="52"/>
        <v>79.651040199999997</v>
      </c>
      <c r="K146" s="251">
        <f t="shared" si="53"/>
        <v>39.825520099999999</v>
      </c>
      <c r="L146" s="251">
        <f t="shared" si="42"/>
        <v>0.64045183696587837</v>
      </c>
      <c r="M146" s="251">
        <f t="shared" si="43"/>
        <v>122.17259241961095</v>
      </c>
      <c r="N146" s="251">
        <f t="shared" si="44"/>
        <v>244.3451848392219</v>
      </c>
      <c r="O146" s="251">
        <f>+C127+D128+D129+D130+D131+D132+D133+D134+D135+D136+D137+D138+D139+D140+D141+D142+D143+D144+D145+(D146/2)</f>
        <v>0</v>
      </c>
      <c r="P146" s="251">
        <f t="shared" si="45"/>
        <v>0</v>
      </c>
      <c r="Q146" s="251">
        <f t="shared" si="46"/>
        <v>0</v>
      </c>
      <c r="R146" s="251">
        <f t="shared" si="54"/>
        <v>146.5</v>
      </c>
      <c r="S146" s="251">
        <f t="shared" si="68"/>
        <v>146.5</v>
      </c>
      <c r="T146" s="252">
        <f t="shared" si="47"/>
        <v>146.5</v>
      </c>
      <c r="V146" s="282">
        <f t="shared" si="48"/>
        <v>0</v>
      </c>
      <c r="W146" s="282"/>
      <c r="X146" s="282"/>
      <c r="Y146" s="282"/>
      <c r="Z146" s="282"/>
      <c r="AA146" s="282"/>
      <c r="AB146" s="300" t="str">
        <f t="shared" si="55"/>
        <v>pin in groundstacking hole</v>
      </c>
      <c r="AC146" s="451"/>
      <c r="AD146" s="451"/>
      <c r="AE146" s="451"/>
      <c r="AF146" s="282">
        <f t="shared" si="69"/>
        <v>0</v>
      </c>
      <c r="AG146" s="301">
        <f>SUM(D128:D146)+$C$127</f>
        <v>0</v>
      </c>
      <c r="AH146" s="301"/>
      <c r="AI146" s="173">
        <f t="shared" si="56"/>
        <v>69.344714800000006</v>
      </c>
      <c r="AJ146" s="284">
        <f t="shared" si="49"/>
        <v>0.93571960494171247</v>
      </c>
      <c r="AK146" s="174">
        <f t="shared" si="57"/>
        <v>180.0511663828843</v>
      </c>
      <c r="AL146" s="173">
        <f t="shared" si="58"/>
        <v>50.174479900000001</v>
      </c>
      <c r="AM146" s="285">
        <f t="shared" si="59"/>
        <v>0.76799833627881664</v>
      </c>
      <c r="AN146" s="174">
        <f t="shared" si="60"/>
        <v>146.50336262854705</v>
      </c>
      <c r="AO146" s="286"/>
      <c r="AP146" s="174">
        <f t="shared" si="70"/>
        <v>-459</v>
      </c>
      <c r="AQ146" s="288"/>
      <c r="AR146" s="288">
        <f t="shared" si="61"/>
        <v>326.55452901143133</v>
      </c>
      <c r="AS146" s="289">
        <f t="shared" si="72"/>
        <v>-146.50336262854705</v>
      </c>
      <c r="AT146" s="289"/>
      <c r="AU146" s="289">
        <f t="shared" si="71"/>
        <v>146.50336262854705</v>
      </c>
      <c r="AV146" s="291">
        <f t="shared" si="62"/>
        <v>-253.07713728524303</v>
      </c>
      <c r="AW146" s="291">
        <f t="shared" si="63"/>
        <v>-205.92286271475697</v>
      </c>
      <c r="AX146" s="292">
        <f t="shared" si="64"/>
        <v>-45.835827465227133</v>
      </c>
      <c r="AY146" s="292">
        <f t="shared" si="65"/>
        <v>-48.561873451865985</v>
      </c>
      <c r="AZ146" s="294">
        <f t="shared" si="66"/>
        <v>45.835827465227133</v>
      </c>
      <c r="BA146" s="294">
        <f t="shared" si="66"/>
        <v>48.561873451865985</v>
      </c>
      <c r="BB146">
        <f t="shared" si="67"/>
        <v>0.3</v>
      </c>
      <c r="BF146" s="27"/>
      <c r="BG146" s="27"/>
      <c r="BH146" s="27"/>
      <c r="BI146" s="27"/>
      <c r="BJ146" s="27"/>
      <c r="BK146" s="27"/>
      <c r="BL146" s="27"/>
      <c r="BM146" s="27"/>
      <c r="BN146" s="27"/>
      <c r="BO146" s="14"/>
      <c r="CW146" s="33"/>
      <c r="CX146" s="10"/>
      <c r="CY146" s="10"/>
      <c r="CZ146" s="10"/>
      <c r="DA146" s="10"/>
      <c r="DB146" s="10"/>
      <c r="DC146" s="10"/>
      <c r="DD146" s="49"/>
      <c r="DE146" s="49"/>
      <c r="DF146" s="49"/>
      <c r="DG146" s="49"/>
      <c r="DH146" s="49"/>
      <c r="DI146" s="49"/>
      <c r="DJ146" s="49"/>
      <c r="DK146" s="49"/>
      <c r="DL146" s="49"/>
      <c r="DM146" s="49"/>
      <c r="DN146" s="49"/>
      <c r="DO146" s="49"/>
      <c r="DP146" s="49"/>
      <c r="DQ146" s="49"/>
      <c r="DR146" s="7"/>
    </row>
    <row r="147" spans="2:126" ht="21" customHeight="1" thickBot="1" x14ac:dyDescent="0.35">
      <c r="B147" s="88">
        <v>21</v>
      </c>
      <c r="C147" s="20"/>
      <c r="D147" s="738">
        <v>0</v>
      </c>
      <c r="E147" s="333" t="s">
        <v>72</v>
      </c>
      <c r="F147" s="81">
        <f t="shared" si="50"/>
        <v>0.3</v>
      </c>
      <c r="G147" s="81">
        <f t="shared" si="51"/>
        <v>0.3</v>
      </c>
      <c r="H147" s="299">
        <v>190.76</v>
      </c>
      <c r="I147" s="318">
        <v>79.651040199999997</v>
      </c>
      <c r="J147" s="251">
        <f t="shared" si="52"/>
        <v>79.651040199999997</v>
      </c>
      <c r="K147" s="251">
        <f t="shared" si="53"/>
        <v>39.825520099999999</v>
      </c>
      <c r="L147" s="251">
        <f t="shared" si="42"/>
        <v>0.64045183696587837</v>
      </c>
      <c r="M147" s="251">
        <f t="shared" si="43"/>
        <v>122.17259241961095</v>
      </c>
      <c r="N147" s="251">
        <f t="shared" si="44"/>
        <v>244.3451848392219</v>
      </c>
      <c r="O147" s="251">
        <f>+C127+D128+D129+D130+D131+D132+D133+D134+D135+D136+D137+D138+D139+D140+D141+D142+D143+D144+D145+D146+(D147/2)</f>
        <v>0</v>
      </c>
      <c r="P147" s="251">
        <f t="shared" si="45"/>
        <v>0</v>
      </c>
      <c r="Q147" s="251">
        <f t="shared" si="46"/>
        <v>0</v>
      </c>
      <c r="R147" s="251">
        <f t="shared" si="54"/>
        <v>146.5</v>
      </c>
      <c r="S147" s="251">
        <f t="shared" si="68"/>
        <v>146.5</v>
      </c>
      <c r="T147" s="252">
        <f t="shared" si="47"/>
        <v>146.5</v>
      </c>
      <c r="V147" s="282">
        <f t="shared" si="48"/>
        <v>0</v>
      </c>
      <c r="W147" s="282"/>
      <c r="X147" s="282"/>
      <c r="Y147" s="282"/>
      <c r="Z147" s="282"/>
      <c r="AA147" s="282"/>
      <c r="AB147" s="300" t="str">
        <f t="shared" si="55"/>
        <v>pin in groundstacking hole</v>
      </c>
      <c r="AC147" s="451"/>
      <c r="AD147" s="451"/>
      <c r="AE147" s="451"/>
      <c r="AF147" s="282">
        <f t="shared" si="69"/>
        <v>0</v>
      </c>
      <c r="AG147" s="301">
        <f>SUM(D128:D147)+$C$127</f>
        <v>0</v>
      </c>
      <c r="AH147" s="301"/>
      <c r="AI147" s="173">
        <f t="shared" si="56"/>
        <v>69.344714800000006</v>
      </c>
      <c r="AJ147" s="284">
        <f t="shared" si="49"/>
        <v>0.93571960494171247</v>
      </c>
      <c r="AK147" s="174">
        <f t="shared" si="57"/>
        <v>180.0511663828843</v>
      </c>
      <c r="AL147" s="173">
        <f t="shared" si="58"/>
        <v>50.174479900000001</v>
      </c>
      <c r="AM147" s="285">
        <f t="shared" si="59"/>
        <v>0.76799833627881664</v>
      </c>
      <c r="AN147" s="174">
        <f t="shared" si="60"/>
        <v>146.50336262854705</v>
      </c>
      <c r="AO147" s="286"/>
      <c r="AP147" s="174">
        <f t="shared" si="70"/>
        <v>-484.5</v>
      </c>
      <c r="AQ147" s="288"/>
      <c r="AR147" s="288">
        <f t="shared" si="61"/>
        <v>326.55452901143133</v>
      </c>
      <c r="AS147" s="289">
        <f t="shared" si="72"/>
        <v>-146.50336262854705</v>
      </c>
      <c r="AT147" s="289"/>
      <c r="AU147" s="289">
        <f t="shared" si="71"/>
        <v>146.50336262854705</v>
      </c>
      <c r="AV147" s="291">
        <f t="shared" si="62"/>
        <v>-267.13697824553429</v>
      </c>
      <c r="AW147" s="291">
        <f t="shared" si="63"/>
        <v>-217.36302175446571</v>
      </c>
      <c r="AX147" s="292">
        <f t="shared" si="64"/>
        <v>-43.423415493373078</v>
      </c>
      <c r="AY147" s="292">
        <f t="shared" si="65"/>
        <v>-46.005985375451978</v>
      </c>
      <c r="AZ147" s="294">
        <f t="shared" si="66"/>
        <v>43.423415493373078</v>
      </c>
      <c r="BA147" s="294">
        <f t="shared" si="66"/>
        <v>46.005985375451978</v>
      </c>
      <c r="BB147">
        <f t="shared" si="67"/>
        <v>0.3</v>
      </c>
      <c r="BF147" s="27"/>
      <c r="BG147" s="27"/>
      <c r="BH147" s="27"/>
      <c r="BI147" s="27"/>
      <c r="BJ147" s="27"/>
      <c r="BK147" s="27"/>
      <c r="BL147" s="27"/>
      <c r="BM147" s="27"/>
      <c r="BN147" s="27"/>
      <c r="BO147" s="14"/>
      <c r="DQ147" s="60"/>
      <c r="DR147" s="60"/>
      <c r="DS147" s="60"/>
      <c r="DT147" s="60"/>
      <c r="DU147" s="60"/>
      <c r="DV147" s="60"/>
    </row>
    <row r="148" spans="2:126" ht="21" customHeight="1" thickBot="1" x14ac:dyDescent="0.35">
      <c r="B148" s="88">
        <v>22</v>
      </c>
      <c r="C148" s="20"/>
      <c r="D148" s="738">
        <v>0</v>
      </c>
      <c r="E148" s="333" t="s">
        <v>72</v>
      </c>
      <c r="F148" s="81">
        <f t="shared" si="50"/>
        <v>0.3</v>
      </c>
      <c r="G148" s="81">
        <f t="shared" si="51"/>
        <v>0.3</v>
      </c>
      <c r="H148" s="299">
        <v>190.76</v>
      </c>
      <c r="I148" s="318">
        <v>79.651040199999997</v>
      </c>
      <c r="J148" s="251">
        <f t="shared" si="52"/>
        <v>79.651040199999997</v>
      </c>
      <c r="K148" s="251">
        <f t="shared" si="53"/>
        <v>39.825520099999999</v>
      </c>
      <c r="L148" s="251">
        <f t="shared" si="42"/>
        <v>0.64045183696587837</v>
      </c>
      <c r="M148" s="251">
        <f t="shared" si="43"/>
        <v>122.17259241961095</v>
      </c>
      <c r="N148" s="251">
        <f t="shared" si="44"/>
        <v>244.3451848392219</v>
      </c>
      <c r="O148" s="251">
        <f>+C127+D128+D129+D130+D131+D132+D133+D134+D135+D136+D137+D138+D139+D140+D141+D142+D143+D144+D145+D146+D147+(D148/2)</f>
        <v>0</v>
      </c>
      <c r="P148" s="251">
        <f t="shared" si="45"/>
        <v>0</v>
      </c>
      <c r="Q148" s="251">
        <f t="shared" si="46"/>
        <v>0</v>
      </c>
      <c r="R148" s="251">
        <f t="shared" si="54"/>
        <v>146.5</v>
      </c>
      <c r="S148" s="251">
        <f t="shared" si="68"/>
        <v>146.5</v>
      </c>
      <c r="T148" s="252">
        <f t="shared" si="47"/>
        <v>146.5</v>
      </c>
      <c r="V148" s="282">
        <f t="shared" si="48"/>
        <v>0</v>
      </c>
      <c r="W148" s="282"/>
      <c r="X148" s="282"/>
      <c r="Y148" s="282"/>
      <c r="Z148" s="282"/>
      <c r="AA148" s="282"/>
      <c r="AB148" s="300" t="str">
        <f t="shared" si="55"/>
        <v>pin in groundstacking hole</v>
      </c>
      <c r="AC148" s="451"/>
      <c r="AD148" s="451"/>
      <c r="AE148" s="451"/>
      <c r="AF148" s="282">
        <f t="shared" si="69"/>
        <v>0</v>
      </c>
      <c r="AG148" s="301">
        <f>SUM(D128:D148)+$C$127</f>
        <v>0</v>
      </c>
      <c r="AH148" s="301"/>
      <c r="AI148" s="173">
        <f t="shared" si="56"/>
        <v>69.344714800000006</v>
      </c>
      <c r="AJ148" s="284">
        <f t="shared" si="49"/>
        <v>0.93571960494171247</v>
      </c>
      <c r="AK148" s="174">
        <f t="shared" si="57"/>
        <v>180.0511663828843</v>
      </c>
      <c r="AL148" s="173">
        <f t="shared" si="58"/>
        <v>50.174479900000001</v>
      </c>
      <c r="AM148" s="285">
        <f t="shared" si="59"/>
        <v>0.76799833627881664</v>
      </c>
      <c r="AN148" s="174">
        <f t="shared" si="60"/>
        <v>146.50336262854705</v>
      </c>
      <c r="AO148" s="286"/>
      <c r="AP148" s="174">
        <f t="shared" si="70"/>
        <v>-510</v>
      </c>
      <c r="AQ148" s="288"/>
      <c r="AR148" s="288">
        <f t="shared" si="61"/>
        <v>326.55452901143133</v>
      </c>
      <c r="AS148" s="289">
        <f t="shared" si="72"/>
        <v>-146.50336262854705</v>
      </c>
      <c r="AT148" s="289"/>
      <c r="AU148" s="289">
        <f t="shared" si="71"/>
        <v>146.50336262854705</v>
      </c>
      <c r="AV148" s="291">
        <f t="shared" si="62"/>
        <v>-281.19681920582559</v>
      </c>
      <c r="AW148" s="291">
        <f t="shared" si="63"/>
        <v>-228.80318079417441</v>
      </c>
      <c r="AX148" s="292">
        <f t="shared" si="64"/>
        <v>-41.252244718704418</v>
      </c>
      <c r="AY148" s="292">
        <f t="shared" si="65"/>
        <v>-43.705686106679387</v>
      </c>
      <c r="AZ148" s="294">
        <f t="shared" si="66"/>
        <v>41.252244718704418</v>
      </c>
      <c r="BA148" s="294">
        <f t="shared" si="66"/>
        <v>43.705686106679387</v>
      </c>
      <c r="BB148">
        <f t="shared" si="67"/>
        <v>0.3</v>
      </c>
      <c r="BF148" s="27"/>
      <c r="BG148" s="27"/>
      <c r="BH148" s="27"/>
      <c r="BI148" s="27"/>
      <c r="BJ148" s="27"/>
      <c r="BK148" s="27"/>
      <c r="BL148" s="27"/>
      <c r="BM148" s="27"/>
      <c r="BN148" s="27"/>
      <c r="BO148" s="14"/>
    </row>
    <row r="149" spans="2:126" ht="21" customHeight="1" thickBot="1" x14ac:dyDescent="0.35">
      <c r="B149" s="88">
        <v>23</v>
      </c>
      <c r="C149" s="20"/>
      <c r="D149" s="738">
        <v>0</v>
      </c>
      <c r="E149" s="333" t="s">
        <v>72</v>
      </c>
      <c r="F149" s="81">
        <f t="shared" si="50"/>
        <v>0.3</v>
      </c>
      <c r="G149" s="81">
        <f t="shared" si="51"/>
        <v>0.3</v>
      </c>
      <c r="H149" s="299">
        <v>190.76</v>
      </c>
      <c r="I149" s="318">
        <v>79.651040199999997</v>
      </c>
      <c r="J149" s="251">
        <f t="shared" si="52"/>
        <v>79.651040199999997</v>
      </c>
      <c r="K149" s="251">
        <f t="shared" si="53"/>
        <v>39.825520099999999</v>
      </c>
      <c r="L149" s="251">
        <f t="shared" si="42"/>
        <v>0.64045183696587837</v>
      </c>
      <c r="M149" s="251">
        <f t="shared" si="43"/>
        <v>122.17259241961095</v>
      </c>
      <c r="N149" s="251">
        <f t="shared" si="44"/>
        <v>244.3451848392219</v>
      </c>
      <c r="O149" s="251">
        <f>+C127+D128+D129+D130+D131+D132+D133+D134+D135+D136+D137+D138+D139+D140+D141+D142+D143+D144+D145+D146+D147+D148+(D149/2)</f>
        <v>0</v>
      </c>
      <c r="P149" s="251">
        <f t="shared" si="45"/>
        <v>0</v>
      </c>
      <c r="Q149" s="251">
        <f t="shared" si="46"/>
        <v>0</v>
      </c>
      <c r="R149" s="251">
        <f t="shared" si="54"/>
        <v>146.5</v>
      </c>
      <c r="S149" s="251">
        <f t="shared" si="68"/>
        <v>146.5</v>
      </c>
      <c r="T149" s="252">
        <f t="shared" si="47"/>
        <v>146.5</v>
      </c>
      <c r="V149" s="282">
        <f t="shared" si="48"/>
        <v>0</v>
      </c>
      <c r="W149" s="282"/>
      <c r="X149" s="282"/>
      <c r="Y149" s="282"/>
      <c r="Z149" s="282"/>
      <c r="AA149" s="282"/>
      <c r="AB149" s="300" t="str">
        <f t="shared" si="55"/>
        <v>pin in groundstacking hole</v>
      </c>
      <c r="AC149" s="451"/>
      <c r="AD149" s="451"/>
      <c r="AE149" s="451"/>
      <c r="AF149" s="282">
        <f t="shared" si="69"/>
        <v>0</v>
      </c>
      <c r="AG149" s="301">
        <f>SUM(D128:D149)+$C$127</f>
        <v>0</v>
      </c>
      <c r="AH149" s="301"/>
      <c r="AI149" s="173">
        <f t="shared" si="56"/>
        <v>69.344714800000006</v>
      </c>
      <c r="AJ149" s="284">
        <f t="shared" si="49"/>
        <v>0.93571960494171247</v>
      </c>
      <c r="AK149" s="174">
        <f t="shared" si="57"/>
        <v>180.0511663828843</v>
      </c>
      <c r="AL149" s="173">
        <f t="shared" si="58"/>
        <v>50.174479900000001</v>
      </c>
      <c r="AM149" s="285">
        <f t="shared" si="59"/>
        <v>0.76799833627881664</v>
      </c>
      <c r="AN149" s="174">
        <f t="shared" si="60"/>
        <v>146.50336262854705</v>
      </c>
      <c r="AO149" s="286"/>
      <c r="AP149" s="174">
        <f t="shared" si="70"/>
        <v>-535.5</v>
      </c>
      <c r="AQ149" s="288"/>
      <c r="AR149" s="288">
        <f t="shared" si="61"/>
        <v>326.55452901143133</v>
      </c>
      <c r="AS149" s="289">
        <f t="shared" si="72"/>
        <v>-146.50336262854705</v>
      </c>
      <c r="AT149" s="289"/>
      <c r="AU149" s="289">
        <f t="shared" si="71"/>
        <v>146.50336262854705</v>
      </c>
      <c r="AV149" s="291">
        <f t="shared" si="62"/>
        <v>-295.25666016611689</v>
      </c>
      <c r="AW149" s="291">
        <f t="shared" si="63"/>
        <v>-240.24333983388314</v>
      </c>
      <c r="AX149" s="292">
        <f t="shared" si="64"/>
        <v>-39.287852113051827</v>
      </c>
      <c r="AY149" s="292">
        <f t="shared" si="65"/>
        <v>-41.624462958742271</v>
      </c>
      <c r="AZ149" s="294">
        <f t="shared" si="66"/>
        <v>39.287852113051827</v>
      </c>
      <c r="BA149" s="294">
        <f t="shared" si="66"/>
        <v>41.624462958742271</v>
      </c>
      <c r="BB149">
        <f t="shared" si="67"/>
        <v>0.3</v>
      </c>
      <c r="BF149" s="27"/>
      <c r="BG149" s="27"/>
      <c r="BH149" s="27"/>
      <c r="BI149" s="27"/>
      <c r="BJ149" s="27"/>
      <c r="BK149" s="27"/>
      <c r="BL149" s="27"/>
      <c r="BM149" s="27"/>
      <c r="BN149" s="27"/>
      <c r="BO149" s="14"/>
      <c r="CW149" s="42"/>
    </row>
    <row r="150" spans="2:126" ht="21" customHeight="1" thickBot="1" x14ac:dyDescent="0.35">
      <c r="B150" s="88">
        <v>24</v>
      </c>
      <c r="C150" s="20"/>
      <c r="D150" s="738">
        <v>0</v>
      </c>
      <c r="E150" s="333" t="s">
        <v>72</v>
      </c>
      <c r="F150" s="81">
        <f t="shared" si="50"/>
        <v>0.3</v>
      </c>
      <c r="G150" s="81">
        <f t="shared" si="51"/>
        <v>0.3</v>
      </c>
      <c r="H150" s="299">
        <v>190.76</v>
      </c>
      <c r="I150" s="318">
        <v>79.651040199999997</v>
      </c>
      <c r="J150" s="251">
        <f t="shared" si="52"/>
        <v>79.651040199999997</v>
      </c>
      <c r="K150" s="251">
        <f t="shared" si="53"/>
        <v>39.825520099999999</v>
      </c>
      <c r="L150" s="251">
        <f t="shared" si="42"/>
        <v>0.64045183696587837</v>
      </c>
      <c r="M150" s="251">
        <f t="shared" si="43"/>
        <v>122.17259241961095</v>
      </c>
      <c r="N150" s="251">
        <f t="shared" si="44"/>
        <v>244.3451848392219</v>
      </c>
      <c r="O150" s="251">
        <f>+SUM(D128:D149)+(D150/2)+C127</f>
        <v>0</v>
      </c>
      <c r="P150" s="251">
        <f t="shared" si="45"/>
        <v>0</v>
      </c>
      <c r="Q150" s="251">
        <f t="shared" si="46"/>
        <v>0</v>
      </c>
      <c r="R150" s="251">
        <f t="shared" si="54"/>
        <v>146.5</v>
      </c>
      <c r="S150" s="251">
        <f t="shared" si="68"/>
        <v>146.5</v>
      </c>
      <c r="T150" s="252">
        <f t="shared" si="47"/>
        <v>146.5</v>
      </c>
      <c r="V150" s="282">
        <f t="shared" si="48"/>
        <v>0</v>
      </c>
      <c r="W150" s="282"/>
      <c r="X150" s="282"/>
      <c r="Y150" s="282"/>
      <c r="Z150" s="282"/>
      <c r="AA150" s="282"/>
      <c r="AB150" s="300" t="str">
        <f t="shared" si="55"/>
        <v>pin in groundstacking hole</v>
      </c>
      <c r="AC150" s="451"/>
      <c r="AD150" s="451"/>
      <c r="AE150" s="451"/>
      <c r="AF150" s="282">
        <f t="shared" si="69"/>
        <v>0</v>
      </c>
      <c r="AG150" s="301">
        <f>SUM(D128:D150)+$C$127</f>
        <v>0</v>
      </c>
      <c r="AH150" s="301"/>
      <c r="AI150" s="173">
        <f t="shared" si="56"/>
        <v>69.344714800000006</v>
      </c>
      <c r="AJ150" s="284">
        <f t="shared" si="49"/>
        <v>0.93571960494171247</v>
      </c>
      <c r="AK150" s="174">
        <f t="shared" si="57"/>
        <v>180.0511663828843</v>
      </c>
      <c r="AL150" s="173">
        <f t="shared" si="58"/>
        <v>50.174479900000001</v>
      </c>
      <c r="AM150" s="285">
        <f t="shared" si="59"/>
        <v>0.76799833627881664</v>
      </c>
      <c r="AN150" s="174">
        <f t="shared" si="60"/>
        <v>146.50336262854705</v>
      </c>
      <c r="AO150" s="302"/>
      <c r="AP150" s="174">
        <f t="shared" si="70"/>
        <v>-561</v>
      </c>
      <c r="AQ150" s="288"/>
      <c r="AR150" s="288">
        <f t="shared" si="61"/>
        <v>326.55452901143133</v>
      </c>
      <c r="AS150" s="289">
        <f t="shared" si="72"/>
        <v>-146.50336262854705</v>
      </c>
      <c r="AT150" s="289"/>
      <c r="AU150" s="289">
        <f t="shared" si="71"/>
        <v>146.50336262854705</v>
      </c>
      <c r="AV150" s="291">
        <f t="shared" si="62"/>
        <v>-309.31650112640813</v>
      </c>
      <c r="AW150" s="291">
        <f t="shared" si="63"/>
        <v>-251.68349887359184</v>
      </c>
      <c r="AX150" s="292">
        <f t="shared" si="64"/>
        <v>-37.502040653367658</v>
      </c>
      <c r="AY150" s="292">
        <f t="shared" si="65"/>
        <v>-39.732441915163079</v>
      </c>
      <c r="AZ150" s="294">
        <f t="shared" si="66"/>
        <v>37.502040653367658</v>
      </c>
      <c r="BA150" s="294">
        <f t="shared" si="66"/>
        <v>39.732441915163079</v>
      </c>
      <c r="BB150">
        <f t="shared" si="67"/>
        <v>0.3</v>
      </c>
      <c r="BF150" s="27"/>
      <c r="BG150" s="27"/>
      <c r="BH150" s="27"/>
      <c r="BI150" s="27"/>
      <c r="BJ150" s="27"/>
      <c r="BK150" s="27"/>
      <c r="BL150" s="27"/>
      <c r="BM150" s="27"/>
      <c r="BN150" s="27"/>
      <c r="BO150" s="14"/>
      <c r="CW150" s="42"/>
    </row>
    <row r="151" spans="2:126" ht="21" customHeight="1" x14ac:dyDescent="0.3">
      <c r="BF151" s="27"/>
      <c r="BG151" s="27"/>
      <c r="BH151" s="27"/>
      <c r="BI151" s="27"/>
      <c r="BJ151" s="27"/>
      <c r="BK151" s="27"/>
      <c r="BL151" s="27"/>
      <c r="BO151" s="14"/>
      <c r="CP151" s="62"/>
      <c r="CW151" s="42"/>
      <c r="CX151" s="14"/>
    </row>
    <row r="152" spans="2:126" x14ac:dyDescent="0.3">
      <c r="BF152" s="27"/>
      <c r="BG152" s="27"/>
      <c r="BH152" s="27"/>
      <c r="BI152" s="27"/>
      <c r="BJ152" s="27"/>
      <c r="BK152" s="27"/>
      <c r="BL152" s="27"/>
      <c r="BM152" s="63"/>
      <c r="BO152" s="14"/>
      <c r="CP152" s="62"/>
      <c r="CW152" s="42"/>
      <c r="CX152" s="14"/>
    </row>
    <row r="153" spans="2:126" x14ac:dyDescent="0.3">
      <c r="BF153" s="27"/>
      <c r="BG153" s="27"/>
      <c r="BH153" s="27"/>
      <c r="BI153" s="27"/>
      <c r="BJ153" s="27"/>
      <c r="BK153" s="27"/>
      <c r="BL153" s="27"/>
      <c r="BM153" s="27"/>
      <c r="BN153" s="27"/>
      <c r="BO153" s="14"/>
      <c r="CW153" s="42"/>
      <c r="CX153" s="14"/>
    </row>
    <row r="154" spans="2:126" x14ac:dyDescent="0.3">
      <c r="BF154" s="35"/>
      <c r="BG154" s="35"/>
      <c r="BH154" s="35"/>
      <c r="BI154" s="35"/>
      <c r="BJ154" s="35"/>
      <c r="BK154" s="35"/>
      <c r="BL154" s="35"/>
      <c r="BM154" s="35"/>
      <c r="BN154" s="35"/>
      <c r="BO154" s="14"/>
      <c r="CW154" s="42"/>
      <c r="CX154" s="14"/>
    </row>
    <row r="155" spans="2:126" x14ac:dyDescent="0.3">
      <c r="BF155" s="33"/>
      <c r="BG155" s="33"/>
      <c r="BH155" s="33"/>
      <c r="BI155" s="33"/>
      <c r="BJ155" s="33"/>
      <c r="BK155" s="33"/>
      <c r="BL155" s="33"/>
      <c r="BM155" s="33"/>
      <c r="BN155" s="33"/>
      <c r="BO155" s="14"/>
      <c r="CW155" s="42"/>
      <c r="CX155" s="14"/>
    </row>
    <row r="156" spans="2:126" x14ac:dyDescent="0.3">
      <c r="BF156" s="33"/>
      <c r="BG156" s="33"/>
      <c r="BH156" s="33"/>
      <c r="BI156" s="33"/>
      <c r="BJ156" s="33"/>
      <c r="BK156" s="33"/>
      <c r="BL156" s="33"/>
      <c r="BM156" s="33"/>
      <c r="BN156" s="33"/>
      <c r="BO156" s="14"/>
      <c r="CW156" s="42"/>
      <c r="CX156" s="14"/>
    </row>
    <row r="157" spans="2:126" x14ac:dyDescent="0.3">
      <c r="BO157" s="14"/>
      <c r="CW157" s="42"/>
      <c r="CX157" s="14"/>
    </row>
    <row r="158" spans="2:126" x14ac:dyDescent="0.3">
      <c r="BF158" s="39"/>
      <c r="BO158" s="14"/>
      <c r="CW158" s="42"/>
    </row>
    <row r="159" spans="2:126" x14ac:dyDescent="0.3">
      <c r="BN159" s="42"/>
      <c r="BO159" s="14"/>
      <c r="CW159" s="42"/>
    </row>
    <row r="160" spans="2:126" x14ac:dyDescent="0.3">
      <c r="BN160" s="42"/>
      <c r="BO160" s="14"/>
    </row>
    <row r="161" spans="66:67" x14ac:dyDescent="0.3">
      <c r="BN161" s="42"/>
      <c r="BO161" s="14"/>
    </row>
    <row r="162" spans="66:67" x14ac:dyDescent="0.3">
      <c r="BN162" s="42"/>
      <c r="BO162" s="14"/>
    </row>
    <row r="163" spans="66:67" x14ac:dyDescent="0.3">
      <c r="BN163" s="42"/>
      <c r="BO163" s="14"/>
    </row>
    <row r="164" spans="66:67" x14ac:dyDescent="0.3">
      <c r="BN164" s="42"/>
      <c r="BO164" s="14"/>
    </row>
    <row r="165" spans="66:67" x14ac:dyDescent="0.3">
      <c r="BN165" s="42"/>
      <c r="BO165" s="14"/>
    </row>
    <row r="166" spans="66:67" x14ac:dyDescent="0.3">
      <c r="BN166" s="42"/>
      <c r="BO166" s="14"/>
    </row>
    <row r="167" spans="66:67" x14ac:dyDescent="0.3">
      <c r="BN167" s="42"/>
      <c r="BO167" s="14"/>
    </row>
    <row r="168" spans="66:67" x14ac:dyDescent="0.3">
      <c r="BN168" s="42"/>
      <c r="BO168" s="14"/>
    </row>
    <row r="169" spans="66:67" x14ac:dyDescent="0.3">
      <c r="BN169" s="42"/>
      <c r="BO169" s="14"/>
    </row>
    <row r="170" spans="66:67" x14ac:dyDescent="0.3">
      <c r="BO170" s="14"/>
    </row>
    <row r="171" spans="66:67" x14ac:dyDescent="0.3">
      <c r="BO171" s="14"/>
    </row>
    <row r="172" spans="66:67" x14ac:dyDescent="0.3">
      <c r="BO172" s="14"/>
    </row>
    <row r="193" spans="67:127" x14ac:dyDescent="0.3">
      <c r="CX193" s="64"/>
      <c r="CY193" s="64"/>
      <c r="CZ193" s="64"/>
      <c r="DA193" s="64"/>
      <c r="DB193" s="64"/>
      <c r="DC193" s="64"/>
      <c r="DD193" s="1998"/>
      <c r="DE193" s="1998"/>
      <c r="DF193" s="1998"/>
      <c r="DG193" s="10"/>
      <c r="DH193" s="7"/>
      <c r="DI193" s="7"/>
      <c r="DJ193" s="7"/>
      <c r="DK193" s="7"/>
      <c r="DL193" s="7"/>
      <c r="DM193" s="7"/>
      <c r="DN193" s="7"/>
      <c r="DO193" s="7"/>
      <c r="DP193" s="7"/>
      <c r="DQ193" s="7"/>
      <c r="DR193" s="7"/>
      <c r="DS193" s="7"/>
      <c r="DT193" s="7"/>
      <c r="DU193" s="7"/>
      <c r="DV193" s="7"/>
      <c r="DW193" s="7"/>
    </row>
    <row r="194" spans="67:127" x14ac:dyDescent="0.3">
      <c r="CX194" s="7"/>
      <c r="CY194" s="7"/>
      <c r="CZ194" s="7"/>
      <c r="DA194" s="7"/>
      <c r="DB194" s="7"/>
      <c r="DC194" s="7"/>
      <c r="DD194" s="57"/>
      <c r="DE194" s="7"/>
      <c r="DF194" s="7"/>
      <c r="DG194" s="7"/>
      <c r="DH194" s="7"/>
      <c r="DI194" s="7"/>
      <c r="DJ194" s="7"/>
      <c r="DK194" s="7"/>
      <c r="DL194" s="7"/>
      <c r="DM194" s="7"/>
      <c r="DN194" s="7"/>
      <c r="DO194" s="7"/>
      <c r="DP194" s="7"/>
      <c r="DQ194" s="57"/>
      <c r="DR194" s="7"/>
      <c r="DS194" s="7"/>
      <c r="DT194" s="7"/>
      <c r="DU194" s="7"/>
      <c r="DV194" s="7"/>
      <c r="DW194" s="7"/>
    </row>
    <row r="195" spans="67:127" x14ac:dyDescent="0.3">
      <c r="CX195" s="65"/>
      <c r="CY195" s="65"/>
      <c r="CZ195" s="65"/>
      <c r="DA195" s="65"/>
      <c r="DB195" s="65"/>
      <c r="DC195" s="65"/>
      <c r="DD195" s="1999"/>
      <c r="DE195" s="1999"/>
      <c r="DF195" s="7"/>
      <c r="DG195" s="7"/>
      <c r="DH195" s="7"/>
      <c r="DI195" s="7"/>
      <c r="DJ195" s="7"/>
      <c r="DK195" s="7"/>
      <c r="DL195" s="7"/>
      <c r="DM195" s="7"/>
      <c r="DN195" s="7"/>
      <c r="DO195" s="7"/>
      <c r="DP195" s="1993"/>
      <c r="DQ195" s="1993"/>
      <c r="DR195" s="7"/>
      <c r="DS195" s="7"/>
      <c r="DT195" s="7"/>
      <c r="DU195" s="7"/>
      <c r="DV195" s="7"/>
      <c r="DW195" s="7"/>
    </row>
    <row r="196" spans="67:127" x14ac:dyDescent="0.3">
      <c r="CX196" s="7"/>
      <c r="CY196" s="7"/>
      <c r="CZ196" s="7"/>
      <c r="DA196" s="7"/>
      <c r="DB196" s="7"/>
      <c r="DC196" s="7"/>
      <c r="DD196" s="7"/>
      <c r="DE196" s="7"/>
      <c r="DF196" s="7"/>
      <c r="DG196" s="7"/>
      <c r="DH196" s="7"/>
      <c r="DI196" s="7"/>
      <c r="DJ196" s="7"/>
      <c r="DK196" s="7"/>
      <c r="DL196" s="7"/>
      <c r="DM196" s="7"/>
      <c r="DN196" s="7"/>
      <c r="DO196" s="7"/>
      <c r="DP196" s="7"/>
      <c r="DQ196" s="7"/>
      <c r="DR196" s="7"/>
      <c r="DS196" s="7"/>
      <c r="DT196" s="7"/>
      <c r="DU196" s="7"/>
      <c r="DV196" s="7"/>
      <c r="DW196" s="7"/>
    </row>
    <row r="197" spans="67:127" x14ac:dyDescent="0.3">
      <c r="CX197" s="7"/>
      <c r="CY197" s="7"/>
      <c r="CZ197" s="7"/>
      <c r="DA197" s="7"/>
      <c r="DB197" s="7"/>
      <c r="DC197" s="7"/>
      <c r="DD197" s="7"/>
      <c r="DE197" s="7"/>
      <c r="DF197" s="7"/>
      <c r="DG197" s="7"/>
      <c r="DH197" s="7"/>
      <c r="DI197" s="7"/>
      <c r="DJ197" s="7"/>
      <c r="DK197" s="7"/>
      <c r="DL197" s="7"/>
      <c r="DM197" s="7"/>
      <c r="DN197" s="7"/>
      <c r="DO197" s="7"/>
      <c r="DP197" s="7"/>
      <c r="DQ197" s="7"/>
      <c r="DR197" s="7"/>
      <c r="DS197" s="7"/>
      <c r="DT197" s="7"/>
      <c r="DU197" s="7"/>
      <c r="DV197" s="7"/>
      <c r="DW197" s="7"/>
    </row>
    <row r="198" spans="67:127" x14ac:dyDescent="0.3">
      <c r="CX198" s="7"/>
      <c r="CY198" s="7"/>
      <c r="CZ198" s="7"/>
      <c r="DA198" s="7"/>
      <c r="DB198" s="7"/>
      <c r="DC198" s="7"/>
      <c r="DD198" s="7"/>
      <c r="DE198" s="7"/>
      <c r="DF198" s="7"/>
      <c r="DG198" s="7"/>
      <c r="DH198" s="7"/>
      <c r="DI198" s="7"/>
      <c r="DJ198" s="7"/>
      <c r="DK198" s="7"/>
      <c r="DL198" s="7"/>
      <c r="DM198" s="7"/>
      <c r="DN198" s="7"/>
      <c r="DO198" s="7"/>
      <c r="DP198" s="7"/>
      <c r="DQ198" s="7"/>
      <c r="DR198" s="7"/>
      <c r="DS198" s="7"/>
      <c r="DT198" s="7"/>
      <c r="DU198" s="7"/>
      <c r="DV198" s="7"/>
      <c r="DW198" s="7"/>
    </row>
    <row r="199" spans="67:127" x14ac:dyDescent="0.3">
      <c r="CX199" s="7"/>
      <c r="CY199" s="7"/>
      <c r="CZ199" s="7"/>
      <c r="DA199" s="7"/>
      <c r="DB199" s="7"/>
      <c r="DC199" s="7"/>
      <c r="DD199" s="7"/>
      <c r="DE199" s="7"/>
      <c r="DF199" s="7"/>
      <c r="DG199" s="7"/>
      <c r="DH199" s="7"/>
      <c r="DI199" s="7"/>
      <c r="DJ199" s="7"/>
      <c r="DK199" s="7"/>
      <c r="DL199" s="7"/>
      <c r="DM199" s="7"/>
      <c r="DN199" s="7"/>
      <c r="DO199" s="7"/>
      <c r="DP199" s="7"/>
      <c r="DQ199" s="7"/>
      <c r="DR199" s="7"/>
      <c r="DS199" s="7"/>
      <c r="DT199" s="7"/>
      <c r="DU199" s="7"/>
      <c r="DV199" s="7"/>
      <c r="DW199" s="7"/>
    </row>
    <row r="200" spans="67:127" x14ac:dyDescent="0.3">
      <c r="CX200" s="7"/>
      <c r="CY200" s="7"/>
      <c r="CZ200" s="7"/>
      <c r="DA200" s="7"/>
      <c r="DB200" s="7"/>
      <c r="DC200" s="7"/>
      <c r="DD200" s="7"/>
      <c r="DE200" s="7"/>
      <c r="DF200" s="7"/>
      <c r="DG200" s="7"/>
      <c r="DH200" s="7"/>
      <c r="DI200" s="7"/>
      <c r="DJ200" s="7"/>
      <c r="DK200" s="7"/>
      <c r="DL200" s="7"/>
      <c r="DM200" s="7"/>
      <c r="DN200" s="7"/>
      <c r="DO200" s="7"/>
      <c r="DP200" s="7"/>
      <c r="DQ200" s="7"/>
      <c r="DR200" s="7"/>
      <c r="DS200" s="7"/>
      <c r="DT200" s="7"/>
      <c r="DU200" s="7"/>
      <c r="DV200" s="7"/>
      <c r="DW200" s="7"/>
    </row>
    <row r="201" spans="67:127" x14ac:dyDescent="0.3">
      <c r="CX201" s="7"/>
      <c r="CY201" s="7"/>
      <c r="CZ201" s="7"/>
      <c r="DA201" s="7"/>
      <c r="DB201" s="7"/>
      <c r="DC201" s="7"/>
      <c r="DD201" s="7"/>
      <c r="DE201" s="7"/>
      <c r="DF201" s="7"/>
      <c r="DG201" s="7"/>
      <c r="DH201" s="7"/>
      <c r="DI201" s="7"/>
      <c r="DJ201" s="7"/>
      <c r="DK201" s="7"/>
      <c r="DL201" s="7"/>
      <c r="DM201" s="7"/>
      <c r="DN201" s="7"/>
      <c r="DO201" s="7"/>
      <c r="DP201" s="7"/>
      <c r="DQ201" s="7"/>
      <c r="DR201" s="7"/>
      <c r="DS201" s="7"/>
      <c r="DT201" s="7"/>
      <c r="DU201" s="7"/>
      <c r="DV201" s="7"/>
      <c r="DW201" s="7"/>
    </row>
    <row r="202" spans="67:127" x14ac:dyDescent="0.3">
      <c r="CX202" s="7"/>
      <c r="CY202" s="7"/>
      <c r="CZ202" s="7"/>
      <c r="DA202" s="7"/>
      <c r="DB202" s="7"/>
      <c r="DC202" s="7"/>
      <c r="DD202" s="7"/>
      <c r="DE202" s="7"/>
      <c r="DF202" s="7"/>
      <c r="DG202" s="7"/>
      <c r="DH202" s="7"/>
      <c r="DI202" s="7"/>
      <c r="DJ202" s="7"/>
      <c r="DK202" s="7"/>
      <c r="DL202" s="7"/>
      <c r="DM202" s="7"/>
      <c r="DN202" s="7"/>
      <c r="DO202" s="7"/>
      <c r="DP202" s="7"/>
      <c r="DQ202" s="7"/>
      <c r="DR202" s="7"/>
      <c r="DS202" s="7"/>
      <c r="DT202" s="7"/>
      <c r="DU202" s="7"/>
      <c r="DV202" s="7"/>
      <c r="DW202" s="7"/>
    </row>
    <row r="203" spans="67:127" x14ac:dyDescent="0.3">
      <c r="BO203" s="64"/>
      <c r="BP203" s="64"/>
      <c r="BQ203" s="64"/>
      <c r="BR203" s="64"/>
      <c r="BS203" s="64"/>
      <c r="BT203" s="64"/>
      <c r="BU203" s="1998"/>
      <c r="BV203" s="1998"/>
      <c r="BW203" s="1998"/>
      <c r="BX203" s="10"/>
      <c r="BY203" s="7"/>
      <c r="BZ203" s="7"/>
      <c r="CA203" s="7"/>
      <c r="CB203" s="7"/>
      <c r="CC203" s="7"/>
      <c r="CD203" s="7"/>
      <c r="CE203" s="7"/>
      <c r="CF203" s="7"/>
      <c r="CG203" s="7"/>
      <c r="CH203" s="7"/>
      <c r="CI203" s="7"/>
      <c r="CJ203" s="7"/>
      <c r="CK203" s="7"/>
      <c r="CL203" s="7"/>
      <c r="CM203" s="7"/>
      <c r="CN203" s="7"/>
      <c r="CX203" s="7"/>
      <c r="CY203" s="7"/>
      <c r="CZ203" s="7"/>
      <c r="DA203" s="7"/>
      <c r="DB203" s="7"/>
      <c r="DC203" s="7"/>
      <c r="DD203" s="7"/>
      <c r="DE203" s="7"/>
      <c r="DF203" s="7"/>
      <c r="DG203" s="7"/>
      <c r="DH203" s="7"/>
      <c r="DI203" s="7"/>
      <c r="DJ203" s="7"/>
      <c r="DK203" s="7"/>
      <c r="DL203" s="7"/>
      <c r="DM203" s="7"/>
      <c r="DN203" s="7"/>
      <c r="DO203" s="7"/>
      <c r="DP203" s="7"/>
      <c r="DQ203" s="7"/>
      <c r="DR203" s="7"/>
      <c r="DS203" s="7"/>
      <c r="DT203" s="7"/>
      <c r="DU203" s="7"/>
      <c r="DV203" s="7"/>
      <c r="DW203" s="7"/>
    </row>
    <row r="204" spans="67:127" x14ac:dyDescent="0.3">
      <c r="BO204" s="7"/>
      <c r="BP204" s="7"/>
      <c r="BQ204" s="7"/>
      <c r="BR204" s="7"/>
      <c r="BS204" s="7"/>
      <c r="BT204" s="7"/>
      <c r="BU204" s="57"/>
      <c r="BV204" s="7"/>
      <c r="BW204" s="7"/>
      <c r="BX204" s="7"/>
      <c r="BY204" s="7"/>
      <c r="BZ204" s="7"/>
      <c r="CA204" s="7"/>
      <c r="CB204" s="7"/>
      <c r="CC204" s="7"/>
      <c r="CD204" s="7"/>
      <c r="CE204" s="7"/>
      <c r="CF204" s="7"/>
      <c r="CG204" s="7"/>
      <c r="CH204" s="57"/>
      <c r="CI204" s="7"/>
      <c r="CJ204" s="7"/>
      <c r="CK204" s="7"/>
      <c r="CL204" s="7"/>
      <c r="CM204" s="7"/>
      <c r="CN204" s="7"/>
      <c r="CX204" s="7"/>
      <c r="CY204" s="7"/>
      <c r="CZ204" s="7"/>
      <c r="DA204" s="7"/>
      <c r="DB204" s="7"/>
      <c r="DC204" s="7"/>
      <c r="DD204" s="7"/>
      <c r="DE204" s="7"/>
      <c r="DF204" s="7"/>
      <c r="DG204" s="7"/>
      <c r="DH204" s="7"/>
      <c r="DI204" s="7"/>
      <c r="DJ204" s="7"/>
      <c r="DK204" s="7"/>
      <c r="DL204" s="7"/>
      <c r="DM204" s="7"/>
      <c r="DN204" s="7"/>
      <c r="DO204" s="7"/>
      <c r="DP204" s="7"/>
      <c r="DQ204" s="7"/>
      <c r="DR204" s="7"/>
      <c r="DS204" s="7"/>
      <c r="DT204" s="7"/>
      <c r="DU204" s="7"/>
      <c r="DV204" s="7"/>
      <c r="DW204" s="7"/>
    </row>
    <row r="205" spans="67:127" x14ac:dyDescent="0.3">
      <c r="BO205" s="65"/>
      <c r="BP205" s="65"/>
      <c r="BQ205" s="65"/>
      <c r="BR205" s="65"/>
      <c r="BS205" s="65"/>
      <c r="BT205" s="65"/>
      <c r="BU205" s="1999"/>
      <c r="BV205" s="1999"/>
      <c r="BW205" s="7"/>
      <c r="BX205" s="7"/>
      <c r="BY205" s="7"/>
      <c r="BZ205" s="7"/>
      <c r="CA205" s="7"/>
      <c r="CB205" s="7"/>
      <c r="CC205" s="7"/>
      <c r="CD205" s="7"/>
      <c r="CE205" s="7"/>
      <c r="CF205" s="7"/>
      <c r="CG205" s="1993"/>
      <c r="CH205" s="1993"/>
      <c r="CI205" s="7"/>
      <c r="CJ205" s="7"/>
      <c r="CK205" s="7"/>
      <c r="CL205" s="7"/>
      <c r="CM205" s="7"/>
      <c r="CN205" s="7"/>
      <c r="CX205" s="7"/>
      <c r="CY205" s="7"/>
      <c r="CZ205" s="7"/>
      <c r="DA205" s="7"/>
      <c r="DB205" s="7"/>
      <c r="DC205" s="7"/>
      <c r="DD205" s="7"/>
      <c r="DE205" s="7"/>
      <c r="DF205" s="7"/>
      <c r="DG205" s="7"/>
      <c r="DH205" s="7"/>
      <c r="DI205" s="7"/>
      <c r="DJ205" s="7"/>
      <c r="DK205" s="7"/>
      <c r="DL205" s="7"/>
      <c r="DM205" s="7"/>
      <c r="DN205" s="7"/>
      <c r="DO205" s="7"/>
      <c r="DP205" s="7"/>
      <c r="DQ205" s="7"/>
      <c r="DR205" s="7"/>
      <c r="DS205" s="7"/>
      <c r="DT205" s="7"/>
      <c r="DU205" s="7"/>
      <c r="DV205" s="7"/>
      <c r="DW205" s="7"/>
    </row>
    <row r="206" spans="67:127" x14ac:dyDescent="0.3">
      <c r="BO206" s="7"/>
      <c r="BP206" s="7"/>
      <c r="BQ206" s="7"/>
      <c r="BR206" s="7"/>
      <c r="BS206" s="7"/>
      <c r="BT206" s="7"/>
      <c r="BU206" s="7"/>
      <c r="BV206" s="7"/>
      <c r="BW206" s="7"/>
      <c r="BX206" s="7"/>
      <c r="BY206" s="7"/>
      <c r="BZ206" s="7"/>
      <c r="CA206" s="7"/>
      <c r="CB206" s="7"/>
      <c r="CC206" s="7"/>
      <c r="CD206" s="7"/>
      <c r="CE206" s="7"/>
      <c r="CF206" s="7"/>
      <c r="CG206" s="7"/>
      <c r="CH206" s="7"/>
      <c r="CI206" s="7"/>
      <c r="CJ206" s="7"/>
      <c r="CK206" s="7"/>
      <c r="CL206" s="7"/>
      <c r="CM206" s="7"/>
      <c r="CN206" s="7"/>
      <c r="CX206" s="7"/>
      <c r="CY206" s="7"/>
      <c r="CZ206" s="7"/>
      <c r="DA206" s="7"/>
      <c r="DB206" s="7"/>
      <c r="DC206" s="7"/>
      <c r="DD206" s="7"/>
      <c r="DE206" s="7"/>
      <c r="DF206" s="7"/>
      <c r="DG206" s="7"/>
      <c r="DH206" s="7"/>
      <c r="DI206" s="7"/>
      <c r="DJ206" s="7"/>
      <c r="DK206" s="7"/>
      <c r="DL206" s="7"/>
      <c r="DM206" s="7"/>
      <c r="DN206" s="7"/>
      <c r="DO206" s="7"/>
      <c r="DP206" s="7"/>
      <c r="DQ206" s="7"/>
      <c r="DR206" s="7"/>
      <c r="DS206" s="7"/>
      <c r="DT206" s="7"/>
      <c r="DU206" s="7"/>
      <c r="DV206" s="7"/>
      <c r="DW206" s="7"/>
    </row>
    <row r="207" spans="67:127" x14ac:dyDescent="0.3">
      <c r="BO207" s="7"/>
      <c r="BP207" s="7"/>
      <c r="BQ207" s="7"/>
      <c r="BR207" s="7"/>
      <c r="BS207" s="7"/>
      <c r="BT207" s="7"/>
      <c r="BU207" s="7"/>
      <c r="BV207" s="7"/>
      <c r="BW207" s="7"/>
      <c r="BX207" s="7"/>
      <c r="BY207" s="7"/>
      <c r="BZ207" s="7"/>
      <c r="CA207" s="7"/>
      <c r="CB207" s="7"/>
      <c r="CC207" s="7"/>
      <c r="CD207" s="7"/>
      <c r="CE207" s="7"/>
      <c r="CF207" s="7"/>
      <c r="CG207" s="7"/>
      <c r="CH207" s="7"/>
      <c r="CI207" s="7"/>
      <c r="CJ207" s="7"/>
      <c r="CK207" s="7"/>
      <c r="CL207" s="7"/>
      <c r="CM207" s="7"/>
      <c r="CN207" s="7"/>
      <c r="CX207" s="7"/>
      <c r="CY207" s="7"/>
      <c r="CZ207" s="7"/>
      <c r="DA207" s="7"/>
      <c r="DB207" s="7"/>
      <c r="DC207" s="7"/>
      <c r="DD207" s="7"/>
      <c r="DE207" s="7"/>
      <c r="DF207" s="7"/>
      <c r="DG207" s="7"/>
      <c r="DH207" s="7"/>
      <c r="DI207" s="7"/>
      <c r="DJ207" s="7"/>
      <c r="DK207" s="7"/>
      <c r="DL207" s="7"/>
      <c r="DM207" s="7"/>
      <c r="DN207" s="7"/>
      <c r="DO207" s="7"/>
      <c r="DP207" s="7"/>
      <c r="DQ207" s="7"/>
      <c r="DR207" s="7"/>
      <c r="DS207" s="7"/>
      <c r="DT207" s="7"/>
      <c r="DU207" s="7"/>
      <c r="DV207" s="7"/>
      <c r="DW207" s="7"/>
    </row>
    <row r="208" spans="67:127" x14ac:dyDescent="0.3">
      <c r="BO208" s="7"/>
      <c r="BP208" s="7"/>
      <c r="BQ208" s="7"/>
      <c r="BR208" s="7"/>
      <c r="BS208" s="7"/>
      <c r="BT208" s="7"/>
      <c r="BU208" s="7"/>
      <c r="BV208" s="7"/>
      <c r="BW208" s="7"/>
      <c r="BX208" s="7"/>
      <c r="BY208" s="7"/>
      <c r="BZ208" s="7"/>
      <c r="CA208" s="7"/>
      <c r="CB208" s="7"/>
      <c r="CC208" s="7"/>
      <c r="CD208" s="7"/>
      <c r="CE208" s="7"/>
      <c r="CF208" s="7"/>
      <c r="CG208" s="7"/>
      <c r="CH208" s="7"/>
      <c r="CI208" s="7"/>
      <c r="CJ208" s="7"/>
      <c r="CK208" s="7"/>
      <c r="CL208" s="7"/>
      <c r="CM208" s="7"/>
      <c r="CN208" s="7"/>
      <c r="CX208" s="7"/>
      <c r="CY208" s="7"/>
      <c r="CZ208" s="7"/>
      <c r="DA208" s="7"/>
      <c r="DB208" s="7"/>
      <c r="DC208" s="15"/>
      <c r="DD208" s="15"/>
      <c r="DE208" s="15"/>
      <c r="DF208" s="15"/>
      <c r="DG208" s="15"/>
      <c r="DH208" s="15"/>
      <c r="DI208" s="15"/>
      <c r="DJ208" s="15"/>
      <c r="DK208" s="15"/>
      <c r="DL208" s="15"/>
      <c r="DM208" s="7"/>
      <c r="DN208" s="7"/>
      <c r="DO208" s="7"/>
      <c r="DP208" s="7"/>
      <c r="DQ208" s="7"/>
      <c r="DR208" s="7"/>
      <c r="DS208" s="7"/>
      <c r="DT208" s="7"/>
      <c r="DU208" s="7"/>
      <c r="DV208" s="7"/>
      <c r="DW208" s="7"/>
    </row>
    <row r="209" spans="67:127" x14ac:dyDescent="0.3">
      <c r="BO209" s="7"/>
      <c r="BP209" s="7"/>
      <c r="BQ209" s="7"/>
      <c r="BR209" s="7"/>
      <c r="BS209" s="7"/>
      <c r="BT209" s="7"/>
      <c r="BU209" s="7"/>
      <c r="BV209" s="7"/>
      <c r="BW209" s="7"/>
      <c r="BX209" s="7"/>
      <c r="BY209" s="7"/>
      <c r="BZ209" s="7"/>
      <c r="CA209" s="7"/>
      <c r="CB209" s="7"/>
      <c r="CC209" s="7"/>
      <c r="CD209" s="7"/>
      <c r="CE209" s="7"/>
      <c r="CF209" s="7"/>
      <c r="CG209" s="7"/>
      <c r="CH209" s="7"/>
      <c r="CI209" s="7"/>
      <c r="CJ209" s="7"/>
      <c r="CK209" s="7"/>
      <c r="CL209" s="7"/>
      <c r="CM209" s="7"/>
      <c r="CN209" s="7"/>
      <c r="CX209" s="7"/>
      <c r="CY209" s="7"/>
      <c r="CZ209" s="7"/>
      <c r="DA209" s="7"/>
      <c r="DB209" s="7"/>
      <c r="DC209" s="15"/>
      <c r="DD209" s="15"/>
      <c r="DE209" s="15"/>
      <c r="DF209" s="15"/>
      <c r="DG209" s="15"/>
      <c r="DH209" s="15"/>
      <c r="DI209" s="15"/>
      <c r="DJ209" s="15"/>
      <c r="DK209" s="15"/>
      <c r="DL209" s="15"/>
      <c r="DM209" s="7"/>
      <c r="DN209" s="7"/>
      <c r="DO209" s="7"/>
      <c r="DP209" s="7"/>
      <c r="DQ209" s="7"/>
      <c r="DR209" s="7"/>
      <c r="DS209" s="7"/>
      <c r="DT209" s="7"/>
      <c r="DU209" s="7"/>
      <c r="DV209" s="7"/>
      <c r="DW209" s="7"/>
    </row>
    <row r="210" spans="67:127" x14ac:dyDescent="0.3">
      <c r="BO210" s="7"/>
      <c r="BP210" s="7"/>
      <c r="BQ210" s="7"/>
      <c r="BR210" s="7"/>
      <c r="BS210" s="7"/>
      <c r="BT210" s="7"/>
      <c r="BU210" s="7"/>
      <c r="BV210" s="7"/>
      <c r="BW210" s="7"/>
      <c r="BX210" s="7"/>
      <c r="BY210" s="7"/>
      <c r="BZ210" s="7"/>
      <c r="CA210" s="7"/>
      <c r="CB210" s="7"/>
      <c r="CC210" s="7"/>
      <c r="CD210" s="7"/>
      <c r="CE210" s="7"/>
      <c r="CF210" s="7"/>
      <c r="CG210" s="7"/>
      <c r="CH210" s="7"/>
      <c r="CI210" s="7"/>
      <c r="CJ210" s="7"/>
      <c r="CK210" s="7"/>
      <c r="CL210" s="7"/>
      <c r="CM210" s="7"/>
      <c r="CN210" s="7"/>
      <c r="CX210" s="7"/>
      <c r="CY210" s="7"/>
      <c r="CZ210" s="7"/>
      <c r="DA210" s="7"/>
      <c r="DB210" s="7"/>
      <c r="DC210" s="15"/>
      <c r="DD210" s="15"/>
      <c r="DE210" s="15"/>
      <c r="DF210" s="15"/>
      <c r="DG210" s="15"/>
      <c r="DH210" s="15"/>
      <c r="DI210" s="15"/>
      <c r="DJ210" s="15"/>
      <c r="DK210" s="15"/>
      <c r="DL210" s="15"/>
      <c r="DM210" s="7"/>
      <c r="DN210" s="7"/>
      <c r="DO210" s="7"/>
      <c r="DP210" s="7"/>
      <c r="DQ210" s="7"/>
      <c r="DR210" s="7"/>
      <c r="DS210" s="7"/>
      <c r="DT210" s="7"/>
      <c r="DU210" s="7"/>
      <c r="DV210" s="7"/>
      <c r="DW210" s="7"/>
    </row>
    <row r="211" spans="67:127" x14ac:dyDescent="0.3">
      <c r="BO211" s="7"/>
      <c r="BP211" s="7"/>
      <c r="BQ211" s="7"/>
      <c r="BR211" s="7"/>
      <c r="BS211" s="7"/>
      <c r="BT211" s="7"/>
      <c r="BU211" s="7"/>
      <c r="BV211" s="7"/>
      <c r="BW211" s="7"/>
      <c r="BX211" s="7"/>
      <c r="BY211" s="7"/>
      <c r="BZ211" s="7"/>
      <c r="CA211" s="7"/>
      <c r="CB211" s="7"/>
      <c r="CC211" s="7"/>
      <c r="CD211" s="7"/>
      <c r="CE211" s="7"/>
      <c r="CF211" s="7"/>
      <c r="CG211" s="7"/>
      <c r="CH211" s="7"/>
      <c r="CI211" s="7"/>
      <c r="CJ211" s="7"/>
      <c r="CK211" s="7"/>
      <c r="CL211" s="7"/>
      <c r="CM211" s="7"/>
      <c r="CN211" s="7"/>
      <c r="CX211" s="7"/>
      <c r="CY211" s="7"/>
      <c r="CZ211" s="7"/>
      <c r="DA211" s="7"/>
      <c r="DB211" s="7"/>
      <c r="DC211" s="15"/>
      <c r="DD211" s="15"/>
      <c r="DE211" s="15"/>
      <c r="DF211" s="15"/>
      <c r="DG211" s="15"/>
      <c r="DH211" s="15"/>
      <c r="DI211" s="15"/>
      <c r="DJ211" s="15"/>
      <c r="DK211" s="15"/>
      <c r="DL211" s="15"/>
      <c r="DM211" s="7"/>
      <c r="DN211" s="7"/>
      <c r="DO211" s="7"/>
      <c r="DP211" s="7"/>
      <c r="DQ211" s="7"/>
      <c r="DR211" s="7"/>
      <c r="DS211" s="7"/>
      <c r="DT211" s="7"/>
      <c r="DU211" s="7"/>
      <c r="DV211" s="7"/>
      <c r="DW211" s="7"/>
    </row>
    <row r="212" spans="67:127" x14ac:dyDescent="0.3">
      <c r="BO212" s="7"/>
      <c r="BP212" s="7"/>
      <c r="BQ212" s="7"/>
      <c r="BR212" s="7"/>
      <c r="BS212" s="7"/>
      <c r="BT212" s="7"/>
      <c r="BU212" s="7"/>
      <c r="BV212" s="7"/>
      <c r="BW212" s="7"/>
      <c r="BX212" s="7"/>
      <c r="BY212" s="7"/>
      <c r="BZ212" s="7"/>
      <c r="CA212" s="7"/>
      <c r="CB212" s="7"/>
      <c r="CC212" s="7"/>
      <c r="CD212" s="7"/>
      <c r="CE212" s="7"/>
      <c r="CF212" s="7"/>
      <c r="CG212" s="7"/>
      <c r="CH212" s="7"/>
      <c r="CI212" s="7"/>
      <c r="CJ212" s="7"/>
      <c r="CK212" s="7"/>
      <c r="CL212" s="7"/>
      <c r="CM212" s="7"/>
      <c r="CN212" s="7"/>
      <c r="CX212" s="10"/>
      <c r="CY212" s="7"/>
      <c r="CZ212" s="10"/>
      <c r="DA212" s="7"/>
      <c r="DB212" s="10"/>
      <c r="DC212" s="15"/>
      <c r="DD212" s="15"/>
      <c r="DE212" s="15"/>
      <c r="DF212" s="15"/>
      <c r="DG212" s="15"/>
      <c r="DH212" s="15"/>
      <c r="DI212" s="15"/>
      <c r="DJ212" s="15"/>
      <c r="DK212" s="15"/>
      <c r="DL212" s="15"/>
      <c r="DM212" s="7"/>
      <c r="DN212" s="7"/>
      <c r="DO212" s="7"/>
      <c r="DP212" s="7"/>
      <c r="DQ212" s="7"/>
      <c r="DR212" s="7"/>
      <c r="DS212" s="7"/>
      <c r="DT212" s="7"/>
      <c r="DU212" s="7"/>
      <c r="DV212" s="7"/>
      <c r="DW212" s="7"/>
    </row>
    <row r="213" spans="67:127" x14ac:dyDescent="0.3">
      <c r="BO213" s="7"/>
      <c r="BP213" s="7"/>
      <c r="BQ213" s="7"/>
      <c r="BR213" s="7"/>
      <c r="BS213" s="7"/>
      <c r="BT213" s="7"/>
      <c r="BU213" s="7"/>
      <c r="BV213" s="7"/>
      <c r="BW213" s="7"/>
      <c r="BX213" s="7"/>
      <c r="BY213" s="7"/>
      <c r="BZ213" s="7"/>
      <c r="CA213" s="7"/>
      <c r="CB213" s="7"/>
      <c r="CC213" s="7"/>
      <c r="CD213" s="7"/>
      <c r="CE213" s="7"/>
      <c r="CF213" s="7"/>
      <c r="CG213" s="7"/>
      <c r="CH213" s="7"/>
      <c r="CI213" s="7"/>
      <c r="CJ213" s="7"/>
      <c r="CK213" s="7"/>
      <c r="CL213" s="7"/>
      <c r="CM213" s="7"/>
      <c r="CN213" s="7"/>
      <c r="CX213" s="10"/>
      <c r="CY213" s="7"/>
      <c r="CZ213" s="7"/>
      <c r="DA213" s="7"/>
      <c r="DB213" s="10"/>
      <c r="DC213" s="15"/>
      <c r="DD213" s="15"/>
      <c r="DE213" s="15"/>
      <c r="DF213" s="15"/>
      <c r="DG213" s="15"/>
      <c r="DH213" s="15"/>
      <c r="DI213" s="15"/>
      <c r="DJ213" s="15"/>
      <c r="DK213" s="15"/>
      <c r="DL213" s="15"/>
      <c r="DM213" s="7"/>
      <c r="DN213" s="7"/>
      <c r="DO213" s="7"/>
      <c r="DP213" s="7"/>
      <c r="DQ213" s="7"/>
      <c r="DR213" s="7"/>
      <c r="DS213" s="7"/>
      <c r="DT213" s="7"/>
      <c r="DU213" s="7"/>
      <c r="DV213" s="7"/>
      <c r="DW213" s="7"/>
    </row>
    <row r="214" spans="67:127" x14ac:dyDescent="0.3">
      <c r="BO214" s="7"/>
      <c r="BP214" s="7"/>
      <c r="BQ214" s="7"/>
      <c r="BR214" s="7"/>
      <c r="BS214" s="7"/>
      <c r="BT214" s="7"/>
      <c r="BU214" s="7"/>
      <c r="BV214" s="7"/>
      <c r="BW214" s="7"/>
      <c r="BX214" s="7"/>
      <c r="BY214" s="7"/>
      <c r="BZ214" s="7"/>
      <c r="CA214" s="7"/>
      <c r="CB214" s="7"/>
      <c r="CC214" s="7"/>
      <c r="CD214" s="7"/>
      <c r="CE214" s="7"/>
      <c r="CF214" s="7"/>
      <c r="CG214" s="7"/>
      <c r="CH214" s="7"/>
      <c r="CI214" s="7"/>
      <c r="CJ214" s="7"/>
      <c r="CK214" s="7"/>
      <c r="CL214" s="7"/>
      <c r="CM214" s="7"/>
      <c r="CN214" s="7"/>
      <c r="CX214" s="10"/>
      <c r="CY214" s="66"/>
      <c r="CZ214" s="66"/>
      <c r="DA214" s="66"/>
      <c r="DB214" s="66"/>
      <c r="DC214" s="66"/>
      <c r="DD214" s="66"/>
      <c r="DE214" s="66"/>
      <c r="DF214" s="66"/>
      <c r="DG214" s="66"/>
      <c r="DH214" s="66"/>
      <c r="DI214" s="66"/>
      <c r="DJ214" s="66"/>
      <c r="DK214" s="66"/>
      <c r="DL214" s="66"/>
      <c r="DM214" s="66"/>
      <c r="DN214" s="66"/>
      <c r="DO214" s="66"/>
      <c r="DP214" s="66"/>
      <c r="DQ214" s="66"/>
      <c r="DR214" s="66"/>
      <c r="DS214" s="66"/>
      <c r="DT214" s="66"/>
      <c r="DU214" s="66"/>
      <c r="DV214" s="66"/>
      <c r="DW214" s="7"/>
    </row>
    <row r="215" spans="67:127" x14ac:dyDescent="0.3">
      <c r="BO215" s="7"/>
      <c r="BP215" s="7"/>
      <c r="BQ215" s="7"/>
      <c r="BR215" s="7"/>
      <c r="BS215" s="7"/>
      <c r="BT215" s="7"/>
      <c r="BU215" s="7"/>
      <c r="BV215" s="7"/>
      <c r="BW215" s="7"/>
      <c r="BX215" s="7"/>
      <c r="BY215" s="7"/>
      <c r="BZ215" s="7"/>
      <c r="CA215" s="7"/>
      <c r="CB215" s="7"/>
      <c r="CC215" s="7"/>
      <c r="CD215" s="7"/>
      <c r="CE215" s="7"/>
      <c r="CF215" s="7"/>
      <c r="CG215" s="7"/>
      <c r="CH215" s="7"/>
      <c r="CI215" s="7"/>
      <c r="CJ215" s="7"/>
      <c r="CK215" s="7"/>
      <c r="CL215" s="7"/>
      <c r="CM215" s="7"/>
      <c r="CN215" s="7"/>
      <c r="CX215" s="10"/>
      <c r="CY215" s="7"/>
      <c r="CZ215" s="7"/>
      <c r="DA215" s="7"/>
      <c r="DB215" s="7"/>
      <c r="DC215" s="7"/>
      <c r="DD215" s="7"/>
      <c r="DE215" s="7"/>
      <c r="DF215" s="7"/>
      <c r="DG215" s="7"/>
      <c r="DH215" s="7"/>
      <c r="DI215" s="7"/>
      <c r="DJ215" s="7"/>
      <c r="DK215" s="7"/>
      <c r="DL215" s="7"/>
      <c r="DM215" s="7"/>
      <c r="DN215" s="7"/>
      <c r="DO215" s="7"/>
      <c r="DP215" s="7"/>
      <c r="DQ215" s="7"/>
      <c r="DR215" s="7"/>
      <c r="DS215" s="7"/>
      <c r="DT215" s="7"/>
      <c r="DU215" s="7"/>
      <c r="DV215" s="7"/>
      <c r="DW215" s="7"/>
    </row>
    <row r="216" spans="67:127" x14ac:dyDescent="0.3">
      <c r="BO216" s="7"/>
      <c r="BP216" s="7"/>
      <c r="BQ216" s="7"/>
      <c r="BR216" s="7"/>
      <c r="BS216" s="7"/>
      <c r="BT216" s="7"/>
      <c r="BU216" s="7"/>
      <c r="BV216" s="7"/>
      <c r="BW216" s="7"/>
      <c r="BX216" s="7"/>
      <c r="BY216" s="7"/>
      <c r="BZ216" s="7"/>
      <c r="CA216" s="7"/>
      <c r="CB216" s="7"/>
      <c r="CC216" s="7"/>
      <c r="CD216" s="7"/>
      <c r="CE216" s="7"/>
      <c r="CF216" s="7"/>
      <c r="CG216" s="7"/>
      <c r="CH216" s="7"/>
      <c r="CI216" s="7"/>
      <c r="CJ216" s="7"/>
      <c r="CK216" s="7"/>
      <c r="CL216" s="7"/>
      <c r="CM216" s="7"/>
      <c r="CN216" s="7"/>
      <c r="CX216" s="18"/>
      <c r="CY216" s="61"/>
      <c r="CZ216" s="61"/>
      <c r="DA216" s="61"/>
      <c r="DB216" s="61"/>
      <c r="DC216" s="61"/>
      <c r="DD216" s="61"/>
      <c r="DE216" s="61"/>
      <c r="DF216" s="61"/>
      <c r="DG216" s="61"/>
      <c r="DH216" s="61"/>
      <c r="DI216" s="61"/>
      <c r="DJ216" s="61"/>
      <c r="DK216" s="61"/>
      <c r="DL216" s="61"/>
      <c r="DM216" s="61"/>
      <c r="DN216" s="61"/>
      <c r="DO216" s="61"/>
      <c r="DP216" s="61"/>
      <c r="DQ216" s="61"/>
      <c r="DR216" s="61"/>
      <c r="DS216" s="61"/>
      <c r="DT216" s="61"/>
      <c r="DU216" s="61"/>
      <c r="DV216" s="61"/>
      <c r="DW216" s="7"/>
    </row>
    <row r="217" spans="67:127" x14ac:dyDescent="0.3">
      <c r="BO217" s="7"/>
      <c r="BP217" s="7"/>
      <c r="BQ217" s="7"/>
      <c r="BR217" s="7"/>
      <c r="BS217" s="7"/>
      <c r="BT217" s="7"/>
      <c r="BU217" s="7"/>
      <c r="BV217" s="7"/>
      <c r="BW217" s="7"/>
      <c r="BX217" s="7"/>
      <c r="BY217" s="7"/>
      <c r="BZ217" s="7"/>
      <c r="CA217" s="7"/>
      <c r="CB217" s="7"/>
      <c r="CC217" s="7"/>
      <c r="CD217" s="7"/>
      <c r="CE217" s="7"/>
      <c r="CF217" s="7"/>
      <c r="CG217" s="7"/>
      <c r="CH217" s="7"/>
      <c r="CI217" s="7"/>
      <c r="CJ217" s="7"/>
      <c r="CK217" s="7"/>
      <c r="CL217" s="7"/>
      <c r="CM217" s="7"/>
      <c r="CN217" s="7"/>
      <c r="CX217" s="10"/>
      <c r="CY217" s="49"/>
      <c r="CZ217" s="49"/>
      <c r="DA217" s="49"/>
      <c r="DB217" s="49"/>
      <c r="DC217" s="49"/>
      <c r="DD217" s="49"/>
      <c r="DE217" s="49"/>
      <c r="DF217" s="49"/>
      <c r="DG217" s="49"/>
      <c r="DH217" s="49"/>
      <c r="DI217" s="49"/>
      <c r="DJ217" s="49"/>
      <c r="DK217" s="49"/>
      <c r="DL217" s="49"/>
      <c r="DM217" s="49"/>
      <c r="DN217" s="49"/>
      <c r="DO217" s="49"/>
      <c r="DP217" s="49"/>
      <c r="DQ217" s="49"/>
      <c r="DR217" s="49"/>
      <c r="DS217" s="49"/>
      <c r="DT217" s="49"/>
      <c r="DU217" s="49"/>
      <c r="DV217" s="49"/>
      <c r="DW217" s="7"/>
    </row>
    <row r="218" spans="67:127" x14ac:dyDescent="0.3">
      <c r="BO218" s="7"/>
      <c r="BP218" s="7"/>
      <c r="BQ218" s="7"/>
      <c r="BR218" s="7"/>
      <c r="BS218" s="7"/>
      <c r="BT218" s="7"/>
      <c r="BU218" s="7"/>
      <c r="BV218" s="7"/>
      <c r="BW218" s="7"/>
      <c r="BX218" s="7"/>
      <c r="BY218" s="7"/>
      <c r="BZ218" s="7"/>
      <c r="CA218" s="7"/>
      <c r="CB218" s="7"/>
      <c r="CC218" s="7"/>
      <c r="CD218" s="7"/>
      <c r="CE218" s="7"/>
      <c r="CF218" s="7"/>
      <c r="CG218" s="7"/>
      <c r="CH218" s="7"/>
      <c r="CI218" s="7"/>
      <c r="CJ218" s="7"/>
      <c r="CK218" s="7"/>
      <c r="CL218" s="7"/>
      <c r="CM218" s="7"/>
      <c r="CN218" s="7"/>
      <c r="CX218" s="7"/>
      <c r="CY218" s="7"/>
      <c r="CZ218" s="7"/>
      <c r="DA218" s="7"/>
      <c r="DB218" s="7"/>
      <c r="DC218" s="7"/>
      <c r="DD218" s="7"/>
      <c r="DE218" s="7"/>
      <c r="DF218" s="7"/>
      <c r="DG218" s="7"/>
      <c r="DH218" s="7"/>
      <c r="DI218" s="7"/>
      <c r="DJ218" s="7"/>
      <c r="DK218" s="7"/>
      <c r="DL218" s="7"/>
      <c r="DM218" s="7"/>
      <c r="DN218" s="7"/>
      <c r="DO218" s="7"/>
      <c r="DP218" s="7"/>
      <c r="DQ218" s="7"/>
      <c r="DR218" s="7"/>
      <c r="DS218" s="7"/>
      <c r="DT218" s="7"/>
      <c r="DU218" s="7"/>
      <c r="DV218" s="7"/>
      <c r="DW218" s="7"/>
    </row>
    <row r="219" spans="67:127" x14ac:dyDescent="0.3">
      <c r="BO219" s="7"/>
      <c r="BP219" s="7"/>
      <c r="BQ219" s="7"/>
      <c r="BR219" s="7"/>
      <c r="BS219" s="7"/>
      <c r="BT219" s="7"/>
      <c r="BU219" s="7"/>
      <c r="BV219" s="7"/>
      <c r="BW219" s="7"/>
      <c r="BX219" s="7"/>
      <c r="BY219" s="7"/>
      <c r="BZ219" s="7"/>
      <c r="CA219" s="7"/>
      <c r="CB219" s="7"/>
      <c r="CC219" s="7"/>
      <c r="CD219" s="7"/>
      <c r="CE219" s="7"/>
      <c r="CF219" s="7"/>
      <c r="CG219" s="7"/>
      <c r="CH219" s="7"/>
      <c r="CI219" s="7"/>
      <c r="CJ219" s="7"/>
      <c r="CK219" s="7"/>
      <c r="CL219" s="7"/>
      <c r="CM219" s="7"/>
      <c r="CN219" s="7"/>
      <c r="CX219" s="7"/>
      <c r="CY219" s="67"/>
      <c r="CZ219" s="67"/>
      <c r="DA219" s="67"/>
      <c r="DB219" s="67"/>
      <c r="DC219" s="67"/>
      <c r="DD219" s="67"/>
      <c r="DE219" s="10"/>
      <c r="DF219" s="10"/>
      <c r="DG219" s="10"/>
      <c r="DH219" s="10"/>
      <c r="DI219" s="10"/>
      <c r="DJ219" s="67"/>
      <c r="DK219" s="67"/>
      <c r="DL219" s="67"/>
      <c r="DM219" s="10"/>
      <c r="DN219" s="10"/>
      <c r="DO219" s="10"/>
      <c r="DP219" s="10"/>
      <c r="DQ219" s="10"/>
      <c r="DR219" s="10"/>
      <c r="DS219" s="10"/>
      <c r="DT219" s="10"/>
      <c r="DU219" s="10"/>
      <c r="DV219" s="10"/>
      <c r="DW219" s="7"/>
    </row>
    <row r="220" spans="67:127" x14ac:dyDescent="0.3">
      <c r="BO220" s="7"/>
      <c r="BP220" s="7"/>
      <c r="BQ220" s="7"/>
      <c r="BR220" s="7"/>
      <c r="BS220" s="7"/>
      <c r="BT220" s="7"/>
      <c r="BU220" s="7"/>
      <c r="BV220" s="7"/>
      <c r="BW220" s="7"/>
      <c r="BX220" s="7"/>
      <c r="BY220" s="7"/>
      <c r="BZ220" s="7"/>
      <c r="CA220" s="7"/>
      <c r="CB220" s="7"/>
      <c r="CC220" s="7"/>
      <c r="CD220" s="7"/>
      <c r="CE220" s="7"/>
      <c r="CF220" s="7"/>
      <c r="CG220" s="7"/>
      <c r="CH220" s="7"/>
      <c r="CI220" s="7"/>
      <c r="CJ220" s="7"/>
      <c r="CK220" s="7"/>
      <c r="CL220" s="7"/>
      <c r="CM220" s="7"/>
      <c r="CN220" s="7"/>
      <c r="CX220" s="7"/>
      <c r="CY220" s="67"/>
      <c r="CZ220" s="67"/>
      <c r="DA220" s="67"/>
      <c r="DB220" s="67"/>
      <c r="DC220" s="67"/>
      <c r="DD220" s="67"/>
      <c r="DE220" s="7"/>
      <c r="DF220" s="7"/>
      <c r="DG220" s="7"/>
      <c r="DH220" s="7"/>
      <c r="DI220" s="67"/>
      <c r="DJ220" s="67"/>
      <c r="DK220" s="67"/>
      <c r="DL220" s="67"/>
      <c r="DM220" s="7"/>
      <c r="DN220" s="7"/>
      <c r="DO220" s="7"/>
      <c r="DP220" s="7"/>
      <c r="DQ220" s="67"/>
      <c r="DR220" s="67"/>
      <c r="DS220" s="67"/>
      <c r="DT220" s="67"/>
      <c r="DU220" s="67"/>
      <c r="DV220" s="67"/>
      <c r="DW220" s="7"/>
    </row>
    <row r="221" spans="67:127" x14ac:dyDescent="0.3">
      <c r="BO221" s="7"/>
      <c r="BP221" s="7"/>
      <c r="BQ221" s="7"/>
      <c r="BR221" s="7"/>
      <c r="BS221" s="7"/>
      <c r="BT221" s="7"/>
      <c r="BU221" s="7"/>
      <c r="BV221" s="7"/>
      <c r="BW221" s="7"/>
      <c r="BX221" s="58"/>
      <c r="BY221" s="58"/>
      <c r="BZ221" s="7"/>
      <c r="CA221" s="58"/>
      <c r="CB221" s="7"/>
      <c r="CC221" s="7"/>
      <c r="CD221" s="7"/>
      <c r="CE221" s="7"/>
      <c r="CF221" s="7"/>
      <c r="CG221" s="7"/>
      <c r="CH221" s="7"/>
      <c r="CI221" s="7"/>
      <c r="CJ221" s="7"/>
      <c r="CK221" s="7"/>
      <c r="CL221" s="7"/>
      <c r="CM221" s="7"/>
      <c r="CN221" s="7"/>
      <c r="CX221" s="7"/>
      <c r="CY221" s="7"/>
      <c r="CZ221" s="7"/>
      <c r="DA221" s="7"/>
      <c r="DB221" s="7"/>
      <c r="DC221" s="7"/>
      <c r="DD221" s="7"/>
      <c r="DE221" s="7"/>
      <c r="DF221" s="7"/>
      <c r="DG221" s="7"/>
      <c r="DH221" s="7"/>
      <c r="DI221" s="7"/>
      <c r="DJ221" s="7"/>
      <c r="DK221" s="7"/>
      <c r="DL221" s="7"/>
      <c r="DM221" s="7"/>
      <c r="DN221" s="7"/>
      <c r="DO221" s="7"/>
      <c r="DP221" s="7"/>
      <c r="DQ221" s="7"/>
      <c r="DR221" s="7"/>
      <c r="DS221" s="7"/>
      <c r="DT221" s="7"/>
      <c r="DU221" s="7"/>
      <c r="DV221" s="7"/>
      <c r="DW221" s="7"/>
    </row>
    <row r="222" spans="67:127" x14ac:dyDescent="0.3">
      <c r="BO222" s="10"/>
      <c r="BP222" s="7"/>
      <c r="BQ222" s="10"/>
      <c r="BR222" s="7"/>
      <c r="BS222" s="10"/>
      <c r="BT222" s="7"/>
      <c r="BU222" s="7"/>
      <c r="BV222" s="7"/>
      <c r="BW222" s="7"/>
      <c r="BX222" s="7"/>
      <c r="BY222" s="7"/>
      <c r="BZ222" s="7"/>
      <c r="CA222" s="7"/>
      <c r="CB222" s="7"/>
      <c r="CC222" s="7"/>
      <c r="CD222" s="7"/>
      <c r="CE222" s="7"/>
      <c r="CF222" s="7"/>
      <c r="CG222" s="7"/>
      <c r="CH222" s="7"/>
      <c r="CI222" s="7"/>
      <c r="CJ222" s="7"/>
      <c r="CK222" s="7"/>
      <c r="CL222" s="7"/>
      <c r="CM222" s="7"/>
      <c r="CN222" s="7"/>
      <c r="CX222" s="7"/>
      <c r="CY222" s="7"/>
      <c r="CZ222" s="7"/>
      <c r="DA222" s="7"/>
      <c r="DB222" s="7"/>
      <c r="DC222" s="7"/>
      <c r="DD222" s="7"/>
      <c r="DE222" s="7"/>
      <c r="DF222" s="7"/>
      <c r="DG222" s="7"/>
      <c r="DH222" s="7"/>
      <c r="DI222" s="7"/>
      <c r="DJ222" s="7"/>
      <c r="DK222" s="7"/>
      <c r="DL222" s="7"/>
      <c r="DM222" s="7"/>
      <c r="DN222" s="7"/>
      <c r="DO222" s="7"/>
      <c r="DP222" s="7"/>
      <c r="DQ222" s="7"/>
      <c r="DR222" s="7"/>
      <c r="DS222" s="7"/>
      <c r="DT222" s="7"/>
      <c r="DU222" s="7"/>
      <c r="DV222" s="7"/>
      <c r="DW222" s="7"/>
    </row>
    <row r="223" spans="67:127" x14ac:dyDescent="0.3">
      <c r="BO223" s="10"/>
      <c r="BP223" s="7"/>
      <c r="BQ223" s="7"/>
      <c r="BR223" s="7"/>
      <c r="BS223" s="10"/>
      <c r="BT223" s="7"/>
      <c r="BU223" s="7"/>
      <c r="BV223" s="7"/>
      <c r="BW223" s="7"/>
      <c r="BX223" s="7"/>
      <c r="BY223" s="7"/>
      <c r="BZ223" s="7"/>
      <c r="CA223" s="7"/>
      <c r="CB223" s="7"/>
      <c r="CC223" s="7"/>
      <c r="CD223" s="7"/>
      <c r="CE223" s="7"/>
      <c r="CF223" s="7"/>
      <c r="CG223" s="7"/>
      <c r="CH223" s="7"/>
      <c r="CI223" s="7"/>
      <c r="CJ223" s="7"/>
      <c r="CK223" s="7"/>
      <c r="CL223" s="7"/>
      <c r="CM223" s="7"/>
      <c r="CN223" s="7"/>
    </row>
    <row r="224" spans="67:127" x14ac:dyDescent="0.3">
      <c r="BO224" s="10"/>
      <c r="BP224" s="66"/>
      <c r="BQ224" s="66"/>
      <c r="BR224" s="66"/>
      <c r="BS224" s="66"/>
      <c r="BT224" s="66"/>
      <c r="BU224" s="66"/>
      <c r="BV224" s="66"/>
      <c r="BW224" s="66"/>
      <c r="BX224" s="66"/>
      <c r="BY224" s="66"/>
      <c r="BZ224" s="66"/>
      <c r="CA224" s="66"/>
      <c r="CB224" s="66"/>
      <c r="CC224" s="66"/>
      <c r="CD224" s="66"/>
      <c r="CE224" s="66"/>
      <c r="CF224" s="66"/>
      <c r="CG224" s="66"/>
      <c r="CH224" s="66"/>
      <c r="CI224" s="66"/>
      <c r="CJ224" s="66"/>
      <c r="CK224" s="66"/>
      <c r="CL224" s="66"/>
      <c r="CM224" s="66"/>
      <c r="CN224" s="7"/>
    </row>
    <row r="225" spans="67:92" x14ac:dyDescent="0.3">
      <c r="BO225" s="10"/>
      <c r="BP225" s="7"/>
      <c r="BQ225" s="7"/>
      <c r="BR225" s="7"/>
      <c r="BS225" s="7"/>
      <c r="BT225" s="7"/>
      <c r="BU225" s="7"/>
      <c r="BV225" s="7"/>
      <c r="BW225" s="7"/>
      <c r="BX225" s="7"/>
      <c r="BY225" s="7"/>
      <c r="BZ225" s="7"/>
      <c r="CA225" s="7"/>
      <c r="CB225" s="7"/>
      <c r="CC225" s="7"/>
      <c r="CD225" s="7"/>
      <c r="CE225" s="7"/>
      <c r="CF225" s="7"/>
      <c r="CG225" s="7"/>
      <c r="CH225" s="7"/>
      <c r="CI225" s="7"/>
      <c r="CJ225" s="7"/>
      <c r="CK225" s="7"/>
      <c r="CL225" s="7"/>
      <c r="CM225" s="7"/>
      <c r="CN225" s="7"/>
    </row>
    <row r="226" spans="67:92" x14ac:dyDescent="0.3">
      <c r="BO226" s="18"/>
      <c r="BP226" s="61"/>
      <c r="BQ226" s="61"/>
      <c r="BR226" s="61"/>
      <c r="BS226" s="61"/>
      <c r="BT226" s="61"/>
      <c r="BU226" s="61"/>
      <c r="BV226" s="61"/>
      <c r="BW226" s="61"/>
      <c r="BX226" s="61"/>
      <c r="BY226" s="61"/>
      <c r="BZ226" s="61"/>
      <c r="CA226" s="61"/>
      <c r="CB226" s="61"/>
      <c r="CC226" s="61"/>
      <c r="CD226" s="61"/>
      <c r="CE226" s="61"/>
      <c r="CF226" s="61"/>
      <c r="CG226" s="61"/>
      <c r="CH226" s="61"/>
      <c r="CI226" s="61"/>
      <c r="CJ226" s="61"/>
      <c r="CK226" s="61"/>
      <c r="CL226" s="61"/>
      <c r="CM226" s="61"/>
      <c r="CN226" s="7"/>
    </row>
    <row r="227" spans="67:92" x14ac:dyDescent="0.3">
      <c r="BO227" s="10"/>
      <c r="BP227" s="49"/>
      <c r="BQ227" s="49"/>
      <c r="BR227" s="49"/>
      <c r="BS227" s="49"/>
      <c r="BT227" s="49"/>
      <c r="BU227" s="49"/>
      <c r="BV227" s="49"/>
      <c r="BW227" s="49"/>
      <c r="BX227" s="49"/>
      <c r="BY227" s="49"/>
      <c r="BZ227" s="49"/>
      <c r="CA227" s="49"/>
      <c r="CB227" s="49"/>
      <c r="CC227" s="49"/>
      <c r="CD227" s="49"/>
      <c r="CE227" s="49"/>
      <c r="CF227" s="49"/>
      <c r="CG227" s="49"/>
      <c r="CH227" s="49"/>
      <c r="CI227" s="49"/>
      <c r="CJ227" s="49"/>
      <c r="CK227" s="49"/>
      <c r="CL227" s="49"/>
      <c r="CM227" s="49"/>
      <c r="CN227" s="7"/>
    </row>
    <row r="228" spans="67:92" x14ac:dyDescent="0.3">
      <c r="BO228" s="7"/>
      <c r="BP228" s="7"/>
      <c r="BQ228" s="7"/>
      <c r="BR228" s="7"/>
      <c r="BS228" s="7"/>
      <c r="BT228" s="7"/>
      <c r="BU228" s="7"/>
      <c r="BV228" s="7"/>
      <c r="BW228" s="7"/>
      <c r="BX228" s="7"/>
      <c r="BY228" s="7"/>
      <c r="BZ228" s="7"/>
      <c r="CA228" s="7"/>
      <c r="CB228" s="7"/>
      <c r="CC228" s="7"/>
      <c r="CD228" s="7"/>
      <c r="CE228" s="7"/>
      <c r="CF228" s="7"/>
      <c r="CG228" s="7"/>
      <c r="CH228" s="7"/>
      <c r="CI228" s="7"/>
      <c r="CJ228" s="7"/>
      <c r="CK228" s="7"/>
      <c r="CL228" s="7"/>
      <c r="CM228" s="7"/>
      <c r="CN228" s="7"/>
    </row>
    <row r="229" spans="67:92" x14ac:dyDescent="0.3">
      <c r="BO229" s="7"/>
      <c r="BP229" s="67"/>
      <c r="BQ229" s="67"/>
      <c r="BR229" s="67"/>
      <c r="BS229" s="67"/>
      <c r="BT229" s="67"/>
      <c r="BU229" s="67"/>
      <c r="BV229" s="10"/>
      <c r="BW229" s="10"/>
      <c r="BX229" s="10"/>
      <c r="BY229" s="10"/>
      <c r="BZ229" s="10"/>
      <c r="CA229" s="67"/>
      <c r="CB229" s="67"/>
      <c r="CC229" s="67"/>
      <c r="CD229" s="10"/>
      <c r="CE229" s="10"/>
      <c r="CF229" s="10"/>
      <c r="CG229" s="10"/>
      <c r="CH229" s="10"/>
      <c r="CI229" s="10"/>
      <c r="CJ229" s="10"/>
      <c r="CK229" s="10"/>
      <c r="CL229" s="10"/>
      <c r="CM229" s="10"/>
      <c r="CN229" s="7"/>
    </row>
    <row r="230" spans="67:92" x14ac:dyDescent="0.3">
      <c r="BO230" s="7"/>
      <c r="BP230" s="67"/>
      <c r="BQ230" s="67"/>
      <c r="BR230" s="67"/>
      <c r="BS230" s="67"/>
      <c r="BT230" s="67"/>
      <c r="BU230" s="67"/>
      <c r="BV230" s="7"/>
      <c r="BW230" s="7"/>
      <c r="BX230" s="7"/>
      <c r="BY230" s="7"/>
      <c r="BZ230" s="67"/>
      <c r="CA230" s="67"/>
      <c r="CB230" s="67"/>
      <c r="CC230" s="67"/>
      <c r="CD230" s="7"/>
      <c r="CE230" s="7"/>
      <c r="CF230" s="7"/>
      <c r="CG230" s="7"/>
      <c r="CH230" s="67"/>
      <c r="CI230" s="67"/>
      <c r="CJ230" s="67"/>
      <c r="CK230" s="67"/>
      <c r="CL230" s="67"/>
      <c r="CM230" s="67"/>
      <c r="CN230" s="7"/>
    </row>
    <row r="231" spans="67:92" x14ac:dyDescent="0.3">
      <c r="BO231" s="7"/>
      <c r="BP231" s="7"/>
      <c r="BQ231" s="7"/>
      <c r="BR231" s="7"/>
      <c r="BS231" s="7"/>
      <c r="BT231" s="7"/>
      <c r="BU231" s="7"/>
      <c r="BV231" s="7"/>
      <c r="BW231" s="7"/>
      <c r="BX231" s="7"/>
      <c r="BY231" s="7"/>
      <c r="BZ231" s="7"/>
      <c r="CA231" s="7"/>
      <c r="CB231" s="7"/>
      <c r="CC231" s="7"/>
      <c r="CD231" s="7"/>
      <c r="CE231" s="7"/>
      <c r="CF231" s="7"/>
      <c r="CG231" s="7"/>
      <c r="CH231" s="7"/>
      <c r="CI231" s="7"/>
      <c r="CJ231" s="7"/>
      <c r="CK231" s="7"/>
      <c r="CL231" s="7"/>
      <c r="CM231" s="7"/>
      <c r="CN231" s="7"/>
    </row>
    <row r="232" spans="67:92" x14ac:dyDescent="0.3">
      <c r="BO232" s="7"/>
      <c r="BP232" s="7"/>
      <c r="BQ232" s="7"/>
      <c r="BR232" s="7"/>
      <c r="BS232" s="7"/>
      <c r="BT232" s="7"/>
      <c r="BU232" s="7"/>
      <c r="BV232" s="7"/>
      <c r="BW232" s="7"/>
      <c r="BX232" s="7"/>
      <c r="BY232" s="7"/>
      <c r="BZ232" s="7"/>
      <c r="CA232" s="7"/>
      <c r="CB232" s="7"/>
      <c r="CC232" s="7"/>
      <c r="CD232" s="7"/>
      <c r="CE232" s="7"/>
      <c r="CF232" s="7"/>
      <c r="CG232" s="7"/>
      <c r="CH232" s="7"/>
      <c r="CI232" s="7"/>
      <c r="CJ232" s="7"/>
      <c r="CK232" s="7"/>
      <c r="CL232" s="7"/>
      <c r="CM232" s="7"/>
      <c r="CN232" s="7"/>
    </row>
  </sheetData>
  <sheetProtection algorithmName="SHA-512" hashValue="K5uy0Z0CfdO5eCFMW1yOjJEdh/yfLDl3EeBWA76RsEXRuBcUbj+pRuoZg7eTndOFbu5xVQrnI1qsfqOuIHXj9w==" saltValue="EhAcAA3gKsHRFP/1M90RpQ==" spinCount="100000" sheet="1" objects="1" scenarios="1"/>
  <protectedRanges>
    <protectedRange sqref="B100 B103 D106:D117 B124 D127:D150" name="Range1"/>
  </protectedRanges>
  <mergeCells count="25">
    <mergeCell ref="DD193:DF193"/>
    <mergeCell ref="DD195:DE195"/>
    <mergeCell ref="DP195:DQ195"/>
    <mergeCell ref="BP66:BW67"/>
    <mergeCell ref="CL66:CS67"/>
    <mergeCell ref="BX67:BY67"/>
    <mergeCell ref="CJ67:CK67"/>
    <mergeCell ref="CL27:CS28"/>
    <mergeCell ref="BP29:BW30"/>
    <mergeCell ref="CY79:CZ79"/>
    <mergeCell ref="BP82:BW82"/>
    <mergeCell ref="CL82:CS82"/>
    <mergeCell ref="CR30:CS30"/>
    <mergeCell ref="BX30:BY30"/>
    <mergeCell ref="CJ28:CK28"/>
    <mergeCell ref="BP28:BQ28"/>
    <mergeCell ref="CG205:CH205"/>
    <mergeCell ref="BP26:BQ26"/>
    <mergeCell ref="B98:B99"/>
    <mergeCell ref="BU203:BW203"/>
    <mergeCell ref="BU205:BV205"/>
    <mergeCell ref="AZ103:BA103"/>
    <mergeCell ref="AZ124:BA124"/>
    <mergeCell ref="W103:AA103"/>
    <mergeCell ref="B82:E82"/>
  </mergeCells>
  <phoneticPr fontId="2" type="noConversion"/>
  <conditionalFormatting sqref="AB53:AE90 U53:U90 AB50:AE50 U50 BF31:BN31 U27">
    <cfRule type="cellIs" dxfId="1056" priority="321" stopIfTrue="1" operator="between">
      <formula>"OVERLOAD"</formula>
      <formula>"OVERLOAD"</formula>
    </cfRule>
  </conditionalFormatting>
  <conditionalFormatting sqref="BP84:CS85 CY216:DV217 BP226:CM227 DD143:DQ146 BU89:CH96">
    <cfRule type="cellIs" dxfId="1055" priority="317" stopIfTrue="1" operator="equal">
      <formula>FALSE</formula>
    </cfRule>
  </conditionalFormatting>
  <conditionalFormatting sqref="BX82:CK82 CY214:DV214 BP224:CM224 BP62:CS62">
    <cfRule type="cellIs" dxfId="1054" priority="4" stopIfTrue="1" operator="equal">
      <formula>0</formula>
    </cfRule>
  </conditionalFormatting>
  <conditionalFormatting sqref="BN99:BN128 BL68:BL90 BN159:BN169 CW149:CW159">
    <cfRule type="cellIs" dxfId="1053" priority="320" stopIfTrue="1" operator="equal">
      <formula>FALSE</formula>
    </cfRule>
  </conditionalFormatting>
  <conditionalFormatting sqref="D106 K106:O106 R106 T106:Y106 AB106">
    <cfRule type="expression" dxfId="1052" priority="310" stopIfTrue="1">
      <formula>$B$103&lt;1</formula>
    </cfRule>
  </conditionalFormatting>
  <conditionalFormatting sqref="AX107:BA107 D107">
    <cfRule type="expression" dxfId="1051" priority="308" stopIfTrue="1">
      <formula>$B$103&lt;2</formula>
    </cfRule>
  </conditionalFormatting>
  <conditionalFormatting sqref="AX108:BA108 D108">
    <cfRule type="expression" dxfId="1050" priority="307" stopIfTrue="1">
      <formula>$B$103&lt;3</formula>
    </cfRule>
  </conditionalFormatting>
  <conditionalFormatting sqref="AX109:BA109 D109">
    <cfRule type="expression" dxfId="1049" priority="306" stopIfTrue="1">
      <formula>$B$103&lt;4</formula>
    </cfRule>
  </conditionalFormatting>
  <conditionalFormatting sqref="AX110:BA110 D110">
    <cfRule type="expression" dxfId="1048" priority="305" stopIfTrue="1">
      <formula>$B$103&lt;5</formula>
    </cfRule>
  </conditionalFormatting>
  <conditionalFormatting sqref="AX111:BA111 D111">
    <cfRule type="expression" dxfId="1047" priority="304" stopIfTrue="1">
      <formula>$B$103&lt;6</formula>
    </cfRule>
  </conditionalFormatting>
  <conditionalFormatting sqref="AX112:BA112 D112">
    <cfRule type="expression" dxfId="1046" priority="303" stopIfTrue="1">
      <formula>$B$103&lt;7</formula>
    </cfRule>
  </conditionalFormatting>
  <conditionalFormatting sqref="AX113:BA113 D113">
    <cfRule type="expression" dxfId="1045" priority="302" stopIfTrue="1">
      <formula>$B$103&lt;8</formula>
    </cfRule>
  </conditionalFormatting>
  <conditionalFormatting sqref="AX114:BA114 D114">
    <cfRule type="expression" dxfId="1044" priority="301" stopIfTrue="1">
      <formula>$B$103&lt;9</formula>
    </cfRule>
  </conditionalFormatting>
  <conditionalFormatting sqref="AX115:BA115 D115">
    <cfRule type="expression" dxfId="1043" priority="104" stopIfTrue="1">
      <formula>$B$103&lt;10</formula>
    </cfRule>
  </conditionalFormatting>
  <conditionalFormatting sqref="AX116:BA116 D116">
    <cfRule type="expression" dxfId="1042" priority="60" stopIfTrue="1">
      <formula>$B$103&lt;11</formula>
    </cfRule>
  </conditionalFormatting>
  <conditionalFormatting sqref="AX117:BA117 D117">
    <cfRule type="expression" dxfId="1041" priority="45" stopIfTrue="1">
      <formula>$B$103&lt;12</formula>
    </cfRule>
  </conditionalFormatting>
  <conditionalFormatting sqref="D97:G98">
    <cfRule type="cellIs" dxfId="1040" priority="314" stopIfTrue="1" operator="equal">
      <formula>"change the angle of frame or of cabinets"</formula>
    </cfRule>
  </conditionalFormatting>
  <conditionalFormatting sqref="E100:G100">
    <cfRule type="cellIs" dxfId="1039" priority="315" stopIfTrue="1" operator="equal">
      <formula>"USE EXBAR VR AT THE BACK"</formula>
    </cfRule>
  </conditionalFormatting>
  <conditionalFormatting sqref="E99:G99 E99:E100">
    <cfRule type="cellIs" dxfId="1038" priority="316" stopIfTrue="1" operator="equal">
      <formula>"USE EXBAR VR AT THE FRONT"</formula>
    </cfRule>
  </conditionalFormatting>
  <conditionalFormatting sqref="B106:B117">
    <cfRule type="cellIs" dxfId="1037" priority="312" stopIfTrue="1" operator="greaterThan">
      <formula>$B$103</formula>
    </cfRule>
  </conditionalFormatting>
  <conditionalFormatting sqref="B127:B150">
    <cfRule type="cellIs" dxfId="1036" priority="249" stopIfTrue="1" operator="greaterThan">
      <formula>$B$124</formula>
    </cfRule>
  </conditionalFormatting>
  <conditionalFormatting sqref="AX127:BA127 AB127:AE127 D127:G127 AX128:AY150">
    <cfRule type="expression" dxfId="1035" priority="247" stopIfTrue="1">
      <formula>$B$124&lt;1</formula>
    </cfRule>
  </conditionalFormatting>
  <conditionalFormatting sqref="AX128:BA128 AB128:AE128 D128:G128">
    <cfRule type="expression" dxfId="1034" priority="246" stopIfTrue="1">
      <formula>$B$124&lt;2</formula>
    </cfRule>
  </conditionalFormatting>
  <conditionalFormatting sqref="AX129:BA129 AB129:AE129 D129:G129">
    <cfRule type="expression" dxfId="1033" priority="245" stopIfTrue="1">
      <formula>$B$124&lt;3</formula>
    </cfRule>
  </conditionalFormatting>
  <conditionalFormatting sqref="AX130:BA130 AB130:AE130 D130:G130">
    <cfRule type="expression" dxfId="1032" priority="244" stopIfTrue="1">
      <formula>$B$124&lt;4</formula>
    </cfRule>
  </conditionalFormatting>
  <conditionalFormatting sqref="AX131:BA131 AB131:AE131 D131:G131">
    <cfRule type="expression" dxfId="1031" priority="243" stopIfTrue="1">
      <formula>$B$124&lt;5</formula>
    </cfRule>
  </conditionalFormatting>
  <conditionalFormatting sqref="AX132:BA132 AB132:AE132 D132:G132">
    <cfRule type="expression" dxfId="1030" priority="242">
      <formula>$B$124&lt;6</formula>
    </cfRule>
  </conditionalFormatting>
  <conditionalFormatting sqref="AX133:BA133 AB133:AE133 D133:G133">
    <cfRule type="expression" dxfId="1029" priority="241">
      <formula>$B$124&lt;7</formula>
    </cfRule>
  </conditionalFormatting>
  <conditionalFormatting sqref="AX134:BA134 AB134:AE134 D134:G134">
    <cfRule type="expression" dxfId="1028" priority="240">
      <formula>$B$124&lt;8</formula>
    </cfRule>
  </conditionalFormatting>
  <conditionalFormatting sqref="AX135:BA135 AB135:AE135 D135:G135">
    <cfRule type="expression" dxfId="1027" priority="239">
      <formula>$B$124&lt;9</formula>
    </cfRule>
  </conditionalFormatting>
  <conditionalFormatting sqref="AX136:BA136 AB136:AE136 D136:G136">
    <cfRule type="expression" dxfId="1026" priority="238">
      <formula>$B$124&lt;10</formula>
    </cfRule>
  </conditionalFormatting>
  <conditionalFormatting sqref="AX137:BA137 AB137:AE137 D137:G137">
    <cfRule type="expression" dxfId="1025" priority="237">
      <formula>$B$124&lt;11</formula>
    </cfRule>
  </conditionalFormatting>
  <conditionalFormatting sqref="AX138:BA138 AB138:AE138 D138:G138">
    <cfRule type="expression" dxfId="1024" priority="236">
      <formula>$B$124&lt;12</formula>
    </cfRule>
  </conditionalFormatting>
  <conditionalFormatting sqref="AX139:BA139 AB139:AE139 D139:G139">
    <cfRule type="expression" dxfId="1023" priority="235">
      <formula>$B$124&lt;13</formula>
    </cfRule>
  </conditionalFormatting>
  <conditionalFormatting sqref="AX140:BA140 AB140:AE140 D140:G140">
    <cfRule type="expression" dxfId="1022" priority="234">
      <formula>$B$124&lt;14</formula>
    </cfRule>
  </conditionalFormatting>
  <conditionalFormatting sqref="AX141:BA141 AB141:AE141 D141:G141">
    <cfRule type="expression" dxfId="1021" priority="233">
      <formula>$B$124&lt;15</formula>
    </cfRule>
  </conditionalFormatting>
  <conditionalFormatting sqref="AX142:BA142 AB142:AE142 D142:G142">
    <cfRule type="expression" dxfId="1020" priority="232">
      <formula>$B$124&lt;16</formula>
    </cfRule>
  </conditionalFormatting>
  <conditionalFormatting sqref="AX143:BA143 AB143:AE143 D143:G143">
    <cfRule type="expression" dxfId="1019" priority="231">
      <formula>$B$124&lt;17</formula>
    </cfRule>
  </conditionalFormatting>
  <conditionalFormatting sqref="AX144:BA144 AB144:AE144 D144:G144">
    <cfRule type="expression" dxfId="1018" priority="230">
      <formula>$B$124&lt;18</formula>
    </cfRule>
  </conditionalFormatting>
  <conditionalFormatting sqref="AX145:BA145 AB145:AE145 D145:G145">
    <cfRule type="expression" dxfId="1017" priority="229">
      <formula>$B$124&lt;19</formula>
    </cfRule>
  </conditionalFormatting>
  <conditionalFormatting sqref="AX146:BA146 AB146:AE146 D146:G146">
    <cfRule type="expression" dxfId="1016" priority="228">
      <formula>$B$124&lt;20</formula>
    </cfRule>
  </conditionalFormatting>
  <conditionalFormatting sqref="AX147:BA147 AB147:AE147 D147:G147">
    <cfRule type="expression" dxfId="1015" priority="154">
      <formula>$B$124&lt;21</formula>
    </cfRule>
  </conditionalFormatting>
  <conditionalFormatting sqref="AX148:BA148 AB148:AE148 D148:G148">
    <cfRule type="expression" dxfId="1014" priority="105">
      <formula>$B$124&lt;22</formula>
    </cfRule>
  </conditionalFormatting>
  <conditionalFormatting sqref="AX149:BA149 AB149:AE149 D149:G149">
    <cfRule type="expression" dxfId="1013" priority="59">
      <formula>$B$124&lt;23</formula>
    </cfRule>
  </conditionalFormatting>
  <conditionalFormatting sqref="AX150:BA150 AB150:AE150 D150:G150">
    <cfRule type="expression" dxfId="1012" priority="44">
      <formula>$B$124&lt;24</formula>
    </cfRule>
  </conditionalFormatting>
  <conditionalFormatting sqref="E106">
    <cfRule type="expression" dxfId="1011" priority="72" stopIfTrue="1">
      <formula>$B$103&lt;1</formula>
    </cfRule>
  </conditionalFormatting>
  <conditionalFormatting sqref="E107">
    <cfRule type="expression" dxfId="1010" priority="71" stopIfTrue="1">
      <formula>$B$103&lt;2</formula>
    </cfRule>
  </conditionalFormatting>
  <conditionalFormatting sqref="E108">
    <cfRule type="expression" dxfId="1009" priority="70" stopIfTrue="1">
      <formula>$B$103&lt;3</formula>
    </cfRule>
  </conditionalFormatting>
  <conditionalFormatting sqref="E109">
    <cfRule type="expression" dxfId="1008" priority="69" stopIfTrue="1">
      <formula>$B$103&lt;4</formula>
    </cfRule>
  </conditionalFormatting>
  <conditionalFormatting sqref="E110">
    <cfRule type="expression" dxfId="1007" priority="68" stopIfTrue="1">
      <formula>$B$103&lt;5</formula>
    </cfRule>
  </conditionalFormatting>
  <conditionalFormatting sqref="E111">
    <cfRule type="expression" dxfId="1006" priority="67" stopIfTrue="1">
      <formula>$B$103&lt;6</formula>
    </cfRule>
  </conditionalFormatting>
  <conditionalFormatting sqref="E112">
    <cfRule type="expression" dxfId="1005" priority="66" stopIfTrue="1">
      <formula>$B$103&lt;7</formula>
    </cfRule>
  </conditionalFormatting>
  <conditionalFormatting sqref="E113">
    <cfRule type="expression" dxfId="1004" priority="65" stopIfTrue="1">
      <formula>$B$103&lt;8</formula>
    </cfRule>
  </conditionalFormatting>
  <conditionalFormatting sqref="E114">
    <cfRule type="expression" dxfId="1003" priority="64" stopIfTrue="1">
      <formula>$B$103&lt;9</formula>
    </cfRule>
  </conditionalFormatting>
  <conditionalFormatting sqref="E115">
    <cfRule type="expression" dxfId="1002" priority="63" stopIfTrue="1">
      <formula>$B$103&lt;10</formula>
    </cfRule>
  </conditionalFormatting>
  <conditionalFormatting sqref="E116">
    <cfRule type="expression" dxfId="1001" priority="62" stopIfTrue="1">
      <formula>$B$103&lt;11</formula>
    </cfRule>
  </conditionalFormatting>
  <conditionalFormatting sqref="E117">
    <cfRule type="expression" dxfId="1000" priority="61" stopIfTrue="1">
      <formula>$B$103&lt;12</formula>
    </cfRule>
  </conditionalFormatting>
  <conditionalFormatting sqref="AZ106:BA117 D86 B86">
    <cfRule type="cellIs" dxfId="999" priority="309" stopIfTrue="1" operator="lessThan">
      <formula>10</formula>
    </cfRule>
  </conditionalFormatting>
  <conditionalFormatting sqref="AZ127:BA150">
    <cfRule type="cellIs" dxfId="998" priority="248" stopIfTrue="1" operator="lessThan">
      <formula>10</formula>
    </cfRule>
  </conditionalFormatting>
  <conditionalFormatting sqref="F106:G106">
    <cfRule type="expression" dxfId="997" priority="57" stopIfTrue="1">
      <formula>$B$103&lt;1</formula>
    </cfRule>
  </conditionalFormatting>
  <conditionalFormatting sqref="F107:AB107">
    <cfRule type="expression" dxfId="996" priority="56" stopIfTrue="1">
      <formula>$B$103&lt;2</formula>
    </cfRule>
  </conditionalFormatting>
  <conditionalFormatting sqref="F108:AB108">
    <cfRule type="expression" dxfId="995" priority="55" stopIfTrue="1">
      <formula>$B$103&lt;3</formula>
    </cfRule>
  </conditionalFormatting>
  <conditionalFormatting sqref="F109:AB109">
    <cfRule type="expression" dxfId="994" priority="54" stopIfTrue="1">
      <formula>$B$103&lt;4</formula>
    </cfRule>
  </conditionalFormatting>
  <conditionalFormatting sqref="F110:AB110">
    <cfRule type="expression" dxfId="993" priority="53" stopIfTrue="1">
      <formula>$B$103&lt;5</formula>
    </cfRule>
  </conditionalFormatting>
  <conditionalFormatting sqref="F111:AB111">
    <cfRule type="expression" dxfId="992" priority="52" stopIfTrue="1">
      <formula>$B$103&lt;6</formula>
    </cfRule>
  </conditionalFormatting>
  <conditionalFormatting sqref="F112:AB112">
    <cfRule type="expression" dxfId="991" priority="51" stopIfTrue="1">
      <formula>$B$103&lt;7</formula>
    </cfRule>
  </conditionalFormatting>
  <conditionalFormatting sqref="F113:AB113">
    <cfRule type="expression" dxfId="990" priority="50" stopIfTrue="1">
      <formula>$B$103&lt;8</formula>
    </cfRule>
  </conditionalFormatting>
  <conditionalFormatting sqref="F114:AB114">
    <cfRule type="expression" dxfId="989" priority="49" stopIfTrue="1">
      <formula>$B$103&lt;9</formula>
    </cfRule>
  </conditionalFormatting>
  <conditionalFormatting sqref="F115:AB115">
    <cfRule type="expression" dxfId="988" priority="48" stopIfTrue="1">
      <formula>$B$103&lt;10</formula>
    </cfRule>
  </conditionalFormatting>
  <conditionalFormatting sqref="F116:AB116">
    <cfRule type="expression" dxfId="987" priority="47" stopIfTrue="1">
      <formula>$B$103&lt;11</formula>
    </cfRule>
  </conditionalFormatting>
  <conditionalFormatting sqref="F117:AB117">
    <cfRule type="expression" dxfId="986" priority="46" stopIfTrue="1">
      <formula>$B$103&lt;12</formula>
    </cfRule>
  </conditionalFormatting>
  <conditionalFormatting sqref="D106:D117">
    <cfRule type="cellIs" dxfId="985" priority="313" stopIfTrue="1" operator="notEqual">
      <formula>0</formula>
    </cfRule>
  </conditionalFormatting>
  <conditionalFormatting sqref="D127:D150">
    <cfRule type="cellIs" dxfId="984" priority="252" stopIfTrue="1" operator="notEqual">
      <formula>0</formula>
    </cfRule>
  </conditionalFormatting>
  <conditionalFormatting sqref="B68">
    <cfRule type="cellIs" dxfId="983" priority="43" stopIfTrue="1" operator="equal">
      <formula>"overload"</formula>
    </cfRule>
  </conditionalFormatting>
  <conditionalFormatting sqref="E68">
    <cfRule type="cellIs" dxfId="982" priority="41" stopIfTrue="1" operator="between">
      <formula>"OVERLOAD"</formula>
      <formula>"OVERLOAD"</formula>
    </cfRule>
  </conditionalFormatting>
  <conditionalFormatting sqref="Z106:AA106">
    <cfRule type="expression" dxfId="981" priority="40" stopIfTrue="1">
      <formula>$B$106&lt;1</formula>
    </cfRule>
  </conditionalFormatting>
  <conditionalFormatting sqref="AD107:AD117">
    <cfRule type="expression" dxfId="980" priority="23" stopIfTrue="1">
      <formula>$B$106&lt;1</formula>
    </cfRule>
  </conditionalFormatting>
  <conditionalFormatting sqref="AC106:AD106">
    <cfRule type="expression" dxfId="979" priority="39" stopIfTrue="1">
      <formula>$B$106&lt;1</formula>
    </cfRule>
  </conditionalFormatting>
  <conditionalFormatting sqref="AD106:AD117">
    <cfRule type="expression" dxfId="978" priority="38" stopIfTrue="1">
      <formula>$B$106&lt;1</formula>
    </cfRule>
  </conditionalFormatting>
  <conditionalFormatting sqref="AD107:AD117">
    <cfRule type="expression" dxfId="977" priority="37" stopIfTrue="1">
      <formula>$B$106&lt;1</formula>
    </cfRule>
  </conditionalFormatting>
  <conditionalFormatting sqref="AC107:AC117">
    <cfRule type="expression" dxfId="976" priority="36" stopIfTrue="1">
      <formula>$B$106&lt;1</formula>
    </cfRule>
  </conditionalFormatting>
  <conditionalFormatting sqref="AD107:AD117">
    <cfRule type="expression" dxfId="975" priority="21" stopIfTrue="1">
      <formula>$B$106&lt;1</formula>
    </cfRule>
  </conditionalFormatting>
  <conditionalFormatting sqref="AE106">
    <cfRule type="expression" dxfId="974" priority="20" stopIfTrue="1">
      <formula>$B$106&lt;1</formula>
    </cfRule>
  </conditionalFormatting>
  <conditionalFormatting sqref="AE107:AE117">
    <cfRule type="expression" dxfId="973" priority="8" stopIfTrue="1">
      <formula>$B$106&lt;1</formula>
    </cfRule>
  </conditionalFormatting>
  <conditionalFormatting sqref="C90">
    <cfRule type="cellIs" dxfId="972" priority="7" stopIfTrue="1" operator="between">
      <formula>"OVERLOAD"</formula>
      <formula>"OVERLOAD"</formula>
    </cfRule>
  </conditionalFormatting>
  <conditionalFormatting sqref="D100">
    <cfRule type="cellIs" dxfId="971" priority="5" stopIfTrue="1" operator="equal">
      <formula>"USE EXBAR VR AT THE BACK"</formula>
    </cfRule>
  </conditionalFormatting>
  <conditionalFormatting sqref="D99">
    <cfRule type="cellIs" dxfId="970" priority="6" stopIfTrue="1" operator="equal">
      <formula>"USE EXBAR VR AT THE FRONT"</formula>
    </cfRule>
  </conditionalFormatting>
  <conditionalFormatting sqref="BP63:CS63 BX82:CK82">
    <cfRule type="expression" dxfId="969" priority="3">
      <formula>$B$100=0</formula>
    </cfRule>
    <cfRule type="expression" dxfId="968" priority="318">
      <formula>$B$100=0</formula>
    </cfRule>
  </conditionalFormatting>
  <conditionalFormatting sqref="E86">
    <cfRule type="cellIs" dxfId="967" priority="2" stopIfTrue="1" operator="lessThan">
      <formula>10</formula>
    </cfRule>
  </conditionalFormatting>
  <conditionalFormatting sqref="B68 E68 B86 D86:E86">
    <cfRule type="expression" dxfId="966" priority="1">
      <formula>$BM$67=0</formula>
    </cfRule>
  </conditionalFormatting>
  <dataValidations count="8">
    <dataValidation type="decimal" allowBlank="1" showInputMessage="1" showErrorMessage="1" sqref="F106:G106 F127:G127" xr:uid="{00000000-0002-0000-0500-000000000000}">
      <formula1>0</formula1>
      <formula2>4</formula2>
    </dataValidation>
    <dataValidation type="decimal" allowBlank="1" showInputMessage="1" showErrorMessage="1" sqref="G107:G117 G128:G150 F108:F117 F129:F150" xr:uid="{00000000-0002-0000-0500-000001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03" xr:uid="{00000000-0002-0000-0500-000002000000}">
      <formula1>0</formula1>
      <formula2>12</formula2>
    </dataValidation>
    <dataValidation type="whole" allowBlank="1" showInputMessage="1" showErrorMessage="1" errorTitle="Coda Audio" error="YOU HAVE ENTERED A WRONG NUMBER OF CABINETS" promptTitle="Coda Audio" prompt="ENTER THE NUMBER OF CABINETS FROM 1 UP TO 24" sqref="B124" xr:uid="{00000000-0002-0000-0500-000003000000}">
      <formula1>1</formula1>
      <formula2>24</formula2>
    </dataValidation>
    <dataValidation type="decimal" allowBlank="1" showInputMessage="1" showErrorMessage="1" sqref="D127" xr:uid="{00000000-0002-0000-0500-000004000000}">
      <formula1>0</formula1>
      <formula2>5</formula2>
    </dataValidation>
    <dataValidation type="decimal" allowBlank="1" showInputMessage="1" showErrorMessage="1" sqref="D128:D150" xr:uid="{00000000-0002-0000-0500-000005000000}">
      <formula1>0</formula1>
      <formula2>10</formula2>
    </dataValidation>
    <dataValidation type="custom" allowBlank="1" showInputMessage="1" showErrorMessage="1" sqref="D106:D117" xr:uid="{00000000-0002-0000-0500-000006000000}">
      <formula1>OR(D106=0,D106=2.5,D106=5)</formula1>
    </dataValidation>
    <dataValidation type="decimal" allowBlank="1" showInputMessage="1" showErrorMessage="1" sqref="B100" xr:uid="{00000000-0002-0000-0500-000007000000}">
      <formula1>-89.9</formula1>
      <formula2>89.9</formula2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4"/>
  </sheetPr>
  <dimension ref="A1:EM226"/>
  <sheetViews>
    <sheetView topLeftCell="A25" zoomScale="50" zoomScaleNormal="50" workbookViewId="0">
      <selection activeCell="B105" sqref="B105"/>
    </sheetView>
  </sheetViews>
  <sheetFormatPr baseColWidth="10" defaultColWidth="8.88671875" defaultRowHeight="17.399999999999999" x14ac:dyDescent="0.3"/>
  <cols>
    <col min="1" max="1" width="1.5546875" customWidth="1"/>
    <col min="2" max="2" width="40.33203125" style="13" customWidth="1"/>
    <col min="3" max="3" width="19.5546875" style="13" hidden="1" customWidth="1"/>
    <col min="4" max="4" width="32.88671875" style="14" bestFit="1" customWidth="1"/>
    <col min="5" max="5" width="32.5546875" style="14" customWidth="1"/>
    <col min="6" max="6" width="105.109375" style="14" hidden="1" customWidth="1"/>
    <col min="7" max="7" width="12.109375" style="14" hidden="1" customWidth="1"/>
    <col min="8" max="8" width="15.6640625" style="62" hidden="1" customWidth="1"/>
    <col min="9" max="10" width="19.5546875" style="62" hidden="1" customWidth="1"/>
    <col min="11" max="14" width="19.88671875" style="62" hidden="1" customWidth="1"/>
    <col min="15" max="15" width="10" style="62" hidden="1" customWidth="1"/>
    <col min="16" max="16" width="19.88671875" style="62" hidden="1" customWidth="1"/>
    <col min="17" max="17" width="23.5546875" style="62" hidden="1" customWidth="1"/>
    <col min="18" max="18" width="31.5546875" style="62" hidden="1" customWidth="1"/>
    <col min="19" max="19" width="21.44140625" style="62" hidden="1" customWidth="1"/>
    <col min="20" max="20" width="22.33203125" style="62" hidden="1" customWidth="1"/>
    <col min="21" max="21" width="11.6640625" style="62" hidden="1" customWidth="1"/>
    <col min="22" max="22" width="22.6640625" style="62" hidden="1" customWidth="1"/>
    <col min="23" max="24" width="18" style="62" hidden="1" customWidth="1"/>
    <col min="25" max="25" width="15" style="62" hidden="1" customWidth="1"/>
    <col min="26" max="27" width="19.88671875" style="62" hidden="1" customWidth="1"/>
    <col min="28" max="28" width="42" style="62" bestFit="1" customWidth="1"/>
    <col min="29" max="29" width="26.33203125" style="62" hidden="1" customWidth="1"/>
    <col min="30" max="31" width="3.6640625" style="62" hidden="1" customWidth="1"/>
    <col min="32" max="32" width="79.44140625" style="62" hidden="1" customWidth="1"/>
    <col min="33" max="33" width="16.88671875" style="62" hidden="1" customWidth="1"/>
    <col min="34" max="34" width="11.33203125" style="62" hidden="1" customWidth="1"/>
    <col min="35" max="35" width="20.88671875" style="62" hidden="1" customWidth="1"/>
    <col min="36" max="36" width="19.44140625" style="62" hidden="1" customWidth="1"/>
    <col min="37" max="37" width="22.6640625" style="62" hidden="1" customWidth="1"/>
    <col min="38" max="38" width="20.88671875" style="62" hidden="1" customWidth="1"/>
    <col min="39" max="39" width="19.44140625" style="62" hidden="1" customWidth="1"/>
    <col min="40" max="40" width="22.6640625" style="62" hidden="1" customWidth="1"/>
    <col min="41" max="41" width="34.6640625" style="62" hidden="1" customWidth="1"/>
    <col min="42" max="42" width="44" style="62" hidden="1" customWidth="1"/>
    <col min="43" max="43" width="66.5546875" style="62" hidden="1" customWidth="1"/>
    <col min="44" max="44" width="22.6640625" style="62" hidden="1" customWidth="1"/>
    <col min="45" max="45" width="24.5546875" style="62" hidden="1" customWidth="1"/>
    <col min="46" max="46" width="34.6640625" style="62" hidden="1" customWidth="1"/>
    <col min="47" max="47" width="22.6640625" style="62" hidden="1" customWidth="1"/>
    <col min="48" max="49" width="24.5546875" style="62" hidden="1" customWidth="1"/>
    <col min="50" max="50" width="14.109375" style="62" hidden="1" customWidth="1"/>
    <col min="51" max="51" width="13.88671875" style="62" hidden="1" customWidth="1"/>
    <col min="52" max="53" width="12.109375" style="62" customWidth="1"/>
    <col min="54" max="54" width="91" hidden="1" customWidth="1"/>
    <col min="55" max="55" width="14.44140625" hidden="1" customWidth="1"/>
    <col min="56" max="57" width="9.33203125" hidden="1" customWidth="1"/>
    <col min="58" max="58" width="4" hidden="1" customWidth="1"/>
    <col min="59" max="59" width="4.88671875" hidden="1" customWidth="1"/>
    <col min="60" max="60" width="9.44140625" hidden="1" customWidth="1"/>
    <col min="61" max="62" width="17" hidden="1" customWidth="1"/>
    <col min="63" max="63" width="9.109375" hidden="1" customWidth="1"/>
    <col min="64" max="64" width="23.44140625" style="1550" hidden="1" customWidth="1"/>
    <col min="65" max="65" width="19" style="1550" hidden="1" customWidth="1"/>
    <col min="66" max="66" width="24.88671875" style="1550" bestFit="1" customWidth="1"/>
    <col min="67" max="67" width="35.6640625" style="1550" customWidth="1"/>
    <col min="68" max="68" width="43.5546875" style="1550" customWidth="1"/>
    <col min="69" max="105" width="7.109375" style="1550" customWidth="1"/>
    <col min="106" max="106" width="7.6640625" style="1550" customWidth="1"/>
    <col min="107" max="107" width="16" style="1550" customWidth="1"/>
    <col min="108" max="108" width="40.88671875" style="1550" hidden="1" customWidth="1"/>
    <col min="109" max="109" width="41.44140625" customWidth="1"/>
    <col min="110" max="139" width="6.5546875" customWidth="1"/>
    <col min="143" max="143" width="11.44140625" customWidth="1"/>
    <col min="144" max="144" width="9.33203125" customWidth="1"/>
  </cols>
  <sheetData>
    <row r="1" spans="2:108" ht="34.5" hidden="1" customHeight="1" x14ac:dyDescent="0.4">
      <c r="B1" s="1780"/>
      <c r="C1" s="1781"/>
      <c r="D1" s="1782" t="s">
        <v>202</v>
      </c>
      <c r="E1" s="1782" t="s">
        <v>203</v>
      </c>
      <c r="F1" s="1783" t="s">
        <v>204</v>
      </c>
    </row>
    <row r="2" spans="2:108" ht="39" hidden="1" customHeight="1" x14ac:dyDescent="0.5">
      <c r="B2" s="1784" t="s">
        <v>29</v>
      </c>
      <c r="C2" s="1807">
        <v>688</v>
      </c>
      <c r="D2" s="1808">
        <f>+COS(($B$104*-1)*3.14159265358979/180)*C2</f>
        <v>688</v>
      </c>
      <c r="E2" s="1808">
        <f>+COS(($B$104*-1)*3.14159265358979/180)*43</f>
        <v>43</v>
      </c>
      <c r="F2" s="1809">
        <f>+COS((($B$104*-1)+72.969997)*3.14159265358979/180)*162.1867</f>
        <v>47.500013702602963</v>
      </c>
    </row>
    <row r="3" spans="2:108" ht="39" hidden="1" customHeight="1" x14ac:dyDescent="0.5">
      <c r="B3" s="1810" t="s">
        <v>242</v>
      </c>
      <c r="C3" s="1811">
        <f>+C9-47.5</f>
        <v>159.74661160374168</v>
      </c>
      <c r="D3" s="1813">
        <f>+C9-F2</f>
        <v>159.74659790113873</v>
      </c>
      <c r="E3" s="1785"/>
      <c r="F3" s="1786"/>
    </row>
    <row r="4" spans="2:108" ht="39" hidden="1" customHeight="1" x14ac:dyDescent="0.5">
      <c r="B4" s="1787" t="s">
        <v>40</v>
      </c>
      <c r="C4" s="1812">
        <v>1075</v>
      </c>
      <c r="D4" s="1808">
        <f>+COS(($B$104*-1)*3.14159265358979/180)*C4</f>
        <v>1075</v>
      </c>
      <c r="E4" s="1785"/>
      <c r="F4" s="1786"/>
    </row>
    <row r="5" spans="2:108" ht="39" hidden="1" customHeight="1" x14ac:dyDescent="0.5">
      <c r="B5" s="1787" t="s">
        <v>238</v>
      </c>
      <c r="C5" s="1812">
        <f>+C9+425.5</f>
        <v>632.74661160374171</v>
      </c>
      <c r="D5" s="1813">
        <f>+(COS(($B$104*-1)*3.14159265358979/180)*400)+$D$3</f>
        <v>559.74659790113878</v>
      </c>
      <c r="E5" s="1785"/>
      <c r="F5" s="1786"/>
    </row>
    <row r="6" spans="2:108" ht="21" hidden="1" x14ac:dyDescent="0.4">
      <c r="B6" s="1788"/>
      <c r="C6" s="675"/>
      <c r="D6" s="1785"/>
      <c r="E6" s="1785"/>
      <c r="F6" s="1786"/>
      <c r="BL6" s="1551"/>
      <c r="BM6" s="1551"/>
      <c r="BN6" s="1551"/>
      <c r="BO6" s="1551"/>
      <c r="BP6" s="1551"/>
      <c r="BQ6" s="1551"/>
      <c r="BR6" s="1551"/>
      <c r="BS6" s="1551"/>
      <c r="BT6" s="1551"/>
      <c r="BU6" s="1551"/>
      <c r="BV6" s="1551"/>
      <c r="BW6" s="1551"/>
      <c r="BX6" s="1551"/>
      <c r="BY6" s="1551"/>
      <c r="BZ6" s="1551"/>
      <c r="CA6" s="1551"/>
      <c r="CB6" s="1551"/>
      <c r="CC6" s="1551"/>
      <c r="CD6" s="1551"/>
      <c r="CE6" s="1551"/>
      <c r="CF6" s="1551"/>
      <c r="CG6" s="1551"/>
      <c r="CH6" s="1551"/>
      <c r="CI6" s="1551"/>
      <c r="CJ6" s="1551"/>
      <c r="CK6" s="1551"/>
      <c r="CL6" s="1551"/>
      <c r="CM6" s="1551"/>
      <c r="CN6" s="1551"/>
      <c r="CO6" s="1551"/>
      <c r="CP6" s="1551"/>
      <c r="CQ6" s="1551"/>
      <c r="CR6" s="1551"/>
      <c r="CS6" s="1551"/>
      <c r="CT6" s="1551"/>
      <c r="CU6" s="1551"/>
      <c r="CV6" s="1551"/>
      <c r="CW6" s="1551"/>
      <c r="CX6" s="1551"/>
      <c r="CY6" s="1551"/>
      <c r="CZ6" s="1551"/>
      <c r="DA6" s="1551"/>
      <c r="DB6" s="1551"/>
      <c r="DC6" s="1551"/>
      <c r="DD6" s="1551"/>
    </row>
    <row r="7" spans="2:108" ht="21" hidden="1" x14ac:dyDescent="0.4">
      <c r="B7" s="1789" t="s">
        <v>18</v>
      </c>
      <c r="C7" s="1790">
        <f>+C11+C14+30+4.3</f>
        <v>176.8</v>
      </c>
      <c r="D7" s="1785"/>
      <c r="E7" s="1785"/>
      <c r="F7" s="1786"/>
    </row>
    <row r="8" spans="2:108" ht="21" hidden="1" x14ac:dyDescent="0.4">
      <c r="B8" s="1789" t="s">
        <v>19</v>
      </c>
      <c r="C8" s="1791">
        <f>+AR110</f>
        <v>747.0023123282715</v>
      </c>
      <c r="D8" s="1785"/>
      <c r="E8" s="1785"/>
      <c r="F8" s="1786"/>
    </row>
    <row r="9" spans="2:108" ht="21" hidden="1" x14ac:dyDescent="0.4">
      <c r="B9" s="1789" t="s">
        <v>14</v>
      </c>
      <c r="C9" s="1791">
        <f>+AO110</f>
        <v>207.24661160374168</v>
      </c>
      <c r="D9" s="1785"/>
      <c r="E9" s="1785"/>
      <c r="F9" s="1786"/>
    </row>
    <row r="10" spans="2:108" ht="21" hidden="1" x14ac:dyDescent="0.4">
      <c r="B10" s="1788"/>
      <c r="C10" s="675"/>
      <c r="D10" s="1785"/>
      <c r="E10" s="1785"/>
      <c r="F10" s="1786"/>
    </row>
    <row r="11" spans="2:108" ht="21" hidden="1" x14ac:dyDescent="0.4">
      <c r="B11" s="1792" t="s">
        <v>98</v>
      </c>
      <c r="C11" s="1793">
        <f>+B107*57+30</f>
        <v>87</v>
      </c>
      <c r="D11" s="1785"/>
      <c r="E11" s="1785"/>
      <c r="F11" s="1786"/>
      <c r="BL11" s="1551"/>
      <c r="BM11" s="1551"/>
      <c r="BN11" s="1551"/>
      <c r="BO11" s="1551"/>
      <c r="BP11" s="1551"/>
      <c r="BQ11" s="1551"/>
      <c r="BR11" s="1551"/>
      <c r="BS11" s="1551"/>
      <c r="BT11" s="1551"/>
      <c r="BU11" s="1551"/>
      <c r="BV11" s="1551"/>
      <c r="BW11" s="1551"/>
      <c r="BX11" s="1551"/>
      <c r="BY11" s="1551"/>
      <c r="BZ11" s="1551"/>
      <c r="CA11" s="1551"/>
      <c r="CB11" s="1551"/>
      <c r="CC11" s="1551"/>
      <c r="CD11" s="1551"/>
      <c r="CE11" s="1551"/>
      <c r="CF11" s="1551"/>
      <c r="CG11" s="1551"/>
      <c r="CH11" s="1551"/>
      <c r="CI11" s="1551"/>
      <c r="CJ11" s="1551"/>
      <c r="CK11" s="1551"/>
      <c r="CL11" s="1551"/>
      <c r="CM11" s="1551"/>
      <c r="CN11" s="1551"/>
      <c r="CO11" s="1551"/>
      <c r="CP11" s="1551"/>
      <c r="CQ11" s="1551"/>
      <c r="CR11" s="1551"/>
      <c r="CS11" s="1551"/>
      <c r="CT11" s="1551"/>
      <c r="CU11" s="1551"/>
      <c r="CV11" s="1551"/>
      <c r="CW11" s="1551"/>
      <c r="CX11" s="1551"/>
      <c r="CY11" s="1551"/>
      <c r="CZ11" s="1551"/>
      <c r="DA11" s="1551"/>
      <c r="DB11" s="1551"/>
      <c r="DC11" s="1551"/>
      <c r="DD11" s="1551"/>
    </row>
    <row r="12" spans="2:108" ht="21" hidden="1" x14ac:dyDescent="0.4">
      <c r="B12" s="1792" t="s">
        <v>100</v>
      </c>
      <c r="C12" s="1793">
        <v>747</v>
      </c>
      <c r="D12" s="1794"/>
      <c r="E12" s="1785"/>
      <c r="F12" s="1786"/>
    </row>
    <row r="13" spans="2:108" ht="21" hidden="1" x14ac:dyDescent="0.4">
      <c r="B13" s="1788"/>
      <c r="C13" s="675"/>
      <c r="D13" s="1794"/>
      <c r="E13" s="1785"/>
      <c r="F13" s="1786"/>
    </row>
    <row r="14" spans="2:108" ht="21" hidden="1" x14ac:dyDescent="0.4">
      <c r="B14" s="1795" t="s">
        <v>101</v>
      </c>
      <c r="C14" s="1796">
        <f>(+B128*25.5)+30</f>
        <v>55.5</v>
      </c>
      <c r="D14" s="1794"/>
      <c r="E14" s="1785"/>
      <c r="F14" s="1786"/>
    </row>
    <row r="15" spans="2:108" ht="21" hidden="1" x14ac:dyDescent="0.4">
      <c r="B15" s="1795" t="s">
        <v>103</v>
      </c>
      <c r="C15" s="1796">
        <v>326.60000000000002</v>
      </c>
      <c r="D15" s="1794"/>
      <c r="E15" s="1785"/>
      <c r="F15" s="1786"/>
    </row>
    <row r="16" spans="2:108" ht="21" hidden="1" x14ac:dyDescent="0.4">
      <c r="B16" s="1797"/>
      <c r="C16" s="1798"/>
      <c r="D16" s="1794"/>
      <c r="E16" s="1785"/>
      <c r="F16" s="1786"/>
    </row>
    <row r="17" spans="2:108" ht="21" hidden="1" x14ac:dyDescent="0.4">
      <c r="B17" s="1797"/>
      <c r="C17" s="1798"/>
      <c r="D17" s="1794"/>
      <c r="E17" s="1785"/>
      <c r="F17" s="1799" t="s">
        <v>225</v>
      </c>
    </row>
    <row r="18" spans="2:108" ht="21" hidden="1" x14ac:dyDescent="0.4">
      <c r="B18" s="1800" t="s">
        <v>120</v>
      </c>
      <c r="C18" s="1801">
        <v>5800</v>
      </c>
      <c r="D18" s="1801">
        <v>10000</v>
      </c>
      <c r="E18" s="1785"/>
      <c r="F18" s="1799" t="s">
        <v>71</v>
      </c>
    </row>
    <row r="19" spans="2:108" ht="41.4" hidden="1" x14ac:dyDescent="0.4">
      <c r="B19" s="1800" t="s">
        <v>121</v>
      </c>
      <c r="C19" s="1801">
        <v>5800</v>
      </c>
      <c r="D19" s="1801">
        <v>5800</v>
      </c>
      <c r="E19" s="1785"/>
      <c r="F19" s="1799" t="s">
        <v>243</v>
      </c>
    </row>
    <row r="20" spans="2:108" ht="21" hidden="1" x14ac:dyDescent="0.4">
      <c r="B20" s="1800" t="s">
        <v>169</v>
      </c>
      <c r="C20" s="1801">
        <v>8000</v>
      </c>
      <c r="D20" s="1801">
        <v>8000</v>
      </c>
      <c r="E20" s="1802">
        <v>8000</v>
      </c>
      <c r="F20" s="1786"/>
    </row>
    <row r="21" spans="2:108" ht="21" hidden="1" x14ac:dyDescent="0.4">
      <c r="B21" s="1795"/>
      <c r="C21" s="1801" t="s">
        <v>22</v>
      </c>
      <c r="D21" s="1801" t="s">
        <v>23</v>
      </c>
      <c r="E21" s="1785"/>
      <c r="F21" s="1786"/>
    </row>
    <row r="22" spans="2:108" ht="21.6" hidden="1" thickBot="1" x14ac:dyDescent="0.45">
      <c r="B22" s="1803" t="s">
        <v>102</v>
      </c>
      <c r="C22" s="1804">
        <f>+((C8-C9)/C8)*C7</f>
        <v>127.74901270474317</v>
      </c>
      <c r="D22" s="1804">
        <f>+(C9/C8)*C7</f>
        <v>49.050987295256846</v>
      </c>
      <c r="E22" s="1805"/>
      <c r="F22" s="1806"/>
    </row>
    <row r="23" spans="2:108" hidden="1" x14ac:dyDescent="0.3"/>
    <row r="24" spans="2:108" ht="44.25" hidden="1" customHeight="1" x14ac:dyDescent="0.95">
      <c r="E24" s="85"/>
      <c r="F24" s="85"/>
      <c r="G24" s="85"/>
      <c r="H24" s="243"/>
      <c r="I24" s="243"/>
      <c r="J24" s="243"/>
      <c r="K24" s="243"/>
      <c r="L24" s="243"/>
      <c r="M24" s="243"/>
      <c r="N24" s="243"/>
      <c r="O24" s="243"/>
      <c r="P24" s="243"/>
      <c r="Q24" s="243"/>
      <c r="R24" s="243"/>
      <c r="S24" s="243"/>
      <c r="AF24" s="243"/>
      <c r="AG24" s="243"/>
      <c r="AH24" s="243"/>
      <c r="AI24" s="243"/>
      <c r="AJ24" s="243"/>
      <c r="AK24" s="243"/>
      <c r="AL24" s="243"/>
      <c r="AM24" s="243"/>
      <c r="AN24" s="243"/>
      <c r="AO24" s="243"/>
      <c r="AP24" s="243"/>
      <c r="AQ24" s="243"/>
      <c r="AR24" s="243"/>
      <c r="AS24" s="243"/>
      <c r="AT24" s="243"/>
      <c r="AU24" s="243"/>
      <c r="AV24" s="243"/>
      <c r="AW24" s="243"/>
      <c r="AX24" s="243"/>
      <c r="AY24" s="243"/>
      <c r="AZ24" s="243"/>
      <c r="BA24" s="243"/>
      <c r="BB24" s="14"/>
      <c r="BF24" s="4"/>
      <c r="BG24" s="4"/>
      <c r="BH24" s="4"/>
      <c r="BI24" s="4"/>
      <c r="BJ24" s="4"/>
      <c r="BN24" s="1814"/>
    </row>
    <row r="25" spans="2:108" ht="38.25" customHeight="1" thickBot="1" x14ac:dyDescent="0.45">
      <c r="E25" s="85"/>
      <c r="F25" s="85"/>
      <c r="G25" s="85"/>
      <c r="H25" s="243"/>
      <c r="I25" s="243"/>
      <c r="J25" s="243"/>
      <c r="K25" s="243"/>
      <c r="L25" s="243"/>
      <c r="M25" s="243"/>
      <c r="N25" s="243"/>
      <c r="O25" s="243"/>
      <c r="P25" s="243"/>
      <c r="Q25" s="243"/>
      <c r="R25" s="243"/>
      <c r="S25" s="243"/>
      <c r="AF25" s="243"/>
      <c r="AG25" s="243"/>
      <c r="AH25" s="243"/>
      <c r="AI25" s="243"/>
      <c r="AJ25" s="243"/>
      <c r="AK25" s="243"/>
      <c r="AL25" s="243"/>
      <c r="AM25" s="243"/>
      <c r="AN25" s="243"/>
      <c r="AO25" s="243"/>
      <c r="AP25" s="243"/>
      <c r="AQ25" s="243"/>
      <c r="AR25" s="243"/>
      <c r="AS25" s="243"/>
      <c r="AT25" s="243"/>
      <c r="AU25" s="243"/>
      <c r="AV25" s="243"/>
      <c r="AW25" s="243"/>
      <c r="AX25" s="243"/>
      <c r="AY25" s="243"/>
      <c r="AZ25" s="243"/>
      <c r="BA25" s="243"/>
      <c r="BB25" s="14"/>
      <c r="BF25" s="4"/>
      <c r="BG25" s="4"/>
      <c r="BH25" s="4"/>
      <c r="BI25" s="4"/>
      <c r="BJ25" s="4"/>
      <c r="BO25" s="1552"/>
      <c r="BP25" s="1553" t="s">
        <v>28</v>
      </c>
      <c r="BQ25" s="1994">
        <f>+C7</f>
        <v>176.8</v>
      </c>
      <c r="BR25" s="1994"/>
      <c r="BS25" s="1554" t="s">
        <v>17</v>
      </c>
      <c r="BT25" s="1554"/>
      <c r="BU25" s="1555" t="s">
        <v>252</v>
      </c>
      <c r="BV25" s="1556"/>
      <c r="BW25" s="1556"/>
      <c r="BX25" s="1556"/>
      <c r="BY25" s="1556"/>
      <c r="BZ25" s="1556"/>
      <c r="CA25" s="1556"/>
      <c r="CB25" s="1556"/>
      <c r="CC25" s="1556"/>
      <c r="CD25" s="1556"/>
      <c r="CE25" s="1556"/>
      <c r="CF25" s="1556"/>
      <c r="CG25" s="1556"/>
      <c r="CH25" s="1556"/>
      <c r="CI25" s="1556"/>
      <c r="CJ25" s="1556"/>
      <c r="CK25" s="1556"/>
      <c r="CL25" s="1556"/>
      <c r="CM25" s="1556"/>
      <c r="CN25" s="1556"/>
      <c r="CO25" s="1557"/>
      <c r="CP25" s="1557"/>
      <c r="CQ25" s="1557"/>
      <c r="CR25" s="1557"/>
      <c r="CS25" s="1557"/>
      <c r="CT25" s="1557"/>
      <c r="CU25" s="1557"/>
      <c r="CV25" s="1557"/>
      <c r="CW25" s="1557"/>
      <c r="CX25" s="1557"/>
      <c r="CY25" s="1557"/>
      <c r="CZ25" s="1557"/>
      <c r="DA25" s="1557"/>
      <c r="DB25" s="1557"/>
      <c r="DC25" s="1557"/>
      <c r="DD25" s="1557"/>
    </row>
    <row r="26" spans="2:108" ht="45" customHeight="1" thickBot="1" x14ac:dyDescent="0.45">
      <c r="E26" s="85"/>
      <c r="F26" s="85"/>
      <c r="G26" s="85"/>
      <c r="H26" s="243"/>
      <c r="I26" s="243"/>
      <c r="J26" s="243"/>
      <c r="K26" s="243"/>
      <c r="L26" s="243"/>
      <c r="M26" s="243"/>
      <c r="N26" s="243"/>
      <c r="O26" s="243"/>
      <c r="P26" s="243"/>
      <c r="Q26" s="243"/>
      <c r="R26" s="243"/>
      <c r="S26" s="243"/>
      <c r="T26" s="243"/>
      <c r="U26" s="86"/>
      <c r="V26" s="243"/>
      <c r="W26" s="243"/>
      <c r="X26" s="243"/>
      <c r="Y26" s="243"/>
      <c r="Z26" s="243"/>
      <c r="AA26" s="243"/>
      <c r="AB26" s="86"/>
      <c r="AC26" s="86"/>
      <c r="AD26" s="86"/>
      <c r="AE26" s="86"/>
      <c r="AF26" s="243"/>
      <c r="AG26" s="243"/>
      <c r="AH26" s="243"/>
      <c r="AI26" s="243"/>
      <c r="AJ26" s="243"/>
      <c r="AK26" s="243"/>
      <c r="AL26" s="243"/>
      <c r="AM26" s="243"/>
      <c r="AN26" s="243"/>
      <c r="AO26" s="243"/>
      <c r="AP26" s="243"/>
      <c r="AQ26" s="243"/>
      <c r="AR26" s="243"/>
      <c r="AS26" s="243"/>
      <c r="AT26" s="243"/>
      <c r="AU26" s="243"/>
      <c r="AV26" s="243"/>
      <c r="AW26" s="243"/>
      <c r="AX26" s="243"/>
      <c r="AY26" s="243"/>
      <c r="AZ26" s="243"/>
      <c r="BA26" s="243"/>
      <c r="BB26" s="14"/>
      <c r="BF26" s="4"/>
      <c r="BG26" s="4"/>
      <c r="BH26" s="4"/>
      <c r="BI26" s="4"/>
      <c r="BJ26" s="4"/>
      <c r="BM26" s="1559" t="b">
        <f>AND(BQ27&gt;0,CO27&gt;0)</f>
        <v>1</v>
      </c>
      <c r="BN26" s="1560" t="str">
        <f>IF(BM26=TRUE,"","negative force at the motor")</f>
        <v/>
      </c>
      <c r="BO26" s="1561" t="s">
        <v>227</v>
      </c>
      <c r="BP26" s="1562" t="s">
        <v>30</v>
      </c>
      <c r="BQ26" s="1563" t="s">
        <v>31</v>
      </c>
      <c r="BR26" s="1564"/>
      <c r="BS26" s="1565"/>
      <c r="BT26" s="1565"/>
      <c r="BU26" s="1565"/>
      <c r="BV26" s="1565"/>
      <c r="BW26" s="1565"/>
      <c r="BX26" s="1565"/>
      <c r="BY26" s="1565"/>
      <c r="BZ26" s="1565"/>
      <c r="CA26" s="1565"/>
      <c r="CB26" s="1565"/>
      <c r="CC26" s="1565"/>
      <c r="CD26" s="1565"/>
      <c r="CE26" s="1565"/>
      <c r="CF26" s="1565"/>
      <c r="CG26" s="1565"/>
      <c r="CH26" s="1565"/>
      <c r="CI26" s="1566"/>
      <c r="CJ26" s="1567"/>
      <c r="CK26" s="1568"/>
      <c r="CL26" s="1568"/>
      <c r="CM26" s="1568"/>
      <c r="CN26" s="1568"/>
      <c r="CO26" s="1564"/>
      <c r="CP26" s="1569" t="s">
        <v>32</v>
      </c>
      <c r="CQ26" s="2013"/>
      <c r="CR26" s="2013"/>
      <c r="CS26" s="2013"/>
      <c r="CT26" s="2013"/>
      <c r="CU26" s="2013"/>
      <c r="CV26" s="2013"/>
      <c r="CW26" s="2013"/>
      <c r="CX26" s="2013"/>
      <c r="CY26" s="2013"/>
      <c r="CZ26" s="2013"/>
      <c r="DA26" s="2014"/>
      <c r="DB26" s="1557"/>
      <c r="DC26" s="1557"/>
      <c r="DD26" s="1557"/>
    </row>
    <row r="27" spans="2:108" ht="45" customHeight="1" thickBot="1" x14ac:dyDescent="0.5">
      <c r="E27" s="85"/>
      <c r="F27" s="85"/>
      <c r="G27" s="85"/>
      <c r="H27" s="243"/>
      <c r="I27" s="243"/>
      <c r="J27" s="243"/>
      <c r="K27" s="243"/>
      <c r="L27" s="243"/>
      <c r="M27" s="243"/>
      <c r="N27" s="243"/>
      <c r="O27" s="243"/>
      <c r="P27" s="243"/>
      <c r="Q27" s="243"/>
      <c r="R27" s="243"/>
      <c r="S27" s="265"/>
      <c r="T27" s="244"/>
      <c r="U27" s="244"/>
      <c r="AF27" s="243"/>
      <c r="AG27" s="243"/>
      <c r="AH27" s="243"/>
      <c r="AI27" s="243"/>
      <c r="AJ27" s="243"/>
      <c r="AK27" s="243"/>
      <c r="AL27" s="243"/>
      <c r="AM27" s="243"/>
      <c r="AN27" s="243"/>
      <c r="AO27" s="243"/>
      <c r="AP27" s="243"/>
      <c r="AQ27" s="243"/>
      <c r="AR27" s="243"/>
      <c r="AS27" s="243"/>
      <c r="AT27" s="243"/>
      <c r="AU27" s="243"/>
      <c r="AV27" s="243"/>
      <c r="AW27" s="243"/>
      <c r="AX27" s="243"/>
      <c r="AY27" s="243"/>
      <c r="AZ27" s="243"/>
      <c r="BA27" s="243"/>
      <c r="BB27" s="14"/>
      <c r="BF27" s="4"/>
      <c r="BG27" s="4"/>
      <c r="BH27" s="4"/>
      <c r="BI27" s="4"/>
      <c r="BJ27" s="4"/>
      <c r="BM27" s="1550" t="b">
        <f>AND(BO27&gt;=10,$AZ$110&gt;=10,$BA$110&gt;=10)</f>
        <v>1</v>
      </c>
      <c r="BN27" s="1570" t="str">
        <f>IF(BM27=TRUE,"O K","OVERLOAD")</f>
        <v>O K</v>
      </c>
      <c r="BO27" s="1571">
        <f>+D20/(MAX(BQ27,CO27))</f>
        <v>86.900990768045219</v>
      </c>
      <c r="BP27" s="1572" t="s">
        <v>228</v>
      </c>
      <c r="BQ27" s="2026">
        <f>+((D4-D5)/D4)*C7</f>
        <v>84.741210689375507</v>
      </c>
      <c r="BR27" s="2027"/>
      <c r="BS27" s="1573"/>
      <c r="BT27" s="1573"/>
      <c r="BU27" s="1573"/>
      <c r="BV27" s="1574"/>
      <c r="BW27" s="1574"/>
      <c r="BX27" s="1574"/>
      <c r="BY27" s="1575"/>
      <c r="BZ27" s="1575"/>
      <c r="CA27" s="1575"/>
      <c r="CB27" s="1575"/>
      <c r="CC27" s="1575"/>
      <c r="CD27" s="1575"/>
      <c r="CE27" s="1575"/>
      <c r="CF27" s="1575"/>
      <c r="CG27" s="1575"/>
      <c r="CH27" s="1575"/>
      <c r="CI27" s="1576"/>
      <c r="CJ27" s="1573"/>
      <c r="CK27" s="1573"/>
      <c r="CL27" s="1573"/>
      <c r="CM27" s="1574"/>
      <c r="CN27" s="1574"/>
      <c r="CO27" s="2028">
        <f>+(D5/D4)*C7</f>
        <v>92.058789310624505</v>
      </c>
      <c r="CP27" s="2029"/>
      <c r="CQ27" s="2015"/>
      <c r="CR27" s="2015"/>
      <c r="CS27" s="2015"/>
      <c r="CT27" s="2015"/>
      <c r="CU27" s="2015"/>
      <c r="CV27" s="2015"/>
      <c r="CW27" s="2015"/>
      <c r="CX27" s="2015"/>
      <c r="CY27" s="2015"/>
      <c r="CZ27" s="2015"/>
      <c r="DA27" s="2016"/>
      <c r="DB27" s="1557"/>
      <c r="DC27" s="1557"/>
      <c r="DD27" s="1557"/>
    </row>
    <row r="28" spans="2:108" ht="15" customHeight="1" thickBot="1" x14ac:dyDescent="0.5">
      <c r="E28" s="85"/>
      <c r="F28" s="85"/>
      <c r="G28" s="85"/>
      <c r="H28" s="243"/>
      <c r="I28" s="243"/>
      <c r="J28" s="243"/>
      <c r="K28" s="243"/>
      <c r="L28" s="243"/>
      <c r="M28" s="243"/>
      <c r="N28" s="243"/>
      <c r="O28" s="243"/>
      <c r="P28" s="243"/>
      <c r="Q28" s="243"/>
      <c r="R28" s="243"/>
      <c r="S28" s="265"/>
      <c r="T28" s="266"/>
      <c r="U28" s="244"/>
      <c r="AF28" s="243"/>
      <c r="AG28" s="243"/>
      <c r="AH28" s="243"/>
      <c r="AI28" s="243"/>
      <c r="AJ28" s="243"/>
      <c r="AK28" s="243"/>
      <c r="AL28" s="243"/>
      <c r="AM28" s="243"/>
      <c r="AN28" s="243"/>
      <c r="AO28" s="243"/>
      <c r="AP28" s="243"/>
      <c r="AQ28" s="243"/>
      <c r="AR28" s="243"/>
      <c r="AS28" s="243"/>
      <c r="AT28" s="243"/>
      <c r="AU28" s="243"/>
      <c r="AV28" s="243"/>
      <c r="AW28" s="243"/>
      <c r="AX28" s="243"/>
      <c r="AY28" s="243"/>
      <c r="AZ28" s="243"/>
      <c r="BA28" s="243"/>
      <c r="BB28" s="14"/>
      <c r="BF28" s="4"/>
      <c r="BG28" s="4"/>
      <c r="BH28" s="4"/>
      <c r="BI28" s="4"/>
      <c r="BJ28" s="4"/>
      <c r="BN28" s="1577"/>
      <c r="BO28" s="1578"/>
      <c r="BP28" s="1579"/>
      <c r="BQ28" s="1580"/>
      <c r="BR28" s="1580"/>
      <c r="BS28" s="1579"/>
      <c r="BT28" s="1579"/>
      <c r="BU28" s="1579"/>
      <c r="BV28" s="1579"/>
      <c r="BW28" s="1579"/>
      <c r="BX28" s="1579"/>
      <c r="BY28" s="1579"/>
      <c r="BZ28" s="1579"/>
      <c r="CA28" s="1579"/>
      <c r="CB28" s="1579"/>
      <c r="CC28" s="1579"/>
      <c r="CD28" s="1579"/>
      <c r="CE28" s="1579"/>
      <c r="CF28" s="1579"/>
      <c r="CG28" s="1579"/>
      <c r="CH28" s="1579"/>
      <c r="CI28" s="1581"/>
      <c r="CJ28" s="1582"/>
      <c r="CK28" s="1582"/>
      <c r="CL28" s="1580"/>
      <c r="CM28" s="1583"/>
      <c r="CN28" s="1583"/>
      <c r="CO28" s="1583"/>
      <c r="CP28" s="1583"/>
      <c r="CQ28" s="1583"/>
      <c r="CR28" s="1583"/>
      <c r="CS28" s="1583"/>
      <c r="CT28" s="1583"/>
      <c r="CU28" s="1583"/>
      <c r="CV28" s="1583"/>
      <c r="CW28" s="1583"/>
      <c r="CX28" s="1583"/>
      <c r="CY28" s="1583"/>
      <c r="CZ28" s="1583"/>
      <c r="DA28" s="1583"/>
      <c r="DB28" s="1583"/>
      <c r="DC28" s="1557"/>
      <c r="DD28" s="1557"/>
    </row>
    <row r="29" spans="2:108" ht="45" customHeight="1" thickBot="1" x14ac:dyDescent="0.45">
      <c r="E29" s="85"/>
      <c r="F29" s="85"/>
      <c r="G29" s="85"/>
      <c r="H29" s="243"/>
      <c r="I29" s="243"/>
      <c r="J29" s="243"/>
      <c r="K29" s="243"/>
      <c r="L29" s="243"/>
      <c r="M29" s="243"/>
      <c r="N29" s="243"/>
      <c r="O29" s="243"/>
      <c r="P29" s="243"/>
      <c r="Q29" s="243"/>
      <c r="R29" s="243"/>
      <c r="S29" s="265"/>
      <c r="T29" s="265"/>
      <c r="U29" s="86"/>
      <c r="V29" s="243"/>
      <c r="W29" s="243"/>
      <c r="X29" s="243"/>
      <c r="Y29" s="243"/>
      <c r="Z29" s="243"/>
      <c r="AA29" s="243"/>
      <c r="AB29" s="86"/>
      <c r="AC29" s="86"/>
      <c r="AD29" s="86"/>
      <c r="AE29" s="86"/>
      <c r="AF29" s="243"/>
      <c r="AG29" s="243"/>
      <c r="AH29" s="243"/>
      <c r="AI29" s="243"/>
      <c r="AJ29" s="243"/>
      <c r="AK29" s="243"/>
      <c r="AL29" s="243"/>
      <c r="AM29" s="243"/>
      <c r="AN29" s="243"/>
      <c r="AO29" s="243"/>
      <c r="AP29" s="243"/>
      <c r="AQ29" s="243"/>
      <c r="AR29" s="243"/>
      <c r="AS29" s="243"/>
      <c r="AT29" s="243"/>
      <c r="AU29" s="243"/>
      <c r="AV29" s="243"/>
      <c r="AW29" s="243"/>
      <c r="AX29" s="243"/>
      <c r="AY29" s="243"/>
      <c r="AZ29" s="243"/>
      <c r="BA29" s="243"/>
      <c r="BB29" s="14"/>
      <c r="BF29" s="4"/>
      <c r="BG29" s="4"/>
      <c r="BH29" s="4"/>
      <c r="BI29" s="4"/>
      <c r="BJ29" s="4"/>
      <c r="BM29" s="1559" t="b">
        <f>AND(CB30&gt;0,CZ30&gt;0)</f>
        <v>1</v>
      </c>
      <c r="BN29" s="1560" t="str">
        <f>IF(BM29=TRUE,"","negative force at the motor")</f>
        <v/>
      </c>
      <c r="BO29" s="1561" t="s">
        <v>227</v>
      </c>
      <c r="BP29" s="1584" t="s">
        <v>30</v>
      </c>
      <c r="BQ29" s="2017"/>
      <c r="BR29" s="2013"/>
      <c r="BS29" s="2013"/>
      <c r="BT29" s="2013"/>
      <c r="BU29" s="2013"/>
      <c r="BV29" s="2013"/>
      <c r="BW29" s="2013"/>
      <c r="BX29" s="2013"/>
      <c r="BY29" s="2013"/>
      <c r="BZ29" s="2013"/>
      <c r="CA29" s="2013"/>
      <c r="CB29" s="1585" t="s">
        <v>31</v>
      </c>
      <c r="CC29" s="1586"/>
      <c r="CD29" s="1587"/>
      <c r="CE29" s="1587"/>
      <c r="CF29" s="1587"/>
      <c r="CG29" s="1587"/>
      <c r="CH29" s="1587"/>
      <c r="CI29" s="1587"/>
      <c r="CJ29" s="1587"/>
      <c r="CK29" s="1587"/>
      <c r="CL29" s="1587"/>
      <c r="CM29" s="1587"/>
      <c r="CN29" s="1588"/>
      <c r="CO29" s="1589"/>
      <c r="CP29" s="1589"/>
      <c r="CQ29" s="1589"/>
      <c r="CR29" s="1589"/>
      <c r="CS29" s="1590"/>
      <c r="CT29" s="1590"/>
      <c r="CU29" s="1588"/>
      <c r="CV29" s="1588"/>
      <c r="CW29" s="1588"/>
      <c r="CX29" s="1588"/>
      <c r="CY29" s="1588"/>
      <c r="CZ29" s="1591"/>
      <c r="DA29" s="1592" t="s">
        <v>32</v>
      </c>
      <c r="DB29" s="1593"/>
      <c r="DC29" s="1557"/>
      <c r="DD29" s="1557"/>
    </row>
    <row r="30" spans="2:108" ht="45" customHeight="1" thickBot="1" x14ac:dyDescent="0.5">
      <c r="E30" s="85"/>
      <c r="F30" s="85"/>
      <c r="G30" s="85"/>
      <c r="H30" s="243"/>
      <c r="I30" s="243"/>
      <c r="J30" s="243"/>
      <c r="K30" s="243"/>
      <c r="L30" s="243"/>
      <c r="M30" s="243"/>
      <c r="N30" s="243"/>
      <c r="O30" s="243"/>
      <c r="P30" s="243"/>
      <c r="Q30" s="243"/>
      <c r="R30" s="243"/>
      <c r="U30" s="86"/>
      <c r="V30" s="243"/>
      <c r="W30" s="243"/>
      <c r="X30" s="243"/>
      <c r="Y30" s="243"/>
      <c r="Z30" s="243"/>
      <c r="AA30" s="243"/>
      <c r="AB30" s="86"/>
      <c r="AC30" s="86"/>
      <c r="AD30" s="86"/>
      <c r="AE30" s="86"/>
      <c r="AF30" s="243"/>
      <c r="AG30" s="243"/>
      <c r="AH30" s="243"/>
      <c r="AI30" s="243"/>
      <c r="AJ30" s="243"/>
      <c r="AK30" s="243"/>
      <c r="AL30" s="243"/>
      <c r="AM30" s="243"/>
      <c r="AN30" s="243"/>
      <c r="AO30" s="243"/>
      <c r="AP30" s="243"/>
      <c r="AQ30" s="243"/>
      <c r="AR30" s="243"/>
      <c r="AS30" s="243"/>
      <c r="AT30" s="243"/>
      <c r="AU30" s="243"/>
      <c r="AV30" s="243"/>
      <c r="AW30" s="243"/>
      <c r="AX30" s="243"/>
      <c r="AY30" s="243"/>
      <c r="AZ30" s="243"/>
      <c r="BA30" s="243"/>
      <c r="BB30" s="14"/>
      <c r="BF30" s="4"/>
      <c r="BG30" s="4"/>
      <c r="BH30" s="4"/>
      <c r="BI30" s="4"/>
      <c r="BJ30" s="4"/>
      <c r="BM30" s="1550" t="b">
        <f>AND(BO30&gt;=10,$AZ$110&gt;=10,$BA$110&gt;=10)</f>
        <v>1</v>
      </c>
      <c r="BN30" s="1570" t="str">
        <f>IF(BM30=TRUE,"O K","OVERLOAD")</f>
        <v>O K</v>
      </c>
      <c r="BO30" s="1571">
        <f>+$D$20/(MAX(CB30,CZ30))</f>
        <v>53.14652076146826</v>
      </c>
      <c r="BP30" s="1594" t="s">
        <v>229</v>
      </c>
      <c r="BQ30" s="2018"/>
      <c r="BR30" s="2015"/>
      <c r="BS30" s="2015"/>
      <c r="BT30" s="2015"/>
      <c r="BU30" s="2015"/>
      <c r="BV30" s="2015"/>
      <c r="BW30" s="2015"/>
      <c r="BX30" s="2015"/>
      <c r="BY30" s="2015"/>
      <c r="BZ30" s="2015"/>
      <c r="CA30" s="2015"/>
      <c r="CB30" s="2030">
        <f>+((D4-D3)/D4)*C7</f>
        <v>150.52725720100341</v>
      </c>
      <c r="CC30" s="2031"/>
      <c r="CD30" s="1595"/>
      <c r="CE30" s="1595"/>
      <c r="CF30" s="1595"/>
      <c r="CG30" s="1595"/>
      <c r="CH30" s="1595"/>
      <c r="CI30" s="1595"/>
      <c r="CJ30" s="1595"/>
      <c r="CK30" s="1595"/>
      <c r="CL30" s="1595"/>
      <c r="CM30" s="1595"/>
      <c r="CN30" s="1596"/>
      <c r="CO30" s="1597"/>
      <c r="CP30" s="1597"/>
      <c r="CQ30" s="1597"/>
      <c r="CR30" s="1597"/>
      <c r="CS30" s="1598"/>
      <c r="CT30" s="1598"/>
      <c r="CU30" s="1599"/>
      <c r="CV30" s="1599"/>
      <c r="CW30" s="1599"/>
      <c r="CX30" s="1599"/>
      <c r="CY30" s="1599"/>
      <c r="CZ30" s="2019">
        <f>+(D3/D4)*C7</f>
        <v>26.272742798996582</v>
      </c>
      <c r="DA30" s="2020"/>
      <c r="DB30" s="1600"/>
      <c r="DC30" s="1557"/>
      <c r="DD30" s="1557"/>
    </row>
    <row r="31" spans="2:108" ht="15" customHeight="1" thickBot="1" x14ac:dyDescent="0.45">
      <c r="E31" s="85"/>
      <c r="F31" s="85"/>
      <c r="G31" s="85"/>
      <c r="H31" s="243"/>
      <c r="I31" s="243"/>
      <c r="J31" s="243"/>
      <c r="K31" s="243"/>
      <c r="L31" s="243"/>
      <c r="M31" s="243"/>
      <c r="N31" s="243"/>
      <c r="O31" s="243"/>
      <c r="P31" s="243"/>
      <c r="Q31" s="243"/>
      <c r="R31" s="243"/>
      <c r="U31" s="86"/>
      <c r="V31" s="243"/>
      <c r="W31" s="243"/>
      <c r="X31" s="243"/>
      <c r="Y31" s="243"/>
      <c r="Z31" s="243"/>
      <c r="AA31" s="243"/>
      <c r="AB31" s="86"/>
      <c r="AC31" s="86"/>
      <c r="AD31" s="86"/>
      <c r="AE31" s="86"/>
      <c r="AF31" s="243"/>
      <c r="AG31" s="243"/>
      <c r="AH31" s="243"/>
      <c r="AI31" s="243"/>
      <c r="AJ31" s="243"/>
      <c r="AK31" s="243"/>
      <c r="AL31" s="243"/>
      <c r="AM31" s="243"/>
      <c r="AN31" s="243"/>
      <c r="AO31" s="243"/>
      <c r="AP31" s="243"/>
      <c r="AQ31" s="243"/>
      <c r="AR31" s="243"/>
      <c r="AS31" s="243"/>
      <c r="AT31" s="243"/>
      <c r="AU31" s="243"/>
      <c r="AV31" s="243"/>
      <c r="AW31" s="243"/>
      <c r="AX31" s="243"/>
      <c r="AY31" s="243"/>
      <c r="AZ31" s="243"/>
      <c r="BA31" s="243"/>
      <c r="BB31" s="14"/>
      <c r="BF31" s="4"/>
      <c r="BG31" s="4"/>
      <c r="BH31" s="4"/>
      <c r="BI31" s="4"/>
      <c r="BJ31" s="4"/>
      <c r="BN31" s="1577"/>
      <c r="BO31" s="1601"/>
      <c r="BP31" s="1602"/>
      <c r="BQ31" s="1602"/>
      <c r="BR31" s="1602"/>
      <c r="BS31" s="1602"/>
      <c r="BT31" s="1602"/>
      <c r="BU31" s="1602"/>
      <c r="BV31" s="1602"/>
      <c r="BW31" s="1602"/>
      <c r="BX31" s="1602"/>
      <c r="BY31" s="1603"/>
      <c r="BZ31" s="1603"/>
      <c r="CA31" s="1604"/>
      <c r="CB31" s="1604"/>
      <c r="CC31" s="1604"/>
      <c r="CD31" s="1604"/>
      <c r="CE31" s="1604"/>
      <c r="CF31" s="1604"/>
      <c r="CG31" s="1604"/>
      <c r="CH31" s="1604"/>
      <c r="CI31" s="1604"/>
      <c r="CJ31" s="1604"/>
      <c r="CK31" s="1604"/>
      <c r="CL31" s="1604"/>
      <c r="CM31" s="1604"/>
      <c r="CN31" s="1605"/>
      <c r="CO31" s="1606"/>
      <c r="CP31" s="1606"/>
      <c r="CQ31" s="1606"/>
      <c r="CR31" s="1606"/>
      <c r="CS31" s="1600"/>
      <c r="CT31" s="1600"/>
      <c r="CU31" s="1600"/>
      <c r="CV31" s="1600"/>
      <c r="CW31" s="1600"/>
      <c r="CX31" s="1600"/>
      <c r="CY31" s="1600"/>
      <c r="CZ31" s="1600"/>
      <c r="DA31" s="1600"/>
      <c r="DB31" s="1600"/>
      <c r="DC31" s="1557"/>
      <c r="DD31" s="1557"/>
    </row>
    <row r="32" spans="2:108" ht="45" customHeight="1" thickBot="1" x14ac:dyDescent="0.45">
      <c r="E32" s="85"/>
      <c r="F32" s="85"/>
      <c r="G32" s="85"/>
      <c r="H32" s="243"/>
      <c r="I32" s="243"/>
      <c r="J32" s="243"/>
      <c r="K32" s="243"/>
      <c r="L32" s="243"/>
      <c r="M32" s="243"/>
      <c r="N32" s="243"/>
      <c r="O32" s="243"/>
      <c r="P32" s="243"/>
      <c r="Q32" s="243"/>
      <c r="R32" s="243"/>
      <c r="U32" s="86"/>
      <c r="V32" s="243"/>
      <c r="W32" s="243"/>
      <c r="X32" s="243"/>
      <c r="Y32" s="243"/>
      <c r="Z32" s="243"/>
      <c r="AA32" s="243"/>
      <c r="AB32" s="86"/>
      <c r="AC32" s="86"/>
      <c r="AD32" s="86"/>
      <c r="AE32" s="86"/>
      <c r="AF32" s="243"/>
      <c r="AG32" s="243"/>
      <c r="AH32" s="243"/>
      <c r="AI32" s="243"/>
      <c r="AJ32" s="243"/>
      <c r="AK32" s="243"/>
      <c r="AL32" s="243"/>
      <c r="AM32" s="243"/>
      <c r="AN32" s="243"/>
      <c r="AO32" s="243"/>
      <c r="AP32" s="243"/>
      <c r="AQ32" s="243"/>
      <c r="AR32" s="243"/>
      <c r="AS32" s="243"/>
      <c r="AT32" s="243"/>
      <c r="AU32" s="243"/>
      <c r="AV32" s="243"/>
      <c r="AW32" s="243"/>
      <c r="AX32" s="243"/>
      <c r="AY32" s="243"/>
      <c r="AZ32" s="243"/>
      <c r="BA32" s="243"/>
      <c r="BB32" s="14"/>
      <c r="BF32" s="4"/>
      <c r="BG32" s="4"/>
      <c r="BH32" s="4"/>
      <c r="BI32" s="4"/>
      <c r="BJ32" s="4"/>
      <c r="BM32" s="1559" t="b">
        <f>AND(CB33&gt;0,CQ33&gt;0)</f>
        <v>1</v>
      </c>
      <c r="BN32" s="1560" t="str">
        <f>IF(BM32=TRUE,"","negative force at the motor")</f>
        <v/>
      </c>
      <c r="BO32" s="1561" t="s">
        <v>227</v>
      </c>
      <c r="BP32" s="1607" t="s">
        <v>30</v>
      </c>
      <c r="BQ32" s="2017"/>
      <c r="BR32" s="2013"/>
      <c r="BS32" s="2013"/>
      <c r="BT32" s="2013"/>
      <c r="BU32" s="2013"/>
      <c r="BV32" s="2013"/>
      <c r="BW32" s="2013"/>
      <c r="BX32" s="2013"/>
      <c r="BY32" s="2013"/>
      <c r="BZ32" s="2013"/>
      <c r="CA32" s="2013"/>
      <c r="CB32" s="1608" t="s">
        <v>31</v>
      </c>
      <c r="CC32" s="1609"/>
      <c r="CD32" s="1610"/>
      <c r="CE32" s="1610"/>
      <c r="CF32" s="1610"/>
      <c r="CG32" s="1610"/>
      <c r="CH32" s="1610"/>
      <c r="CI32" s="1611"/>
      <c r="CJ32" s="1612"/>
      <c r="CK32" s="1613"/>
      <c r="CL32" s="1613"/>
      <c r="CM32" s="1614"/>
      <c r="CN32" s="1614"/>
      <c r="CO32" s="1614"/>
      <c r="CP32" s="1614"/>
      <c r="CQ32" s="1609"/>
      <c r="CR32" s="1615" t="s">
        <v>32</v>
      </c>
      <c r="CS32" s="2013"/>
      <c r="CT32" s="2013"/>
      <c r="CU32" s="2013"/>
      <c r="CV32" s="2013"/>
      <c r="CW32" s="2013"/>
      <c r="CX32" s="2013"/>
      <c r="CY32" s="2013"/>
      <c r="CZ32" s="2013"/>
      <c r="DA32" s="2014"/>
      <c r="DB32" s="1583"/>
      <c r="DC32" s="1557"/>
      <c r="DD32" s="1557"/>
    </row>
    <row r="33" spans="2:108" ht="45" customHeight="1" thickBot="1" x14ac:dyDescent="0.5">
      <c r="E33" s="85"/>
      <c r="F33" s="85"/>
      <c r="G33" s="85"/>
      <c r="H33" s="243"/>
      <c r="I33" s="243"/>
      <c r="J33" s="243"/>
      <c r="K33" s="243"/>
      <c r="L33" s="243"/>
      <c r="M33" s="243"/>
      <c r="N33" s="243"/>
      <c r="O33" s="243"/>
      <c r="P33" s="243"/>
      <c r="Q33" s="243"/>
      <c r="R33" s="243"/>
      <c r="S33" s="243"/>
      <c r="T33" s="243"/>
      <c r="U33" s="86"/>
      <c r="V33" s="243"/>
      <c r="W33" s="243"/>
      <c r="X33" s="243"/>
      <c r="Y33" s="243"/>
      <c r="Z33" s="243"/>
      <c r="AA33" s="243"/>
      <c r="AB33" s="86"/>
      <c r="AC33" s="86"/>
      <c r="AD33" s="86"/>
      <c r="AE33" s="86"/>
      <c r="AF33" s="243"/>
      <c r="AG33" s="243"/>
      <c r="AH33" s="243"/>
      <c r="AI33" s="243"/>
      <c r="AJ33" s="243"/>
      <c r="AK33" s="243"/>
      <c r="AL33" s="243"/>
      <c r="AM33" s="243"/>
      <c r="AN33" s="243"/>
      <c r="AO33" s="243"/>
      <c r="AP33" s="243"/>
      <c r="AQ33" s="243"/>
      <c r="AR33" s="243"/>
      <c r="AS33" s="243"/>
      <c r="AT33" s="243"/>
      <c r="AU33" s="243"/>
      <c r="AV33" s="243"/>
      <c r="AW33" s="243"/>
      <c r="AX33" s="243"/>
      <c r="AY33" s="243"/>
      <c r="AZ33" s="243"/>
      <c r="BA33" s="243"/>
      <c r="BB33" s="14"/>
      <c r="BF33" s="4"/>
      <c r="BG33" s="4"/>
      <c r="BH33" s="4"/>
      <c r="BI33" s="4"/>
      <c r="BJ33" s="4"/>
      <c r="BM33" s="1550" t="b">
        <f>AND(BO33&gt;=10,$AZ$110&gt;=10,$BA$110&gt;=10)</f>
        <v>1</v>
      </c>
      <c r="BN33" s="1570" t="str">
        <f>IF(BM33=TRUE,"O K","OVERLOAD")</f>
        <v>O K</v>
      </c>
      <c r="BO33" s="1616">
        <f>+$D$20/(MAX(CB33,CQ33))</f>
        <v>58.932363891583385</v>
      </c>
      <c r="BP33" s="1617" t="s">
        <v>230</v>
      </c>
      <c r="BQ33" s="2018"/>
      <c r="BR33" s="2015"/>
      <c r="BS33" s="2015"/>
      <c r="BT33" s="2015"/>
      <c r="BU33" s="2015"/>
      <c r="BV33" s="2015"/>
      <c r="BW33" s="2015"/>
      <c r="BX33" s="2015"/>
      <c r="BY33" s="2015"/>
      <c r="BZ33" s="2015"/>
      <c r="CA33" s="2015"/>
      <c r="CB33" s="2022">
        <f>+((D2-D3)/D2)*C7</f>
        <v>135.74883937656784</v>
      </c>
      <c r="CC33" s="2023"/>
      <c r="CD33" s="1618"/>
      <c r="CE33" s="1618"/>
      <c r="CF33" s="1618"/>
      <c r="CG33" s="1618"/>
      <c r="CH33" s="1618"/>
      <c r="CI33" s="1619"/>
      <c r="CJ33" s="1620"/>
      <c r="CK33" s="1621"/>
      <c r="CL33" s="1621"/>
      <c r="CM33" s="1622"/>
      <c r="CN33" s="1622"/>
      <c r="CO33" s="1622"/>
      <c r="CP33" s="1622"/>
      <c r="CQ33" s="2024">
        <f>+(D3/D2)*C7</f>
        <v>41.051160623432168</v>
      </c>
      <c r="CR33" s="2025"/>
      <c r="CS33" s="2015"/>
      <c r="CT33" s="2015"/>
      <c r="CU33" s="2015"/>
      <c r="CV33" s="2015"/>
      <c r="CW33" s="2015"/>
      <c r="CX33" s="2015"/>
      <c r="CY33" s="2015"/>
      <c r="CZ33" s="2015"/>
      <c r="DA33" s="2016"/>
      <c r="DB33" s="1583"/>
      <c r="DC33" s="1557"/>
      <c r="DD33" s="1557"/>
    </row>
    <row r="34" spans="2:108" ht="15" customHeight="1" thickBot="1" x14ac:dyDescent="0.45">
      <c r="E34" s="85"/>
      <c r="F34" s="85"/>
      <c r="G34" s="85"/>
      <c r="H34" s="243"/>
      <c r="I34" s="243"/>
      <c r="J34" s="243"/>
      <c r="K34" s="243"/>
      <c r="L34" s="243"/>
      <c r="M34" s="243"/>
      <c r="N34" s="243"/>
      <c r="O34" s="243"/>
      <c r="P34" s="243"/>
      <c r="Q34" s="243"/>
      <c r="R34" s="243"/>
      <c r="S34" s="243"/>
      <c r="T34" s="243"/>
      <c r="U34" s="86"/>
      <c r="V34" s="243"/>
      <c r="W34" s="243"/>
      <c r="X34" s="243"/>
      <c r="Y34" s="243"/>
      <c r="Z34" s="243"/>
      <c r="AA34" s="243"/>
      <c r="AB34" s="86"/>
      <c r="AC34" s="86"/>
      <c r="AD34" s="86"/>
      <c r="AE34" s="86"/>
      <c r="AF34" s="243"/>
      <c r="AG34" s="243"/>
      <c r="AH34" s="243"/>
      <c r="AI34" s="243"/>
      <c r="AJ34" s="243"/>
      <c r="AK34" s="243"/>
      <c r="AL34" s="243"/>
      <c r="AM34" s="243"/>
      <c r="AN34" s="243"/>
      <c r="AO34" s="243"/>
      <c r="AP34" s="243"/>
      <c r="AQ34" s="243"/>
      <c r="AR34" s="243"/>
      <c r="AS34" s="243"/>
      <c r="AT34" s="243"/>
      <c r="AU34" s="243"/>
      <c r="AV34" s="243"/>
      <c r="AW34" s="243"/>
      <c r="AX34" s="243"/>
      <c r="AY34" s="243"/>
      <c r="AZ34" s="243"/>
      <c r="BA34" s="243"/>
      <c r="BB34" s="14"/>
      <c r="BF34" s="4"/>
      <c r="BG34" s="4"/>
      <c r="BH34" s="4"/>
      <c r="BI34" s="4"/>
      <c r="BJ34" s="4"/>
      <c r="BN34" s="1577"/>
      <c r="BO34" s="1601"/>
      <c r="BP34" s="1602"/>
      <c r="BQ34" s="1602"/>
      <c r="BR34" s="1602"/>
      <c r="BS34" s="1602"/>
      <c r="BT34" s="1602"/>
      <c r="BU34" s="1602"/>
      <c r="BV34" s="1602"/>
      <c r="BW34" s="1602"/>
      <c r="BX34" s="1602"/>
      <c r="BY34" s="1603"/>
      <c r="BZ34" s="1603"/>
      <c r="CA34" s="1604"/>
      <c r="CB34" s="1604"/>
      <c r="CC34" s="1604"/>
      <c r="CD34" s="1604"/>
      <c r="CE34" s="1604"/>
      <c r="CF34" s="1604"/>
      <c r="CG34" s="1604"/>
      <c r="CH34" s="1604"/>
      <c r="CI34" s="1604"/>
      <c r="CJ34" s="1604"/>
      <c r="CK34" s="1602"/>
      <c r="CL34" s="1604"/>
      <c r="CM34" s="1604"/>
      <c r="CN34" s="1605"/>
      <c r="CO34" s="1606"/>
      <c r="CP34" s="1606"/>
      <c r="CQ34" s="1606"/>
      <c r="CR34" s="1606"/>
      <c r="CS34" s="1600"/>
      <c r="CT34" s="1600"/>
      <c r="CU34" s="1600"/>
      <c r="CV34" s="1600"/>
      <c r="CW34" s="1600"/>
      <c r="CX34" s="1600"/>
      <c r="CY34" s="1600"/>
      <c r="CZ34" s="1600"/>
      <c r="DA34" s="1600"/>
      <c r="DB34" s="1600"/>
      <c r="DC34" s="1557"/>
      <c r="DD34" s="1557"/>
    </row>
    <row r="35" spans="2:108" ht="18" hidden="1" x14ac:dyDescent="0.35">
      <c r="B35" s="85"/>
      <c r="C35" s="85"/>
      <c r="D35" s="85"/>
      <c r="E35" s="85"/>
      <c r="F35" s="85"/>
      <c r="G35" s="85"/>
      <c r="H35" s="243"/>
      <c r="I35" s="243"/>
      <c r="J35" s="243"/>
      <c r="K35" s="243"/>
      <c r="L35" s="243"/>
      <c r="M35" s="243"/>
      <c r="N35" s="243"/>
      <c r="O35" s="243"/>
      <c r="P35" s="243"/>
      <c r="Q35" s="243"/>
      <c r="R35" s="243"/>
      <c r="S35" s="243"/>
      <c r="T35" s="243"/>
      <c r="U35" s="86"/>
      <c r="V35" s="243"/>
      <c r="W35" s="243"/>
      <c r="X35" s="243"/>
      <c r="Y35" s="243"/>
      <c r="Z35" s="243"/>
      <c r="AA35" s="243"/>
      <c r="AB35" s="86"/>
      <c r="AC35" s="86"/>
      <c r="AD35" s="86"/>
      <c r="AE35" s="86"/>
      <c r="AF35" s="243"/>
      <c r="AG35" s="243"/>
      <c r="AH35" s="243"/>
      <c r="AI35" s="243"/>
      <c r="AJ35" s="243"/>
      <c r="AK35" s="243"/>
      <c r="AL35" s="243"/>
      <c r="AM35" s="243"/>
      <c r="AN35" s="243"/>
      <c r="AO35" s="243"/>
      <c r="AP35" s="243"/>
      <c r="AQ35" s="243"/>
      <c r="AR35" s="243"/>
      <c r="AS35" s="243"/>
      <c r="AT35" s="243"/>
      <c r="AU35" s="243"/>
      <c r="AV35" s="243"/>
      <c r="AW35" s="243"/>
      <c r="AX35" s="243"/>
      <c r="AY35" s="243"/>
      <c r="AZ35" s="243"/>
      <c r="BA35" s="243"/>
      <c r="BB35" s="14"/>
      <c r="BF35" s="4"/>
      <c r="BG35" s="4"/>
      <c r="BH35" s="4"/>
      <c r="BI35" s="4"/>
      <c r="BJ35" s="4"/>
      <c r="BN35" s="1577"/>
    </row>
    <row r="36" spans="2:108" ht="18" hidden="1" x14ac:dyDescent="0.35">
      <c r="B36" s="85"/>
      <c r="C36" s="85"/>
      <c r="D36" s="85"/>
      <c r="E36" s="85"/>
      <c r="F36" s="85"/>
      <c r="G36" s="85"/>
      <c r="H36" s="243"/>
      <c r="I36" s="243"/>
      <c r="J36" s="243"/>
      <c r="K36" s="243"/>
      <c r="L36" s="243"/>
      <c r="M36" s="243"/>
      <c r="N36" s="243"/>
      <c r="O36" s="243"/>
      <c r="P36" s="243"/>
      <c r="Q36" s="243"/>
      <c r="R36" s="243"/>
      <c r="S36" s="243"/>
      <c r="T36" s="243"/>
      <c r="U36" s="86"/>
      <c r="V36" s="243"/>
      <c r="W36" s="243"/>
      <c r="X36" s="243"/>
      <c r="Y36" s="243"/>
      <c r="Z36" s="243"/>
      <c r="AA36" s="243"/>
      <c r="AB36" s="86"/>
      <c r="AC36" s="86"/>
      <c r="AD36" s="86"/>
      <c r="AE36" s="86"/>
      <c r="AF36" s="243"/>
      <c r="AG36" s="243"/>
      <c r="AH36" s="243"/>
      <c r="AI36" s="243"/>
      <c r="AJ36" s="243"/>
      <c r="AK36" s="243"/>
      <c r="AL36" s="243"/>
      <c r="AM36" s="243"/>
      <c r="AN36" s="243"/>
      <c r="AO36" s="243"/>
      <c r="AP36" s="243"/>
      <c r="AQ36" s="243"/>
      <c r="AR36" s="243"/>
      <c r="AS36" s="243"/>
      <c r="AT36" s="243"/>
      <c r="AU36" s="243"/>
      <c r="AV36" s="243"/>
      <c r="AW36" s="243"/>
      <c r="AX36" s="243"/>
      <c r="AY36" s="243"/>
      <c r="AZ36" s="243"/>
      <c r="BA36" s="243"/>
      <c r="BB36" s="14"/>
      <c r="BF36" s="4"/>
      <c r="BG36" s="4"/>
      <c r="BH36" s="4"/>
      <c r="BI36" s="4"/>
      <c r="BJ36" s="4"/>
      <c r="BN36" s="1577"/>
    </row>
    <row r="37" spans="2:108" ht="22.8" hidden="1" x14ac:dyDescent="0.4">
      <c r="B37" s="85"/>
      <c r="C37" s="85"/>
      <c r="D37" s="85"/>
      <c r="E37" s="85"/>
      <c r="F37" s="85"/>
      <c r="G37" s="85"/>
      <c r="H37" s="243"/>
      <c r="I37" s="243"/>
      <c r="J37" s="243"/>
      <c r="K37" s="243"/>
      <c r="L37" s="243"/>
      <c r="M37" s="243"/>
      <c r="N37" s="243"/>
      <c r="O37" s="243"/>
      <c r="P37" s="243"/>
      <c r="Q37" s="243"/>
      <c r="R37" s="243"/>
      <c r="S37" s="243"/>
      <c r="T37" s="243"/>
      <c r="U37" s="86"/>
      <c r="V37" s="243"/>
      <c r="W37" s="243"/>
      <c r="X37" s="243"/>
      <c r="Y37" s="243"/>
      <c r="Z37" s="243"/>
      <c r="AA37" s="243"/>
      <c r="AB37" s="86"/>
      <c r="AC37" s="86"/>
      <c r="AD37" s="86"/>
      <c r="AE37" s="86"/>
      <c r="AF37" s="243"/>
      <c r="AG37" s="243"/>
      <c r="AH37" s="243"/>
      <c r="AI37" s="243"/>
      <c r="AJ37" s="243"/>
      <c r="AK37" s="243"/>
      <c r="AL37" s="243"/>
      <c r="AM37" s="243"/>
      <c r="AN37" s="243"/>
      <c r="AO37" s="243"/>
      <c r="AP37" s="243"/>
      <c r="AQ37" s="243"/>
      <c r="AR37" s="243"/>
      <c r="AS37" s="243"/>
      <c r="AT37" s="243"/>
      <c r="AU37" s="243"/>
      <c r="AV37" s="243"/>
      <c r="AW37" s="243"/>
      <c r="AX37" s="243"/>
      <c r="AY37" s="243"/>
      <c r="AZ37" s="243"/>
      <c r="BA37" s="243"/>
      <c r="BB37" s="14"/>
      <c r="BF37" s="4"/>
      <c r="BG37" s="4"/>
      <c r="BH37" s="4"/>
      <c r="BI37" s="4"/>
      <c r="BJ37" s="4"/>
      <c r="BN37" s="1577"/>
      <c r="BO37" s="1624"/>
      <c r="BP37" s="1625"/>
      <c r="BQ37" s="1626"/>
      <c r="BR37" s="1626"/>
      <c r="BS37" s="1626"/>
      <c r="BT37" s="1626"/>
      <c r="BU37" s="1626"/>
      <c r="BV37" s="1626"/>
      <c r="BW37" s="1626"/>
      <c r="BX37" s="1626"/>
      <c r="BY37" s="1627"/>
      <c r="BZ37" s="1627"/>
      <c r="CA37" s="1628"/>
      <c r="CB37" s="1628"/>
      <c r="CC37" s="1628"/>
      <c r="CD37" s="1628"/>
      <c r="CE37" s="1628"/>
      <c r="CF37" s="1628"/>
      <c r="CG37" s="1628"/>
      <c r="CH37" s="1628"/>
      <c r="CI37" s="1605"/>
      <c r="CJ37" s="1604"/>
      <c r="CK37" s="1629"/>
      <c r="CL37" s="1629"/>
      <c r="CM37" s="1583"/>
      <c r="CN37" s="1583"/>
      <c r="CO37" s="1583"/>
      <c r="CP37" s="1583"/>
      <c r="CQ37" s="1583"/>
      <c r="CR37" s="1583"/>
      <c r="CS37" s="1583"/>
      <c r="CT37" s="1583"/>
      <c r="CU37" s="1583"/>
      <c r="CV37" s="1583"/>
      <c r="CW37" s="1626"/>
      <c r="CX37" s="1626"/>
      <c r="CY37" s="1626"/>
      <c r="CZ37" s="1626"/>
      <c r="DA37" s="1626"/>
      <c r="DB37" s="1630"/>
      <c r="DC37" s="1626"/>
      <c r="DD37" s="1626"/>
    </row>
    <row r="38" spans="2:108" ht="23.4" hidden="1" thickBot="1" x14ac:dyDescent="0.45">
      <c r="B38" s="85"/>
      <c r="C38" s="85"/>
      <c r="D38" s="85"/>
      <c r="E38" s="85"/>
      <c r="F38" s="85"/>
      <c r="G38" s="85"/>
      <c r="H38" s="243"/>
      <c r="I38" s="243"/>
      <c r="J38" s="243"/>
      <c r="K38" s="243"/>
      <c r="L38" s="243"/>
      <c r="M38" s="243"/>
      <c r="N38" s="243"/>
      <c r="O38" s="243"/>
      <c r="P38" s="243"/>
      <c r="Q38" s="243"/>
      <c r="R38" s="243"/>
      <c r="S38" s="243"/>
      <c r="T38" s="243"/>
      <c r="U38" s="86"/>
      <c r="V38" s="243"/>
      <c r="W38" s="243"/>
      <c r="X38" s="243"/>
      <c r="Y38" s="243"/>
      <c r="Z38" s="243"/>
      <c r="AA38" s="243"/>
      <c r="AB38" s="86"/>
      <c r="AC38" s="86"/>
      <c r="AD38" s="86"/>
      <c r="AE38" s="86"/>
      <c r="AF38" s="243"/>
      <c r="AG38" s="243"/>
      <c r="AH38" s="243"/>
      <c r="AI38" s="243"/>
      <c r="AJ38" s="243"/>
      <c r="AK38" s="243"/>
      <c r="AL38" s="243"/>
      <c r="AM38" s="243"/>
      <c r="AN38" s="243"/>
      <c r="AO38" s="243"/>
      <c r="AP38" s="243"/>
      <c r="AQ38" s="243"/>
      <c r="AR38" s="243"/>
      <c r="AS38" s="243"/>
      <c r="AT38" s="243"/>
      <c r="AU38" s="243"/>
      <c r="AV38" s="243"/>
      <c r="AW38" s="243"/>
      <c r="AX38" s="243"/>
      <c r="AY38" s="243"/>
      <c r="AZ38" s="243"/>
      <c r="BA38" s="243"/>
      <c r="BB38" s="14"/>
      <c r="BF38" s="4"/>
      <c r="BG38" s="4"/>
      <c r="BH38" s="4"/>
      <c r="BI38" s="4"/>
      <c r="BJ38" s="4"/>
      <c r="BN38" s="1577"/>
      <c r="BO38" s="1624"/>
      <c r="BP38" s="1625"/>
      <c r="BQ38" s="1626"/>
      <c r="BR38" s="1626"/>
      <c r="BS38" s="1626"/>
      <c r="BT38" s="1626"/>
      <c r="BU38" s="1626"/>
      <c r="BV38" s="1626"/>
      <c r="BW38" s="1626"/>
      <c r="BX38" s="1626"/>
      <c r="BY38" s="1627"/>
      <c r="BZ38" s="1627"/>
      <c r="CA38" s="1628"/>
      <c r="CB38" s="1628"/>
      <c r="CC38" s="1628"/>
      <c r="CD38" s="1628"/>
      <c r="CE38" s="1628"/>
      <c r="CF38" s="1628"/>
      <c r="CG38" s="1628"/>
      <c r="CH38" s="1628"/>
      <c r="CI38" s="1605"/>
      <c r="CJ38" s="1604"/>
      <c r="CK38" s="1629"/>
      <c r="CL38" s="1629"/>
      <c r="CM38" s="1583"/>
      <c r="CN38" s="1583"/>
      <c r="CO38" s="1583"/>
      <c r="CP38" s="1583"/>
      <c r="CQ38" s="1583"/>
      <c r="CR38" s="1583"/>
      <c r="CS38" s="1583"/>
      <c r="CT38" s="1583"/>
      <c r="CU38" s="1583"/>
      <c r="CV38" s="1583"/>
      <c r="CW38" s="1626"/>
      <c r="CX38" s="1626"/>
      <c r="CY38" s="1626"/>
      <c r="CZ38" s="1626"/>
      <c r="DA38" s="1626"/>
      <c r="DB38" s="1626"/>
      <c r="DC38" s="1626"/>
      <c r="DD38" s="1626"/>
    </row>
    <row r="39" spans="2:108" ht="23.4" hidden="1" thickBot="1" x14ac:dyDescent="0.45">
      <c r="B39" s="85"/>
      <c r="C39" s="85"/>
      <c r="D39" s="85"/>
      <c r="E39" s="85"/>
      <c r="F39" s="85"/>
      <c r="G39" s="85"/>
      <c r="H39" s="243"/>
      <c r="I39" s="243"/>
      <c r="J39" s="243"/>
      <c r="K39" s="243"/>
      <c r="L39" s="243"/>
      <c r="M39" s="243"/>
      <c r="N39" s="243"/>
      <c r="O39" s="243"/>
      <c r="P39" s="243"/>
      <c r="Q39" s="243"/>
      <c r="R39" s="243"/>
      <c r="S39" s="243"/>
      <c r="T39" s="243"/>
      <c r="U39" s="86"/>
      <c r="V39" s="243"/>
      <c r="W39" s="243"/>
      <c r="X39" s="243"/>
      <c r="Y39" s="243"/>
      <c r="Z39" s="243"/>
      <c r="AA39" s="243"/>
      <c r="AB39" s="86"/>
      <c r="AC39" s="86"/>
      <c r="AD39" s="86"/>
      <c r="AE39" s="86"/>
      <c r="AF39" s="243"/>
      <c r="AG39" s="243"/>
      <c r="AH39" s="243"/>
      <c r="AI39" s="243"/>
      <c r="AJ39" s="243"/>
      <c r="AK39" s="243"/>
      <c r="AL39" s="243"/>
      <c r="AM39" s="243"/>
      <c r="AN39" s="243"/>
      <c r="AO39" s="243"/>
      <c r="AP39" s="243"/>
      <c r="AQ39" s="243"/>
      <c r="AR39" s="243"/>
      <c r="AS39" s="243"/>
      <c r="AT39" s="243"/>
      <c r="AU39" s="243"/>
      <c r="AV39" s="243"/>
      <c r="AW39" s="243"/>
      <c r="AX39" s="243"/>
      <c r="AY39" s="243"/>
      <c r="AZ39" s="243"/>
      <c r="BA39" s="243"/>
      <c r="BB39" s="14"/>
      <c r="BF39" s="4"/>
      <c r="BG39" s="4"/>
      <c r="BH39" s="4"/>
      <c r="BI39" s="4"/>
      <c r="BJ39" s="4"/>
      <c r="BN39" s="1577"/>
      <c r="BO39" s="1624"/>
      <c r="BP39" s="1625"/>
      <c r="BQ39" s="1626"/>
      <c r="BR39" s="1626"/>
      <c r="BS39" s="1626"/>
      <c r="BT39" s="1626"/>
      <c r="BU39" s="1626"/>
      <c r="BV39" s="1626"/>
      <c r="BW39" s="1626"/>
      <c r="BX39" s="1626"/>
      <c r="BY39" s="1627"/>
      <c r="BZ39" s="1627"/>
      <c r="CA39" s="1631">
        <v>16</v>
      </c>
      <c r="CB39" s="1628"/>
      <c r="CC39" s="1628"/>
      <c r="CD39" s="1628"/>
      <c r="CE39" s="1628"/>
      <c r="CF39" s="1628"/>
      <c r="CG39" s="1628"/>
      <c r="CH39" s="1628"/>
      <c r="CI39" s="1605"/>
      <c r="CJ39" s="1604"/>
      <c r="CK39" s="1629"/>
      <c r="CL39" s="1629"/>
      <c r="CM39" s="1583"/>
      <c r="CN39" s="1583"/>
      <c r="CO39" s="1583"/>
      <c r="CP39" s="1632" t="b">
        <f>IF(CQ57=27,15)</f>
        <v>0</v>
      </c>
      <c r="CQ39" s="1633"/>
      <c r="CR39" s="1634" t="b">
        <f>IF(CQ57=27,17)</f>
        <v>0</v>
      </c>
      <c r="CS39" s="1583"/>
      <c r="CT39" s="1583"/>
      <c r="CU39" s="1583"/>
      <c r="CV39" s="1583"/>
      <c r="CW39" s="1626"/>
      <c r="CX39" s="1626"/>
      <c r="CY39" s="1626"/>
      <c r="CZ39" s="1626"/>
      <c r="DA39" s="1626"/>
      <c r="DB39" s="1626"/>
      <c r="DC39" s="1626"/>
      <c r="DD39" s="1626"/>
    </row>
    <row r="40" spans="2:108" ht="23.4" hidden="1" thickBot="1" x14ac:dyDescent="0.45">
      <c r="B40" s="85"/>
      <c r="C40" s="85"/>
      <c r="D40" s="85"/>
      <c r="E40" s="85"/>
      <c r="F40" s="85"/>
      <c r="G40" s="85"/>
      <c r="H40" s="243"/>
      <c r="I40" s="243"/>
      <c r="J40" s="243"/>
      <c r="K40" s="243"/>
      <c r="L40" s="243"/>
      <c r="M40" s="243"/>
      <c r="N40" s="243"/>
      <c r="O40" s="243"/>
      <c r="P40" s="243"/>
      <c r="Q40" s="243"/>
      <c r="R40" s="243"/>
      <c r="S40" s="243"/>
      <c r="T40" s="243"/>
      <c r="U40" s="86"/>
      <c r="V40" s="243"/>
      <c r="W40" s="243"/>
      <c r="X40" s="243"/>
      <c r="Y40" s="243"/>
      <c r="Z40" s="243"/>
      <c r="AA40" s="243"/>
      <c r="AB40" s="86"/>
      <c r="AC40" s="86"/>
      <c r="AD40" s="86"/>
      <c r="AE40" s="86"/>
      <c r="AF40" s="243"/>
      <c r="AG40" s="243"/>
      <c r="AH40" s="243"/>
      <c r="AI40" s="243"/>
      <c r="AJ40" s="243"/>
      <c r="AK40" s="243"/>
      <c r="AL40" s="243"/>
      <c r="AM40" s="243"/>
      <c r="AN40" s="243"/>
      <c r="AO40" s="243"/>
      <c r="AP40" s="243"/>
      <c r="AQ40" s="243"/>
      <c r="AR40" s="243"/>
      <c r="AS40" s="243"/>
      <c r="AT40" s="243"/>
      <c r="AU40" s="243"/>
      <c r="AV40" s="243"/>
      <c r="AW40" s="243"/>
      <c r="AX40" s="243"/>
      <c r="AY40" s="243"/>
      <c r="AZ40" s="243"/>
      <c r="BA40" s="243"/>
      <c r="BB40" s="14"/>
      <c r="BF40" s="4"/>
      <c r="BG40" s="4"/>
      <c r="BH40" s="4"/>
      <c r="BI40" s="4"/>
      <c r="BJ40" s="4"/>
      <c r="BN40" s="1577"/>
      <c r="BO40" s="1624"/>
      <c r="BP40" s="1625"/>
      <c r="BQ40" s="1626"/>
      <c r="BR40" s="1626"/>
      <c r="BS40" s="1626"/>
      <c r="BT40" s="1626"/>
      <c r="BU40" s="1626"/>
      <c r="BV40" s="1626"/>
      <c r="BW40" s="1626"/>
      <c r="BX40" s="1626"/>
      <c r="BY40" s="1627"/>
      <c r="BZ40" s="1627"/>
      <c r="CA40" s="1631">
        <v>15</v>
      </c>
      <c r="CB40" s="1628"/>
      <c r="CC40" s="1628"/>
      <c r="CD40" s="1628"/>
      <c r="CE40" s="1628"/>
      <c r="CF40" s="1628"/>
      <c r="CG40" s="1628"/>
      <c r="CH40" s="1628"/>
      <c r="CI40" s="1605"/>
      <c r="CJ40" s="1604"/>
      <c r="CK40" s="1629"/>
      <c r="CL40" s="1629"/>
      <c r="CM40" s="1583"/>
      <c r="CN40" s="1632" t="b">
        <f>IF(CP57=26,13)</f>
        <v>0</v>
      </c>
      <c r="CO40" s="1633"/>
      <c r="CP40" s="1633"/>
      <c r="CQ40" s="1633"/>
      <c r="CR40" s="1634" t="b">
        <f>IF(CP57=26,17)</f>
        <v>0</v>
      </c>
      <c r="CS40" s="1583"/>
      <c r="CT40" s="1583"/>
      <c r="CU40" s="1583"/>
      <c r="CV40" s="1583"/>
      <c r="CW40" s="1626"/>
      <c r="CX40" s="1626"/>
      <c r="CY40" s="1626"/>
      <c r="CZ40" s="1626"/>
      <c r="DA40" s="1626"/>
      <c r="DB40" s="1626"/>
      <c r="DC40" s="1626"/>
      <c r="DD40" s="1626"/>
    </row>
    <row r="41" spans="2:108" ht="23.4" hidden="1" thickBot="1" x14ac:dyDescent="0.45">
      <c r="B41" s="85"/>
      <c r="C41" s="85"/>
      <c r="D41" s="85"/>
      <c r="E41" s="85"/>
      <c r="G41" s="85"/>
      <c r="H41" s="243"/>
      <c r="I41" s="243"/>
      <c r="J41" s="243"/>
      <c r="K41" s="243"/>
      <c r="L41" s="243"/>
      <c r="M41" s="243"/>
      <c r="N41" s="243"/>
      <c r="O41" s="243"/>
      <c r="P41" s="243"/>
      <c r="Q41" s="243"/>
      <c r="R41" s="243"/>
      <c r="S41" s="243"/>
      <c r="T41" s="243"/>
      <c r="U41" s="86"/>
      <c r="V41" s="243"/>
      <c r="W41" s="243"/>
      <c r="X41" s="243"/>
      <c r="Y41" s="243"/>
      <c r="Z41" s="243"/>
      <c r="AA41" s="243"/>
      <c r="AB41" s="86"/>
      <c r="AC41" s="86"/>
      <c r="AD41" s="86"/>
      <c r="AE41" s="86"/>
      <c r="AF41" s="243"/>
      <c r="AG41" s="243"/>
      <c r="AH41" s="243"/>
      <c r="AI41" s="243"/>
      <c r="AJ41" s="243"/>
      <c r="AK41" s="243"/>
      <c r="AL41" s="243"/>
      <c r="AM41" s="243"/>
      <c r="AN41" s="243"/>
      <c r="AO41" s="243"/>
      <c r="AP41" s="243"/>
      <c r="AQ41" s="243"/>
      <c r="AR41" s="243"/>
      <c r="AS41" s="243"/>
      <c r="AT41" s="243"/>
      <c r="AU41" s="243"/>
      <c r="AV41" s="243"/>
      <c r="AW41" s="243"/>
      <c r="AX41" s="243"/>
      <c r="AY41" s="243"/>
      <c r="AZ41" s="243"/>
      <c r="BA41" s="243"/>
      <c r="BB41" s="14"/>
      <c r="BF41" s="4"/>
      <c r="BG41" s="4"/>
      <c r="BH41" s="4"/>
      <c r="BI41" s="4"/>
      <c r="BJ41" s="4"/>
      <c r="BN41" s="1577"/>
      <c r="BO41" s="1624"/>
      <c r="BP41" s="1625"/>
      <c r="BQ41" s="1626"/>
      <c r="BR41" s="1626"/>
      <c r="BS41" s="1626"/>
      <c r="BT41" s="1626"/>
      <c r="BU41" s="1626"/>
      <c r="BV41" s="1626"/>
      <c r="BW41" s="1626"/>
      <c r="BX41" s="1626"/>
      <c r="BY41" s="1627"/>
      <c r="BZ41" s="1627"/>
      <c r="CA41" s="1631">
        <v>14</v>
      </c>
      <c r="CB41" s="1628"/>
      <c r="CC41" s="1628"/>
      <c r="CD41" s="1628"/>
      <c r="CE41" s="1628"/>
      <c r="CF41" s="1628"/>
      <c r="CG41" s="1628"/>
      <c r="CH41" s="1628"/>
      <c r="CI41" s="1605"/>
      <c r="CJ41" s="1604"/>
      <c r="CK41" s="1629"/>
      <c r="CL41" s="1632" t="b">
        <f>IF(CO57=25,11)</f>
        <v>0</v>
      </c>
      <c r="CM41" s="1633"/>
      <c r="CN41" s="1635"/>
      <c r="CO41" s="1635"/>
      <c r="CP41" s="1635"/>
      <c r="CQ41" s="1635"/>
      <c r="CR41" s="1636" t="b">
        <f>IF(CO57=25,17)</f>
        <v>0</v>
      </c>
      <c r="CS41" s="1583"/>
      <c r="CT41" s="1583"/>
      <c r="CU41" s="1583"/>
      <c r="CV41" s="1583"/>
      <c r="CW41" s="1626"/>
      <c r="CX41" s="1626"/>
      <c r="CY41" s="1626"/>
      <c r="CZ41" s="1626"/>
      <c r="DA41" s="1626"/>
      <c r="DB41" s="1626"/>
      <c r="DC41" s="1626"/>
      <c r="DD41" s="1626"/>
    </row>
    <row r="42" spans="2:108" ht="21.6" hidden="1" thickBot="1" x14ac:dyDescent="0.45">
      <c r="B42" s="85"/>
      <c r="C42" s="85"/>
      <c r="D42" s="85"/>
      <c r="E42" s="85"/>
      <c r="F42" s="85"/>
      <c r="G42" s="85"/>
      <c r="H42" s="243"/>
      <c r="I42" s="243"/>
      <c r="J42" s="243"/>
      <c r="K42" s="243"/>
      <c r="L42" s="243"/>
      <c r="M42" s="243"/>
      <c r="N42" s="243"/>
      <c r="O42" s="243"/>
      <c r="P42" s="243"/>
      <c r="Q42" s="243"/>
      <c r="R42" s="243"/>
      <c r="S42" s="243"/>
      <c r="T42" s="243"/>
      <c r="U42" s="86"/>
      <c r="V42" s="243"/>
      <c r="W42" s="243"/>
      <c r="X42" s="243"/>
      <c r="Y42" s="243"/>
      <c r="Z42" s="243"/>
      <c r="AA42" s="243"/>
      <c r="AB42" s="86"/>
      <c r="AC42" s="86"/>
      <c r="AD42" s="86"/>
      <c r="AE42" s="86"/>
      <c r="AF42" s="243"/>
      <c r="AG42" s="243"/>
      <c r="AH42" s="243"/>
      <c r="AI42" s="243"/>
      <c r="AJ42" s="243"/>
      <c r="AK42" s="243"/>
      <c r="AL42" s="243"/>
      <c r="AM42" s="243"/>
      <c r="AN42" s="243"/>
      <c r="AO42" s="243"/>
      <c r="AP42" s="243"/>
      <c r="AQ42" s="243"/>
      <c r="AR42" s="243"/>
      <c r="AS42" s="243"/>
      <c r="AT42" s="243"/>
      <c r="AU42" s="243"/>
      <c r="AV42" s="243"/>
      <c r="AW42" s="243"/>
      <c r="AX42" s="243"/>
      <c r="AY42" s="243"/>
      <c r="AZ42" s="243"/>
      <c r="BA42" s="243"/>
      <c r="BB42" s="14"/>
      <c r="BF42" s="4"/>
      <c r="BG42" s="4"/>
      <c r="BH42" s="4"/>
      <c r="BI42" s="4"/>
      <c r="BJ42" s="4"/>
      <c r="BN42" s="1577"/>
      <c r="BO42" s="1623"/>
      <c r="BP42" s="1625"/>
      <c r="BQ42" s="1626"/>
      <c r="BR42" s="1626"/>
      <c r="BS42" s="1626"/>
      <c r="BT42" s="1626"/>
      <c r="BU42" s="1626"/>
      <c r="BV42" s="1626"/>
      <c r="BW42" s="1626"/>
      <c r="BX42" s="1626"/>
      <c r="CA42" s="1631">
        <v>13</v>
      </c>
      <c r="CB42" s="1626"/>
      <c r="CC42" s="1625"/>
      <c r="CD42" s="1625"/>
      <c r="CE42" s="1625"/>
      <c r="CF42" s="1625"/>
      <c r="CG42" s="1625"/>
      <c r="CH42" s="1625"/>
      <c r="CI42" s="1625"/>
      <c r="CJ42" s="1632" t="b">
        <f>IF(CN57=24,9)</f>
        <v>0</v>
      </c>
      <c r="CK42" s="1637"/>
      <c r="CL42" s="1638"/>
      <c r="CM42" s="1639"/>
      <c r="CN42" s="1638"/>
      <c r="CO42" s="1639"/>
      <c r="CP42" s="1639"/>
      <c r="CQ42" s="1640"/>
      <c r="CR42" s="1636" t="b">
        <f>IF(CN57=24,17)</f>
        <v>0</v>
      </c>
      <c r="CS42" s="1557"/>
      <c r="CT42" s="1557"/>
      <c r="CU42" s="1557"/>
      <c r="CV42" s="1557"/>
      <c r="CW42" s="1557"/>
      <c r="CX42" s="1557"/>
      <c r="CY42" s="1557"/>
      <c r="CZ42" s="1557"/>
      <c r="DA42" s="1557"/>
      <c r="DB42" s="1557"/>
      <c r="DC42" s="1557"/>
      <c r="DD42" s="1557"/>
    </row>
    <row r="43" spans="2:108" ht="24.75" hidden="1" customHeight="1" thickBot="1" x14ac:dyDescent="0.45">
      <c r="B43" s="85"/>
      <c r="C43" s="85"/>
      <c r="D43" s="85"/>
      <c r="E43" s="85"/>
      <c r="G43" s="85"/>
      <c r="H43" s="243"/>
      <c r="I43" s="243"/>
      <c r="J43" s="243"/>
      <c r="K43" s="243"/>
      <c r="L43" s="243"/>
      <c r="M43" s="243"/>
      <c r="N43" s="243"/>
      <c r="O43" s="243"/>
      <c r="P43" s="243"/>
      <c r="Q43" s="243"/>
      <c r="R43" s="243"/>
      <c r="S43" s="243"/>
      <c r="T43" s="243"/>
      <c r="U43" s="86"/>
      <c r="V43" s="243"/>
      <c r="W43" s="243"/>
      <c r="X43" s="243"/>
      <c r="Y43" s="243"/>
      <c r="Z43" s="243"/>
      <c r="AA43" s="243"/>
      <c r="AB43" s="86"/>
      <c r="AC43" s="86"/>
      <c r="AD43" s="86"/>
      <c r="AE43" s="86"/>
      <c r="AF43" s="243"/>
      <c r="AG43" s="243"/>
      <c r="AH43" s="243"/>
      <c r="AI43" s="243"/>
      <c r="AJ43" s="243"/>
      <c r="AK43" s="243"/>
      <c r="AL43" s="243"/>
      <c r="AM43" s="243"/>
      <c r="AN43" s="243"/>
      <c r="AO43" s="243"/>
      <c r="AP43" s="243"/>
      <c r="AQ43" s="243"/>
      <c r="AR43" s="243"/>
      <c r="AS43" s="243"/>
      <c r="AT43" s="243"/>
      <c r="AU43" s="243"/>
      <c r="AV43" s="243"/>
      <c r="AW43" s="243"/>
      <c r="AX43" s="243"/>
      <c r="AY43" s="243"/>
      <c r="AZ43" s="243"/>
      <c r="BA43" s="243"/>
      <c r="BB43" s="14"/>
      <c r="BE43" s="39"/>
      <c r="BF43" s="40"/>
      <c r="BG43" s="40"/>
      <c r="BH43" s="59"/>
      <c r="BI43" s="59"/>
      <c r="BJ43" s="59"/>
      <c r="BN43" s="1577"/>
      <c r="BO43" s="1623"/>
      <c r="BP43" s="1625"/>
      <c r="BQ43" s="1625"/>
      <c r="BR43" s="1626"/>
      <c r="BS43" s="1625"/>
      <c r="BT43" s="1625"/>
      <c r="BU43" s="1625"/>
      <c r="CA43" s="1631">
        <v>12</v>
      </c>
      <c r="CB43" s="1626"/>
      <c r="CC43" s="1625"/>
      <c r="CD43" s="1625"/>
      <c r="CE43" s="1625"/>
      <c r="CF43" s="1625"/>
      <c r="CG43" s="1625"/>
      <c r="CH43" s="1632" t="b">
        <f>IF(CM57=23,7)</f>
        <v>0</v>
      </c>
      <c r="CI43" s="1637"/>
      <c r="CJ43" s="1637"/>
      <c r="CK43" s="1641"/>
      <c r="CL43" s="1637"/>
      <c r="CM43" s="1637"/>
      <c r="CN43" s="1637"/>
      <c r="CO43" s="1641"/>
      <c r="CP43" s="1641"/>
      <c r="CQ43" s="1642"/>
      <c r="CR43" s="1634" t="b">
        <f>IF(CM57=23,17)</f>
        <v>0</v>
      </c>
      <c r="CS43" s="1557"/>
      <c r="CT43" s="1557"/>
      <c r="CU43" s="1557"/>
      <c r="CV43" s="1557"/>
      <c r="CW43" s="1557"/>
      <c r="CX43" s="1557"/>
      <c r="CY43" s="1557"/>
      <c r="CZ43" s="1557"/>
      <c r="DA43" s="1557"/>
      <c r="DB43" s="1557"/>
      <c r="DC43" s="1557"/>
      <c r="DD43" s="1557"/>
    </row>
    <row r="44" spans="2:108" ht="21.6" hidden="1" thickBot="1" x14ac:dyDescent="0.45">
      <c r="B44" s="85"/>
      <c r="C44" s="85"/>
      <c r="D44" s="85"/>
      <c r="E44" s="85"/>
      <c r="G44" s="85"/>
      <c r="H44" s="243"/>
      <c r="I44" s="243"/>
      <c r="J44" s="243"/>
      <c r="K44" s="243"/>
      <c r="L44" s="243"/>
      <c r="M44" s="243"/>
      <c r="N44" s="243"/>
      <c r="O44" s="243"/>
      <c r="P44" s="243"/>
      <c r="Q44" s="243"/>
      <c r="R44" s="243"/>
      <c r="S44" s="243"/>
      <c r="T44" s="243"/>
      <c r="U44" s="86"/>
      <c r="V44" s="243"/>
      <c r="W44" s="243"/>
      <c r="X44" s="243"/>
      <c r="Y44" s="243"/>
      <c r="Z44" s="243"/>
      <c r="AA44" s="243"/>
      <c r="AB44" s="86"/>
      <c r="AC44" s="86"/>
      <c r="AD44" s="86"/>
      <c r="AE44" s="86"/>
      <c r="AF44" s="243"/>
      <c r="AG44" s="243"/>
      <c r="AH44" s="243"/>
      <c r="AI44" s="243"/>
      <c r="AJ44" s="243"/>
      <c r="AK44" s="243"/>
      <c r="AL44" s="243"/>
      <c r="AM44" s="243"/>
      <c r="AN44" s="243"/>
      <c r="AO44" s="243"/>
      <c r="AP44" s="243"/>
      <c r="AQ44" s="243"/>
      <c r="AR44" s="243"/>
      <c r="AS44" s="243"/>
      <c r="AT44" s="243"/>
      <c r="AU44" s="243"/>
      <c r="AV44" s="243"/>
      <c r="AW44" s="243"/>
      <c r="AX44" s="243"/>
      <c r="AY44" s="243"/>
      <c r="AZ44" s="243"/>
      <c r="BA44" s="243"/>
      <c r="BB44" s="14"/>
      <c r="BE44" s="39"/>
      <c r="BF44" s="40"/>
      <c r="BG44" s="40"/>
      <c r="BH44" s="59"/>
      <c r="BI44" s="59"/>
      <c r="BJ44" s="59"/>
      <c r="BN44" s="1577"/>
      <c r="BO44" s="1623"/>
      <c r="BP44" s="1625"/>
      <c r="BQ44" s="1625"/>
      <c r="BR44" s="1626"/>
      <c r="BS44" s="1625"/>
      <c r="BT44" s="1625"/>
      <c r="BU44" s="1625"/>
      <c r="CA44" s="1631">
        <v>11</v>
      </c>
      <c r="CB44" s="1626"/>
      <c r="CC44" s="1625"/>
      <c r="CD44" s="1625"/>
      <c r="CE44" s="1625"/>
      <c r="CF44" s="1632" t="b">
        <f>IF(CL57=22,5)</f>
        <v>0</v>
      </c>
      <c r="CG44" s="1637"/>
      <c r="CH44" s="1637"/>
      <c r="CI44" s="1641"/>
      <c r="CJ44" s="1637"/>
      <c r="CK44" s="1641"/>
      <c r="CL44" s="1637"/>
      <c r="CM44" s="1641"/>
      <c r="CN44" s="1637"/>
      <c r="CO44" s="1641"/>
      <c r="CP44" s="1641"/>
      <c r="CQ44" s="1642"/>
      <c r="CR44" s="1634" t="b">
        <f>IF(CL57=22,17)</f>
        <v>0</v>
      </c>
      <c r="CS44" s="1557"/>
      <c r="CT44" s="1557"/>
      <c r="CU44" s="1557"/>
      <c r="CV44" s="1557"/>
      <c r="CW44" s="1557"/>
      <c r="CX44" s="1557"/>
      <c r="CY44" s="1557"/>
      <c r="CZ44" s="1557"/>
      <c r="DA44" s="1557"/>
      <c r="DB44" s="1557"/>
      <c r="DC44" s="1557"/>
      <c r="DD44" s="1557"/>
    </row>
    <row r="45" spans="2:108" ht="21.6" hidden="1" thickBot="1" x14ac:dyDescent="0.45">
      <c r="B45" s="85"/>
      <c r="C45" s="85"/>
      <c r="D45" s="85"/>
      <c r="E45" s="85"/>
      <c r="F45" s="85"/>
      <c r="G45" s="85"/>
      <c r="H45" s="243"/>
      <c r="I45" s="243"/>
      <c r="J45" s="243"/>
      <c r="K45" s="243"/>
      <c r="L45" s="243"/>
      <c r="M45" s="243"/>
      <c r="N45" s="243"/>
      <c r="O45" s="243"/>
      <c r="P45" s="243"/>
      <c r="Q45" s="243"/>
      <c r="R45" s="243"/>
      <c r="S45" s="243"/>
      <c r="T45" s="243"/>
      <c r="U45" s="86"/>
      <c r="V45" s="243"/>
      <c r="W45" s="243"/>
      <c r="X45" s="243"/>
      <c r="Y45" s="243"/>
      <c r="Z45" s="243"/>
      <c r="AA45" s="243"/>
      <c r="AB45" s="86"/>
      <c r="AC45" s="86"/>
      <c r="AD45" s="86"/>
      <c r="AE45" s="86"/>
      <c r="AF45" s="243"/>
      <c r="AG45" s="243"/>
      <c r="AH45" s="243"/>
      <c r="AI45" s="243"/>
      <c r="AJ45" s="243"/>
      <c r="AK45" s="243"/>
      <c r="AL45" s="243"/>
      <c r="AM45" s="243"/>
      <c r="AN45" s="243"/>
      <c r="AO45" s="243"/>
      <c r="AP45" s="243"/>
      <c r="AQ45" s="243"/>
      <c r="AR45" s="243"/>
      <c r="AS45" s="243"/>
      <c r="AT45" s="243"/>
      <c r="AU45" s="243"/>
      <c r="AV45" s="243"/>
      <c r="AW45" s="243"/>
      <c r="AX45" s="243"/>
      <c r="AY45" s="243"/>
      <c r="AZ45" s="243"/>
      <c r="BA45" s="243"/>
      <c r="BB45" s="14"/>
      <c r="BE45" s="39"/>
      <c r="BF45" s="40"/>
      <c r="BG45" s="40"/>
      <c r="BH45" s="59"/>
      <c r="BI45" s="59"/>
      <c r="BJ45" s="59"/>
      <c r="BN45" s="1577"/>
      <c r="BO45" s="1623"/>
      <c r="BP45" s="1625"/>
      <c r="BQ45" s="1625"/>
      <c r="BR45" s="1626"/>
      <c r="BS45" s="1625"/>
      <c r="BT45" s="1625"/>
      <c r="BU45" s="1625"/>
      <c r="CA45" s="1631">
        <v>10</v>
      </c>
      <c r="CB45" s="1626"/>
      <c r="CC45" s="1625"/>
      <c r="CD45" s="1632" t="b">
        <f>IF(CK57=21,3)</f>
        <v>0</v>
      </c>
      <c r="CE45" s="1637"/>
      <c r="CF45" s="1637"/>
      <c r="CG45" s="1641"/>
      <c r="CH45" s="1641"/>
      <c r="CI45" s="1641"/>
      <c r="CJ45" s="1637"/>
      <c r="CK45" s="1637"/>
      <c r="CL45" s="1637"/>
      <c r="CM45" s="1641"/>
      <c r="CN45" s="1637"/>
      <c r="CO45" s="1641"/>
      <c r="CP45" s="1641"/>
      <c r="CQ45" s="1642"/>
      <c r="CR45" s="1634" t="b">
        <f>IF(CK57=21,17)</f>
        <v>0</v>
      </c>
      <c r="CS45" s="1557"/>
      <c r="CT45" s="1557"/>
      <c r="CU45" s="1557"/>
      <c r="CV45" s="1557"/>
      <c r="CW45" s="1557"/>
      <c r="CX45" s="1557"/>
      <c r="CY45" s="1557"/>
      <c r="CZ45" s="1557"/>
      <c r="DA45" s="1557"/>
      <c r="DB45" s="1557"/>
      <c r="DC45" s="1557"/>
      <c r="DD45" s="1557"/>
    </row>
    <row r="46" spans="2:108" ht="21.6" hidden="1" thickBot="1" x14ac:dyDescent="0.45">
      <c r="B46" s="85"/>
      <c r="C46" s="85"/>
      <c r="D46" s="85"/>
      <c r="E46" s="85"/>
      <c r="F46" s="85"/>
      <c r="G46" s="85"/>
      <c r="H46" s="243"/>
      <c r="I46" s="243"/>
      <c r="J46" s="243"/>
      <c r="K46" s="243"/>
      <c r="L46" s="243"/>
      <c r="M46" s="243"/>
      <c r="N46" s="243"/>
      <c r="O46" s="243"/>
      <c r="P46" s="243"/>
      <c r="Q46" s="243"/>
      <c r="R46" s="243"/>
      <c r="S46" s="243"/>
      <c r="T46" s="243"/>
      <c r="U46" s="86"/>
      <c r="V46" s="243"/>
      <c r="W46" s="243"/>
      <c r="X46" s="243"/>
      <c r="Y46" s="243"/>
      <c r="Z46" s="243"/>
      <c r="AA46" s="243"/>
      <c r="AB46" s="86"/>
      <c r="AC46" s="86"/>
      <c r="AD46" s="86"/>
      <c r="AE46" s="86"/>
      <c r="AF46" s="243"/>
      <c r="AG46" s="243"/>
      <c r="AH46" s="243"/>
      <c r="AI46" s="243"/>
      <c r="AJ46" s="243"/>
      <c r="AK46" s="243"/>
      <c r="AL46" s="243"/>
      <c r="AM46" s="243"/>
      <c r="AN46" s="243"/>
      <c r="AO46" s="243"/>
      <c r="AP46" s="243"/>
      <c r="AQ46" s="243"/>
      <c r="AR46" s="243"/>
      <c r="AS46" s="243"/>
      <c r="AT46" s="243"/>
      <c r="AU46" s="243"/>
      <c r="AV46" s="243"/>
      <c r="AW46" s="243"/>
      <c r="AX46" s="243"/>
      <c r="AY46" s="243"/>
      <c r="AZ46" s="243"/>
      <c r="BA46" s="243"/>
      <c r="BB46" s="14"/>
      <c r="BE46" s="39"/>
      <c r="BF46" s="40"/>
      <c r="BG46" s="40"/>
      <c r="BH46" s="59"/>
      <c r="BI46" s="59"/>
      <c r="BJ46" s="59"/>
      <c r="BN46" s="1577"/>
      <c r="BO46" s="1623"/>
      <c r="BP46" s="1625"/>
      <c r="BQ46" s="1625"/>
      <c r="BR46" s="1626"/>
      <c r="BS46" s="1625"/>
      <c r="BT46" s="1625"/>
      <c r="BU46" s="1625"/>
      <c r="CA46" s="1631">
        <v>9</v>
      </c>
      <c r="CB46" s="1632" t="b">
        <f>IF(CJ57=20,1)</f>
        <v>0</v>
      </c>
      <c r="CC46" s="1637"/>
      <c r="CD46" s="1637"/>
      <c r="CE46" s="1641"/>
      <c r="CF46" s="1637"/>
      <c r="CG46" s="1637"/>
      <c r="CH46" s="1637"/>
      <c r="CI46" s="1637"/>
      <c r="CJ46" s="1637"/>
      <c r="CK46" s="1637"/>
      <c r="CL46" s="1637"/>
      <c r="CM46" s="1637"/>
      <c r="CN46" s="1637"/>
      <c r="CO46" s="1641"/>
      <c r="CP46" s="1641"/>
      <c r="CQ46" s="1642"/>
      <c r="CR46" s="1634" t="b">
        <f>IF(CJ57=20,17)</f>
        <v>0</v>
      </c>
      <c r="CS46" s="1557"/>
      <c r="CT46" s="1557"/>
      <c r="CU46" s="1557"/>
      <c r="CV46" s="1557"/>
      <c r="CW46" s="1557"/>
      <c r="CX46" s="1557"/>
      <c r="CY46" s="1557"/>
      <c r="CZ46" s="1557"/>
      <c r="DA46" s="1557"/>
      <c r="DB46" s="1557"/>
      <c r="DC46" s="1557"/>
      <c r="DD46" s="1557"/>
    </row>
    <row r="47" spans="2:108" ht="21.6" hidden="1" thickBot="1" x14ac:dyDescent="0.45">
      <c r="B47" s="85"/>
      <c r="C47" s="85"/>
      <c r="D47" s="85"/>
      <c r="E47" s="85"/>
      <c r="F47" s="85"/>
      <c r="G47" s="85"/>
      <c r="H47" s="243"/>
      <c r="I47" s="243"/>
      <c r="J47" s="243"/>
      <c r="K47" s="243"/>
      <c r="L47" s="243"/>
      <c r="M47" s="243"/>
      <c r="N47" s="243"/>
      <c r="O47" s="243"/>
      <c r="P47" s="243"/>
      <c r="Q47" s="243"/>
      <c r="R47" s="243"/>
      <c r="S47" s="243"/>
      <c r="T47" s="243"/>
      <c r="U47" s="86"/>
      <c r="V47" s="243"/>
      <c r="W47" s="243"/>
      <c r="X47" s="243"/>
      <c r="Y47" s="243"/>
      <c r="Z47" s="243"/>
      <c r="AA47" s="243"/>
      <c r="AB47" s="86"/>
      <c r="AC47" s="86"/>
      <c r="AD47" s="86"/>
      <c r="AE47" s="86"/>
      <c r="AF47" s="243"/>
      <c r="AG47" s="243"/>
      <c r="AH47" s="243"/>
      <c r="AI47" s="243"/>
      <c r="AJ47" s="243"/>
      <c r="AK47" s="243"/>
      <c r="AL47" s="243"/>
      <c r="AM47" s="243"/>
      <c r="AN47" s="243"/>
      <c r="AO47" s="243"/>
      <c r="AP47" s="243"/>
      <c r="AQ47" s="243"/>
      <c r="AR47" s="243"/>
      <c r="AS47" s="243"/>
      <c r="AT47" s="243"/>
      <c r="AU47" s="243"/>
      <c r="AV47" s="243"/>
      <c r="AW47" s="243"/>
      <c r="AX47" s="243"/>
      <c r="AY47" s="243"/>
      <c r="AZ47" s="243"/>
      <c r="BA47" s="243"/>
      <c r="BB47" s="14"/>
      <c r="BE47" s="39"/>
      <c r="BF47" s="40"/>
      <c r="BG47" s="40"/>
      <c r="BH47" s="59"/>
      <c r="BI47" s="59"/>
      <c r="BJ47" s="59"/>
      <c r="BN47" s="1577"/>
      <c r="BO47" s="1623"/>
      <c r="BP47" s="1625"/>
      <c r="BQ47" s="1625"/>
      <c r="BR47" s="1626"/>
      <c r="BS47" s="1625"/>
      <c r="BT47" s="1625"/>
      <c r="BU47" s="1625"/>
      <c r="CA47" s="1631">
        <v>8</v>
      </c>
      <c r="CB47" s="1643" t="b">
        <f>IF(CI57=19,1)</f>
        <v>0</v>
      </c>
      <c r="CC47" s="1639"/>
      <c r="CD47" s="1638"/>
      <c r="CE47" s="1638"/>
      <c r="CF47" s="1638"/>
      <c r="CG47" s="1638"/>
      <c r="CH47" s="1638"/>
      <c r="CI47" s="1638"/>
      <c r="CJ47" s="1638"/>
      <c r="CK47" s="1638"/>
      <c r="CL47" s="1638"/>
      <c r="CM47" s="1638"/>
      <c r="CN47" s="1638"/>
      <c r="CO47" s="1639"/>
      <c r="CP47" s="1636" t="b">
        <f>IF(CI57=19,15)</f>
        <v>0</v>
      </c>
      <c r="CQ47" s="1557"/>
      <c r="CR47" s="1557"/>
      <c r="CS47" s="1557"/>
      <c r="CT47" s="1557"/>
      <c r="CU47" s="1557"/>
      <c r="CV47" s="1557"/>
      <c r="CW47" s="1557"/>
      <c r="CX47" s="1557"/>
      <c r="CY47" s="1557"/>
      <c r="CZ47" s="1557"/>
      <c r="DA47" s="1557"/>
      <c r="DB47" s="1557"/>
      <c r="DC47" s="1557"/>
      <c r="DD47" s="1557"/>
    </row>
    <row r="48" spans="2:108" ht="21.6" hidden="1" thickBot="1" x14ac:dyDescent="0.45">
      <c r="B48" s="85"/>
      <c r="C48" s="85"/>
      <c r="D48" s="85"/>
      <c r="E48" s="85"/>
      <c r="F48" s="85"/>
      <c r="G48" s="85"/>
      <c r="H48" s="243"/>
      <c r="I48" s="243"/>
      <c r="J48" s="243"/>
      <c r="K48" s="243"/>
      <c r="L48" s="243"/>
      <c r="M48" s="243"/>
      <c r="N48" s="243"/>
      <c r="O48" s="243"/>
      <c r="P48" s="243"/>
      <c r="Q48" s="243"/>
      <c r="R48" s="243"/>
      <c r="S48" s="243"/>
      <c r="T48" s="243"/>
      <c r="U48" s="86"/>
      <c r="V48" s="243"/>
      <c r="W48" s="243"/>
      <c r="X48" s="243"/>
      <c r="Y48" s="243"/>
      <c r="Z48" s="243"/>
      <c r="AA48" s="243"/>
      <c r="AB48" s="86"/>
      <c r="AC48" s="86"/>
      <c r="AD48" s="86"/>
      <c r="AE48" s="86"/>
      <c r="AF48" s="243"/>
      <c r="AG48" s="243"/>
      <c r="AH48" s="243"/>
      <c r="AI48" s="243"/>
      <c r="AJ48" s="243"/>
      <c r="AK48" s="243"/>
      <c r="AL48" s="243"/>
      <c r="AM48" s="243"/>
      <c r="AN48" s="243"/>
      <c r="AO48" s="243"/>
      <c r="AP48" s="243"/>
      <c r="AQ48" s="243"/>
      <c r="AR48" s="243"/>
      <c r="AS48" s="243"/>
      <c r="AT48" s="243"/>
      <c r="AU48" s="243"/>
      <c r="AV48" s="243"/>
      <c r="AW48" s="243"/>
      <c r="AX48" s="243"/>
      <c r="AY48" s="243"/>
      <c r="AZ48" s="243"/>
      <c r="BA48" s="243"/>
      <c r="BB48" s="14"/>
      <c r="BE48" s="39"/>
      <c r="BF48" s="40"/>
      <c r="BG48" s="40"/>
      <c r="BH48" s="59"/>
      <c r="BI48" s="59"/>
      <c r="BJ48" s="59"/>
      <c r="BN48" s="1577"/>
      <c r="BO48" s="1623"/>
      <c r="BP48" s="1625"/>
      <c r="BQ48" s="1625"/>
      <c r="BR48" s="1626"/>
      <c r="BS48" s="1625"/>
      <c r="BT48" s="1625"/>
      <c r="BU48" s="1625"/>
      <c r="CA48" s="1631">
        <v>7</v>
      </c>
      <c r="CB48" s="1643" t="b">
        <f>IF(CH57=18,1)</f>
        <v>0</v>
      </c>
      <c r="CC48" s="1638"/>
      <c r="CD48" s="1638"/>
      <c r="CE48" s="1638"/>
      <c r="CF48" s="1638"/>
      <c r="CG48" s="1638"/>
      <c r="CH48" s="1638"/>
      <c r="CI48" s="1638"/>
      <c r="CJ48" s="1638"/>
      <c r="CK48" s="1638"/>
      <c r="CL48" s="1638"/>
      <c r="CM48" s="1638"/>
      <c r="CN48" s="1636" t="b">
        <f>IF(CH57=18,13)</f>
        <v>0</v>
      </c>
      <c r="CO48" s="1626"/>
      <c r="CQ48" s="1557"/>
      <c r="CR48" s="1557"/>
      <c r="CS48" s="1557"/>
      <c r="CT48" s="1557"/>
      <c r="CU48" s="1557"/>
      <c r="CV48" s="1557"/>
      <c r="CW48" s="1557"/>
      <c r="CX48" s="1557"/>
      <c r="CY48" s="1557"/>
      <c r="CZ48" s="1557"/>
      <c r="DA48" s="1557"/>
      <c r="DB48" s="1557"/>
      <c r="DC48" s="1557"/>
      <c r="DD48" s="1557"/>
    </row>
    <row r="49" spans="2:143" ht="21.6" hidden="1" thickBot="1" x14ac:dyDescent="0.45">
      <c r="B49" s="85"/>
      <c r="C49" s="85"/>
      <c r="D49" s="85"/>
      <c r="E49" s="85"/>
      <c r="F49" s="85"/>
      <c r="G49" s="85"/>
      <c r="H49" s="243"/>
      <c r="I49" s="243"/>
      <c r="J49" s="243"/>
      <c r="K49" s="243"/>
      <c r="L49" s="243"/>
      <c r="M49" s="243"/>
      <c r="N49" s="243"/>
      <c r="O49" s="243"/>
      <c r="P49" s="243"/>
      <c r="Q49" s="243"/>
      <c r="R49" s="243"/>
      <c r="S49" s="243"/>
      <c r="T49" s="243"/>
      <c r="U49" s="86"/>
      <c r="V49" s="243"/>
      <c r="W49" s="243"/>
      <c r="X49" s="243"/>
      <c r="Y49" s="243"/>
      <c r="Z49" s="243"/>
      <c r="AA49" s="243"/>
      <c r="AB49" s="86"/>
      <c r="AC49" s="86"/>
      <c r="AD49" s="86"/>
      <c r="AE49" s="86"/>
      <c r="AF49" s="243"/>
      <c r="AG49" s="243"/>
      <c r="AH49" s="243"/>
      <c r="AI49" s="243"/>
      <c r="AJ49" s="243"/>
      <c r="AK49" s="243"/>
      <c r="AL49" s="243"/>
      <c r="AM49" s="243"/>
      <c r="AN49" s="243"/>
      <c r="AO49" s="243"/>
      <c r="AP49" s="243"/>
      <c r="AQ49" s="243"/>
      <c r="AR49" s="243"/>
      <c r="AS49" s="243"/>
      <c r="AT49" s="243"/>
      <c r="AU49" s="243"/>
      <c r="AV49" s="243"/>
      <c r="AW49" s="243"/>
      <c r="AX49" s="243"/>
      <c r="AY49" s="243"/>
      <c r="AZ49" s="243"/>
      <c r="BA49" s="243"/>
      <c r="BB49" s="14"/>
      <c r="BE49" s="39"/>
      <c r="BF49" s="40"/>
      <c r="BG49" s="40"/>
      <c r="BH49" s="59"/>
      <c r="BI49" s="59"/>
      <c r="BJ49" s="59"/>
      <c r="BN49" s="1577"/>
      <c r="BO49" s="1623"/>
      <c r="BP49" s="1625"/>
      <c r="BQ49" s="1625"/>
      <c r="BR49" s="1626"/>
      <c r="BS49" s="1625"/>
      <c r="BT49" s="1625"/>
      <c r="BU49" s="1625"/>
      <c r="CA49" s="1631">
        <v>6</v>
      </c>
      <c r="CB49" s="1643" t="b">
        <f>IF(CG57=17,1)</f>
        <v>0</v>
      </c>
      <c r="CC49" s="1638"/>
      <c r="CD49" s="1638"/>
      <c r="CE49" s="1638"/>
      <c r="CF49" s="1638"/>
      <c r="CG49" s="1638"/>
      <c r="CH49" s="1638"/>
      <c r="CI49" s="1638"/>
      <c r="CJ49" s="1638"/>
      <c r="CK49" s="1638"/>
      <c r="CL49" s="1636" t="b">
        <f>IF(CG57=17,11)</f>
        <v>0</v>
      </c>
      <c r="CM49" s="1625"/>
      <c r="CN49" s="1625"/>
      <c r="CO49" s="1626"/>
      <c r="CQ49" s="1557"/>
      <c r="CR49" s="1557"/>
      <c r="CS49" s="1557"/>
      <c r="CT49" s="1557"/>
      <c r="CU49" s="1557"/>
      <c r="CV49" s="1557"/>
      <c r="CW49" s="1557"/>
      <c r="CX49" s="1557"/>
      <c r="CY49" s="1557"/>
      <c r="CZ49" s="1557"/>
      <c r="DA49" s="1557"/>
      <c r="DB49" s="1557"/>
      <c r="DC49" s="1557"/>
      <c r="DD49" s="1557"/>
    </row>
    <row r="50" spans="2:143" ht="21.6" hidden="1" thickBot="1" x14ac:dyDescent="0.45">
      <c r="B50" s="85"/>
      <c r="C50" s="85"/>
      <c r="D50" s="85"/>
      <c r="E50" s="85"/>
      <c r="F50" s="85"/>
      <c r="G50" s="85"/>
      <c r="H50" s="243"/>
      <c r="I50" s="243"/>
      <c r="J50" s="243"/>
      <c r="K50" s="243"/>
      <c r="L50" s="243"/>
      <c r="M50" s="243"/>
      <c r="N50" s="243"/>
      <c r="O50" s="243"/>
      <c r="P50" s="243"/>
      <c r="Q50" s="243"/>
      <c r="R50" s="243"/>
      <c r="S50" s="243"/>
      <c r="T50" s="243"/>
      <c r="U50" s="86"/>
      <c r="V50" s="243"/>
      <c r="W50" s="243"/>
      <c r="X50" s="243"/>
      <c r="Y50" s="243"/>
      <c r="Z50" s="243"/>
      <c r="AA50" s="243"/>
      <c r="AB50" s="86"/>
      <c r="AC50" s="86"/>
      <c r="AD50" s="86"/>
      <c r="AE50" s="86"/>
      <c r="AF50" s="243"/>
      <c r="AG50" s="243"/>
      <c r="AH50" s="243"/>
      <c r="AI50" s="243"/>
      <c r="AJ50" s="243"/>
      <c r="AK50" s="243"/>
      <c r="AL50" s="243"/>
      <c r="AM50" s="243"/>
      <c r="AN50" s="243"/>
      <c r="AO50" s="243"/>
      <c r="AP50" s="243"/>
      <c r="AQ50" s="243"/>
      <c r="AR50" s="243"/>
      <c r="AS50" s="243"/>
      <c r="AT50" s="243"/>
      <c r="AU50" s="243"/>
      <c r="AV50" s="243"/>
      <c r="AW50" s="243"/>
      <c r="AX50" s="243"/>
      <c r="AY50" s="243"/>
      <c r="AZ50" s="243"/>
      <c r="BA50" s="243"/>
      <c r="BB50" s="14"/>
      <c r="BE50" s="41"/>
      <c r="BF50" s="40"/>
      <c r="BG50" s="40"/>
      <c r="BH50" s="59"/>
      <c r="BI50" s="59"/>
      <c r="BJ50" s="59"/>
      <c r="BN50" s="1577"/>
      <c r="BO50" s="1623"/>
      <c r="BP50" s="1625"/>
      <c r="BQ50" s="1625"/>
      <c r="BR50" s="1626"/>
      <c r="BS50" s="1625"/>
      <c r="BT50" s="1625"/>
      <c r="BU50" s="1625"/>
      <c r="CA50" s="1631">
        <v>5</v>
      </c>
      <c r="CB50" s="1632">
        <f>IF(CF57=16,1)</f>
        <v>1</v>
      </c>
      <c r="CC50" s="1637"/>
      <c r="CD50" s="1637"/>
      <c r="CE50" s="1641"/>
      <c r="CF50" s="1637"/>
      <c r="CG50" s="1641"/>
      <c r="CH50" s="1637"/>
      <c r="CI50" s="1637"/>
      <c r="CJ50" s="1634">
        <f>IF(CF57=16,9)</f>
        <v>9</v>
      </c>
      <c r="CK50" s="1625"/>
      <c r="CL50" s="1625"/>
      <c r="CM50" s="1625"/>
      <c r="CN50" s="1625"/>
      <c r="CO50" s="1626"/>
      <c r="CQ50" s="1557"/>
      <c r="CR50" s="1557"/>
      <c r="CS50" s="1557"/>
      <c r="CT50" s="1557"/>
      <c r="CU50" s="1557"/>
      <c r="CV50" s="1557"/>
      <c r="CW50" s="1557"/>
      <c r="CX50" s="1557"/>
      <c r="CY50" s="1557"/>
      <c r="CZ50" s="1557"/>
      <c r="DA50" s="1557"/>
      <c r="DB50" s="1557"/>
      <c r="DC50" s="1557"/>
      <c r="DD50" s="1557"/>
    </row>
    <row r="51" spans="2:143" ht="21.6" hidden="1" thickBot="1" x14ac:dyDescent="0.45">
      <c r="B51" s="85"/>
      <c r="C51" s="85"/>
      <c r="D51" s="85"/>
      <c r="E51" s="85"/>
      <c r="F51" s="85"/>
      <c r="G51" s="85"/>
      <c r="H51" s="243"/>
      <c r="I51" s="243"/>
      <c r="J51" s="243"/>
      <c r="K51" s="243"/>
      <c r="L51" s="243"/>
      <c r="M51" s="243"/>
      <c r="N51" s="243"/>
      <c r="O51" s="243"/>
      <c r="P51" s="243"/>
      <c r="Q51" s="243"/>
      <c r="R51" s="243"/>
      <c r="S51" s="243"/>
      <c r="T51" s="243"/>
      <c r="U51" s="86"/>
      <c r="V51" s="243"/>
      <c r="W51" s="243"/>
      <c r="X51" s="243"/>
      <c r="Y51" s="243"/>
      <c r="Z51" s="243"/>
      <c r="AA51" s="243"/>
      <c r="AB51" s="86"/>
      <c r="AC51" s="86"/>
      <c r="AD51" s="86"/>
      <c r="AE51" s="86"/>
      <c r="AF51" s="243"/>
      <c r="AG51" s="243"/>
      <c r="AH51" s="243"/>
      <c r="AI51" s="243"/>
      <c r="AJ51" s="243"/>
      <c r="AK51" s="243"/>
      <c r="AL51" s="243"/>
      <c r="AM51" s="243"/>
      <c r="AN51" s="243"/>
      <c r="AO51" s="243"/>
      <c r="AP51" s="243"/>
      <c r="AQ51" s="243"/>
      <c r="AR51" s="243"/>
      <c r="AS51" s="243"/>
      <c r="AT51" s="243"/>
      <c r="AU51" s="243"/>
      <c r="AV51" s="243"/>
      <c r="AW51" s="243"/>
      <c r="AX51" s="243"/>
      <c r="AY51" s="243"/>
      <c r="AZ51" s="243"/>
      <c r="BA51" s="243"/>
      <c r="BB51" s="14"/>
      <c r="BE51" s="40"/>
      <c r="BF51" s="40"/>
      <c r="BG51" s="40"/>
      <c r="BH51" s="59"/>
      <c r="BI51" s="59"/>
      <c r="BJ51" s="59"/>
      <c r="BN51" s="1577"/>
      <c r="BO51" s="1623"/>
      <c r="BP51" s="1625"/>
      <c r="BQ51" s="1625"/>
      <c r="BR51" s="1626"/>
      <c r="BS51" s="1625"/>
      <c r="BT51" s="1625"/>
      <c r="BU51" s="1625"/>
      <c r="CA51" s="1631">
        <v>4</v>
      </c>
      <c r="CB51" s="1632" t="b">
        <f>IF(CE57=15,1)</f>
        <v>0</v>
      </c>
      <c r="CC51" s="1641"/>
      <c r="CD51" s="1641"/>
      <c r="CE51" s="1637"/>
      <c r="CF51" s="1641"/>
      <c r="CG51" s="1641"/>
      <c r="CH51" s="1634" t="b">
        <f>IF(CE57=15,7)</f>
        <v>0</v>
      </c>
      <c r="CI51" s="1625"/>
      <c r="CJ51" s="1625"/>
      <c r="CK51" s="1625"/>
      <c r="CL51" s="1625"/>
      <c r="CM51" s="1625"/>
      <c r="CN51" s="1625"/>
      <c r="CO51" s="1626"/>
      <c r="CQ51" s="1557"/>
      <c r="CR51" s="1557"/>
      <c r="CS51" s="1557"/>
      <c r="CT51" s="1557"/>
      <c r="CU51" s="1557"/>
      <c r="CV51" s="1557"/>
      <c r="CW51" s="1557"/>
      <c r="CX51" s="1557"/>
      <c r="CY51" s="1557"/>
      <c r="CZ51" s="1557"/>
      <c r="DA51" s="1557"/>
      <c r="DB51" s="1557"/>
      <c r="DC51" s="1557"/>
      <c r="DD51" s="1557"/>
    </row>
    <row r="52" spans="2:143" ht="21.6" hidden="1" thickBot="1" x14ac:dyDescent="0.45">
      <c r="B52" s="85"/>
      <c r="C52" s="85"/>
      <c r="D52" s="85"/>
      <c r="E52" s="85"/>
      <c r="F52" s="85"/>
      <c r="G52" s="85"/>
      <c r="H52" s="243"/>
      <c r="I52" s="243"/>
      <c r="J52" s="243"/>
      <c r="K52" s="243"/>
      <c r="L52" s="243"/>
      <c r="M52" s="243"/>
      <c r="N52" s="243"/>
      <c r="O52" s="243"/>
      <c r="P52" s="243"/>
      <c r="Q52" s="243"/>
      <c r="R52" s="243"/>
      <c r="S52" s="243"/>
      <c r="T52" s="243"/>
      <c r="U52" s="86"/>
      <c r="V52" s="243"/>
      <c r="W52" s="243"/>
      <c r="X52" s="243"/>
      <c r="Y52" s="243"/>
      <c r="Z52" s="243"/>
      <c r="AA52" s="243"/>
      <c r="AB52" s="86"/>
      <c r="AC52" s="86"/>
      <c r="AD52" s="86"/>
      <c r="AE52" s="86"/>
      <c r="AF52" s="243"/>
      <c r="AG52" s="243"/>
      <c r="AH52" s="243"/>
      <c r="AI52" s="243"/>
      <c r="AJ52" s="243"/>
      <c r="AK52" s="243"/>
      <c r="AL52" s="243"/>
      <c r="AM52" s="243"/>
      <c r="AN52" s="243"/>
      <c r="AO52" s="243"/>
      <c r="AP52" s="243"/>
      <c r="AQ52" s="243"/>
      <c r="AR52" s="243"/>
      <c r="AS52" s="243"/>
      <c r="AT52" s="243"/>
      <c r="AU52" s="243"/>
      <c r="AV52" s="243"/>
      <c r="AW52" s="243"/>
      <c r="AX52" s="243"/>
      <c r="AY52" s="243"/>
      <c r="AZ52" s="243"/>
      <c r="BA52" s="243"/>
      <c r="BB52" s="14"/>
      <c r="BE52" s="40"/>
      <c r="BF52" s="40"/>
      <c r="BG52" s="40"/>
      <c r="BH52" s="59"/>
      <c r="BI52" s="59"/>
      <c r="BJ52" s="59"/>
      <c r="BN52" s="1577"/>
      <c r="BO52" s="1623"/>
      <c r="BP52" s="1625"/>
      <c r="BQ52" s="1625"/>
      <c r="BR52" s="1626"/>
      <c r="BS52" s="1625"/>
      <c r="BT52" s="1625"/>
      <c r="BU52" s="1625"/>
      <c r="CA52" s="1631">
        <v>3</v>
      </c>
      <c r="CB52" s="1643" t="b">
        <f>IF(CD57=14,1)</f>
        <v>0</v>
      </c>
      <c r="CC52" s="1638"/>
      <c r="CD52" s="1638"/>
      <c r="CE52" s="1638"/>
      <c r="CF52" s="1636" t="b">
        <f>IF(CD57=14,5)</f>
        <v>0</v>
      </c>
      <c r="CG52" s="1625"/>
      <c r="CH52" s="1625"/>
      <c r="CI52" s="1625"/>
      <c r="CJ52" s="1625"/>
      <c r="CK52" s="1625"/>
      <c r="CL52" s="1625"/>
      <c r="CM52" s="1625"/>
      <c r="CN52" s="1625"/>
      <c r="CO52" s="1626"/>
      <c r="CQ52" s="1557"/>
      <c r="CR52" s="1557"/>
      <c r="CS52" s="1557"/>
      <c r="CT52" s="1557"/>
      <c r="CU52" s="1557"/>
      <c r="CV52" s="1557"/>
      <c r="CW52" s="1557"/>
      <c r="CX52" s="1557"/>
      <c r="CY52" s="1557"/>
      <c r="CZ52" s="1557"/>
      <c r="DA52" s="1557"/>
      <c r="DB52" s="1557"/>
      <c r="DC52" s="1557"/>
      <c r="DD52" s="1557"/>
    </row>
    <row r="53" spans="2:143" ht="21.6" hidden="1" thickBot="1" x14ac:dyDescent="0.45">
      <c r="B53" s="85"/>
      <c r="C53" s="85"/>
      <c r="D53" s="85"/>
      <c r="E53" s="85"/>
      <c r="F53" s="85"/>
      <c r="G53" s="85"/>
      <c r="H53" s="243"/>
      <c r="I53" s="243"/>
      <c r="J53" s="243"/>
      <c r="K53" s="243"/>
      <c r="L53" s="243"/>
      <c r="M53" s="243"/>
      <c r="N53" s="243"/>
      <c r="O53" s="243"/>
      <c r="P53" s="243"/>
      <c r="Q53" s="243"/>
      <c r="R53" s="243"/>
      <c r="S53" s="243"/>
      <c r="T53" s="243"/>
      <c r="U53" s="86"/>
      <c r="V53" s="243"/>
      <c r="W53" s="243"/>
      <c r="X53" s="243"/>
      <c r="Y53" s="243"/>
      <c r="Z53" s="243"/>
      <c r="AA53" s="243"/>
      <c r="AB53" s="86"/>
      <c r="AC53" s="86"/>
      <c r="AD53" s="86"/>
      <c r="AE53" s="86"/>
      <c r="AF53" s="243"/>
      <c r="AG53" s="243"/>
      <c r="AH53" s="243"/>
      <c r="AI53" s="243"/>
      <c r="AJ53" s="243"/>
      <c r="AK53" s="243"/>
      <c r="AL53" s="243"/>
      <c r="AM53" s="243"/>
      <c r="AN53" s="243"/>
      <c r="AO53" s="243"/>
      <c r="AP53" s="243"/>
      <c r="AQ53" s="243"/>
      <c r="AR53" s="243"/>
      <c r="AS53" s="243"/>
      <c r="AT53" s="243"/>
      <c r="AU53" s="243"/>
      <c r="AV53" s="243"/>
      <c r="AW53" s="243"/>
      <c r="AX53" s="243"/>
      <c r="AY53" s="243"/>
      <c r="AZ53" s="243"/>
      <c r="BA53" s="243"/>
      <c r="BB53" s="14"/>
      <c r="BE53" s="40"/>
      <c r="BF53" s="40"/>
      <c r="BG53" s="40"/>
      <c r="BH53" s="59"/>
      <c r="BI53" s="59"/>
      <c r="BJ53" s="59"/>
      <c r="BN53" s="1577"/>
      <c r="BO53" s="1623"/>
      <c r="BP53" s="1625"/>
      <c r="BQ53" s="1625"/>
      <c r="BR53" s="1626"/>
      <c r="BS53" s="1625"/>
      <c r="BT53" s="1625"/>
      <c r="BU53" s="1625"/>
      <c r="CA53" s="1631">
        <v>2</v>
      </c>
      <c r="CB53" s="1643" t="b">
        <f>IF(CC57=13,1)</f>
        <v>0</v>
      </c>
      <c r="CC53" s="1638"/>
      <c r="CD53" s="1636" t="b">
        <f>IF(CC57=13,3)</f>
        <v>0</v>
      </c>
      <c r="CE53" s="1625"/>
      <c r="CF53" s="1625"/>
      <c r="CG53" s="1625"/>
      <c r="CH53" s="1625"/>
      <c r="CI53" s="1625"/>
      <c r="CJ53" s="1625"/>
      <c r="CK53" s="1625"/>
      <c r="CL53" s="1625"/>
      <c r="CM53" s="1625"/>
      <c r="CN53" s="1625"/>
      <c r="CO53" s="1626"/>
      <c r="CQ53" s="1557"/>
      <c r="CR53" s="1557"/>
      <c r="CS53" s="1557"/>
      <c r="CT53" s="1557"/>
      <c r="CU53" s="1557"/>
      <c r="CV53" s="1557"/>
      <c r="CW53" s="1557"/>
      <c r="CX53" s="1557"/>
      <c r="CY53" s="1557"/>
      <c r="CZ53" s="1557"/>
      <c r="DA53" s="1557"/>
      <c r="DB53" s="1557"/>
      <c r="DC53" s="1557"/>
      <c r="DD53" s="1557"/>
    </row>
    <row r="54" spans="2:143" ht="21.6" hidden="1" thickBot="1" x14ac:dyDescent="0.45">
      <c r="B54" s="85"/>
      <c r="C54" s="85"/>
      <c r="D54" s="85"/>
      <c r="E54" s="85"/>
      <c r="F54" s="85"/>
      <c r="G54" s="85"/>
      <c r="H54" s="243"/>
      <c r="I54" s="243"/>
      <c r="J54" s="243"/>
      <c r="K54" s="243"/>
      <c r="L54" s="243"/>
      <c r="M54" s="243"/>
      <c r="N54" s="243"/>
      <c r="O54" s="243"/>
      <c r="P54" s="243"/>
      <c r="Q54" s="243"/>
      <c r="R54" s="243"/>
      <c r="S54" s="243"/>
      <c r="T54" s="243"/>
      <c r="U54" s="86"/>
      <c r="V54" s="243"/>
      <c r="W54" s="243"/>
      <c r="X54" s="243"/>
      <c r="Y54" s="243"/>
      <c r="Z54" s="243"/>
      <c r="AA54" s="243"/>
      <c r="AB54" s="86"/>
      <c r="AC54" s="86"/>
      <c r="AD54" s="86"/>
      <c r="AE54" s="86"/>
      <c r="AF54" s="243"/>
      <c r="AG54" s="243"/>
      <c r="AH54" s="243"/>
      <c r="AI54" s="243"/>
      <c r="AJ54" s="243"/>
      <c r="AK54" s="243"/>
      <c r="AL54" s="243"/>
      <c r="AM54" s="243"/>
      <c r="AN54" s="243"/>
      <c r="AO54" s="243"/>
      <c r="AP54" s="243"/>
      <c r="AQ54" s="243"/>
      <c r="AR54" s="243"/>
      <c r="AS54" s="243"/>
      <c r="AT54" s="243"/>
      <c r="AU54" s="243"/>
      <c r="AV54" s="243"/>
      <c r="AW54" s="243"/>
      <c r="AX54" s="243"/>
      <c r="AY54" s="243"/>
      <c r="AZ54" s="243"/>
      <c r="BA54" s="243"/>
      <c r="BB54" s="14"/>
      <c r="BE54" s="40"/>
      <c r="BF54" s="40"/>
      <c r="BG54" s="40"/>
      <c r="BH54" s="59"/>
      <c r="BI54" s="59"/>
      <c r="BJ54" s="59"/>
      <c r="BN54" s="1577"/>
      <c r="BO54" s="1623"/>
      <c r="BP54" s="1625"/>
      <c r="BQ54" s="1625"/>
      <c r="BR54" s="1626"/>
      <c r="BS54" s="1625"/>
      <c r="BT54" s="1625"/>
      <c r="BU54" s="1625"/>
      <c r="BV54" s="1554"/>
      <c r="BW54" s="1625"/>
      <c r="CA54" s="1625"/>
      <c r="CB54" s="1625"/>
      <c r="CC54" s="1625"/>
      <c r="CD54" s="1625"/>
      <c r="CE54" s="1625"/>
      <c r="CF54" s="1625"/>
      <c r="CG54" s="1625"/>
      <c r="CH54" s="1625"/>
      <c r="CI54" s="1625"/>
      <c r="CJ54" s="1625"/>
      <c r="CK54" s="1625"/>
      <c r="CL54" s="1626"/>
      <c r="CM54" s="1644"/>
      <c r="CN54" s="1644"/>
      <c r="CO54" s="1644"/>
      <c r="CQ54" s="1557"/>
      <c r="CR54" s="1557"/>
      <c r="CS54" s="1557"/>
      <c r="CT54" s="1557"/>
      <c r="CU54" s="1557"/>
      <c r="CV54" s="1557"/>
      <c r="CW54" s="1557"/>
      <c r="CX54" s="1557"/>
      <c r="CY54" s="1557"/>
      <c r="CZ54" s="1557"/>
      <c r="DA54" s="1557"/>
      <c r="DB54" s="1557"/>
      <c r="DC54" s="1557"/>
      <c r="DD54" s="1557"/>
    </row>
    <row r="55" spans="2:143" ht="47.25" customHeight="1" thickBot="1" x14ac:dyDescent="0.45">
      <c r="B55" s="85"/>
      <c r="C55" s="85"/>
      <c r="D55" s="85"/>
      <c r="E55" s="85"/>
      <c r="F55" s="85"/>
      <c r="G55" s="85"/>
      <c r="H55" s="243"/>
      <c r="I55" s="243"/>
      <c r="J55" s="243"/>
      <c r="K55" s="243"/>
      <c r="L55" s="243"/>
      <c r="M55" s="243"/>
      <c r="N55" s="243"/>
      <c r="O55" s="243"/>
      <c r="P55" s="243"/>
      <c r="Q55" s="243"/>
      <c r="R55" s="243"/>
      <c r="S55" s="243"/>
      <c r="T55" s="243"/>
      <c r="U55" s="86"/>
      <c r="V55" s="243"/>
      <c r="W55" s="243"/>
      <c r="X55" s="243"/>
      <c r="Y55" s="243"/>
      <c r="Z55" s="243"/>
      <c r="AA55" s="243"/>
      <c r="AB55" s="86"/>
      <c r="AC55" s="86"/>
      <c r="AD55" s="86"/>
      <c r="AE55" s="86"/>
      <c r="AF55" s="243"/>
      <c r="AG55" s="243"/>
      <c r="AH55" s="243"/>
      <c r="AI55" s="243"/>
      <c r="AJ55" s="243"/>
      <c r="AK55" s="243"/>
      <c r="AL55" s="243"/>
      <c r="AM55" s="243"/>
      <c r="AN55" s="243"/>
      <c r="AO55" s="243"/>
      <c r="AP55" s="243"/>
      <c r="AQ55" s="243"/>
      <c r="AR55" s="243"/>
      <c r="AS55" s="243"/>
      <c r="AT55" s="243"/>
      <c r="AU55" s="243"/>
      <c r="AV55" s="243"/>
      <c r="AW55" s="243"/>
      <c r="AX55" s="243"/>
      <c r="AY55" s="243"/>
      <c r="AZ55" s="243"/>
      <c r="BA55" s="243"/>
      <c r="BB55" s="14"/>
      <c r="BE55" s="40"/>
      <c r="BF55" s="40"/>
      <c r="BG55" s="40"/>
      <c r="BH55" s="59"/>
      <c r="BI55" s="59"/>
      <c r="BJ55" s="59"/>
      <c r="BL55" s="1623"/>
      <c r="BM55" s="1623"/>
      <c r="BN55" s="1645"/>
      <c r="BO55" s="1561" t="s">
        <v>227</v>
      </c>
      <c r="BP55" s="1646" t="s">
        <v>231</v>
      </c>
      <c r="BQ55" s="1647"/>
      <c r="BR55" s="1648"/>
      <c r="BS55" s="1648"/>
      <c r="BT55" s="1648"/>
      <c r="BU55" s="1648"/>
      <c r="BV55" s="1648"/>
      <c r="BW55" s="1648"/>
      <c r="BX55" s="1648"/>
      <c r="BY55" s="1648"/>
      <c r="BZ55" s="1648"/>
      <c r="CA55" s="1648"/>
      <c r="CB55" s="1649">
        <f>SUM(CB39:CB54)</f>
        <v>1</v>
      </c>
      <c r="CC55" s="1650">
        <f t="shared" ref="CC55:CR55" si="0">SUM(CC39:CC54)</f>
        <v>0</v>
      </c>
      <c r="CD55" s="1650">
        <f t="shared" si="0"/>
        <v>0</v>
      </c>
      <c r="CE55" s="1650">
        <f t="shared" si="0"/>
        <v>0</v>
      </c>
      <c r="CF55" s="1650">
        <f t="shared" si="0"/>
        <v>0</v>
      </c>
      <c r="CG55" s="1650">
        <f t="shared" si="0"/>
        <v>0</v>
      </c>
      <c r="CH55" s="1650">
        <f t="shared" si="0"/>
        <v>0</v>
      </c>
      <c r="CI55" s="1650">
        <f t="shared" si="0"/>
        <v>0</v>
      </c>
      <c r="CJ55" s="1650">
        <f t="shared" si="0"/>
        <v>9</v>
      </c>
      <c r="CK55" s="1650">
        <f t="shared" si="0"/>
        <v>0</v>
      </c>
      <c r="CL55" s="1650">
        <f t="shared" si="0"/>
        <v>0</v>
      </c>
      <c r="CM55" s="1650">
        <f t="shared" si="0"/>
        <v>0</v>
      </c>
      <c r="CN55" s="1650">
        <f t="shared" si="0"/>
        <v>0</v>
      </c>
      <c r="CO55" s="1650">
        <f t="shared" si="0"/>
        <v>0</v>
      </c>
      <c r="CP55" s="1650">
        <f t="shared" si="0"/>
        <v>0</v>
      </c>
      <c r="CQ55" s="1650">
        <f t="shared" si="0"/>
        <v>0</v>
      </c>
      <c r="CR55" s="1651">
        <f t="shared" si="0"/>
        <v>0</v>
      </c>
      <c r="CS55" s="1648"/>
      <c r="CT55" s="1648"/>
      <c r="CU55" s="1652"/>
      <c r="CV55" s="1652"/>
      <c r="CW55" s="1652"/>
      <c r="CX55" s="1652"/>
      <c r="CY55" s="1652"/>
      <c r="CZ55" s="1652"/>
      <c r="DA55" s="1653"/>
      <c r="DB55" s="1583"/>
      <c r="DC55" s="1557"/>
      <c r="DD55" s="1557"/>
      <c r="DF55" s="1994"/>
      <c r="DG55" s="1994"/>
      <c r="DH55" s="182"/>
      <c r="DI55" s="182"/>
      <c r="DJ55" s="183"/>
      <c r="DK55" s="184"/>
      <c r="DL55" s="184"/>
      <c r="DM55" s="184"/>
      <c r="DN55" s="184"/>
      <c r="DO55" s="184"/>
      <c r="DP55" s="184"/>
      <c r="DQ55" s="184"/>
      <c r="DR55" s="184"/>
      <c r="DS55" s="184"/>
      <c r="DT55" s="184"/>
      <c r="DU55" s="184"/>
      <c r="DV55" s="184"/>
      <c r="DW55" s="184"/>
      <c r="DX55" s="184"/>
      <c r="DY55" s="184"/>
      <c r="DZ55" s="184"/>
      <c r="EA55" s="184"/>
      <c r="EB55" s="184"/>
      <c r="EC55" s="184"/>
      <c r="ED55" s="185"/>
      <c r="EE55" s="185"/>
      <c r="EF55" s="185"/>
      <c r="EG55" s="185"/>
      <c r="EH55" s="185"/>
      <c r="EI55" s="185"/>
      <c r="EJ55" s="185"/>
      <c r="EK55" s="185"/>
      <c r="EL55" s="143"/>
      <c r="EM55" s="143"/>
    </row>
    <row r="56" spans="2:143" ht="36.75" customHeight="1" thickBot="1" x14ac:dyDescent="0.45">
      <c r="B56" s="85"/>
      <c r="C56" s="85"/>
      <c r="D56" s="85"/>
      <c r="E56" s="85"/>
      <c r="F56" s="85"/>
      <c r="G56" s="85"/>
      <c r="H56" s="243"/>
      <c r="I56" s="243"/>
      <c r="J56" s="243"/>
      <c r="K56" s="243"/>
      <c r="L56" s="243"/>
      <c r="M56" s="243"/>
      <c r="N56" s="243"/>
      <c r="O56" s="243"/>
      <c r="P56" s="243"/>
      <c r="Q56" s="243"/>
      <c r="R56" s="243"/>
      <c r="S56" s="243"/>
      <c r="T56" s="243"/>
      <c r="U56" s="86"/>
      <c r="V56" s="243"/>
      <c r="W56" s="243"/>
      <c r="X56" s="243"/>
      <c r="Y56" s="243"/>
      <c r="Z56" s="243"/>
      <c r="AA56" s="243"/>
      <c r="AB56" s="86"/>
      <c r="AC56" s="86"/>
      <c r="AD56" s="86"/>
      <c r="AE56" s="86"/>
      <c r="AF56" s="243"/>
      <c r="AG56" s="243"/>
      <c r="AH56" s="243"/>
      <c r="AI56" s="243"/>
      <c r="AJ56" s="243"/>
      <c r="AK56" s="243"/>
      <c r="AL56" s="243"/>
      <c r="AM56" s="243"/>
      <c r="AN56" s="243"/>
      <c r="AO56" s="243"/>
      <c r="AP56" s="243"/>
      <c r="AQ56" s="243"/>
      <c r="AR56" s="243"/>
      <c r="AS56" s="243"/>
      <c r="AT56" s="243"/>
      <c r="AU56" s="243"/>
      <c r="AV56" s="243"/>
      <c r="AW56" s="243"/>
      <c r="AX56" s="243"/>
      <c r="AY56" s="243"/>
      <c r="AZ56" s="243"/>
      <c r="BA56" s="243"/>
      <c r="BB56" s="14"/>
      <c r="BE56" s="40"/>
      <c r="BF56" s="40"/>
      <c r="BG56" s="40"/>
      <c r="BH56" s="59"/>
      <c r="BI56" s="59"/>
      <c r="BJ56" s="59"/>
      <c r="BL56" s="1623"/>
      <c r="BM56" s="1550" t="b">
        <f>AND(BO56&gt;=10,$AZ$110&gt;=10,$BA$110&gt;=10)</f>
        <v>1</v>
      </c>
      <c r="BN56" s="1570" t="str">
        <f>IF(BM56=TRUE,"O K","OVERLOAD")</f>
        <v>O K</v>
      </c>
      <c r="BO56" s="1571">
        <f>+$D$20/(BQ25/2)</f>
        <v>90.497737556561077</v>
      </c>
      <c r="BP56" s="1654"/>
      <c r="BQ56" s="1644"/>
      <c r="BR56" s="1655"/>
      <c r="BS56" s="1644"/>
      <c r="BT56" s="1644"/>
      <c r="BU56" s="1644"/>
      <c r="BV56" s="1655"/>
      <c r="BW56" s="1644"/>
      <c r="BX56" s="1644"/>
      <c r="BY56" s="1644"/>
      <c r="BZ56" s="1644"/>
      <c r="CA56" s="1644"/>
      <c r="CB56" s="1644"/>
      <c r="CC56" s="1644"/>
      <c r="CD56" s="1644"/>
      <c r="CE56" s="1644"/>
      <c r="CF56" s="1644"/>
      <c r="CG56" s="1644"/>
      <c r="CH56" s="1644"/>
      <c r="CI56" s="1644"/>
      <c r="CJ56" s="1644"/>
      <c r="CK56" s="1644"/>
      <c r="CL56" s="1644"/>
      <c r="CM56" s="1644"/>
      <c r="CN56" s="1644"/>
      <c r="CO56" s="1644"/>
      <c r="CP56" s="1644"/>
      <c r="CQ56" s="1644"/>
      <c r="CR56" s="1644"/>
      <c r="CS56" s="1557"/>
      <c r="CT56" s="1557"/>
      <c r="CU56" s="1557"/>
      <c r="CV56" s="1557"/>
      <c r="CW56" s="1557"/>
      <c r="CX56" s="1557"/>
      <c r="CY56" s="1557"/>
      <c r="CZ56" s="1557"/>
      <c r="DA56" s="1557"/>
      <c r="DB56" s="1557"/>
      <c r="DC56" s="1557"/>
      <c r="DD56" s="1557"/>
      <c r="EJ56" s="185"/>
      <c r="EK56" s="185"/>
    </row>
    <row r="57" spans="2:143" ht="21" hidden="1" x14ac:dyDescent="0.4">
      <c r="B57" s="85"/>
      <c r="C57" s="85"/>
      <c r="D57" s="85"/>
      <c r="E57" s="85"/>
      <c r="H57" s="243"/>
      <c r="I57" s="243"/>
      <c r="J57" s="243"/>
      <c r="K57" s="243"/>
      <c r="L57" s="243"/>
      <c r="M57" s="243"/>
      <c r="N57" s="243"/>
      <c r="O57" s="243"/>
      <c r="P57" s="243"/>
      <c r="Q57" s="243"/>
      <c r="R57" s="243"/>
      <c r="S57" s="243"/>
      <c r="T57" s="243"/>
      <c r="U57" s="86"/>
      <c r="V57" s="243"/>
      <c r="W57" s="243"/>
      <c r="X57" s="243"/>
      <c r="Y57" s="243"/>
      <c r="Z57" s="243"/>
      <c r="AA57" s="243"/>
      <c r="AB57" s="86"/>
      <c r="AC57" s="86"/>
      <c r="AD57" s="86"/>
      <c r="AE57" s="86"/>
      <c r="AF57" s="243"/>
      <c r="AG57" s="243"/>
      <c r="AH57" s="243"/>
      <c r="AI57" s="243"/>
      <c r="AJ57" s="243"/>
      <c r="AK57" s="243"/>
      <c r="AL57" s="243"/>
      <c r="AM57" s="243"/>
      <c r="AN57" s="243"/>
      <c r="AO57" s="243"/>
      <c r="AP57" s="243"/>
      <c r="AQ57" s="243"/>
      <c r="AR57" s="243"/>
      <c r="AS57" s="243"/>
      <c r="AT57" s="243"/>
      <c r="AU57" s="243"/>
      <c r="AV57" s="243"/>
      <c r="AW57" s="243"/>
      <c r="AX57" s="243"/>
      <c r="AY57" s="243"/>
      <c r="AZ57" s="243"/>
      <c r="BA57" s="243"/>
      <c r="BB57" s="14"/>
      <c r="BE57" s="40"/>
      <c r="BF57" s="40"/>
      <c r="BG57" s="40"/>
      <c r="BH57" s="59"/>
      <c r="BI57" s="59"/>
      <c r="BJ57" s="59"/>
      <c r="BL57" s="1623"/>
      <c r="BM57" s="1623"/>
      <c r="BN57" s="1645"/>
      <c r="BO57" s="1623"/>
      <c r="BP57" s="1554"/>
      <c r="BQ57" s="1656" t="b">
        <f>+BQ165</f>
        <v>0</v>
      </c>
      <c r="BR57" s="1656" t="b">
        <f>+BQ166</f>
        <v>0</v>
      </c>
      <c r="BS57" s="1656" t="b">
        <f>+BQ167</f>
        <v>0</v>
      </c>
      <c r="BT57" s="1656" t="b">
        <f>+BQ168</f>
        <v>0</v>
      </c>
      <c r="BU57" s="1656" t="b">
        <f>+BQ169</f>
        <v>0</v>
      </c>
      <c r="BV57" s="1656" t="b">
        <f>+BQ170</f>
        <v>0</v>
      </c>
      <c r="BW57" s="1656" t="b">
        <f>+BQ171</f>
        <v>0</v>
      </c>
      <c r="BX57" s="1656" t="b">
        <f>+BQ172</f>
        <v>0</v>
      </c>
      <c r="BY57" s="1656" t="b">
        <f>+BQ173</f>
        <v>0</v>
      </c>
      <c r="BZ57" s="1656" t="b">
        <f>+BQ174</f>
        <v>0</v>
      </c>
      <c r="CA57" s="1656" t="b">
        <f>+BQ175</f>
        <v>0</v>
      </c>
      <c r="CB57" s="1656" t="b">
        <f>+BQ176</f>
        <v>0</v>
      </c>
      <c r="CC57" s="1656" t="b">
        <f>+BQ177</f>
        <v>0</v>
      </c>
      <c r="CD57" s="1656" t="b">
        <f>+BQ178</f>
        <v>0</v>
      </c>
      <c r="CE57" s="1656" t="b">
        <f>+BQ179</f>
        <v>0</v>
      </c>
      <c r="CF57" s="1656">
        <f>+BQ180</f>
        <v>16</v>
      </c>
      <c r="CG57" s="1656" t="b">
        <f>+BQ181</f>
        <v>0</v>
      </c>
      <c r="CH57" s="1656" t="b">
        <f>+BQ182</f>
        <v>0</v>
      </c>
      <c r="CI57" s="1656" t="b">
        <f>+BQ183</f>
        <v>0</v>
      </c>
      <c r="CJ57" s="1656" t="b">
        <f>+BQ184</f>
        <v>0</v>
      </c>
      <c r="CK57" s="1656" t="b">
        <f>+BQ185</f>
        <v>0</v>
      </c>
      <c r="CL57" s="1656" t="b">
        <f>+BQ186</f>
        <v>0</v>
      </c>
      <c r="CM57" s="1656" t="b">
        <f>+BQ187</f>
        <v>0</v>
      </c>
      <c r="CN57" s="1656" t="b">
        <f>+BQ188</f>
        <v>0</v>
      </c>
      <c r="CO57" s="1656" t="b">
        <f>+BQ189</f>
        <v>0</v>
      </c>
      <c r="CP57" s="1656" t="b">
        <f>+BQ190</f>
        <v>0</v>
      </c>
      <c r="CQ57" s="1656" t="b">
        <f>+BQ191</f>
        <v>0</v>
      </c>
      <c r="CR57" s="1656" t="b">
        <f>+BQ192</f>
        <v>0</v>
      </c>
      <c r="CS57" s="1656" t="b">
        <f>+BQ193</f>
        <v>0</v>
      </c>
      <c r="CT57" s="1656" t="b">
        <f>+BQ194</f>
        <v>0</v>
      </c>
      <c r="CU57" s="1656" t="b">
        <f>+BQ195</f>
        <v>0</v>
      </c>
      <c r="CV57" s="1656" t="b">
        <f>+BQ196</f>
        <v>0</v>
      </c>
      <c r="CW57" s="1656" t="b">
        <f>+BQ197</f>
        <v>0</v>
      </c>
      <c r="CX57" s="1656" t="b">
        <f>+BQ198</f>
        <v>0</v>
      </c>
      <c r="CY57" s="1656" t="b">
        <f>+BQ199</f>
        <v>0</v>
      </c>
      <c r="CZ57" s="1656" t="b">
        <f>+BQ200</f>
        <v>0</v>
      </c>
      <c r="DA57" s="1656" t="b">
        <f>+BQ201</f>
        <v>0</v>
      </c>
      <c r="DB57" s="1657"/>
      <c r="DC57" s="1557"/>
      <c r="DD57" s="1557"/>
      <c r="EJ57" s="185"/>
      <c r="EK57" s="185"/>
    </row>
    <row r="58" spans="2:143" ht="21" hidden="1" x14ac:dyDescent="0.4">
      <c r="B58" s="85"/>
      <c r="C58" s="85"/>
      <c r="D58" s="85"/>
      <c r="E58" s="85"/>
      <c r="H58" s="243"/>
      <c r="I58" s="243"/>
      <c r="J58" s="243"/>
      <c r="K58" s="243"/>
      <c r="L58" s="243"/>
      <c r="M58" s="243"/>
      <c r="N58" s="243"/>
      <c r="O58" s="243"/>
      <c r="P58" s="243"/>
      <c r="Q58" s="243"/>
      <c r="R58" s="243"/>
      <c r="S58" s="243"/>
      <c r="T58" s="243"/>
      <c r="U58" s="86"/>
      <c r="V58" s="243"/>
      <c r="W58" s="243"/>
      <c r="X58" s="243"/>
      <c r="Y58" s="243"/>
      <c r="Z58" s="243"/>
      <c r="AA58" s="243"/>
      <c r="AB58" s="86"/>
      <c r="AC58" s="86"/>
      <c r="AD58" s="86"/>
      <c r="AE58" s="86"/>
      <c r="AF58" s="243"/>
      <c r="AG58" s="243"/>
      <c r="AH58" s="243"/>
      <c r="AI58" s="243"/>
      <c r="AJ58" s="243"/>
      <c r="AK58" s="243"/>
      <c r="AL58" s="243"/>
      <c r="AM58" s="243"/>
      <c r="AN58" s="243"/>
      <c r="AO58" s="243"/>
      <c r="AP58" s="243"/>
      <c r="AQ58" s="243"/>
      <c r="AR58" s="243"/>
      <c r="AS58" s="243"/>
      <c r="AT58" s="243"/>
      <c r="AU58" s="243"/>
      <c r="AV58" s="243"/>
      <c r="AW58" s="243"/>
      <c r="AX58" s="243"/>
      <c r="AY58" s="243"/>
      <c r="AZ58" s="243"/>
      <c r="BA58" s="243"/>
      <c r="BB58" s="14"/>
      <c r="BE58" s="40"/>
      <c r="BF58" s="40"/>
      <c r="BG58" s="40"/>
      <c r="BH58" s="59"/>
      <c r="BI58" s="59"/>
      <c r="BJ58" s="59"/>
      <c r="BL58" s="1623"/>
      <c r="BM58" s="1623"/>
      <c r="BN58" s="1645"/>
      <c r="BO58" s="1623"/>
      <c r="BP58" s="1556"/>
      <c r="BQ58" s="1657" t="b">
        <f>+BQ57</f>
        <v>0</v>
      </c>
      <c r="BR58" s="1657" t="b">
        <f t="shared" ref="BR58:CI58" si="1">+BR57</f>
        <v>0</v>
      </c>
      <c r="BS58" s="1657" t="b">
        <f t="shared" si="1"/>
        <v>0</v>
      </c>
      <c r="BT58" s="1657" t="b">
        <f t="shared" si="1"/>
        <v>0</v>
      </c>
      <c r="BU58" s="1657" t="b">
        <f t="shared" si="1"/>
        <v>0</v>
      </c>
      <c r="BV58" s="1657" t="b">
        <f t="shared" si="1"/>
        <v>0</v>
      </c>
      <c r="BW58" s="1657" t="b">
        <f>+BW57</f>
        <v>0</v>
      </c>
      <c r="BX58" s="1657" t="b">
        <f t="shared" si="1"/>
        <v>0</v>
      </c>
      <c r="BY58" s="1657" t="b">
        <f t="shared" si="1"/>
        <v>0</v>
      </c>
      <c r="BZ58" s="1657" t="b">
        <f t="shared" si="1"/>
        <v>0</v>
      </c>
      <c r="CA58" s="1657" t="b">
        <f t="shared" si="1"/>
        <v>0</v>
      </c>
      <c r="CB58" s="1657" t="b">
        <f>+CB57</f>
        <v>0</v>
      </c>
      <c r="CC58" s="1657" t="b">
        <f>+CC57</f>
        <v>0</v>
      </c>
      <c r="CD58" s="1657" t="b">
        <f>+CD57</f>
        <v>0</v>
      </c>
      <c r="CE58" s="1657" t="b">
        <f>+CE57</f>
        <v>0</v>
      </c>
      <c r="CF58" s="1657">
        <f>+CF57</f>
        <v>16</v>
      </c>
      <c r="CG58" s="1657" t="b">
        <f t="shared" si="1"/>
        <v>0</v>
      </c>
      <c r="CH58" s="1657" t="b">
        <f t="shared" si="1"/>
        <v>0</v>
      </c>
      <c r="CI58" s="1657" t="b">
        <f t="shared" si="1"/>
        <v>0</v>
      </c>
      <c r="CJ58" s="1657" t="b">
        <f>+CJ57</f>
        <v>0</v>
      </c>
      <c r="CK58" s="1657" t="b">
        <f>+CK57</f>
        <v>0</v>
      </c>
      <c r="CL58" s="1657" t="b">
        <f t="shared" ref="CL58:DA58" si="2">+CL57</f>
        <v>0</v>
      </c>
      <c r="CM58" s="1657" t="b">
        <f t="shared" si="2"/>
        <v>0</v>
      </c>
      <c r="CN58" s="1657" t="b">
        <f t="shared" si="2"/>
        <v>0</v>
      </c>
      <c r="CO58" s="1657" t="b">
        <f t="shared" si="2"/>
        <v>0</v>
      </c>
      <c r="CP58" s="1657" t="b">
        <f t="shared" si="2"/>
        <v>0</v>
      </c>
      <c r="CQ58" s="1657" t="b">
        <f t="shared" si="2"/>
        <v>0</v>
      </c>
      <c r="CR58" s="1657" t="b">
        <f t="shared" si="2"/>
        <v>0</v>
      </c>
      <c r="CS58" s="1657" t="b">
        <f t="shared" si="2"/>
        <v>0</v>
      </c>
      <c r="CT58" s="1657" t="b">
        <f t="shared" si="2"/>
        <v>0</v>
      </c>
      <c r="CU58" s="1657" t="b">
        <f t="shared" si="2"/>
        <v>0</v>
      </c>
      <c r="CV58" s="1657" t="b">
        <f t="shared" si="2"/>
        <v>0</v>
      </c>
      <c r="CW58" s="1657" t="b">
        <f t="shared" si="2"/>
        <v>0</v>
      </c>
      <c r="CX58" s="1657" t="b">
        <f t="shared" si="2"/>
        <v>0</v>
      </c>
      <c r="CY58" s="1657" t="b">
        <f t="shared" si="2"/>
        <v>0</v>
      </c>
      <c r="CZ58" s="1657" t="b">
        <f t="shared" si="2"/>
        <v>0</v>
      </c>
      <c r="DA58" s="1657" t="b">
        <f t="shared" si="2"/>
        <v>0</v>
      </c>
      <c r="DB58" s="1657"/>
      <c r="DC58" s="1557"/>
      <c r="DD58" s="1557"/>
      <c r="EJ58" s="185"/>
      <c r="EK58" s="185"/>
    </row>
    <row r="59" spans="2:143" ht="15" customHeight="1" thickBot="1" x14ac:dyDescent="0.45">
      <c r="B59" s="85"/>
      <c r="C59" s="85"/>
      <c r="D59" s="85"/>
      <c r="E59" s="85"/>
      <c r="F59" s="85"/>
      <c r="G59" s="85"/>
      <c r="H59" s="243"/>
      <c r="I59" s="243"/>
      <c r="J59" s="243"/>
      <c r="K59" s="243"/>
      <c r="L59" s="243"/>
      <c r="M59" s="243"/>
      <c r="N59" s="243"/>
      <c r="O59" s="243"/>
      <c r="P59" s="243"/>
      <c r="Q59" s="243"/>
      <c r="R59" s="243"/>
      <c r="S59" s="243"/>
      <c r="T59" s="243"/>
      <c r="U59" s="86"/>
      <c r="V59" s="243"/>
      <c r="W59" s="243"/>
      <c r="X59" s="243"/>
      <c r="Y59" s="243"/>
      <c r="Z59" s="243"/>
      <c r="AA59" s="243"/>
      <c r="AB59" s="86"/>
      <c r="AC59" s="86"/>
      <c r="AD59" s="86"/>
      <c r="AE59" s="86"/>
      <c r="AF59" s="243"/>
      <c r="AG59" s="243"/>
      <c r="AH59" s="243"/>
      <c r="AI59" s="243"/>
      <c r="AJ59" s="243"/>
      <c r="AK59" s="243"/>
      <c r="AL59" s="243"/>
      <c r="AM59" s="243"/>
      <c r="AN59" s="243"/>
      <c r="AO59" s="243"/>
      <c r="AP59" s="243"/>
      <c r="AQ59" s="243"/>
      <c r="AR59" s="243"/>
      <c r="AS59" s="243"/>
      <c r="AT59" s="243"/>
      <c r="AU59" s="243"/>
      <c r="AV59" s="243"/>
      <c r="AW59" s="243"/>
      <c r="AX59" s="243"/>
      <c r="AY59" s="243"/>
      <c r="AZ59" s="243"/>
      <c r="BA59" s="243"/>
      <c r="BB59" s="14"/>
      <c r="BE59" s="40"/>
      <c r="BF59" s="40"/>
      <c r="BG59" s="40"/>
      <c r="BH59" s="59"/>
      <c r="BI59" s="59"/>
      <c r="BJ59" s="59"/>
      <c r="BL59" s="1623"/>
      <c r="BM59" s="1623"/>
      <c r="BN59" s="1645"/>
      <c r="BO59" s="1623"/>
      <c r="BP59" s="1556"/>
      <c r="BQ59" s="1657"/>
      <c r="BR59" s="1657"/>
      <c r="BS59" s="1657"/>
      <c r="BT59" s="1657"/>
      <c r="BU59" s="1657"/>
      <c r="BV59" s="1657"/>
      <c r="BW59" s="1657"/>
      <c r="BX59" s="1657"/>
      <c r="BY59" s="1657"/>
      <c r="BZ59" s="1657"/>
      <c r="CA59" s="1657"/>
      <c r="CB59" s="1657"/>
      <c r="CC59" s="1657"/>
      <c r="CD59" s="1657"/>
      <c r="CE59" s="1657"/>
      <c r="CF59" s="1657"/>
      <c r="CG59" s="1657"/>
      <c r="CH59" s="1657"/>
      <c r="CI59" s="1657"/>
      <c r="CJ59" s="1657"/>
      <c r="CK59" s="1657"/>
      <c r="CL59" s="1657"/>
      <c r="CM59" s="1657"/>
      <c r="CN59" s="1657"/>
      <c r="CO59" s="1657"/>
      <c r="CP59" s="1657"/>
      <c r="CQ59" s="1657"/>
      <c r="CR59" s="1657"/>
      <c r="CS59" s="1657"/>
      <c r="CT59" s="1657"/>
      <c r="CU59" s="1657"/>
      <c r="CV59" s="1657"/>
      <c r="CW59" s="1657"/>
      <c r="CX59" s="1657"/>
      <c r="CY59" s="1657"/>
      <c r="CZ59" s="1657"/>
      <c r="DA59" s="1657"/>
      <c r="DB59" s="1657"/>
      <c r="DC59" s="1557"/>
      <c r="DD59" s="1557"/>
      <c r="EJ59" s="185"/>
      <c r="EK59" s="185"/>
    </row>
    <row r="60" spans="2:143" ht="42" customHeight="1" thickBot="1" x14ac:dyDescent="0.45">
      <c r="B60" s="85"/>
      <c r="C60" s="85"/>
      <c r="D60" s="85"/>
      <c r="E60" s="85"/>
      <c r="F60" s="85"/>
      <c r="G60" s="85"/>
      <c r="H60" s="243"/>
      <c r="I60" s="243"/>
      <c r="J60" s="243"/>
      <c r="K60" s="243"/>
      <c r="L60" s="243"/>
      <c r="M60" s="243"/>
      <c r="N60" s="243"/>
      <c r="O60" s="243"/>
      <c r="P60" s="243"/>
      <c r="Q60" s="243"/>
      <c r="R60" s="243"/>
      <c r="S60" s="243"/>
      <c r="T60" s="243"/>
      <c r="U60" s="86"/>
      <c r="V60" s="243"/>
      <c r="W60" s="243"/>
      <c r="X60" s="243"/>
      <c r="Y60" s="243"/>
      <c r="Z60" s="243"/>
      <c r="AA60" s="243"/>
      <c r="AB60" s="86"/>
      <c r="AC60" s="86"/>
      <c r="AD60" s="86"/>
      <c r="AE60" s="86"/>
      <c r="AF60" s="243"/>
      <c r="AG60" s="243"/>
      <c r="AH60" s="243"/>
      <c r="AI60" s="243"/>
      <c r="AJ60" s="243"/>
      <c r="AK60" s="243"/>
      <c r="AL60" s="243"/>
      <c r="AM60" s="243"/>
      <c r="AN60" s="243"/>
      <c r="AO60" s="243"/>
      <c r="AP60" s="243"/>
      <c r="AQ60" s="243"/>
      <c r="AR60" s="243"/>
      <c r="AS60" s="243"/>
      <c r="AT60" s="243"/>
      <c r="AU60" s="243"/>
      <c r="AV60" s="243"/>
      <c r="AW60" s="243"/>
      <c r="AX60" s="243"/>
      <c r="AY60" s="243"/>
      <c r="AZ60" s="243"/>
      <c r="BA60" s="243"/>
      <c r="BB60" s="14"/>
      <c r="BE60" s="40"/>
      <c r="BF60" s="40"/>
      <c r="BG60" s="40"/>
      <c r="BH60" s="59"/>
      <c r="BI60" s="59"/>
      <c r="BJ60" s="59"/>
      <c r="BL60" s="1623"/>
      <c r="BM60" s="1623"/>
      <c r="BN60" s="1645"/>
      <c r="BO60" s="1561" t="s">
        <v>227</v>
      </c>
      <c r="BP60" s="1658" t="s">
        <v>232</v>
      </c>
      <c r="BQ60" s="1659" t="str">
        <f>IF(BQ58=1,"17","")</f>
        <v/>
      </c>
      <c r="BR60" s="1660" t="str">
        <f>IF(BR58=2,"16","")</f>
        <v/>
      </c>
      <c r="BS60" s="1660" t="str">
        <f>IF(BS58=3,"15","")</f>
        <v/>
      </c>
      <c r="BT60" s="1660" t="str">
        <f>IF(BT58=4,"14","")</f>
        <v/>
      </c>
      <c r="BU60" s="1660" t="str">
        <f>IF(BU58=5,"13","")</f>
        <v/>
      </c>
      <c r="BV60" s="1660" t="str">
        <f>IF(BV58=6,"12","")</f>
        <v/>
      </c>
      <c r="BW60" s="1660" t="str">
        <f>IF(BW58=7,"11","")</f>
        <v/>
      </c>
      <c r="BX60" s="1660" t="str">
        <f>IF(BX58=8,"10","")</f>
        <v/>
      </c>
      <c r="BY60" s="1660" t="str">
        <f>IF(BY58=9,"9","")</f>
        <v/>
      </c>
      <c r="BZ60" s="1660" t="str">
        <f>IF(BZ58=10,"8","")</f>
        <v/>
      </c>
      <c r="CA60" s="1660" t="str">
        <f>IF(CA58=11,"7","")</f>
        <v/>
      </c>
      <c r="CB60" s="1661" t="str">
        <f>IF(CB58=12,"1","")</f>
        <v/>
      </c>
      <c r="CC60" s="1662" t="str">
        <f>IF(CC58=13,"2","")</f>
        <v/>
      </c>
      <c r="CD60" s="1662" t="str">
        <f>IF(CD58=14,"3","")</f>
        <v/>
      </c>
      <c r="CE60" s="1662" t="str">
        <f>IF(CE58=15,"4","")</f>
        <v/>
      </c>
      <c r="CF60" s="1662" t="str">
        <f>IF(CF58=16,"5","")</f>
        <v>5</v>
      </c>
      <c r="CG60" s="1662" t="str">
        <f>IF(CG58=17,"6","")</f>
        <v/>
      </c>
      <c r="CH60" s="1662" t="str">
        <f>IF(CH58=18,"7","")</f>
        <v/>
      </c>
      <c r="CI60" s="1662" t="str">
        <f>IF(CI58=19,"8","")</f>
        <v/>
      </c>
      <c r="CJ60" s="1662" t="str">
        <f>IF(CJ58=20,"9","")</f>
        <v/>
      </c>
      <c r="CK60" s="1662" t="str">
        <f>IF(CK58=21,"10","")</f>
        <v/>
      </c>
      <c r="CL60" s="1662" t="str">
        <f>IF(CL58=22,"11","")</f>
        <v/>
      </c>
      <c r="CM60" s="1662" t="str">
        <f>IF(CM58=23,"12","")</f>
        <v/>
      </c>
      <c r="CN60" s="1662" t="str">
        <f>IF(CN58=24,"13","")</f>
        <v/>
      </c>
      <c r="CO60" s="1662" t="str">
        <f>IF(CO58=25,"14","")</f>
        <v/>
      </c>
      <c r="CP60" s="1662" t="str">
        <f>IF(CP58=26,"15","")</f>
        <v/>
      </c>
      <c r="CQ60" s="1662" t="str">
        <f>IF(CQ58=27,"16","")</f>
        <v/>
      </c>
      <c r="CR60" s="1663" t="str">
        <f>IF(CR58=28,"17","")</f>
        <v/>
      </c>
      <c r="CS60" s="1664" t="str">
        <f>IF(CS58=29,"9","")</f>
        <v/>
      </c>
      <c r="CT60" s="1664" t="str">
        <f>IF(CT58=30,"10","")</f>
        <v/>
      </c>
      <c r="CU60" s="1664" t="str">
        <f>IF(CU58=31,"11","")</f>
        <v/>
      </c>
      <c r="CV60" s="1664" t="str">
        <f>IF(CV58=32,"12","")</f>
        <v/>
      </c>
      <c r="CW60" s="1664" t="str">
        <f>IF(CW58=33,"13","")</f>
        <v/>
      </c>
      <c r="CX60" s="1664" t="str">
        <f>IF(CX58=34,"14","")</f>
        <v/>
      </c>
      <c r="CY60" s="1664" t="str">
        <f>IF(CY58=35,"15","")</f>
        <v/>
      </c>
      <c r="CZ60" s="1664" t="str">
        <f>IF(CZ58=36,"16","")</f>
        <v/>
      </c>
      <c r="DA60" s="1665" t="str">
        <f>IF(DA58=37,"17","")</f>
        <v/>
      </c>
      <c r="DB60" s="1666"/>
      <c r="DC60" s="1557"/>
      <c r="DD60" s="1557"/>
      <c r="DF60" s="198"/>
      <c r="DG60" s="198"/>
      <c r="DH60" s="198"/>
      <c r="DI60" s="198"/>
      <c r="DJ60" s="198"/>
      <c r="DK60" s="199"/>
      <c r="DL60" s="198"/>
      <c r="DM60" s="198"/>
      <c r="DN60" s="198"/>
      <c r="DO60" s="198"/>
      <c r="DP60" s="198"/>
      <c r="DQ60" s="198"/>
      <c r="DR60" s="198"/>
      <c r="DS60" s="198"/>
      <c r="DT60" s="198"/>
      <c r="DU60" s="198"/>
      <c r="DV60" s="198"/>
      <c r="DW60" s="198"/>
      <c r="DX60" s="198"/>
      <c r="DY60" s="198"/>
      <c r="DZ60" s="198"/>
      <c r="EA60" s="198"/>
      <c r="EB60" s="198"/>
      <c r="EC60" s="199"/>
      <c r="ED60" s="185"/>
      <c r="EE60" s="185"/>
      <c r="EF60" s="185"/>
      <c r="EG60" s="185"/>
      <c r="EH60" s="185"/>
      <c r="EI60" s="185"/>
      <c r="EJ60" s="185"/>
      <c r="EK60" s="185"/>
    </row>
    <row r="61" spans="2:143" ht="45" customHeight="1" thickBot="1" x14ac:dyDescent="0.45">
      <c r="B61" s="85"/>
      <c r="C61" s="85"/>
      <c r="D61" s="85"/>
      <c r="E61" s="85"/>
      <c r="F61" s="85"/>
      <c r="G61" s="85"/>
      <c r="H61" s="243"/>
      <c r="I61" s="243"/>
      <c r="J61" s="243"/>
      <c r="K61" s="243"/>
      <c r="L61" s="243"/>
      <c r="M61" s="243"/>
      <c r="N61" s="243"/>
      <c r="O61" s="243"/>
      <c r="P61" s="243"/>
      <c r="Q61" s="243"/>
      <c r="R61" s="243"/>
      <c r="S61" s="243"/>
      <c r="T61" s="243"/>
      <c r="U61" s="86"/>
      <c r="V61" s="243"/>
      <c r="W61" s="243"/>
      <c r="X61" s="243"/>
      <c r="Y61" s="243"/>
      <c r="Z61" s="243"/>
      <c r="AA61" s="243"/>
      <c r="AB61" s="86"/>
      <c r="AC61" s="86"/>
      <c r="AD61" s="86"/>
      <c r="AE61" s="86"/>
      <c r="AF61" s="243"/>
      <c r="AG61" s="243"/>
      <c r="AH61" s="243"/>
      <c r="AI61" s="243"/>
      <c r="AJ61" s="243"/>
      <c r="AK61" s="243"/>
      <c r="AL61" s="243"/>
      <c r="AM61" s="243"/>
      <c r="AN61" s="243"/>
      <c r="AO61" s="243"/>
      <c r="AP61" s="243"/>
      <c r="AQ61" s="243"/>
      <c r="AR61" s="243"/>
      <c r="AS61" s="243"/>
      <c r="AT61" s="243"/>
      <c r="AU61" s="243"/>
      <c r="AV61" s="243"/>
      <c r="AW61" s="243"/>
      <c r="AX61" s="243"/>
      <c r="AY61" s="243"/>
      <c r="AZ61" s="243"/>
      <c r="BA61" s="243"/>
      <c r="BB61" s="14"/>
      <c r="BE61" s="40"/>
      <c r="BF61" s="40"/>
      <c r="BG61" s="40"/>
      <c r="BH61" s="59"/>
      <c r="BI61" s="59"/>
      <c r="BJ61" s="59"/>
      <c r="BL61" s="1623"/>
      <c r="BM61" s="1550" t="b">
        <f>AND(BO61&gt;=10,$AZ$110&gt;=10,$BA$110&gt;=10)</f>
        <v>1</v>
      </c>
      <c r="BN61" s="1570" t="str">
        <f>IF(BM61=TRUE,"O K","OVERLOAD")</f>
        <v>O K</v>
      </c>
      <c r="BO61" s="1571">
        <f>+$D$20/(BQ25)</f>
        <v>45.248868778280539</v>
      </c>
      <c r="BP61" s="1667" t="s">
        <v>233</v>
      </c>
      <c r="BQ61" s="1668">
        <v>-10</v>
      </c>
      <c r="BR61" s="1668">
        <v>-9</v>
      </c>
      <c r="BS61" s="1668">
        <v>-8</v>
      </c>
      <c r="BT61" s="1668">
        <v>-7</v>
      </c>
      <c r="BU61" s="1668">
        <v>-6</v>
      </c>
      <c r="BV61" s="1668">
        <v>-5</v>
      </c>
      <c r="BW61" s="1668">
        <v>-4</v>
      </c>
      <c r="BX61" s="1668">
        <v>-3</v>
      </c>
      <c r="BY61" s="1668">
        <v>-2</v>
      </c>
      <c r="BZ61" s="1668">
        <v>-1</v>
      </c>
      <c r="CA61" s="1668">
        <v>0</v>
      </c>
      <c r="CB61" s="1668">
        <v>1</v>
      </c>
      <c r="CC61" s="1668">
        <v>2</v>
      </c>
      <c r="CD61" s="1668">
        <v>3</v>
      </c>
      <c r="CE61" s="1668">
        <v>4</v>
      </c>
      <c r="CF61" s="1668">
        <v>5</v>
      </c>
      <c r="CG61" s="1668">
        <v>6</v>
      </c>
      <c r="CH61" s="1668">
        <v>7</v>
      </c>
      <c r="CI61" s="1668">
        <v>8</v>
      </c>
      <c r="CJ61" s="1668">
        <v>9</v>
      </c>
      <c r="CK61" s="1669">
        <v>10</v>
      </c>
      <c r="CL61" s="1668">
        <v>11</v>
      </c>
      <c r="CM61" s="1668">
        <v>12</v>
      </c>
      <c r="CN61" s="1668">
        <v>13</v>
      </c>
      <c r="CO61" s="1668">
        <v>14</v>
      </c>
      <c r="CP61" s="1668">
        <v>15</v>
      </c>
      <c r="CQ61" s="1668">
        <v>16</v>
      </c>
      <c r="CR61" s="1668">
        <v>17</v>
      </c>
      <c r="CS61" s="1668">
        <v>18</v>
      </c>
      <c r="CT61" s="1668">
        <v>19</v>
      </c>
      <c r="CU61" s="1668">
        <v>20</v>
      </c>
      <c r="CV61" s="1668">
        <v>21</v>
      </c>
      <c r="CW61" s="1668">
        <v>22</v>
      </c>
      <c r="CX61" s="1668">
        <v>23</v>
      </c>
      <c r="CY61" s="1668">
        <v>24</v>
      </c>
      <c r="CZ61" s="1668">
        <v>25</v>
      </c>
      <c r="DA61" s="1670">
        <v>26</v>
      </c>
      <c r="DB61" s="1557"/>
      <c r="DC61" s="1557"/>
      <c r="DD61" s="1557"/>
      <c r="DF61" s="198"/>
      <c r="DG61" s="198"/>
      <c r="DH61" s="198"/>
      <c r="DI61" s="198"/>
      <c r="DJ61" s="198"/>
      <c r="DK61" s="199"/>
      <c r="DL61" s="198"/>
      <c r="DM61" s="198"/>
      <c r="DN61" s="198"/>
      <c r="DO61" s="198"/>
      <c r="DP61" s="198"/>
      <c r="DQ61" s="198"/>
      <c r="DR61" s="198"/>
      <c r="DS61" s="198"/>
      <c r="DT61" s="198"/>
      <c r="DU61" s="198"/>
      <c r="DV61" s="198"/>
      <c r="DW61" s="198"/>
      <c r="DX61" s="198"/>
      <c r="DY61" s="198"/>
      <c r="DZ61" s="198"/>
      <c r="EA61" s="198"/>
      <c r="EB61" s="198"/>
      <c r="EC61" s="199"/>
      <c r="ED61" s="185"/>
      <c r="EE61" s="185"/>
      <c r="EF61" s="185"/>
      <c r="EG61" s="185"/>
      <c r="EH61" s="185"/>
      <c r="EI61" s="185"/>
      <c r="EJ61" s="185"/>
      <c r="EK61" s="185"/>
    </row>
    <row r="62" spans="2:143" ht="21" hidden="1" x14ac:dyDescent="0.4">
      <c r="B62" s="85"/>
      <c r="C62" s="85"/>
      <c r="D62" s="85"/>
      <c r="E62" s="85"/>
      <c r="F62" s="85"/>
      <c r="G62" s="85"/>
      <c r="H62" s="243"/>
      <c r="I62" s="243"/>
      <c r="J62" s="243"/>
      <c r="K62" s="243"/>
      <c r="L62" s="243"/>
      <c r="M62" s="243"/>
      <c r="N62" s="243"/>
      <c r="O62" s="243"/>
      <c r="P62" s="243"/>
      <c r="Q62" s="243"/>
      <c r="R62" s="243"/>
      <c r="S62" s="243"/>
      <c r="T62" s="243"/>
      <c r="U62" s="86"/>
      <c r="V62" s="243"/>
      <c r="W62" s="243"/>
      <c r="X62" s="243"/>
      <c r="Y62" s="243"/>
      <c r="Z62" s="243"/>
      <c r="AA62" s="243"/>
      <c r="AB62" s="86"/>
      <c r="AC62" s="86"/>
      <c r="AD62" s="86"/>
      <c r="AE62" s="86"/>
      <c r="AF62" s="243"/>
      <c r="AG62" s="243"/>
      <c r="AH62" s="243"/>
      <c r="AI62" s="243"/>
      <c r="AJ62" s="243"/>
      <c r="AK62" s="243"/>
      <c r="AL62" s="243"/>
      <c r="AM62" s="243"/>
      <c r="AN62" s="243"/>
      <c r="AO62" s="243"/>
      <c r="AP62" s="243"/>
      <c r="AQ62" s="243"/>
      <c r="AR62" s="243"/>
      <c r="AS62" s="243"/>
      <c r="AT62" s="243"/>
      <c r="AU62" s="243"/>
      <c r="AV62" s="243"/>
      <c r="AW62" s="243"/>
      <c r="AX62" s="243"/>
      <c r="AY62" s="243"/>
      <c r="AZ62" s="243"/>
      <c r="BA62" s="243"/>
      <c r="BB62" s="14"/>
      <c r="BE62" s="40"/>
      <c r="BF62" s="40"/>
      <c r="BH62" s="59"/>
      <c r="BI62" s="59"/>
      <c r="BJ62" s="59"/>
      <c r="BL62" s="1623"/>
      <c r="BM62" s="1623"/>
      <c r="BN62" s="1623"/>
      <c r="BP62" s="1557"/>
      <c r="BQ62" s="1671">
        <v>1</v>
      </c>
      <c r="BR62" s="1671">
        <v>2</v>
      </c>
      <c r="BS62" s="1671">
        <v>3</v>
      </c>
      <c r="BT62" s="1671">
        <v>4</v>
      </c>
      <c r="BU62" s="1671">
        <v>5</v>
      </c>
      <c r="BV62" s="1671">
        <v>6</v>
      </c>
      <c r="BW62" s="1671">
        <v>7</v>
      </c>
      <c r="BX62" s="1671">
        <v>8</v>
      </c>
      <c r="BY62" s="1671">
        <v>9</v>
      </c>
      <c r="BZ62" s="1671">
        <v>10</v>
      </c>
      <c r="CA62" s="1671">
        <v>11</v>
      </c>
      <c r="CB62" s="1671">
        <v>12</v>
      </c>
      <c r="CC62" s="1671">
        <v>13</v>
      </c>
      <c r="CD62" s="1671">
        <v>14</v>
      </c>
      <c r="CE62" s="1671">
        <v>15</v>
      </c>
      <c r="CF62" s="1671">
        <v>16</v>
      </c>
      <c r="CG62" s="1671">
        <v>17</v>
      </c>
      <c r="CH62" s="1671">
        <v>18</v>
      </c>
      <c r="CI62" s="1671">
        <v>19</v>
      </c>
      <c r="CJ62" s="1671">
        <v>20</v>
      </c>
      <c r="CK62" s="1671">
        <v>21</v>
      </c>
      <c r="CL62" s="1671">
        <v>22</v>
      </c>
      <c r="CM62" s="1671">
        <v>23</v>
      </c>
      <c r="CN62" s="1671">
        <v>24</v>
      </c>
      <c r="CO62" s="1671">
        <v>25</v>
      </c>
      <c r="CP62" s="1671">
        <v>26</v>
      </c>
      <c r="CQ62" s="1671">
        <v>27</v>
      </c>
      <c r="CR62" s="1671">
        <v>28</v>
      </c>
      <c r="CS62" s="1671">
        <v>29</v>
      </c>
      <c r="CT62" s="1671">
        <v>30</v>
      </c>
      <c r="CU62" s="1671">
        <v>31</v>
      </c>
      <c r="CV62" s="1671">
        <v>32</v>
      </c>
      <c r="CW62" s="1671">
        <v>33</v>
      </c>
      <c r="CX62" s="1671">
        <v>34</v>
      </c>
      <c r="CY62" s="1671">
        <v>35</v>
      </c>
      <c r="CZ62" s="1671">
        <v>36</v>
      </c>
      <c r="DA62" s="1671">
        <v>37</v>
      </c>
      <c r="DB62" s="1671"/>
      <c r="DC62" s="1557"/>
      <c r="DD62" s="1557"/>
      <c r="EJ62" s="185"/>
      <c r="EK62" s="185"/>
    </row>
    <row r="63" spans="2:143" ht="23.4" hidden="1" thickBot="1" x14ac:dyDescent="0.45">
      <c r="B63" s="85"/>
      <c r="C63" s="85"/>
      <c r="D63" s="85"/>
      <c r="E63" s="85"/>
      <c r="F63" s="85"/>
      <c r="G63" s="85"/>
      <c r="H63" s="243"/>
      <c r="I63" s="243"/>
      <c r="J63" s="243"/>
      <c r="K63" s="243"/>
      <c r="L63" s="243"/>
      <c r="M63" s="243"/>
      <c r="N63" s="243"/>
      <c r="O63" s="243"/>
      <c r="P63" s="243"/>
      <c r="Q63" s="243"/>
      <c r="R63" s="243"/>
      <c r="S63" s="243"/>
      <c r="T63" s="243"/>
      <c r="U63" s="86"/>
      <c r="V63" s="243"/>
      <c r="W63" s="243"/>
      <c r="X63" s="243"/>
      <c r="Y63" s="243"/>
      <c r="Z63" s="243"/>
      <c r="AA63" s="243"/>
      <c r="AB63" s="86"/>
      <c r="AC63" s="86"/>
      <c r="AD63" s="86"/>
      <c r="AE63" s="86"/>
      <c r="AF63" s="243"/>
      <c r="AG63" s="243"/>
      <c r="AH63" s="243"/>
      <c r="AI63" s="243"/>
      <c r="AJ63" s="243"/>
      <c r="AK63" s="243"/>
      <c r="AL63" s="243"/>
      <c r="AM63" s="243"/>
      <c r="AN63" s="243"/>
      <c r="AO63" s="243"/>
      <c r="AP63" s="243"/>
      <c r="AQ63" s="243"/>
      <c r="AR63" s="243"/>
      <c r="AS63" s="243"/>
      <c r="AT63" s="243"/>
      <c r="AU63" s="243"/>
      <c r="AV63" s="243"/>
      <c r="AW63" s="243"/>
      <c r="AX63" s="243"/>
      <c r="AY63" s="243"/>
      <c r="AZ63" s="243"/>
      <c r="BA63" s="243"/>
      <c r="BB63" s="14"/>
      <c r="BE63" s="40"/>
      <c r="BF63" s="40"/>
      <c r="BH63" s="59"/>
      <c r="BI63" s="59"/>
      <c r="BJ63" s="59"/>
      <c r="BN63" s="1577"/>
      <c r="BO63" s="1601"/>
      <c r="BP63" s="1672"/>
      <c r="BQ63" s="1673"/>
      <c r="BR63" s="1673"/>
      <c r="BS63" s="1673"/>
      <c r="BT63" s="1673"/>
      <c r="BU63" s="1673"/>
      <c r="BV63" s="1673"/>
      <c r="BW63" s="1673"/>
      <c r="BX63" s="1673"/>
      <c r="BY63" s="1603"/>
      <c r="BZ63" s="1603"/>
      <c r="CA63" s="1604"/>
      <c r="CB63" s="1604"/>
      <c r="CC63" s="1604"/>
      <c r="CD63" s="1604"/>
      <c r="CE63" s="1604"/>
      <c r="CF63" s="1604"/>
      <c r="CG63" s="1604"/>
      <c r="CH63" s="1604"/>
      <c r="CI63" s="1604"/>
      <c r="CJ63" s="1604"/>
      <c r="CK63" s="1604"/>
      <c r="CL63" s="1604"/>
      <c r="CM63" s="1604"/>
      <c r="CN63" s="1605"/>
      <c r="CO63" s="1606"/>
      <c r="CP63" s="1606"/>
      <c r="CQ63" s="1606"/>
      <c r="CR63" s="1606"/>
      <c r="CS63" s="1600"/>
      <c r="CT63" s="1600"/>
      <c r="CU63" s="1600"/>
      <c r="CV63" s="1600"/>
      <c r="CW63" s="1600"/>
      <c r="CX63" s="1600"/>
      <c r="CY63" s="1600"/>
      <c r="CZ63" s="1600"/>
      <c r="DA63" s="1600"/>
      <c r="DB63" s="1600"/>
      <c r="DC63" s="1624"/>
      <c r="DD63" s="1557"/>
      <c r="EJ63" s="185"/>
      <c r="EK63" s="185"/>
    </row>
    <row r="64" spans="2:143" ht="23.4" hidden="1" thickBot="1" x14ac:dyDescent="0.45">
      <c r="B64" s="85"/>
      <c r="C64" s="85"/>
      <c r="D64" s="85"/>
      <c r="E64" s="85"/>
      <c r="G64" s="85"/>
      <c r="H64" s="243"/>
      <c r="I64" s="243"/>
      <c r="J64" s="243"/>
      <c r="K64" s="243"/>
      <c r="L64" s="243"/>
      <c r="M64" s="243"/>
      <c r="N64" s="243"/>
      <c r="O64" s="243"/>
      <c r="P64" s="243"/>
      <c r="Q64" s="243"/>
      <c r="R64" s="243"/>
      <c r="S64" s="243"/>
      <c r="T64" s="243"/>
      <c r="U64" s="86"/>
      <c r="V64" s="243"/>
      <c r="W64" s="243"/>
      <c r="X64" s="243"/>
      <c r="Y64" s="243"/>
      <c r="Z64" s="243"/>
      <c r="AA64" s="243"/>
      <c r="AB64" s="86"/>
      <c r="AC64" s="86"/>
      <c r="AD64" s="86"/>
      <c r="AE64" s="86"/>
      <c r="AF64" s="243"/>
      <c r="AG64" s="243"/>
      <c r="AH64" s="243"/>
      <c r="AI64" s="243"/>
      <c r="AJ64" s="243"/>
      <c r="AK64" s="243"/>
      <c r="AL64" s="243"/>
      <c r="AM64" s="243"/>
      <c r="AN64" s="243"/>
      <c r="AO64" s="243"/>
      <c r="AP64" s="243"/>
      <c r="AQ64" s="243"/>
      <c r="AR64" s="243"/>
      <c r="AS64" s="243"/>
      <c r="AT64" s="243"/>
      <c r="AU64" s="243"/>
      <c r="AV64" s="243"/>
      <c r="AW64" s="243"/>
      <c r="AX64" s="243"/>
      <c r="AY64" s="243"/>
      <c r="AZ64" s="243"/>
      <c r="BA64" s="243"/>
      <c r="BB64" s="14"/>
      <c r="BE64" s="40"/>
      <c r="BF64" s="40"/>
      <c r="BH64" s="59"/>
      <c r="BI64" s="59"/>
      <c r="BJ64" s="59"/>
      <c r="BN64" s="1577"/>
      <c r="BO64" s="1601"/>
      <c r="BP64" s="1672">
        <v>36</v>
      </c>
      <c r="BQ64" s="1673"/>
      <c r="BR64" s="1673"/>
      <c r="BS64" s="1673"/>
      <c r="BT64" s="1673"/>
      <c r="BU64" s="1673"/>
      <c r="BV64" s="1673"/>
      <c r="BW64" s="1673"/>
      <c r="BX64" s="1673"/>
      <c r="BY64" s="1603"/>
      <c r="BZ64" s="1603"/>
      <c r="CA64" s="1604"/>
      <c r="CB64" s="1604"/>
      <c r="CC64" s="1604"/>
      <c r="CD64" s="1604"/>
      <c r="CE64" s="1604"/>
      <c r="CF64" s="1604"/>
      <c r="CG64" s="1604"/>
      <c r="CH64" s="1674"/>
      <c r="CI64" s="1675"/>
      <c r="CJ64" s="1676"/>
      <c r="CK64" s="1604"/>
      <c r="CL64" s="1604"/>
      <c r="CM64" s="1604"/>
      <c r="CN64" s="1605"/>
      <c r="CO64" s="1606"/>
      <c r="CP64" s="1606"/>
      <c r="CQ64" s="1606"/>
      <c r="CR64" s="1606"/>
      <c r="CS64" s="1600"/>
      <c r="CT64" s="1600"/>
      <c r="CU64" s="1600"/>
      <c r="CV64" s="1600"/>
      <c r="CW64" s="1600"/>
      <c r="CX64" s="1600"/>
      <c r="CY64" s="1677" t="b">
        <f>IF(CZ57=36,35)</f>
        <v>0</v>
      </c>
      <c r="CZ64" s="1678"/>
      <c r="DA64" s="1634" t="b">
        <f>IF(CZ57=36,37)</f>
        <v>0</v>
      </c>
      <c r="DB64" s="1600"/>
      <c r="DC64" s="1624"/>
      <c r="DD64" s="1557"/>
      <c r="EJ64" s="185"/>
      <c r="EK64" s="185"/>
    </row>
    <row r="65" spans="2:141" ht="23.4" hidden="1" thickBot="1" x14ac:dyDescent="0.45">
      <c r="B65" s="85"/>
      <c r="C65" s="85"/>
      <c r="D65" s="85"/>
      <c r="E65" s="85"/>
      <c r="G65" s="85"/>
      <c r="H65" s="243"/>
      <c r="I65" s="243"/>
      <c r="J65" s="243"/>
      <c r="K65" s="243"/>
      <c r="L65" s="243"/>
      <c r="M65" s="243"/>
      <c r="N65" s="243"/>
      <c r="O65" s="243"/>
      <c r="P65" s="243"/>
      <c r="Q65" s="243"/>
      <c r="R65" s="243"/>
      <c r="S65" s="243"/>
      <c r="T65" s="243"/>
      <c r="U65" s="86"/>
      <c r="V65" s="243"/>
      <c r="W65" s="243"/>
      <c r="X65" s="243"/>
      <c r="Y65" s="243"/>
      <c r="Z65" s="243"/>
      <c r="AA65" s="243"/>
      <c r="AB65" s="86"/>
      <c r="AC65" s="86"/>
      <c r="AD65" s="86"/>
      <c r="AE65" s="86"/>
      <c r="AF65" s="243"/>
      <c r="AG65" s="243"/>
      <c r="AH65" s="243"/>
      <c r="AI65" s="243"/>
      <c r="AJ65" s="243"/>
      <c r="AK65" s="243"/>
      <c r="AL65" s="243"/>
      <c r="AM65" s="243"/>
      <c r="AN65" s="243"/>
      <c r="AO65" s="243"/>
      <c r="AP65" s="243"/>
      <c r="AQ65" s="243"/>
      <c r="AR65" s="243"/>
      <c r="AS65" s="243"/>
      <c r="AT65" s="243"/>
      <c r="AU65" s="243"/>
      <c r="AV65" s="243"/>
      <c r="AW65" s="243"/>
      <c r="AX65" s="243"/>
      <c r="AY65" s="243"/>
      <c r="AZ65" s="243"/>
      <c r="BA65" s="243"/>
      <c r="BB65" s="14"/>
      <c r="BE65" s="40"/>
      <c r="BF65" s="40"/>
      <c r="BH65" s="59"/>
      <c r="BI65" s="59"/>
      <c r="BJ65" s="59"/>
      <c r="BN65" s="1577"/>
      <c r="BO65" s="1601"/>
      <c r="BP65" s="1672">
        <v>35</v>
      </c>
      <c r="BQ65" s="1673"/>
      <c r="BR65" s="1673"/>
      <c r="BS65" s="1673"/>
      <c r="BT65" s="1673"/>
      <c r="BU65" s="1673"/>
      <c r="BV65" s="1673"/>
      <c r="BW65" s="1673"/>
      <c r="BX65" s="1673"/>
      <c r="BY65" s="1603"/>
      <c r="BZ65" s="1603"/>
      <c r="CA65" s="1604"/>
      <c r="CB65" s="1604"/>
      <c r="CC65" s="1604"/>
      <c r="CD65" s="1604"/>
      <c r="CE65" s="1604"/>
      <c r="CF65" s="1604"/>
      <c r="CG65" s="1604"/>
      <c r="CH65" s="1679"/>
      <c r="CI65" s="1604"/>
      <c r="CJ65" s="1680"/>
      <c r="CK65" s="1604"/>
      <c r="CL65" s="1604"/>
      <c r="CM65" s="1604"/>
      <c r="CN65" s="1605"/>
      <c r="CO65" s="1606"/>
      <c r="CP65" s="1606"/>
      <c r="CQ65" s="1606"/>
      <c r="CR65" s="1606"/>
      <c r="CS65" s="1600"/>
      <c r="CT65" s="1600"/>
      <c r="CU65" s="1600"/>
      <c r="CV65" s="1600"/>
      <c r="CW65" s="1677" t="b">
        <f>IF(CY57=35,33)</f>
        <v>0</v>
      </c>
      <c r="CX65" s="1678"/>
      <c r="CY65" s="1678"/>
      <c r="CZ65" s="1678"/>
      <c r="DA65" s="1634" t="b">
        <f>IF(CY57=35,37)</f>
        <v>0</v>
      </c>
      <c r="DB65" s="1600"/>
      <c r="DC65" s="1624"/>
      <c r="DD65" s="1557"/>
      <c r="EJ65" s="185"/>
      <c r="EK65" s="185"/>
    </row>
    <row r="66" spans="2:141" ht="23.4" hidden="1" thickBot="1" x14ac:dyDescent="0.45">
      <c r="C66" s="86"/>
      <c r="G66" s="85"/>
      <c r="H66" s="243"/>
      <c r="I66" s="243"/>
      <c r="J66" s="243"/>
      <c r="K66" s="243"/>
      <c r="L66" s="243"/>
      <c r="M66" s="243"/>
      <c r="N66" s="243"/>
      <c r="O66" s="243"/>
      <c r="P66" s="243"/>
      <c r="Q66" s="243"/>
      <c r="R66" s="243"/>
      <c r="S66" s="243"/>
      <c r="T66" s="243"/>
      <c r="U66" s="86"/>
      <c r="V66" s="243"/>
      <c r="W66" s="243"/>
      <c r="X66" s="243"/>
      <c r="Y66" s="243"/>
      <c r="Z66" s="243"/>
      <c r="AA66" s="243"/>
      <c r="AB66" s="86"/>
      <c r="AC66" s="86"/>
      <c r="AD66" s="86"/>
      <c r="AE66" s="86"/>
      <c r="AF66" s="243"/>
      <c r="AG66" s="243"/>
      <c r="AH66" s="243"/>
      <c r="AI66" s="243"/>
      <c r="AJ66" s="243"/>
      <c r="AK66" s="243"/>
      <c r="AL66" s="243"/>
      <c r="AM66" s="243"/>
      <c r="AN66" s="243"/>
      <c r="AO66" s="243"/>
      <c r="AP66" s="243"/>
      <c r="AQ66" s="243"/>
      <c r="AR66" s="243"/>
      <c r="AS66" s="243"/>
      <c r="AT66" s="243"/>
      <c r="AU66" s="243"/>
      <c r="AV66" s="243"/>
      <c r="AW66" s="243"/>
      <c r="AX66" s="243"/>
      <c r="AY66" s="243"/>
      <c r="AZ66" s="243"/>
      <c r="BA66" s="243"/>
      <c r="BB66" s="14"/>
      <c r="BE66" s="40"/>
      <c r="BF66" s="40"/>
      <c r="BH66" s="59"/>
      <c r="BI66" s="59"/>
      <c r="BJ66" s="59"/>
      <c r="BN66" s="1577"/>
      <c r="BO66" s="1601"/>
      <c r="BP66" s="1672">
        <v>34</v>
      </c>
      <c r="BQ66" s="1673"/>
      <c r="BR66" s="1673"/>
      <c r="BS66" s="1673"/>
      <c r="BT66" s="1673"/>
      <c r="BU66" s="1673"/>
      <c r="BV66" s="1673"/>
      <c r="BW66" s="1673"/>
      <c r="BX66" s="1673"/>
      <c r="BY66" s="1603"/>
      <c r="BZ66" s="1603"/>
      <c r="CA66" s="1604"/>
      <c r="CB66" s="1604"/>
      <c r="CC66" s="1604"/>
      <c r="CD66" s="1604"/>
      <c r="CE66" s="1604"/>
      <c r="CF66" s="1604"/>
      <c r="CG66" s="1604"/>
      <c r="CH66" s="1679"/>
      <c r="CI66" s="1604"/>
      <c r="CJ66" s="1680"/>
      <c r="CK66" s="1604"/>
      <c r="CL66" s="1604"/>
      <c r="CM66" s="1604"/>
      <c r="CN66" s="1605"/>
      <c r="CO66" s="1606"/>
      <c r="CP66" s="1606"/>
      <c r="CQ66" s="1606"/>
      <c r="CR66" s="1606"/>
      <c r="CS66" s="1600"/>
      <c r="CT66" s="1600"/>
      <c r="CU66" s="1677" t="b">
        <f>IF(CX57=34,31)</f>
        <v>0</v>
      </c>
      <c r="CV66" s="1678"/>
      <c r="CW66" s="1678"/>
      <c r="CX66" s="1678"/>
      <c r="CY66" s="1678"/>
      <c r="CZ66" s="1678"/>
      <c r="DA66" s="1634" t="b">
        <f>IF(CX57=34,37)</f>
        <v>0</v>
      </c>
      <c r="DB66" s="1600"/>
      <c r="DC66" s="1624"/>
      <c r="DD66" s="1557"/>
      <c r="EJ66" s="185"/>
      <c r="EK66" s="185"/>
    </row>
    <row r="67" spans="2:141" ht="23.4" hidden="1" thickBot="1" x14ac:dyDescent="0.45">
      <c r="B67" s="55"/>
      <c r="C67" s="55"/>
      <c r="D67" s="56"/>
      <c r="E67" s="56"/>
      <c r="F67" s="56"/>
      <c r="G67" s="56"/>
      <c r="BF67" s="4"/>
      <c r="BG67" s="4"/>
      <c r="BH67" s="4"/>
      <c r="BI67" s="4"/>
      <c r="BJ67" s="4"/>
      <c r="BK67" s="4"/>
      <c r="BN67" s="1577"/>
      <c r="BO67" s="1601"/>
      <c r="BP67" s="1672">
        <v>33</v>
      </c>
      <c r="BQ67" s="1673"/>
      <c r="BR67" s="1673"/>
      <c r="BS67" s="1673"/>
      <c r="BT67" s="1673"/>
      <c r="BU67" s="1673"/>
      <c r="BV67" s="1673"/>
      <c r="BW67" s="1673"/>
      <c r="BX67" s="1673"/>
      <c r="BY67" s="1603"/>
      <c r="BZ67" s="1603"/>
      <c r="CA67" s="1604"/>
      <c r="CB67" s="1604"/>
      <c r="CC67" s="1604"/>
      <c r="CD67" s="1604"/>
      <c r="CE67" s="1604"/>
      <c r="CF67" s="1604"/>
      <c r="CG67" s="1604"/>
      <c r="CH67" s="1679"/>
      <c r="CI67" s="1604"/>
      <c r="CJ67" s="1680"/>
      <c r="CK67" s="1604"/>
      <c r="CL67" s="1604"/>
      <c r="CM67" s="1604"/>
      <c r="CN67" s="1605"/>
      <c r="CO67" s="1606"/>
      <c r="CP67" s="1606"/>
      <c r="CQ67" s="1606"/>
      <c r="CR67" s="1606"/>
      <c r="CS67" s="1677" t="b">
        <f>IF(CW57=33,29)</f>
        <v>0</v>
      </c>
      <c r="CT67" s="1678"/>
      <c r="CU67" s="1678"/>
      <c r="CV67" s="1678"/>
      <c r="CW67" s="1678"/>
      <c r="CX67" s="1678"/>
      <c r="CY67" s="1678"/>
      <c r="CZ67" s="1678"/>
      <c r="DA67" s="1634" t="b">
        <f>IF(CW57=33,37)</f>
        <v>0</v>
      </c>
      <c r="DB67" s="1600"/>
      <c r="DC67" s="1624"/>
      <c r="DD67" s="1557"/>
      <c r="EJ67" s="185"/>
      <c r="EK67" s="185"/>
    </row>
    <row r="68" spans="2:141" ht="21.6" hidden="1" thickBot="1" x14ac:dyDescent="0.45">
      <c r="BF68" s="27"/>
      <c r="BG68" s="27"/>
      <c r="BH68" s="27"/>
      <c r="BI68" s="27"/>
      <c r="BJ68" s="27"/>
      <c r="BK68" s="4"/>
      <c r="BN68" s="1577"/>
      <c r="BO68" s="1551"/>
      <c r="BP68" s="1672">
        <v>32</v>
      </c>
      <c r="BQ68" s="1644"/>
      <c r="BR68" s="1644"/>
      <c r="BS68" s="1644"/>
      <c r="BT68" s="1644"/>
      <c r="BU68" s="1644"/>
      <c r="BV68" s="1655"/>
      <c r="BW68" s="1644"/>
      <c r="BX68" s="1644"/>
      <c r="BY68" s="1644"/>
      <c r="BZ68" s="1644"/>
      <c r="CA68" s="1644"/>
      <c r="CB68" s="1644"/>
      <c r="CC68" s="1644"/>
      <c r="CD68" s="1644"/>
      <c r="CE68" s="1644"/>
      <c r="CF68" s="1644"/>
      <c r="CG68" s="1644"/>
      <c r="CH68" s="1681"/>
      <c r="CI68" s="1644"/>
      <c r="CJ68" s="1682"/>
      <c r="CK68" s="1644"/>
      <c r="CL68" s="1644"/>
      <c r="CM68" s="1644"/>
      <c r="CN68" s="1655"/>
      <c r="CO68" s="1557"/>
      <c r="CP68" s="1557"/>
      <c r="CQ68" s="1677" t="b">
        <f>IF(CV57=32,27)</f>
        <v>0</v>
      </c>
      <c r="CR68" s="1642"/>
      <c r="CS68" s="1642"/>
      <c r="CT68" s="1642"/>
      <c r="CU68" s="1642"/>
      <c r="CV68" s="1642"/>
      <c r="CW68" s="1642"/>
      <c r="CX68" s="1642"/>
      <c r="CY68" s="1642"/>
      <c r="CZ68" s="1642"/>
      <c r="DA68" s="1634" t="b">
        <f>IF(CV57=32,37)</f>
        <v>0</v>
      </c>
      <c r="DB68" s="1557"/>
      <c r="DC68" s="1557"/>
      <c r="DD68" s="1557"/>
      <c r="EJ68" s="185"/>
      <c r="EK68" s="185"/>
    </row>
    <row r="69" spans="2:141" ht="21.6" hidden="1" thickBot="1" x14ac:dyDescent="0.45">
      <c r="B69" s="14"/>
      <c r="BF69" s="27"/>
      <c r="BG69" s="27"/>
      <c r="BH69" s="27"/>
      <c r="BI69" s="27"/>
      <c r="BJ69" s="27"/>
      <c r="BK69" s="4"/>
      <c r="BN69" s="1577"/>
      <c r="BO69" s="1551"/>
      <c r="BP69" s="1672">
        <v>31</v>
      </c>
      <c r="BQ69" s="1644"/>
      <c r="BR69" s="1644"/>
      <c r="BS69" s="1644"/>
      <c r="BT69" s="1644"/>
      <c r="BU69" s="1644"/>
      <c r="BV69" s="1655"/>
      <c r="BW69" s="1644"/>
      <c r="BX69" s="1644"/>
      <c r="BY69" s="1644"/>
      <c r="BZ69" s="1644"/>
      <c r="CA69" s="1644"/>
      <c r="CB69" s="1644"/>
      <c r="CC69" s="1644"/>
      <c r="CD69" s="1644"/>
      <c r="CE69" s="1644"/>
      <c r="CF69" s="1644"/>
      <c r="CG69" s="1644"/>
      <c r="CH69" s="1681"/>
      <c r="CI69" s="1644"/>
      <c r="CJ69" s="1682"/>
      <c r="CK69" s="1644"/>
      <c r="CL69" s="1644"/>
      <c r="CM69" s="1644"/>
      <c r="CN69" s="1655"/>
      <c r="CO69" s="1677" t="b">
        <f>IF(CU57=31,25)</f>
        <v>0</v>
      </c>
      <c r="CP69" s="1642"/>
      <c r="CQ69" s="1642"/>
      <c r="CR69" s="1642"/>
      <c r="CS69" s="1642"/>
      <c r="CT69" s="1642"/>
      <c r="CU69" s="1642"/>
      <c r="CV69" s="1642"/>
      <c r="CW69" s="1642"/>
      <c r="CX69" s="1642"/>
      <c r="CY69" s="1642"/>
      <c r="CZ69" s="1642"/>
      <c r="DA69" s="1634" t="b">
        <f>IF(CU57=31,37)</f>
        <v>0</v>
      </c>
      <c r="DB69" s="1557"/>
      <c r="DC69" s="1557"/>
      <c r="DD69" s="1557"/>
      <c r="EJ69" s="185"/>
      <c r="EK69" s="185"/>
    </row>
    <row r="70" spans="2:141" ht="21.6" hidden="1" thickBot="1" x14ac:dyDescent="0.45">
      <c r="B70" s="14"/>
      <c r="BF70" s="27"/>
      <c r="BG70" s="27"/>
      <c r="BH70" s="27"/>
      <c r="BI70" s="27"/>
      <c r="BJ70" s="27"/>
      <c r="BK70" s="4"/>
      <c r="BN70" s="1577"/>
      <c r="BO70" s="1551"/>
      <c r="BP70" s="1672">
        <v>30</v>
      </c>
      <c r="BQ70" s="1644"/>
      <c r="BR70" s="1644"/>
      <c r="BS70" s="1644"/>
      <c r="BT70" s="1644"/>
      <c r="BU70" s="1644"/>
      <c r="BV70" s="1655"/>
      <c r="BW70" s="1644"/>
      <c r="BX70" s="1644"/>
      <c r="BY70" s="1644"/>
      <c r="BZ70" s="1644"/>
      <c r="CA70" s="1644"/>
      <c r="CB70" s="1644"/>
      <c r="CC70" s="1644"/>
      <c r="CD70" s="1644"/>
      <c r="CE70" s="1644"/>
      <c r="CF70" s="1644"/>
      <c r="CG70" s="1644"/>
      <c r="CH70" s="1681"/>
      <c r="CI70" s="1644"/>
      <c r="CJ70" s="1682"/>
      <c r="CK70" s="1644"/>
      <c r="CL70" s="1644"/>
      <c r="CM70" s="1677" t="b">
        <f>IF(CT57=30,23)</f>
        <v>0</v>
      </c>
      <c r="CN70" s="1683"/>
      <c r="CO70" s="1642"/>
      <c r="CP70" s="1642"/>
      <c r="CQ70" s="1642"/>
      <c r="CR70" s="1642"/>
      <c r="CS70" s="1642"/>
      <c r="CT70" s="1642"/>
      <c r="CU70" s="1642"/>
      <c r="CV70" s="1642"/>
      <c r="CW70" s="1642"/>
      <c r="CX70" s="1642"/>
      <c r="CY70" s="1642"/>
      <c r="CZ70" s="1642"/>
      <c r="DA70" s="1634" t="b">
        <f>IF(CT57=30,37)</f>
        <v>0</v>
      </c>
      <c r="DB70" s="1557"/>
      <c r="DC70" s="1557"/>
      <c r="DD70" s="1557"/>
      <c r="EJ70" s="185"/>
      <c r="EK70" s="185"/>
    </row>
    <row r="71" spans="2:141" ht="21.6" hidden="1" thickBot="1" x14ac:dyDescent="0.45">
      <c r="B71" s="14"/>
      <c r="BF71" s="27"/>
      <c r="BG71" s="27"/>
      <c r="BH71" s="27"/>
      <c r="BI71" s="27"/>
      <c r="BJ71" s="27"/>
      <c r="BK71" s="4"/>
      <c r="BN71" s="1577"/>
      <c r="BO71" s="1685"/>
      <c r="BP71" s="1672">
        <v>29</v>
      </c>
      <c r="BQ71" s="1557"/>
      <c r="BR71" s="1557"/>
      <c r="BS71" s="1557"/>
      <c r="BT71" s="1557"/>
      <c r="BU71" s="1557"/>
      <c r="BV71" s="1557"/>
      <c r="BW71" s="1557"/>
      <c r="BX71" s="1557"/>
      <c r="BY71" s="1557"/>
      <c r="BZ71" s="1557"/>
      <c r="CA71" s="1557"/>
      <c r="CB71" s="1557"/>
      <c r="CC71" s="1557"/>
      <c r="CD71" s="1557"/>
      <c r="CE71" s="1557"/>
      <c r="CF71" s="1557"/>
      <c r="CG71" s="1557"/>
      <c r="CH71" s="1686"/>
      <c r="CI71" s="1556"/>
      <c r="CJ71" s="1687"/>
      <c r="CK71" s="1632" t="b">
        <f>IF(CS57=29,21)</f>
        <v>0</v>
      </c>
      <c r="CL71" s="1642"/>
      <c r="CM71" s="1642"/>
      <c r="CN71" s="1642"/>
      <c r="CO71" s="1642"/>
      <c r="CP71" s="1642"/>
      <c r="CQ71" s="1642"/>
      <c r="CR71" s="1641"/>
      <c r="CS71" s="1642"/>
      <c r="CT71" s="1641"/>
      <c r="CU71" s="1688"/>
      <c r="CV71" s="1688"/>
      <c r="CW71" s="1688"/>
      <c r="CX71" s="1688"/>
      <c r="CY71" s="1688"/>
      <c r="CZ71" s="1688"/>
      <c r="DA71" s="1634" t="b">
        <f>IF(CS57=29,37)</f>
        <v>0</v>
      </c>
      <c r="DB71" s="1554"/>
      <c r="DC71" s="1557"/>
      <c r="DD71" s="1557"/>
      <c r="EJ71" s="185"/>
      <c r="EK71" s="185"/>
    </row>
    <row r="72" spans="2:141" ht="21.6" hidden="1" thickBot="1" x14ac:dyDescent="0.45">
      <c r="B72" s="14"/>
      <c r="BF72" s="27"/>
      <c r="BG72" s="27"/>
      <c r="BH72" s="27"/>
      <c r="BI72" s="27"/>
      <c r="BJ72" s="27"/>
      <c r="BK72" s="4"/>
      <c r="BN72" s="1577"/>
      <c r="BO72" s="1685"/>
      <c r="BP72" s="1672">
        <v>28</v>
      </c>
      <c r="BQ72" s="1557"/>
      <c r="BR72" s="1557"/>
      <c r="BS72" s="1557"/>
      <c r="BT72" s="1557"/>
      <c r="BU72" s="1557"/>
      <c r="BV72" s="1557"/>
      <c r="BW72" s="1557"/>
      <c r="BX72" s="1557"/>
      <c r="BY72" s="1557"/>
      <c r="BZ72" s="1557"/>
      <c r="CA72" s="1557"/>
      <c r="CB72" s="1557"/>
      <c r="CC72" s="1557"/>
      <c r="CD72" s="1557"/>
      <c r="CE72" s="1557"/>
      <c r="CF72" s="1557"/>
      <c r="CG72" s="1557"/>
      <c r="CH72" s="1686"/>
      <c r="CI72" s="1556"/>
      <c r="CJ72" s="1687"/>
      <c r="CK72" s="1643" t="b">
        <f>IF(CR57=28,21)</f>
        <v>0</v>
      </c>
      <c r="CL72" s="1640"/>
      <c r="CM72" s="1640"/>
      <c r="CN72" s="1640"/>
      <c r="CO72" s="1640"/>
      <c r="CP72" s="1639"/>
      <c r="CQ72" s="1640"/>
      <c r="CR72" s="1640"/>
      <c r="CS72" s="1640"/>
      <c r="CT72" s="1639"/>
      <c r="CU72" s="1689"/>
      <c r="CV72" s="1689"/>
      <c r="CW72" s="1689"/>
      <c r="CX72" s="1689"/>
      <c r="CY72" s="1636" t="b">
        <f>IF(CR57=28,35)</f>
        <v>0</v>
      </c>
      <c r="CZ72" s="1554"/>
      <c r="DA72" s="1554"/>
      <c r="DB72" s="1554"/>
      <c r="DC72" s="1557"/>
      <c r="DD72" s="1557"/>
      <c r="EJ72" s="185"/>
      <c r="EK72" s="185"/>
    </row>
    <row r="73" spans="2:141" ht="21.6" hidden="1" thickBot="1" x14ac:dyDescent="0.45">
      <c r="B73" s="14"/>
      <c r="BF73" s="27"/>
      <c r="BG73" s="27"/>
      <c r="BH73" s="27"/>
      <c r="BI73" s="27"/>
      <c r="BJ73" s="27"/>
      <c r="BK73" s="4"/>
      <c r="BN73" s="1577"/>
      <c r="BO73" s="1685"/>
      <c r="BP73" s="1672">
        <v>27</v>
      </c>
      <c r="BQ73" s="1557"/>
      <c r="BR73" s="1557"/>
      <c r="BS73" s="1557"/>
      <c r="BT73" s="1557"/>
      <c r="BU73" s="1557"/>
      <c r="BV73" s="1557"/>
      <c r="BW73" s="1557"/>
      <c r="BX73" s="1557"/>
      <c r="BY73" s="1557"/>
      <c r="BZ73" s="1557"/>
      <c r="CA73" s="1557"/>
      <c r="CB73" s="1557"/>
      <c r="CC73" s="1557"/>
      <c r="CD73" s="1557"/>
      <c r="CE73" s="1557"/>
      <c r="CF73" s="1557"/>
      <c r="CG73" s="1557"/>
      <c r="CH73" s="1686"/>
      <c r="CI73" s="1556"/>
      <c r="CJ73" s="1687"/>
      <c r="CK73" s="1643" t="b">
        <f>IF(CQ57=27,21)</f>
        <v>0</v>
      </c>
      <c r="CL73" s="1640"/>
      <c r="CM73" s="1640"/>
      <c r="CN73" s="1639"/>
      <c r="CO73" s="1640"/>
      <c r="CP73" s="1640"/>
      <c r="CQ73" s="1640"/>
      <c r="CR73" s="1640"/>
      <c r="CS73" s="1640"/>
      <c r="CT73" s="1639"/>
      <c r="CU73" s="1689"/>
      <c r="CV73" s="1689"/>
      <c r="CW73" s="1636" t="b">
        <f>IF(CQ57=27,33)</f>
        <v>0</v>
      </c>
      <c r="CX73" s="1554"/>
      <c r="CY73" s="1554"/>
      <c r="CZ73" s="1554"/>
      <c r="DA73" s="1554"/>
      <c r="DB73" s="1554"/>
      <c r="DC73" s="1557"/>
      <c r="DD73" s="1557"/>
      <c r="EJ73" s="185"/>
      <c r="EK73" s="185"/>
    </row>
    <row r="74" spans="2:141" ht="21.6" hidden="1" thickBot="1" x14ac:dyDescent="0.45">
      <c r="B74" s="14"/>
      <c r="BF74" s="27"/>
      <c r="BG74" s="27"/>
      <c r="BH74" s="27"/>
      <c r="BI74" s="27"/>
      <c r="BJ74" s="27"/>
      <c r="BK74" s="4"/>
      <c r="BN74" s="1577"/>
      <c r="BO74" s="1551"/>
      <c r="BP74" s="1672">
        <v>26</v>
      </c>
      <c r="BQ74" s="1557"/>
      <c r="BR74" s="1557"/>
      <c r="BS74" s="1557"/>
      <c r="BT74" s="1557"/>
      <c r="BU74" s="1557"/>
      <c r="BV74" s="1557"/>
      <c r="BW74" s="1557"/>
      <c r="BX74" s="1557"/>
      <c r="BY74" s="1557"/>
      <c r="BZ74" s="1557"/>
      <c r="CA74" s="1557"/>
      <c r="CB74" s="1557"/>
      <c r="CC74" s="1557"/>
      <c r="CD74" s="1557"/>
      <c r="CE74" s="1557"/>
      <c r="CF74" s="1557"/>
      <c r="CG74" s="1557"/>
      <c r="CH74" s="1686"/>
      <c r="CI74" s="1556"/>
      <c r="CJ74" s="1687"/>
      <c r="CK74" s="1643" t="b">
        <f>IF(CP57=26,21)</f>
        <v>0</v>
      </c>
      <c r="CL74" s="1639"/>
      <c r="CM74" s="1640"/>
      <c r="CN74" s="1640"/>
      <c r="CO74" s="1640"/>
      <c r="CP74" s="1640"/>
      <c r="CQ74" s="1640"/>
      <c r="CR74" s="1640"/>
      <c r="CS74" s="1640"/>
      <c r="CT74" s="1639"/>
      <c r="CU74" s="1636" t="b">
        <f>IF(CP57=26,31)</f>
        <v>0</v>
      </c>
      <c r="CV74" s="1554"/>
      <c r="CW74" s="1554"/>
      <c r="CX74" s="1554"/>
      <c r="CY74" s="1554"/>
      <c r="CZ74" s="1554"/>
      <c r="DA74" s="1554"/>
      <c r="DB74" s="1554"/>
      <c r="DC74" s="1557"/>
      <c r="DD74" s="1557"/>
      <c r="EJ74" s="185"/>
      <c r="EK74" s="185"/>
    </row>
    <row r="75" spans="2:141" ht="21.6" hidden="1" thickBot="1" x14ac:dyDescent="0.45">
      <c r="B75" s="14"/>
      <c r="BF75" s="27"/>
      <c r="BG75" s="27"/>
      <c r="BH75" s="27"/>
      <c r="BI75" s="27"/>
      <c r="BJ75" s="27"/>
      <c r="BK75" s="4"/>
      <c r="BN75" s="1577"/>
      <c r="BO75" s="1691"/>
      <c r="BP75" s="1672">
        <v>25</v>
      </c>
      <c r="BQ75" s="1557"/>
      <c r="BR75" s="1557"/>
      <c r="BS75" s="1557"/>
      <c r="BT75" s="1557"/>
      <c r="BU75" s="1557"/>
      <c r="BV75" s="1557"/>
      <c r="BW75" s="1557"/>
      <c r="BX75" s="1557"/>
      <c r="BY75" s="1557"/>
      <c r="BZ75" s="1557"/>
      <c r="CA75" s="1557"/>
      <c r="CC75" s="1557"/>
      <c r="CD75" s="1557"/>
      <c r="CE75" s="1557"/>
      <c r="CF75" s="1557"/>
      <c r="CG75" s="1557"/>
      <c r="CH75" s="1686"/>
      <c r="CI75" s="1556"/>
      <c r="CK75" s="1692" t="b">
        <f>IF(CO57=25,21)</f>
        <v>0</v>
      </c>
      <c r="CL75" s="1640"/>
      <c r="CM75" s="1640"/>
      <c r="CN75" s="1640"/>
      <c r="CO75" s="1640"/>
      <c r="CP75" s="1640"/>
      <c r="CQ75" s="1640"/>
      <c r="CR75" s="1640"/>
      <c r="CS75" s="1636" t="b">
        <f>IF(CO57=25,29)</f>
        <v>0</v>
      </c>
      <c r="CU75" s="1554"/>
      <c r="CV75" s="1554"/>
      <c r="CW75" s="1554"/>
      <c r="CX75" s="1554"/>
      <c r="CY75" s="1554"/>
      <c r="CZ75" s="1554"/>
      <c r="DA75" s="1554"/>
      <c r="DB75" s="1554"/>
      <c r="DC75" s="1557"/>
      <c r="DD75" s="1557"/>
      <c r="EJ75" s="185"/>
      <c r="EK75" s="185"/>
    </row>
    <row r="76" spans="2:141" ht="21.6" hidden="1" thickBot="1" x14ac:dyDescent="0.45">
      <c r="B76" s="14"/>
      <c r="BF76" s="27"/>
      <c r="BG76" s="27"/>
      <c r="BH76" s="27"/>
      <c r="BI76" s="27"/>
      <c r="BJ76" s="27"/>
      <c r="BK76" s="4"/>
      <c r="BN76" s="1577"/>
      <c r="BO76" s="1691"/>
      <c r="BP76" s="1693">
        <v>24</v>
      </c>
      <c r="BQ76" s="1557"/>
      <c r="BR76" s="1557"/>
      <c r="BS76" s="1557"/>
      <c r="BT76" s="1557"/>
      <c r="BU76" s="1557"/>
      <c r="BV76" s="1557"/>
      <c r="BW76" s="1557"/>
      <c r="BX76" s="1557"/>
      <c r="BY76" s="1557"/>
      <c r="BZ76" s="1557"/>
      <c r="CA76" s="1557"/>
      <c r="CB76" s="1632" t="b">
        <f>IF(CN57=24,12)</f>
        <v>0</v>
      </c>
      <c r="CC76" s="1642"/>
      <c r="CD76" s="1642"/>
      <c r="CE76" s="1642"/>
      <c r="CF76" s="1642"/>
      <c r="CG76" s="1642"/>
      <c r="CH76" s="1641"/>
      <c r="CI76" s="1642"/>
      <c r="CJ76" s="1694"/>
      <c r="CK76" s="1642"/>
      <c r="CL76" s="1642"/>
      <c r="CM76" s="1642"/>
      <c r="CN76" s="1642"/>
      <c r="CO76" s="1642"/>
      <c r="CP76" s="1642"/>
      <c r="CQ76" s="1642"/>
      <c r="CR76" s="1642"/>
      <c r="CS76" s="1642"/>
      <c r="CT76" s="1641"/>
      <c r="CU76" s="1688"/>
      <c r="CV76" s="1688"/>
      <c r="CW76" s="1688"/>
      <c r="CX76" s="1688"/>
      <c r="CY76" s="1688"/>
      <c r="CZ76" s="1634" t="b">
        <f>IF(CN57=24,36)</f>
        <v>0</v>
      </c>
      <c r="DA76" s="1554"/>
      <c r="DB76" s="1554"/>
      <c r="DC76" s="1557"/>
      <c r="DD76" s="1557"/>
      <c r="EJ76" s="185"/>
      <c r="EK76" s="185"/>
    </row>
    <row r="77" spans="2:141" ht="21.6" hidden="1" thickBot="1" x14ac:dyDescent="0.45">
      <c r="B77" s="14"/>
      <c r="BF77" s="27"/>
      <c r="BG77" s="27"/>
      <c r="BH77" s="27"/>
      <c r="BI77" s="27"/>
      <c r="BJ77" s="27"/>
      <c r="BK77" s="4"/>
      <c r="BN77" s="1577"/>
      <c r="BO77" s="1691"/>
      <c r="BP77" s="1693">
        <v>23</v>
      </c>
      <c r="BQ77" s="1557"/>
      <c r="BR77" s="1557"/>
      <c r="BS77" s="1557"/>
      <c r="BT77" s="1557"/>
      <c r="BU77" s="1557"/>
      <c r="BV77" s="1557"/>
      <c r="BW77" s="1557"/>
      <c r="BX77" s="1557"/>
      <c r="BY77" s="1557"/>
      <c r="BZ77" s="1557"/>
      <c r="CA77" s="1557"/>
      <c r="CB77" s="1643" t="b">
        <f>IF(CM57=23,12)</f>
        <v>0</v>
      </c>
      <c r="CC77" s="1640"/>
      <c r="CD77" s="1640"/>
      <c r="CE77" s="1640"/>
      <c r="CF77" s="1639"/>
      <c r="CG77" s="1640"/>
      <c r="CH77" s="1695"/>
      <c r="CI77" s="1640"/>
      <c r="CJ77" s="1696"/>
      <c r="CK77" s="1640"/>
      <c r="CL77" s="1640"/>
      <c r="CM77" s="1640"/>
      <c r="CN77" s="1640"/>
      <c r="CO77" s="1640"/>
      <c r="CP77" s="1640"/>
      <c r="CQ77" s="1640"/>
      <c r="CR77" s="1640"/>
      <c r="CS77" s="1640"/>
      <c r="CT77" s="1639"/>
      <c r="CU77" s="1689"/>
      <c r="CV77" s="1689"/>
      <c r="CW77" s="1689"/>
      <c r="CX77" s="1636" t="b">
        <f>IF(CM57=23,34)</f>
        <v>0</v>
      </c>
      <c r="CY77" s="1554"/>
      <c r="CZ77" s="1554"/>
      <c r="DA77" s="1554"/>
      <c r="DB77" s="1554"/>
      <c r="DC77" s="1557"/>
      <c r="DD77" s="1557"/>
      <c r="EJ77" s="185"/>
      <c r="EK77" s="185"/>
    </row>
    <row r="78" spans="2:141" ht="21.6" hidden="1" thickBot="1" x14ac:dyDescent="0.45">
      <c r="B78" s="14"/>
      <c r="BF78" s="27"/>
      <c r="BG78" s="27"/>
      <c r="BH78" s="27"/>
      <c r="BI78" s="27"/>
      <c r="BJ78" s="27"/>
      <c r="BK78" s="4"/>
      <c r="BN78" s="1577"/>
      <c r="BO78" s="1691"/>
      <c r="BP78" s="1693">
        <v>22</v>
      </c>
      <c r="BQ78" s="1554"/>
      <c r="BR78" s="1554"/>
      <c r="BS78" s="1554"/>
      <c r="BT78" s="1554"/>
      <c r="BU78" s="1554"/>
      <c r="BV78" s="1554"/>
      <c r="BW78" s="1554"/>
      <c r="BX78" s="1554"/>
      <c r="BY78" s="1554"/>
      <c r="BZ78" s="1554"/>
      <c r="CA78" s="1554"/>
      <c r="CB78" s="1643" t="b">
        <f>IF(CL57=22,12)</f>
        <v>0</v>
      </c>
      <c r="CC78" s="1689"/>
      <c r="CD78" s="1689"/>
      <c r="CE78" s="1689"/>
      <c r="CF78" s="1639"/>
      <c r="CG78" s="1689"/>
      <c r="CH78" s="1697"/>
      <c r="CI78" s="1689"/>
      <c r="CJ78" s="1698"/>
      <c r="CK78" s="1689"/>
      <c r="CL78" s="1689"/>
      <c r="CM78" s="1689"/>
      <c r="CN78" s="1689"/>
      <c r="CO78" s="1640"/>
      <c r="CP78" s="1640"/>
      <c r="CQ78" s="1639"/>
      <c r="CR78" s="1640"/>
      <c r="CS78" s="1640"/>
      <c r="CT78" s="1640"/>
      <c r="CU78" s="1640"/>
      <c r="CV78" s="1636" t="b">
        <f>IF(CL57=22,32)</f>
        <v>0</v>
      </c>
      <c r="CW78" s="1557"/>
      <c r="CX78" s="1557"/>
      <c r="CY78" s="1557"/>
      <c r="CZ78" s="1557"/>
      <c r="DA78" s="1557"/>
      <c r="DB78" s="1557"/>
      <c r="DC78" s="1557"/>
      <c r="DD78" s="1557"/>
      <c r="EJ78" s="185"/>
      <c r="EK78" s="185"/>
    </row>
    <row r="79" spans="2:141" ht="21.6" hidden="1" thickBot="1" x14ac:dyDescent="0.45">
      <c r="B79" s="14"/>
      <c r="BF79" s="27"/>
      <c r="BG79" s="27"/>
      <c r="BH79" s="27"/>
      <c r="BI79" s="27"/>
      <c r="BJ79" s="27"/>
      <c r="BK79" s="4"/>
      <c r="BN79" s="1577"/>
      <c r="BO79" s="1691"/>
      <c r="BP79" s="1693">
        <v>21</v>
      </c>
      <c r="BQ79" s="1557"/>
      <c r="BR79" s="1557"/>
      <c r="BS79" s="1557"/>
      <c r="BT79" s="1557"/>
      <c r="BU79" s="1557"/>
      <c r="BV79" s="1557"/>
      <c r="BW79" s="1557"/>
      <c r="BX79" s="1557"/>
      <c r="BY79" s="1557"/>
      <c r="BZ79" s="1557"/>
      <c r="CA79" s="1557"/>
      <c r="CB79" s="1643" t="b">
        <f>IF(CK57=21,12)</f>
        <v>0</v>
      </c>
      <c r="CC79" s="1640"/>
      <c r="CD79" s="1640"/>
      <c r="CE79" s="1640"/>
      <c r="CF79" s="1640"/>
      <c r="CG79" s="1640"/>
      <c r="CH79" s="1695"/>
      <c r="CI79" s="1640"/>
      <c r="CJ79" s="1696"/>
      <c r="CK79" s="1640"/>
      <c r="CL79" s="1640"/>
      <c r="CM79" s="1640"/>
      <c r="CN79" s="1640"/>
      <c r="CO79" s="1640"/>
      <c r="CP79" s="1640"/>
      <c r="CQ79" s="1640"/>
      <c r="CR79" s="1640"/>
      <c r="CS79" s="1640"/>
      <c r="CT79" s="1636" t="b">
        <f>IF(CK57=21,30)</f>
        <v>0</v>
      </c>
      <c r="CU79" s="1554"/>
      <c r="CV79" s="1554"/>
      <c r="CW79" s="1554"/>
      <c r="CX79" s="1554"/>
      <c r="CY79" s="1554"/>
      <c r="CZ79" s="1554"/>
      <c r="DA79" s="1554"/>
      <c r="DB79" s="1554"/>
      <c r="DC79" s="1557"/>
      <c r="DD79" s="1557"/>
      <c r="EJ79" s="185"/>
      <c r="EK79" s="185"/>
    </row>
    <row r="80" spans="2:141" ht="21.6" hidden="1" thickBot="1" x14ac:dyDescent="0.45">
      <c r="B80" s="14"/>
      <c r="BF80" s="27"/>
      <c r="BG80" s="27"/>
      <c r="BH80" s="27"/>
      <c r="BI80" s="27"/>
      <c r="BJ80" s="27"/>
      <c r="BK80" s="4"/>
      <c r="BN80" s="1577"/>
      <c r="BO80" s="1699"/>
      <c r="BP80" s="1693">
        <v>20</v>
      </c>
      <c r="BQ80" s="1557"/>
      <c r="BR80" s="1557"/>
      <c r="BS80" s="1557"/>
      <c r="BT80" s="1557"/>
      <c r="BU80" s="1557"/>
      <c r="BV80" s="1557"/>
      <c r="BW80" s="1557"/>
      <c r="BX80" s="1557"/>
      <c r="CA80" s="1700"/>
      <c r="CB80" s="1632" t="b">
        <f>IF(CJ57=20,12)</f>
        <v>0</v>
      </c>
      <c r="CC80" s="1642"/>
      <c r="CD80" s="1642"/>
      <c r="CE80" s="1642"/>
      <c r="CF80" s="1642"/>
      <c r="CG80" s="1642"/>
      <c r="CH80" s="1701"/>
      <c r="CI80" s="1642"/>
      <c r="CJ80" s="1694"/>
      <c r="CK80" s="1642"/>
      <c r="CL80" s="1642"/>
      <c r="CM80" s="1642"/>
      <c r="CN80" s="1642"/>
      <c r="CO80" s="1642"/>
      <c r="CP80" s="1642"/>
      <c r="CQ80" s="1642"/>
      <c r="CR80" s="1634" t="b">
        <f>IF(CJ57=20,28)</f>
        <v>0</v>
      </c>
      <c r="CS80" s="1700"/>
      <c r="CU80" s="1554"/>
      <c r="CV80" s="1554"/>
      <c r="CW80" s="1554"/>
      <c r="CX80" s="1554"/>
      <c r="CY80" s="1554"/>
      <c r="CZ80" s="1554"/>
      <c r="DA80" s="1554"/>
      <c r="DB80" s="1554"/>
      <c r="DC80" s="1557"/>
      <c r="DD80" s="1557"/>
      <c r="EJ80" s="185"/>
      <c r="EK80" s="185"/>
    </row>
    <row r="81" spans="2:141" ht="21.6" hidden="1" thickBot="1" x14ac:dyDescent="0.45">
      <c r="B81" s="14"/>
      <c r="BF81" s="27"/>
      <c r="BG81" s="27"/>
      <c r="BH81" s="27"/>
      <c r="BI81" s="27"/>
      <c r="BJ81" s="27"/>
      <c r="BK81" s="4"/>
      <c r="BN81" s="1577"/>
      <c r="BO81" s="1699"/>
      <c r="BP81" s="1693">
        <v>19</v>
      </c>
      <c r="BQ81" s="1557"/>
      <c r="BR81" s="1557"/>
      <c r="BS81" s="1557"/>
      <c r="BT81" s="1557"/>
      <c r="BU81" s="1557"/>
      <c r="BV81" s="1557"/>
      <c r="BW81" s="1557"/>
      <c r="BX81" s="1557"/>
      <c r="BZ81" s="1702"/>
      <c r="CA81" s="1702"/>
      <c r="CB81" s="1632" t="b">
        <f>IF(CI57=19,12)</f>
        <v>0</v>
      </c>
      <c r="CC81" s="1688"/>
      <c r="CD81" s="1688"/>
      <c r="CE81" s="1641"/>
      <c r="CF81" s="1688"/>
      <c r="CG81" s="1688"/>
      <c r="CH81" s="1703"/>
      <c r="CI81" s="1688"/>
      <c r="CJ81" s="1704"/>
      <c r="CK81" s="1641"/>
      <c r="CL81" s="1688"/>
      <c r="CM81" s="1688"/>
      <c r="CN81" s="1688"/>
      <c r="CO81" s="1642"/>
      <c r="CP81" s="1634" t="b">
        <f>IF(CI57=19,26)</f>
        <v>0</v>
      </c>
      <c r="CQ81" s="1705"/>
      <c r="CR81" s="1700"/>
      <c r="CT81" s="1557"/>
      <c r="CU81" s="1557"/>
      <c r="CV81" s="1557"/>
      <c r="CW81" s="1557"/>
      <c r="CX81" s="1557"/>
      <c r="CY81" s="1557"/>
      <c r="CZ81" s="1557"/>
      <c r="DA81" s="1557"/>
      <c r="DB81" s="1557"/>
      <c r="DC81" s="1557"/>
      <c r="DD81" s="1557"/>
      <c r="EJ81" s="185"/>
      <c r="EK81" s="185"/>
    </row>
    <row r="82" spans="2:141" ht="21.6" hidden="1" thickBot="1" x14ac:dyDescent="0.45">
      <c r="B82" s="14"/>
      <c r="BF82" s="27"/>
      <c r="BG82" s="27"/>
      <c r="BH82" s="27"/>
      <c r="BI82" s="27"/>
      <c r="BJ82" s="27"/>
      <c r="BK82" s="4"/>
      <c r="BN82" s="1577"/>
      <c r="BO82" s="1699"/>
      <c r="BP82" s="1693">
        <v>18</v>
      </c>
      <c r="BQ82" s="1554"/>
      <c r="BR82" s="1554"/>
      <c r="BS82" s="1554"/>
      <c r="BT82" s="1554"/>
      <c r="BU82" s="1554"/>
      <c r="BV82" s="1554"/>
      <c r="BW82" s="1554"/>
      <c r="BX82" s="1554"/>
      <c r="BZ82" s="1632" t="b">
        <f>IF(CH57=18,10)</f>
        <v>0</v>
      </c>
      <c r="CA82" s="1688"/>
      <c r="CB82" s="1688"/>
      <c r="CC82" s="1688"/>
      <c r="CD82" s="1688"/>
      <c r="CE82" s="1641"/>
      <c r="CF82" s="1688"/>
      <c r="CG82" s="1688"/>
      <c r="CH82" s="1703"/>
      <c r="CI82" s="1688"/>
      <c r="CJ82" s="1704"/>
      <c r="CK82" s="1641"/>
      <c r="CL82" s="1688"/>
      <c r="CM82" s="1688"/>
      <c r="CN82" s="1688"/>
      <c r="CO82" s="1642"/>
      <c r="CP82" s="1634" t="b">
        <f>IF(CH57=18,26)</f>
        <v>0</v>
      </c>
      <c r="CR82" s="1557"/>
      <c r="CS82" s="1557"/>
      <c r="CT82" s="1557"/>
      <c r="CU82" s="1557"/>
      <c r="CV82" s="1557"/>
      <c r="CW82" s="1557"/>
      <c r="CX82" s="1557"/>
      <c r="CY82" s="1557"/>
      <c r="CZ82" s="1557"/>
      <c r="DA82" s="1557"/>
      <c r="DB82" s="1557"/>
      <c r="DC82" s="1557"/>
      <c r="DD82" s="1557"/>
      <c r="EJ82" s="185"/>
      <c r="EK82" s="185"/>
    </row>
    <row r="83" spans="2:141" ht="21.6" hidden="1" thickBot="1" x14ac:dyDescent="0.45">
      <c r="B83" s="14"/>
      <c r="BF83" s="27"/>
      <c r="BG83" s="27"/>
      <c r="BH83" s="27"/>
      <c r="BI83" s="27"/>
      <c r="BJ83" s="27"/>
      <c r="BK83" s="4"/>
      <c r="BN83" s="1577"/>
      <c r="BO83" s="1699"/>
      <c r="BP83" s="1706">
        <v>17</v>
      </c>
      <c r="BQ83" s="1554"/>
      <c r="BR83" s="1554"/>
      <c r="BS83" s="1554"/>
      <c r="BT83" s="1554"/>
      <c r="BU83" s="1554"/>
      <c r="BV83" s="1554"/>
      <c r="BW83" s="1554"/>
      <c r="BX83" s="1632" t="b">
        <f>IF(CG57=17,8)</f>
        <v>0</v>
      </c>
      <c r="BY83" s="1641"/>
      <c r="BZ83" s="1641"/>
      <c r="CA83" s="1688"/>
      <c r="CB83" s="1688"/>
      <c r="CC83" s="1688"/>
      <c r="CD83" s="1688"/>
      <c r="CE83" s="1688"/>
      <c r="CF83" s="1688"/>
      <c r="CG83" s="1688"/>
      <c r="CH83" s="1703"/>
      <c r="CI83" s="1688"/>
      <c r="CJ83" s="1704"/>
      <c r="CK83" s="1688"/>
      <c r="CL83" s="1688"/>
      <c r="CM83" s="1688"/>
      <c r="CN83" s="1641"/>
      <c r="CO83" s="1641"/>
      <c r="CP83" s="1634" t="b">
        <f>IF(CG57=17,26)</f>
        <v>0</v>
      </c>
      <c r="CQ83" s="1557"/>
      <c r="CR83" s="1557"/>
      <c r="CS83" s="1557"/>
      <c r="CT83" s="1557"/>
      <c r="CU83" s="1557"/>
      <c r="CV83" s="1557"/>
      <c r="CW83" s="1557"/>
      <c r="CX83" s="1557"/>
      <c r="CY83" s="1557"/>
      <c r="CZ83" s="1557"/>
      <c r="DA83" s="1557"/>
      <c r="DB83" s="1557"/>
      <c r="DC83" s="1557"/>
      <c r="DD83" s="1557"/>
      <c r="EJ83" s="185"/>
      <c r="EK83" s="185"/>
    </row>
    <row r="84" spans="2:141" ht="21.6" hidden="1" thickBot="1" x14ac:dyDescent="0.45">
      <c r="B84" s="14"/>
      <c r="BF84" s="27"/>
      <c r="BG84" s="27"/>
      <c r="BH84" s="27"/>
      <c r="BI84" s="27"/>
      <c r="BJ84" s="27"/>
      <c r="BK84" s="4"/>
      <c r="BN84" s="1577"/>
      <c r="BO84" s="1699"/>
      <c r="BP84" s="1706">
        <v>16</v>
      </c>
      <c r="BQ84" s="1554"/>
      <c r="BR84" s="1554"/>
      <c r="BS84" s="1554"/>
      <c r="BT84" s="1554"/>
      <c r="BU84" s="1554"/>
      <c r="BV84" s="1707">
        <f>IF(CF57=16,6)</f>
        <v>6</v>
      </c>
      <c r="BW84" s="1708"/>
      <c r="BX84" s="1709"/>
      <c r="BY84" s="1709"/>
      <c r="BZ84" s="1708"/>
      <c r="CA84" s="1708"/>
      <c r="CB84" s="1708"/>
      <c r="CC84" s="1708"/>
      <c r="CD84" s="1708"/>
      <c r="CE84" s="1708"/>
      <c r="CF84" s="1708"/>
      <c r="CG84" s="1708"/>
      <c r="CH84" s="1710"/>
      <c r="CI84" s="1708"/>
      <c r="CJ84" s="1711"/>
      <c r="CK84" s="1708"/>
      <c r="CL84" s="1708"/>
      <c r="CM84" s="1709"/>
      <c r="CN84" s="1709"/>
      <c r="CO84" s="1712"/>
      <c r="CP84" s="1713">
        <f>IF(CF57=16,26)</f>
        <v>26</v>
      </c>
      <c r="CQ84" s="1557"/>
      <c r="CR84" s="1557"/>
      <c r="CS84" s="1557"/>
      <c r="CT84" s="1557"/>
      <c r="CU84" s="1557"/>
      <c r="CV84" s="1557"/>
      <c r="CW84" s="1557"/>
      <c r="CX84" s="1557"/>
      <c r="CY84" s="1557"/>
      <c r="CZ84" s="1557"/>
      <c r="DA84" s="1557"/>
      <c r="DB84" s="1557"/>
      <c r="DC84" s="1557"/>
      <c r="DD84" s="1557"/>
      <c r="EJ84" s="185"/>
      <c r="EK84" s="185"/>
    </row>
    <row r="85" spans="2:141" ht="21.6" hidden="1" thickBot="1" x14ac:dyDescent="0.45">
      <c r="B85" s="14"/>
      <c r="BF85" s="27"/>
      <c r="BG85" s="27"/>
      <c r="BH85" s="27"/>
      <c r="BI85" s="27"/>
      <c r="BJ85" s="27"/>
      <c r="BK85" s="4"/>
      <c r="BN85" s="1577"/>
      <c r="BO85" s="1699"/>
      <c r="BP85" s="1693">
        <v>15</v>
      </c>
      <c r="BQ85" s="1554"/>
      <c r="BR85" s="1554"/>
      <c r="BS85" s="1554"/>
      <c r="BT85" s="1632" t="b">
        <f>IF(CE57=15,4)</f>
        <v>0</v>
      </c>
      <c r="BU85" s="1688"/>
      <c r="BV85" s="1688"/>
      <c r="BW85" s="1688"/>
      <c r="BX85" s="1641"/>
      <c r="BY85" s="1688"/>
      <c r="BZ85" s="1688"/>
      <c r="CA85" s="1641"/>
      <c r="CB85" s="1688"/>
      <c r="CC85" s="1688"/>
      <c r="CD85" s="1688"/>
      <c r="CE85" s="1688"/>
      <c r="CF85" s="1688"/>
      <c r="CG85" s="1688"/>
      <c r="CH85" s="1703"/>
      <c r="CI85" s="1641"/>
      <c r="CJ85" s="1704"/>
      <c r="CK85" s="1688"/>
      <c r="CL85" s="1641"/>
      <c r="CM85" s="1688"/>
      <c r="CN85" s="1688"/>
      <c r="CO85" s="1642"/>
      <c r="CP85" s="1634" t="b">
        <f>IF(CE57=15,26)</f>
        <v>0</v>
      </c>
      <c r="CQ85" s="1557"/>
      <c r="CR85" s="1557"/>
      <c r="CS85" s="1557"/>
      <c r="CT85" s="1557"/>
      <c r="CU85" s="1557"/>
      <c r="CV85" s="1557"/>
      <c r="CW85" s="1557"/>
      <c r="CX85" s="1557"/>
      <c r="CY85" s="1557"/>
      <c r="CZ85" s="1557"/>
      <c r="DA85" s="1557"/>
      <c r="DB85" s="1557"/>
      <c r="DC85" s="1557"/>
      <c r="DD85" s="1557"/>
      <c r="EJ85" s="185"/>
      <c r="EK85" s="185"/>
    </row>
    <row r="86" spans="2:141" ht="21.6" hidden="1" thickBot="1" x14ac:dyDescent="0.45">
      <c r="B86" s="14"/>
      <c r="BF86" s="27"/>
      <c r="BG86" s="27"/>
      <c r="BH86" s="27"/>
      <c r="BI86" s="27"/>
      <c r="BJ86" s="27"/>
      <c r="BK86" s="4"/>
      <c r="BN86" s="1577"/>
      <c r="BO86" s="1699"/>
      <c r="BP86" s="1693">
        <v>14</v>
      </c>
      <c r="BQ86" s="1554"/>
      <c r="BR86" s="1632" t="b">
        <f>IF(CD57=14,2)</f>
        <v>0</v>
      </c>
      <c r="BS86" s="1688"/>
      <c r="BT86" s="1688"/>
      <c r="BU86" s="1688"/>
      <c r="BV86" s="1641"/>
      <c r="BW86" s="1688"/>
      <c r="BX86" s="1688"/>
      <c r="BY86" s="1641"/>
      <c r="BZ86" s="1688"/>
      <c r="CA86" s="1688"/>
      <c r="CB86" s="1688"/>
      <c r="CC86" s="1688"/>
      <c r="CD86" s="1688"/>
      <c r="CE86" s="1688"/>
      <c r="CF86" s="1688"/>
      <c r="CG86" s="1688"/>
      <c r="CH86" s="1703"/>
      <c r="CI86" s="1641"/>
      <c r="CJ86" s="1704"/>
      <c r="CK86" s="1688"/>
      <c r="CL86" s="1641"/>
      <c r="CM86" s="1688"/>
      <c r="CN86" s="1688"/>
      <c r="CO86" s="1642"/>
      <c r="CP86" s="1634" t="b">
        <f>IF(CD57=14,26)</f>
        <v>0</v>
      </c>
      <c r="CQ86" s="1557"/>
      <c r="CR86" s="1557"/>
      <c r="CS86" s="1557"/>
      <c r="CT86" s="1557"/>
      <c r="CU86" s="1557"/>
      <c r="CV86" s="1557"/>
      <c r="CW86" s="1557"/>
      <c r="CX86" s="1557"/>
      <c r="CY86" s="1557"/>
      <c r="CZ86" s="1557"/>
      <c r="DA86" s="1557"/>
      <c r="DB86" s="1557"/>
      <c r="DC86" s="1557"/>
      <c r="DD86" s="1557"/>
      <c r="EJ86" s="185"/>
      <c r="EK86" s="185"/>
    </row>
    <row r="87" spans="2:141" ht="21.6" hidden="1" thickBot="1" x14ac:dyDescent="0.45">
      <c r="B87" s="14"/>
      <c r="BF87" s="27"/>
      <c r="BG87" s="27"/>
      <c r="BH87" s="27"/>
      <c r="BI87" s="27"/>
      <c r="BJ87" s="27"/>
      <c r="BK87" s="4"/>
      <c r="BN87" s="1577"/>
      <c r="BO87" s="1699"/>
      <c r="BP87" s="1693">
        <v>13</v>
      </c>
      <c r="BQ87" s="1554"/>
      <c r="BR87" s="1554"/>
      <c r="BS87" s="1554"/>
      <c r="BU87" s="1714"/>
      <c r="BV87" s="1714"/>
      <c r="BW87" s="1715"/>
      <c r="BX87" s="1714"/>
      <c r="BY87" s="1643" t="b">
        <f>IF(CC57=13,9)</f>
        <v>0</v>
      </c>
      <c r="BZ87" s="1689"/>
      <c r="CA87" s="1689"/>
      <c r="CB87" s="1689"/>
      <c r="CC87" s="1689"/>
      <c r="CD87" s="1689"/>
      <c r="CE87" s="1689"/>
      <c r="CF87" s="1689"/>
      <c r="CG87" s="1636" t="b">
        <f>IF(CC57=13,17)</f>
        <v>0</v>
      </c>
      <c r="CH87" s="1716"/>
      <c r="CI87" s="1715"/>
      <c r="CJ87" s="1717"/>
      <c r="CK87" s="1714"/>
      <c r="CM87" s="1554"/>
      <c r="CN87" s="1554"/>
      <c r="CO87" s="1557"/>
      <c r="CP87" s="1557"/>
      <c r="CQ87" s="1557"/>
      <c r="CR87" s="1557"/>
      <c r="CS87" s="1557"/>
      <c r="CT87" s="1557"/>
      <c r="CU87" s="1557"/>
      <c r="CV87" s="1557"/>
      <c r="CW87" s="1557"/>
      <c r="CX87" s="1557"/>
      <c r="CY87" s="1557"/>
      <c r="CZ87" s="1557"/>
      <c r="DA87" s="1557"/>
      <c r="DB87" s="1557"/>
      <c r="DC87" s="1557"/>
      <c r="DD87" s="1557"/>
      <c r="EJ87" s="185"/>
      <c r="EK87" s="185"/>
    </row>
    <row r="88" spans="2:141" ht="21.6" hidden="1" thickBot="1" x14ac:dyDescent="0.45">
      <c r="B88" s="14"/>
      <c r="BF88" s="27"/>
      <c r="BG88" s="27"/>
      <c r="BH88" s="27"/>
      <c r="BI88" s="27"/>
      <c r="BJ88" s="27"/>
      <c r="BK88" s="4"/>
      <c r="BN88" s="1577"/>
      <c r="BO88" s="1699"/>
      <c r="BP88" s="1693">
        <v>12</v>
      </c>
      <c r="BQ88" s="1554"/>
      <c r="BS88" s="1702"/>
      <c r="BT88" s="1702"/>
      <c r="BU88" s="1705"/>
      <c r="BV88" s="1702"/>
      <c r="BW88" s="1632" t="b">
        <f>IF(CB57=12,7)</f>
        <v>0</v>
      </c>
      <c r="BX88" s="1688"/>
      <c r="BY88" s="1688"/>
      <c r="BZ88" s="1688"/>
      <c r="CA88" s="1688"/>
      <c r="CB88" s="1688"/>
      <c r="CC88" s="1688"/>
      <c r="CD88" s="1688"/>
      <c r="CE88" s="1688"/>
      <c r="CF88" s="1688"/>
      <c r="CG88" s="1634" t="b">
        <f>IF(CB57=12,17)</f>
        <v>0</v>
      </c>
      <c r="CH88" s="1718"/>
      <c r="CI88" s="1705"/>
      <c r="CJ88" s="1719"/>
      <c r="CK88" s="1702"/>
      <c r="CM88" s="1554"/>
      <c r="CN88" s="1554"/>
      <c r="CO88" s="1557"/>
      <c r="CP88" s="1557"/>
      <c r="CQ88" s="1557"/>
      <c r="CR88" s="1557"/>
      <c r="CS88" s="1557"/>
      <c r="CT88" s="1557"/>
      <c r="CU88" s="1557"/>
      <c r="CV88" s="1557"/>
      <c r="CW88" s="1557"/>
      <c r="CX88" s="1557"/>
      <c r="CY88" s="1557"/>
      <c r="CZ88" s="1557"/>
      <c r="DA88" s="1557"/>
      <c r="DB88" s="1557"/>
      <c r="DC88" s="1557"/>
      <c r="DD88" s="1557"/>
      <c r="EJ88" s="185"/>
      <c r="EK88" s="185"/>
    </row>
    <row r="89" spans="2:141" ht="21.6" hidden="1" thickBot="1" x14ac:dyDescent="0.45">
      <c r="B89" s="14"/>
      <c r="BF89" s="27"/>
      <c r="BG89" s="27"/>
      <c r="BH89" s="27"/>
      <c r="BI89" s="27"/>
      <c r="BJ89" s="27"/>
      <c r="BK89" s="4"/>
      <c r="BN89" s="1577"/>
      <c r="BO89" s="1699"/>
      <c r="BP89" s="1693">
        <v>11</v>
      </c>
      <c r="BR89" s="1714"/>
      <c r="BS89" s="1715"/>
      <c r="BT89" s="1714"/>
      <c r="BU89" s="1632" t="b">
        <f>IF(CA57=11,5)</f>
        <v>0</v>
      </c>
      <c r="BV89" s="1688"/>
      <c r="BW89" s="1688"/>
      <c r="BX89" s="1688"/>
      <c r="BY89" s="1688"/>
      <c r="BZ89" s="1688"/>
      <c r="CA89" s="1688"/>
      <c r="CB89" s="1688"/>
      <c r="CC89" s="1688"/>
      <c r="CD89" s="1688"/>
      <c r="CE89" s="1688"/>
      <c r="CF89" s="1688"/>
      <c r="CG89" s="1634" t="b">
        <f>IF(CA57=11,17)</f>
        <v>0</v>
      </c>
      <c r="CH89" s="1716"/>
      <c r="CI89" s="1715"/>
      <c r="CJ89" s="1717"/>
      <c r="CL89" s="1554"/>
      <c r="CM89" s="1554"/>
      <c r="CN89" s="1554"/>
      <c r="CO89" s="1557"/>
      <c r="CP89" s="1557"/>
      <c r="CQ89" s="1557"/>
      <c r="CR89" s="1557"/>
      <c r="CS89" s="1557"/>
      <c r="CT89" s="1557"/>
      <c r="CU89" s="1557"/>
      <c r="CV89" s="1557"/>
      <c r="CW89" s="1557"/>
      <c r="CX89" s="1557"/>
      <c r="CY89" s="1557"/>
      <c r="CZ89" s="1557"/>
      <c r="DA89" s="1557"/>
      <c r="DB89" s="1557"/>
      <c r="DC89" s="1557"/>
      <c r="DD89" s="1557"/>
      <c r="EJ89" s="185"/>
      <c r="EK89" s="185"/>
    </row>
    <row r="90" spans="2:141" ht="21.6" hidden="1" thickBot="1" x14ac:dyDescent="0.45">
      <c r="B90" s="14"/>
      <c r="BF90" s="27"/>
      <c r="BG90" s="27"/>
      <c r="BH90" s="27"/>
      <c r="BI90" s="27"/>
      <c r="BJ90" s="27"/>
      <c r="BK90" s="4"/>
      <c r="BN90" s="1577"/>
      <c r="BO90" s="1699"/>
      <c r="BP90" s="1693">
        <v>10</v>
      </c>
      <c r="BR90" s="1714"/>
      <c r="BS90" s="1632" t="b">
        <f>IF(BZ57=10,3)</f>
        <v>0</v>
      </c>
      <c r="BT90" s="1688"/>
      <c r="BU90" s="1688"/>
      <c r="BV90" s="1688"/>
      <c r="BW90" s="1688"/>
      <c r="BX90" s="1688"/>
      <c r="BY90" s="1688"/>
      <c r="BZ90" s="1688"/>
      <c r="CA90" s="1688"/>
      <c r="CB90" s="1688"/>
      <c r="CC90" s="1688"/>
      <c r="CD90" s="1688"/>
      <c r="CE90" s="1688"/>
      <c r="CF90" s="1688"/>
      <c r="CG90" s="1634" t="b">
        <f>IF(BZ57=10,17)</f>
        <v>0</v>
      </c>
      <c r="CH90" s="1716"/>
      <c r="CJ90" s="1720"/>
      <c r="CK90" s="1554"/>
      <c r="CL90" s="1554"/>
      <c r="CM90" s="1554"/>
      <c r="CN90" s="1554"/>
      <c r="CO90" s="1557"/>
      <c r="CP90" s="1557"/>
      <c r="CQ90" s="1557"/>
      <c r="CR90" s="1557"/>
      <c r="CS90" s="1557"/>
      <c r="CT90" s="1557"/>
      <c r="CU90" s="1557"/>
      <c r="CV90" s="1557"/>
      <c r="CW90" s="1557"/>
      <c r="CX90" s="1557"/>
      <c r="CY90" s="1557"/>
      <c r="CZ90" s="1557"/>
      <c r="DA90" s="1557"/>
      <c r="DB90" s="1557"/>
      <c r="DC90" s="1557"/>
      <c r="DD90" s="1557"/>
      <c r="EJ90" s="185"/>
      <c r="EK90" s="185"/>
    </row>
    <row r="91" spans="2:141" ht="21.6" hidden="1" thickBot="1" x14ac:dyDescent="0.45">
      <c r="B91" s="14"/>
      <c r="BF91" s="27"/>
      <c r="BG91" s="27"/>
      <c r="BH91" s="27"/>
      <c r="BI91" s="27"/>
      <c r="BJ91" s="27"/>
      <c r="BK91" s="4"/>
      <c r="BN91" s="1577"/>
      <c r="BO91" s="1699"/>
      <c r="BP91" s="1693">
        <v>9</v>
      </c>
      <c r="BQ91" s="1632" t="b">
        <f>IF(BY57=9,1)</f>
        <v>0</v>
      </c>
      <c r="BR91" s="1688"/>
      <c r="BS91" s="1688"/>
      <c r="BT91" s="1688"/>
      <c r="BU91" s="1688"/>
      <c r="BV91" s="1688"/>
      <c r="BW91" s="1688"/>
      <c r="BX91" s="1688"/>
      <c r="BY91" s="1688"/>
      <c r="BZ91" s="1688"/>
      <c r="CA91" s="1688"/>
      <c r="CB91" s="1688"/>
      <c r="CC91" s="1688"/>
      <c r="CD91" s="1688"/>
      <c r="CE91" s="1688"/>
      <c r="CF91" s="1688"/>
      <c r="CG91" s="1634" t="b">
        <f>IF(BY57=9,17)</f>
        <v>0</v>
      </c>
      <c r="CH91" s="1554"/>
      <c r="CI91" s="1554"/>
      <c r="CJ91" s="1720"/>
      <c r="CK91" s="1554"/>
      <c r="CL91" s="1554"/>
      <c r="CM91" s="1554"/>
      <c r="CN91" s="1554"/>
      <c r="CO91" s="1557"/>
      <c r="CP91" s="1557"/>
      <c r="CQ91" s="1557"/>
      <c r="CR91" s="1557"/>
      <c r="CS91" s="1557"/>
      <c r="CT91" s="1557"/>
      <c r="CU91" s="1557"/>
      <c r="CV91" s="1557"/>
      <c r="CW91" s="1557"/>
      <c r="CX91" s="1557"/>
      <c r="CY91" s="1557"/>
      <c r="CZ91" s="1557"/>
      <c r="DA91" s="1557"/>
      <c r="DB91" s="1557"/>
      <c r="DC91" s="1557"/>
      <c r="DD91" s="1557"/>
      <c r="EJ91" s="185"/>
      <c r="EK91" s="185"/>
    </row>
    <row r="92" spans="2:141" ht="21.6" hidden="1" thickBot="1" x14ac:dyDescent="0.45">
      <c r="B92" s="14"/>
      <c r="BF92" s="27"/>
      <c r="BG92" s="27"/>
      <c r="BH92" s="27"/>
      <c r="BI92" s="27"/>
      <c r="BJ92" s="27"/>
      <c r="BK92" s="4"/>
      <c r="BN92" s="1577"/>
      <c r="BO92" s="1699"/>
      <c r="BP92" s="1693">
        <v>8</v>
      </c>
      <c r="BQ92" s="1632" t="b">
        <f>IF(BX57=8,1)</f>
        <v>0</v>
      </c>
      <c r="BR92" s="1688"/>
      <c r="BS92" s="1641"/>
      <c r="BT92" s="1688"/>
      <c r="BU92" s="1688"/>
      <c r="BV92" s="1688"/>
      <c r="BW92" s="1688"/>
      <c r="BX92" s="1688"/>
      <c r="BY92" s="1688"/>
      <c r="BZ92" s="1688"/>
      <c r="CA92" s="1688"/>
      <c r="CB92" s="1688"/>
      <c r="CC92" s="1641"/>
      <c r="CD92" s="1688"/>
      <c r="CE92" s="1634" t="b">
        <f>IF(BX57=8,15)</f>
        <v>0</v>
      </c>
      <c r="CF92" s="1554"/>
      <c r="CG92" s="1554"/>
      <c r="CH92" s="1721"/>
      <c r="CI92" s="1554"/>
      <c r="CJ92" s="1720"/>
      <c r="CK92" s="1554"/>
      <c r="CL92" s="1554"/>
      <c r="CM92" s="1554"/>
      <c r="CN92" s="1554"/>
      <c r="CO92" s="1557"/>
      <c r="CP92" s="1557"/>
      <c r="CQ92" s="1557"/>
      <c r="CR92" s="1557"/>
      <c r="CS92" s="1557"/>
      <c r="CT92" s="1557"/>
      <c r="CU92" s="1557"/>
      <c r="CV92" s="1557"/>
      <c r="CW92" s="1557"/>
      <c r="CX92" s="1557"/>
      <c r="CY92" s="1557"/>
      <c r="CZ92" s="1557"/>
      <c r="DA92" s="1557"/>
      <c r="DB92" s="1557"/>
      <c r="DC92" s="1557"/>
      <c r="DD92" s="1557"/>
      <c r="EJ92" s="185"/>
      <c r="EK92" s="185"/>
    </row>
    <row r="93" spans="2:141" ht="21.6" hidden="1" thickBot="1" x14ac:dyDescent="0.45">
      <c r="B93" s="14"/>
      <c r="BF93" s="27"/>
      <c r="BG93" s="27"/>
      <c r="BH93" s="27"/>
      <c r="BI93" s="27"/>
      <c r="BJ93" s="27"/>
      <c r="BK93" s="4"/>
      <c r="BN93" s="1577"/>
      <c r="BO93" s="1699"/>
      <c r="BP93" s="1693">
        <v>7</v>
      </c>
      <c r="BQ93" s="1632" t="b">
        <f>IF(BW57=7,1)</f>
        <v>0</v>
      </c>
      <c r="BR93" s="1641"/>
      <c r="BS93" s="1688"/>
      <c r="BT93" s="1688"/>
      <c r="BU93" s="1688"/>
      <c r="BV93" s="1688"/>
      <c r="BW93" s="1688"/>
      <c r="BX93" s="1688"/>
      <c r="BY93" s="1688"/>
      <c r="BZ93" s="1688"/>
      <c r="CA93" s="1641"/>
      <c r="CB93" s="1641"/>
      <c r="CC93" s="1634" t="b">
        <f>IF(BW57=7,13)</f>
        <v>0</v>
      </c>
      <c r="CD93" s="1554"/>
      <c r="CE93" s="1554"/>
      <c r="CF93" s="1554"/>
      <c r="CG93" s="1554"/>
      <c r="CH93" s="1721"/>
      <c r="CI93" s="1554"/>
      <c r="CJ93" s="1720"/>
      <c r="CK93" s="1554"/>
      <c r="CL93" s="1554"/>
      <c r="CM93" s="1554"/>
      <c r="CN93" s="1554"/>
      <c r="CO93" s="1557"/>
      <c r="CP93" s="1557"/>
      <c r="CQ93" s="1557"/>
      <c r="CR93" s="1557"/>
      <c r="CS93" s="1557"/>
      <c r="CT93" s="1557"/>
      <c r="CU93" s="1557"/>
      <c r="CV93" s="1557"/>
      <c r="CW93" s="1557"/>
      <c r="CX93" s="1557"/>
      <c r="CY93" s="1557"/>
      <c r="CZ93" s="1557"/>
      <c r="DA93" s="1557"/>
      <c r="DB93" s="1557"/>
      <c r="DC93" s="1557"/>
      <c r="DD93" s="1557"/>
      <c r="EJ93" s="185"/>
      <c r="EK93" s="185"/>
    </row>
    <row r="94" spans="2:141" ht="21.6" hidden="1" thickBot="1" x14ac:dyDescent="0.45">
      <c r="B94" s="14"/>
      <c r="BF94" s="27"/>
      <c r="BG94" s="27"/>
      <c r="BH94" s="27"/>
      <c r="BI94" s="27"/>
      <c r="BJ94" s="27"/>
      <c r="BK94" s="4"/>
      <c r="BN94" s="1577"/>
      <c r="BO94" s="1699"/>
      <c r="BP94" s="1693">
        <v>6</v>
      </c>
      <c r="BQ94" s="1643" t="b">
        <f>IF(BV57=6,1)</f>
        <v>0</v>
      </c>
      <c r="BR94" s="1689"/>
      <c r="BS94" s="1689"/>
      <c r="BT94" s="1689"/>
      <c r="BU94" s="1689"/>
      <c r="BV94" s="1689"/>
      <c r="BW94" s="1689"/>
      <c r="BX94" s="1689"/>
      <c r="BY94" s="1689"/>
      <c r="BZ94" s="1689"/>
      <c r="CA94" s="1636" t="b">
        <f>IF(BV57=6,11)</f>
        <v>0</v>
      </c>
      <c r="CB94" s="1554"/>
      <c r="CC94" s="1554"/>
      <c r="CD94" s="1554"/>
      <c r="CE94" s="1554"/>
      <c r="CF94" s="1554"/>
      <c r="CG94" s="1554"/>
      <c r="CH94" s="1721"/>
      <c r="CI94" s="1554"/>
      <c r="CJ94" s="1720"/>
      <c r="CK94" s="1554"/>
      <c r="CL94" s="1554"/>
      <c r="CM94" s="1554"/>
      <c r="CN94" s="1554"/>
      <c r="CO94" s="1557"/>
      <c r="CP94" s="1557"/>
      <c r="CQ94" s="1557"/>
      <c r="CR94" s="1557"/>
      <c r="CS94" s="1557"/>
      <c r="CT94" s="1557"/>
      <c r="CU94" s="1557"/>
      <c r="CV94" s="1557"/>
      <c r="CW94" s="1557"/>
      <c r="CX94" s="1557"/>
      <c r="CY94" s="1557"/>
      <c r="CZ94" s="1557"/>
      <c r="DA94" s="1557"/>
      <c r="DB94" s="1557"/>
      <c r="DC94" s="1557"/>
      <c r="DD94" s="1557"/>
      <c r="EJ94" s="185"/>
      <c r="EK94" s="185"/>
    </row>
    <row r="95" spans="2:141" ht="21.6" hidden="1" thickBot="1" x14ac:dyDescent="0.45">
      <c r="B95" s="14"/>
      <c r="BF95" s="27"/>
      <c r="BG95" s="27"/>
      <c r="BH95" s="27"/>
      <c r="BI95" s="27"/>
      <c r="BJ95" s="27"/>
      <c r="BK95" s="4"/>
      <c r="BN95" s="1577"/>
      <c r="BO95" s="1699"/>
      <c r="BP95" s="1693">
        <v>5</v>
      </c>
      <c r="BQ95" s="1643" t="b">
        <f>IF(BU57=5,1)</f>
        <v>0</v>
      </c>
      <c r="BR95" s="1639"/>
      <c r="BS95" s="1689"/>
      <c r="BT95" s="1689"/>
      <c r="BU95" s="1689"/>
      <c r="BV95" s="1689"/>
      <c r="BW95" s="1689"/>
      <c r="BX95" s="1639"/>
      <c r="BY95" s="1636" t="b">
        <f>IF(BU57=5,9)</f>
        <v>0</v>
      </c>
      <c r="BZ95" s="1554"/>
      <c r="CA95" s="1554"/>
      <c r="CB95" s="1554"/>
      <c r="CC95" s="1554"/>
      <c r="CD95" s="1554"/>
      <c r="CE95" s="1554"/>
      <c r="CF95" s="1554"/>
      <c r="CG95" s="1554"/>
      <c r="CH95" s="1721"/>
      <c r="CI95" s="1554"/>
      <c r="CJ95" s="1720"/>
      <c r="CK95" s="1554"/>
      <c r="CL95" s="1554"/>
      <c r="CM95" s="1554"/>
      <c r="CN95" s="1554"/>
      <c r="CO95" s="1557"/>
      <c r="CP95" s="1557"/>
      <c r="CQ95" s="1557"/>
      <c r="CR95" s="1557"/>
      <c r="CS95" s="1557"/>
      <c r="CT95" s="1557"/>
      <c r="CU95" s="1557"/>
      <c r="CV95" s="1557"/>
      <c r="CW95" s="1557"/>
      <c r="CX95" s="1557"/>
      <c r="CY95" s="1557"/>
      <c r="CZ95" s="1557"/>
      <c r="DA95" s="1557"/>
      <c r="DB95" s="1557"/>
      <c r="DC95" s="1557"/>
      <c r="DD95" s="1557"/>
      <c r="EJ95" s="185"/>
      <c r="EK95" s="185"/>
    </row>
    <row r="96" spans="2:141" ht="21.6" hidden="1" thickBot="1" x14ac:dyDescent="0.45">
      <c r="B96" s="14"/>
      <c r="BF96" s="27"/>
      <c r="BG96" s="27"/>
      <c r="BH96" s="27"/>
      <c r="BI96" s="27"/>
      <c r="BJ96" s="27"/>
      <c r="BK96" s="4"/>
      <c r="BN96" s="1577"/>
      <c r="BO96" s="1699"/>
      <c r="BP96" s="1693">
        <v>4</v>
      </c>
      <c r="BQ96" s="1643" t="b">
        <f>IF(BT57=4,1)</f>
        <v>0</v>
      </c>
      <c r="BR96" s="1689"/>
      <c r="BS96" s="1689"/>
      <c r="BT96" s="1689"/>
      <c r="BU96" s="1689"/>
      <c r="BV96" s="1689"/>
      <c r="BW96" s="1636" t="b">
        <f>IF(BT57=4,7)</f>
        <v>0</v>
      </c>
      <c r="BX96" s="1554"/>
      <c r="BY96" s="1722"/>
      <c r="BZ96" s="1722"/>
      <c r="CA96" s="1554"/>
      <c r="CB96" s="1722"/>
      <c r="CC96" s="1554"/>
      <c r="CD96" s="1554"/>
      <c r="CE96" s="1554"/>
      <c r="CF96" s="1554"/>
      <c r="CG96" s="1554"/>
      <c r="CH96" s="1721"/>
      <c r="CI96" s="1554"/>
      <c r="CJ96" s="1720"/>
      <c r="CK96" s="1554"/>
      <c r="CL96" s="1554"/>
      <c r="CM96" s="1554"/>
      <c r="CN96" s="1554"/>
      <c r="CO96" s="1557"/>
      <c r="CP96" s="1557"/>
      <c r="CQ96" s="1557"/>
      <c r="CR96" s="1557"/>
      <c r="CS96" s="1557"/>
      <c r="CT96" s="1557"/>
      <c r="CU96" s="1557"/>
      <c r="CV96" s="1557"/>
      <c r="CW96" s="1557"/>
      <c r="CX96" s="1557"/>
      <c r="CY96" s="1557"/>
      <c r="CZ96" s="1557"/>
      <c r="DA96" s="1557"/>
      <c r="DB96" s="1557"/>
      <c r="DC96" s="1557"/>
      <c r="DD96" s="1557"/>
      <c r="EJ96" s="185"/>
      <c r="EK96" s="185"/>
    </row>
    <row r="97" spans="2:141" ht="21.6" hidden="1" thickBot="1" x14ac:dyDescent="0.45">
      <c r="B97" s="14"/>
      <c r="BF97" s="27"/>
      <c r="BG97" s="27"/>
      <c r="BH97" s="27"/>
      <c r="BI97" s="27"/>
      <c r="BJ97" s="27"/>
      <c r="BK97" s="4"/>
      <c r="BN97" s="1577"/>
      <c r="BO97" s="1699"/>
      <c r="BP97" s="1693">
        <v>3</v>
      </c>
      <c r="BQ97" s="1643" t="b">
        <f>IF(BS57=3,1)</f>
        <v>0</v>
      </c>
      <c r="BR97" s="1689"/>
      <c r="BS97" s="1689"/>
      <c r="BT97" s="1689"/>
      <c r="BU97" s="1636" t="b">
        <f>IF(BS57=3,5)</f>
        <v>0</v>
      </c>
      <c r="BV97" s="1554"/>
      <c r="BW97" s="1554"/>
      <c r="BX97" s="1554"/>
      <c r="BY97" s="1554"/>
      <c r="BZ97" s="1554"/>
      <c r="CA97" s="1554"/>
      <c r="CB97" s="1554"/>
      <c r="CC97" s="1554"/>
      <c r="CD97" s="1554"/>
      <c r="CE97" s="1554"/>
      <c r="CF97" s="1554"/>
      <c r="CG97" s="1554"/>
      <c r="CH97" s="1721"/>
      <c r="CI97" s="1554"/>
      <c r="CJ97" s="1720"/>
      <c r="CK97" s="1554"/>
      <c r="CL97" s="1554"/>
      <c r="CM97" s="1554"/>
      <c r="CN97" s="1554"/>
      <c r="CO97" s="1557"/>
      <c r="CP97" s="1557"/>
      <c r="CQ97" s="1557"/>
      <c r="CR97" s="1557"/>
      <c r="CS97" s="1557"/>
      <c r="CT97" s="1557"/>
      <c r="CU97" s="1557"/>
      <c r="CV97" s="1557"/>
      <c r="CW97" s="1557"/>
      <c r="CX97" s="1557"/>
      <c r="CY97" s="1557"/>
      <c r="CZ97" s="1557"/>
      <c r="DA97" s="1557"/>
      <c r="DB97" s="1557"/>
      <c r="DC97" s="1557"/>
      <c r="DD97" s="1557"/>
      <c r="EJ97" s="185"/>
      <c r="EK97" s="185"/>
    </row>
    <row r="98" spans="2:141" ht="21" hidden="1" x14ac:dyDescent="0.4">
      <c r="B98" s="55"/>
      <c r="C98" s="55"/>
      <c r="D98" s="56"/>
      <c r="E98" s="56"/>
      <c r="F98" s="56"/>
      <c r="G98" s="56"/>
      <c r="BF98" s="27"/>
      <c r="BG98" s="27"/>
      <c r="BH98" s="27"/>
      <c r="BI98" s="27"/>
      <c r="BJ98" s="27"/>
      <c r="BK98" s="4"/>
      <c r="BN98" s="1577"/>
      <c r="BO98" s="1699"/>
      <c r="BP98" s="1693">
        <v>2</v>
      </c>
      <c r="BQ98" s="1723" t="b">
        <f>IF(BR57=2,1)</f>
        <v>0</v>
      </c>
      <c r="BR98" s="1724"/>
      <c r="BS98" s="1725" t="b">
        <f>IF(BR57=2,3)</f>
        <v>0</v>
      </c>
      <c r="BT98" s="1554"/>
      <c r="BU98" s="1554"/>
      <c r="BV98" s="1554"/>
      <c r="BW98" s="1554"/>
      <c r="BX98" s="1554"/>
      <c r="BY98" s="1554"/>
      <c r="BZ98" s="1554"/>
      <c r="CA98" s="1554"/>
      <c r="CB98" s="1554"/>
      <c r="CC98" s="1554"/>
      <c r="CD98" s="1554"/>
      <c r="CE98" s="1554"/>
      <c r="CF98" s="1554"/>
      <c r="CG98" s="1554"/>
      <c r="CH98" s="1721"/>
      <c r="CI98" s="1554"/>
      <c r="CJ98" s="1720"/>
      <c r="CK98" s="1554"/>
      <c r="CL98" s="1554"/>
      <c r="CM98" s="1554"/>
      <c r="CN98" s="1554"/>
      <c r="CO98" s="1557"/>
      <c r="CP98" s="1557"/>
      <c r="CQ98" s="1557"/>
      <c r="CR98" s="1557"/>
      <c r="CS98" s="1557"/>
      <c r="CT98" s="1557"/>
      <c r="CU98" s="1557"/>
      <c r="CV98" s="1557"/>
      <c r="CW98" s="1557"/>
      <c r="CX98" s="1557"/>
      <c r="CY98" s="1557"/>
      <c r="CZ98" s="1557"/>
      <c r="DA98" s="1557"/>
      <c r="DB98" s="1557"/>
      <c r="DC98" s="1557"/>
      <c r="DD98" s="1557"/>
      <c r="EJ98" s="185"/>
      <c r="EK98" s="185"/>
    </row>
    <row r="99" spans="2:141" ht="21.6" hidden="1" thickBot="1" x14ac:dyDescent="0.45">
      <c r="B99" s="55"/>
      <c r="C99" s="55"/>
      <c r="D99" s="56"/>
      <c r="E99" s="56"/>
      <c r="F99" s="56"/>
      <c r="G99" s="56"/>
      <c r="BF99" s="27"/>
      <c r="BK99" s="4"/>
      <c r="BN99" s="1577"/>
      <c r="BO99" s="1699"/>
      <c r="BP99" s="1726"/>
      <c r="BQ99" s="1727">
        <f t="shared" ref="BQ99:CG99" si="3">SUM(BQ64:BQ98)</f>
        <v>0</v>
      </c>
      <c r="BR99" s="1727">
        <f t="shared" si="3"/>
        <v>0</v>
      </c>
      <c r="BS99" s="1727">
        <f t="shared" si="3"/>
        <v>0</v>
      </c>
      <c r="BT99" s="1727">
        <f t="shared" si="3"/>
        <v>0</v>
      </c>
      <c r="BU99" s="1727">
        <f t="shared" si="3"/>
        <v>0</v>
      </c>
      <c r="BV99" s="1727">
        <f t="shared" si="3"/>
        <v>6</v>
      </c>
      <c r="BW99" s="1727">
        <f t="shared" si="3"/>
        <v>0</v>
      </c>
      <c r="BX99" s="1727">
        <f t="shared" si="3"/>
        <v>0</v>
      </c>
      <c r="BY99" s="1727">
        <f t="shared" si="3"/>
        <v>0</v>
      </c>
      <c r="BZ99" s="1727">
        <f t="shared" si="3"/>
        <v>0</v>
      </c>
      <c r="CA99" s="1727">
        <f t="shared" si="3"/>
        <v>0</v>
      </c>
      <c r="CB99" s="1727">
        <f t="shared" si="3"/>
        <v>0</v>
      </c>
      <c r="CC99" s="1727">
        <f t="shared" si="3"/>
        <v>0</v>
      </c>
      <c r="CD99" s="1727">
        <f t="shared" si="3"/>
        <v>0</v>
      </c>
      <c r="CE99" s="1727">
        <f t="shared" si="3"/>
        <v>0</v>
      </c>
      <c r="CF99" s="1727">
        <f t="shared" si="3"/>
        <v>0</v>
      </c>
      <c r="CG99" s="1728">
        <f t="shared" si="3"/>
        <v>0</v>
      </c>
      <c r="CH99" s="1729"/>
      <c r="CI99" s="1730"/>
      <c r="CJ99" s="1731"/>
      <c r="CK99" s="1732">
        <f t="shared" ref="CK99:DA99" si="4">SUM(CK64:CK98)</f>
        <v>0</v>
      </c>
      <c r="CL99" s="1727">
        <f t="shared" si="4"/>
        <v>0</v>
      </c>
      <c r="CM99" s="1727">
        <f t="shared" si="4"/>
        <v>0</v>
      </c>
      <c r="CN99" s="1727">
        <f t="shared" si="4"/>
        <v>0</v>
      </c>
      <c r="CO99" s="1727">
        <f t="shared" si="4"/>
        <v>0</v>
      </c>
      <c r="CP99" s="1727">
        <f t="shared" si="4"/>
        <v>26</v>
      </c>
      <c r="CQ99" s="1727">
        <f t="shared" si="4"/>
        <v>0</v>
      </c>
      <c r="CR99" s="1727">
        <f t="shared" si="4"/>
        <v>0</v>
      </c>
      <c r="CS99" s="1727">
        <f t="shared" si="4"/>
        <v>0</v>
      </c>
      <c r="CT99" s="1727">
        <f t="shared" si="4"/>
        <v>0</v>
      </c>
      <c r="CU99" s="1727">
        <f t="shared" si="4"/>
        <v>0</v>
      </c>
      <c r="CV99" s="1727">
        <f t="shared" si="4"/>
        <v>0</v>
      </c>
      <c r="CW99" s="1727">
        <f t="shared" si="4"/>
        <v>0</v>
      </c>
      <c r="CX99" s="1727">
        <f t="shared" si="4"/>
        <v>0</v>
      </c>
      <c r="CY99" s="1727">
        <f t="shared" si="4"/>
        <v>0</v>
      </c>
      <c r="CZ99" s="1727">
        <f t="shared" si="4"/>
        <v>0</v>
      </c>
      <c r="DA99" s="1727">
        <f t="shared" si="4"/>
        <v>0</v>
      </c>
      <c r="DB99" s="1557"/>
      <c r="DC99" s="1557"/>
      <c r="DD99" s="1557"/>
      <c r="EJ99" s="185"/>
      <c r="EK99" s="185"/>
    </row>
    <row r="100" spans="2:141" ht="174" customHeight="1" thickBot="1" x14ac:dyDescent="0.45">
      <c r="B100" s="55"/>
      <c r="C100" s="55"/>
      <c r="D100" s="56"/>
      <c r="E100" s="56"/>
      <c r="F100" s="56"/>
      <c r="G100" s="56"/>
      <c r="BF100" s="27"/>
      <c r="BK100" s="4"/>
      <c r="BN100" s="1577"/>
      <c r="BO100" s="1699"/>
      <c r="BP100" s="1726"/>
      <c r="BQ100" s="1733"/>
      <c r="BR100" s="1733"/>
      <c r="BS100" s="1733"/>
      <c r="BT100" s="1733"/>
      <c r="BU100" s="1733"/>
      <c r="BV100" s="1733"/>
      <c r="BW100" s="1733"/>
      <c r="BX100" s="1733"/>
      <c r="BY100" s="1733"/>
      <c r="BZ100" s="1733"/>
      <c r="CA100" s="1733"/>
      <c r="CB100" s="1733"/>
      <c r="CC100" s="1733"/>
      <c r="CD100" s="1733"/>
      <c r="CE100" s="1733"/>
      <c r="CF100" s="1733"/>
      <c r="CG100" s="1733"/>
      <c r="CH100" s="1733"/>
      <c r="CI100" s="1733"/>
      <c r="CJ100" s="1733"/>
      <c r="CK100" s="1733"/>
      <c r="CL100" s="1733"/>
      <c r="CM100" s="1733"/>
      <c r="CN100" s="1733"/>
      <c r="CO100" s="1733"/>
      <c r="CP100" s="1733"/>
      <c r="CQ100" s="1733"/>
      <c r="CR100" s="1733"/>
      <c r="CS100" s="1733"/>
      <c r="CT100" s="1733"/>
      <c r="CU100" s="1733"/>
      <c r="CV100" s="1733"/>
      <c r="CW100" s="1733"/>
      <c r="CX100" s="1733"/>
      <c r="CY100" s="1733"/>
      <c r="CZ100" s="1733"/>
      <c r="DA100" s="1733"/>
      <c r="DB100" s="1557"/>
      <c r="DC100" s="1557"/>
      <c r="DD100" s="1557"/>
      <c r="EJ100" s="185"/>
      <c r="EK100" s="185"/>
    </row>
    <row r="101" spans="2:141" ht="48" customHeight="1" thickBot="1" x14ac:dyDescent="0.45">
      <c r="B101" s="25"/>
      <c r="D101" s="416" t="str">
        <f>IF(BL107&gt;0," ","change the angle of frame or of cabinets")</f>
        <v xml:space="preserve"> </v>
      </c>
      <c r="E101" s="114"/>
      <c r="F101" s="114"/>
      <c r="G101" s="114"/>
      <c r="H101" s="244"/>
      <c r="I101" s="244"/>
      <c r="J101" s="244"/>
      <c r="K101" s="244"/>
      <c r="L101" s="244"/>
      <c r="M101" s="244"/>
      <c r="N101" s="244"/>
      <c r="O101" s="244"/>
      <c r="P101" s="244"/>
      <c r="Q101" s="244"/>
      <c r="R101" s="244"/>
      <c r="S101" s="244"/>
      <c r="T101" s="244"/>
      <c r="V101" s="244"/>
      <c r="W101" s="244"/>
      <c r="X101" s="244"/>
      <c r="Y101" s="244"/>
      <c r="Z101" s="244"/>
      <c r="AA101" s="244"/>
      <c r="AF101" s="244"/>
      <c r="AG101" s="244"/>
      <c r="AH101" s="244"/>
      <c r="AI101" s="244"/>
      <c r="AJ101" s="244"/>
      <c r="AK101" s="244"/>
      <c r="AL101" s="244"/>
      <c r="AM101" s="244"/>
      <c r="AN101" s="244"/>
      <c r="AO101" s="244"/>
      <c r="AP101" s="244"/>
      <c r="AQ101" s="244"/>
      <c r="AR101" s="244"/>
      <c r="AS101" s="244"/>
      <c r="AT101" s="244"/>
      <c r="AU101" s="244"/>
      <c r="AV101" s="244"/>
      <c r="AW101" s="244"/>
      <c r="AX101" s="244"/>
      <c r="AY101" s="244"/>
      <c r="AZ101" s="244"/>
      <c r="BA101" s="244"/>
      <c r="BB101" s="7"/>
      <c r="BF101" s="27"/>
      <c r="BK101" s="27"/>
      <c r="BN101" s="1577"/>
      <c r="BO101" s="1561" t="s">
        <v>227</v>
      </c>
      <c r="BP101" s="1734" t="s">
        <v>234</v>
      </c>
      <c r="BQ101" s="1735" t="str">
        <f>IF(BQ99=1,"17","")</f>
        <v/>
      </c>
      <c r="BR101" s="1736" t="str">
        <f>IF(BR99=2,"16","")</f>
        <v/>
      </c>
      <c r="BS101" s="1736" t="str">
        <f>IF(BS99=3,"15","")</f>
        <v/>
      </c>
      <c r="BT101" s="1736" t="str">
        <f>IF(BT99=4,"14","")</f>
        <v/>
      </c>
      <c r="BU101" s="1736" t="str">
        <f>IF(BU99=5,"13","")</f>
        <v/>
      </c>
      <c r="BV101" s="1736" t="str">
        <f>IF(BV99=6,"12","")</f>
        <v>12</v>
      </c>
      <c r="BW101" s="1736" t="str">
        <f>IF(BW99=7,"11","")</f>
        <v/>
      </c>
      <c r="BX101" s="1736" t="str">
        <f>IF(BX99=8,"10","")</f>
        <v/>
      </c>
      <c r="BY101" s="1736" t="str">
        <f>IF(BY99=9,"9","")</f>
        <v/>
      </c>
      <c r="BZ101" s="1736" t="str">
        <f>IF(BZ99=10,"8","")</f>
        <v/>
      </c>
      <c r="CA101" s="1736" t="str">
        <f>IF(CA99=11,"7","")</f>
        <v/>
      </c>
      <c r="CB101" s="1737" t="str">
        <f>IF(CB99=12,"6  ADS ","")</f>
        <v/>
      </c>
      <c r="CC101" s="1736" t="str">
        <f>IF(CC99=13,"5","")</f>
        <v/>
      </c>
      <c r="CD101" s="1736" t="str">
        <f>IF(CD99=14,"4","")</f>
        <v/>
      </c>
      <c r="CE101" s="1736" t="str">
        <f>IF(CE99=15,"3","")</f>
        <v/>
      </c>
      <c r="CF101" s="1736" t="str">
        <f>IF(CF99=16,"2","")</f>
        <v/>
      </c>
      <c r="CG101" s="1736" t="str">
        <f>IF(CG99=17,"1","")</f>
        <v/>
      </c>
      <c r="CH101" s="1738"/>
      <c r="CI101" s="1739"/>
      <c r="CJ101" s="1740"/>
      <c r="CK101" s="1741" t="str">
        <f>IF(CK99=21,"1 ","")</f>
        <v/>
      </c>
      <c r="CL101" s="1742" t="str">
        <f>IF(CL99=22,"2 ","")</f>
        <v/>
      </c>
      <c r="CM101" s="1742" t="str">
        <f>IF(CM99=23,"3 ","")</f>
        <v/>
      </c>
      <c r="CN101" s="1742" t="str">
        <f>IF(CN99=24,"4 ","")</f>
        <v/>
      </c>
      <c r="CO101" s="1742" t="str">
        <f>IF(CO99=25,"5 ","")</f>
        <v/>
      </c>
      <c r="CP101" s="1743" t="str">
        <f>IF(CP99=26,"6  ADS ","")</f>
        <v xml:space="preserve">6  ADS </v>
      </c>
      <c r="CQ101" s="1742" t="str">
        <f>IF(CQ99=27,"7 ","")</f>
        <v/>
      </c>
      <c r="CR101" s="1742" t="str">
        <f>IF(CR99=28,"8 ","")</f>
        <v/>
      </c>
      <c r="CS101" s="1742" t="str">
        <f>IF(CS99=29,"9 ","")</f>
        <v/>
      </c>
      <c r="CT101" s="1742" t="str">
        <f>IF(CT99=30,"10 ","")</f>
        <v/>
      </c>
      <c r="CU101" s="1742" t="str">
        <f>IF(CU99=31,"11 ","")</f>
        <v/>
      </c>
      <c r="CV101" s="1742" t="str">
        <f>IF(CV99=32,"12 ","")</f>
        <v/>
      </c>
      <c r="CW101" s="1742" t="str">
        <f>IF(CW99=33,"13 ","")</f>
        <v/>
      </c>
      <c r="CX101" s="1742" t="str">
        <f>IF(CX99=34,"14 ","")</f>
        <v/>
      </c>
      <c r="CY101" s="1742" t="str">
        <f>IF(CY99=35,"15 ","")</f>
        <v/>
      </c>
      <c r="CZ101" s="1742" t="str">
        <f>IF(CZ99=36,"16 ","")</f>
        <v/>
      </c>
      <c r="DA101" s="1744" t="str">
        <f>IF(DA99=37,"17 ","")</f>
        <v/>
      </c>
      <c r="DB101" s="1745"/>
      <c r="DC101" s="1557"/>
      <c r="DD101" s="1557"/>
      <c r="EJ101" s="185"/>
      <c r="EK101" s="185"/>
    </row>
    <row r="102" spans="2:141" ht="45" customHeight="1" thickBot="1" x14ac:dyDescent="0.45">
      <c r="B102" s="2043" t="s">
        <v>226</v>
      </c>
      <c r="D102" s="416" t="str">
        <f>IF(DD107&lt;0," ","change the angle of frame or of cabinets")</f>
        <v xml:space="preserve"> </v>
      </c>
      <c r="E102" s="114"/>
      <c r="F102" s="114"/>
      <c r="G102" s="114"/>
      <c r="H102" s="244"/>
      <c r="I102" s="244"/>
      <c r="J102" s="244"/>
      <c r="K102" s="244"/>
      <c r="L102" s="244"/>
      <c r="M102" s="244"/>
      <c r="N102" s="244"/>
      <c r="O102" s="244"/>
      <c r="P102" s="244"/>
      <c r="Q102" s="244"/>
      <c r="R102" s="244"/>
      <c r="S102" s="244"/>
      <c r="T102" s="244"/>
      <c r="V102" s="313"/>
      <c r="W102" s="313"/>
      <c r="X102" s="313"/>
      <c r="Y102" s="313"/>
      <c r="Z102" s="313"/>
      <c r="AA102" s="313"/>
      <c r="AF102" s="266"/>
      <c r="AG102" s="266"/>
      <c r="AH102" s="266"/>
      <c r="AI102" s="266"/>
      <c r="AJ102" s="266"/>
      <c r="AK102" s="266"/>
      <c r="AL102" s="266"/>
      <c r="AM102" s="266"/>
      <c r="AN102" s="266"/>
      <c r="AO102" s="266"/>
      <c r="AP102" s="266"/>
      <c r="AQ102" s="266"/>
      <c r="AR102" s="266"/>
      <c r="AS102" s="266"/>
      <c r="AT102" s="266"/>
      <c r="AU102" s="266"/>
      <c r="AV102" s="266"/>
      <c r="AW102" s="266"/>
      <c r="AX102" s="266"/>
      <c r="AY102" s="266"/>
      <c r="AZ102" s="266"/>
      <c r="BA102" s="266"/>
      <c r="BB102" s="32"/>
      <c r="BF102" s="27"/>
      <c r="BH102" s="1550"/>
      <c r="BI102" s="1550"/>
      <c r="BJ102" s="1550"/>
      <c r="BK102" s="27"/>
      <c r="BM102" s="1550" t="b">
        <f>AND(BO102&gt;=10,$AZ$110&gt;=10,$BA$110&gt;=10)</f>
        <v>1</v>
      </c>
      <c r="BN102" s="1570" t="str">
        <f>IF(BM102=TRUE,"O K","OVERLOAD")</f>
        <v>O K</v>
      </c>
      <c r="BO102" s="1571">
        <f>+$D$20/(BQ25/2)</f>
        <v>90.497737556561077</v>
      </c>
      <c r="BP102" s="1667" t="s">
        <v>233</v>
      </c>
      <c r="BQ102" s="1668">
        <v>-10</v>
      </c>
      <c r="BR102" s="1668">
        <v>-9</v>
      </c>
      <c r="BS102" s="1668">
        <v>-8</v>
      </c>
      <c r="BT102" s="1668">
        <v>-7</v>
      </c>
      <c r="BU102" s="1668">
        <v>-6</v>
      </c>
      <c r="BV102" s="1668">
        <v>-5</v>
      </c>
      <c r="BW102" s="1668">
        <v>-4</v>
      </c>
      <c r="BX102" s="1668">
        <v>-3</v>
      </c>
      <c r="BY102" s="1668">
        <v>-2</v>
      </c>
      <c r="BZ102" s="1668">
        <v>-1</v>
      </c>
      <c r="CA102" s="1668">
        <v>0</v>
      </c>
      <c r="CB102" s="1668">
        <v>1</v>
      </c>
      <c r="CC102" s="1668">
        <v>2</v>
      </c>
      <c r="CD102" s="1668">
        <v>3</v>
      </c>
      <c r="CE102" s="1668">
        <v>4</v>
      </c>
      <c r="CF102" s="1668">
        <v>5</v>
      </c>
      <c r="CG102" s="1668">
        <v>6</v>
      </c>
      <c r="CH102" s="1668">
        <v>7</v>
      </c>
      <c r="CI102" s="1668">
        <v>8</v>
      </c>
      <c r="CJ102" s="1668">
        <v>9</v>
      </c>
      <c r="CK102" s="1668">
        <v>10</v>
      </c>
      <c r="CL102" s="1668">
        <v>11</v>
      </c>
      <c r="CM102" s="1668">
        <v>12</v>
      </c>
      <c r="CN102" s="1668">
        <v>13</v>
      </c>
      <c r="CO102" s="1668">
        <v>14</v>
      </c>
      <c r="CP102" s="1668">
        <v>15</v>
      </c>
      <c r="CQ102" s="1668">
        <v>16</v>
      </c>
      <c r="CR102" s="1668">
        <v>17</v>
      </c>
      <c r="CS102" s="1668">
        <v>18</v>
      </c>
      <c r="CT102" s="1668">
        <v>19</v>
      </c>
      <c r="CU102" s="1668">
        <v>20</v>
      </c>
      <c r="CV102" s="1668">
        <v>21</v>
      </c>
      <c r="CW102" s="1668">
        <v>22</v>
      </c>
      <c r="CX102" s="1668">
        <v>23</v>
      </c>
      <c r="CY102" s="1668">
        <v>24</v>
      </c>
      <c r="CZ102" s="1668">
        <v>25</v>
      </c>
      <c r="DA102" s="1670">
        <v>26</v>
      </c>
      <c r="DB102" s="1557"/>
      <c r="DC102" s="1557"/>
      <c r="DD102" s="1557"/>
      <c r="EJ102" s="185"/>
      <c r="EK102" s="185"/>
    </row>
    <row r="103" spans="2:141" ht="47.25" customHeight="1" thickBot="1" x14ac:dyDescent="0.5">
      <c r="B103" s="2044"/>
      <c r="C103" s="749"/>
      <c r="D103" s="1775" t="str">
        <f>IF(BL107&gt;(+COS(($B$104*-1)*3.14159265358979/180)*451.5)," ","USE EXBAR AR AT THE FRONT")</f>
        <v xml:space="preserve"> </v>
      </c>
      <c r="E103" s="114"/>
      <c r="F103" s="114"/>
      <c r="G103" s="114"/>
      <c r="H103" s="244"/>
      <c r="I103" s="244"/>
      <c r="J103" s="244"/>
      <c r="K103" s="244"/>
      <c r="L103" s="244"/>
      <c r="M103" s="244"/>
      <c r="N103" s="244"/>
      <c r="O103" s="244"/>
      <c r="P103" s="244"/>
      <c r="Q103" s="244"/>
      <c r="R103" s="244"/>
      <c r="S103" s="244"/>
      <c r="T103" s="244"/>
      <c r="AF103" s="244"/>
      <c r="AG103" s="244"/>
      <c r="AH103" s="244"/>
      <c r="AI103" s="244"/>
      <c r="AJ103" s="244"/>
      <c r="AK103" s="244"/>
      <c r="AL103" s="244"/>
      <c r="AM103" s="244"/>
      <c r="AN103" s="244"/>
      <c r="AO103" s="244"/>
      <c r="AP103" s="244"/>
      <c r="AQ103" s="244"/>
      <c r="AR103" s="244"/>
      <c r="AS103" s="244"/>
      <c r="AT103" s="244"/>
      <c r="AU103" s="244"/>
      <c r="AV103" s="244"/>
      <c r="AW103" s="244"/>
      <c r="AX103" s="244"/>
      <c r="AY103" s="244"/>
      <c r="AZ103" s="244"/>
      <c r="BA103" s="244"/>
      <c r="BB103" s="7"/>
      <c r="BF103" s="27"/>
      <c r="BH103" s="1550"/>
      <c r="BI103" s="1550"/>
      <c r="BJ103" s="1550"/>
      <c r="BK103" s="27"/>
      <c r="BL103" s="1623"/>
      <c r="BM103" s="1623"/>
      <c r="BN103" s="1623"/>
      <c r="BO103" s="1623"/>
      <c r="BP103" s="1557"/>
      <c r="BQ103" s="1671"/>
      <c r="BR103" s="1671"/>
      <c r="BS103" s="1671"/>
      <c r="BT103" s="1671"/>
      <c r="BU103" s="1671"/>
      <c r="BV103" s="1671"/>
      <c r="BW103" s="1671"/>
      <c r="BX103" s="1671"/>
      <c r="BY103" s="1671"/>
      <c r="BZ103" s="1671"/>
      <c r="CA103" s="1671"/>
      <c r="CB103" s="1746"/>
      <c r="CC103" s="1671"/>
      <c r="CD103" s="1671"/>
      <c r="CE103" s="1671"/>
      <c r="CF103" s="1671"/>
      <c r="CG103" s="1671"/>
      <c r="CH103" s="1671"/>
      <c r="CI103" s="1671"/>
      <c r="CJ103" s="1671"/>
      <c r="CK103" s="1671"/>
      <c r="CL103" s="1671"/>
      <c r="CM103" s="1671"/>
      <c r="CN103" s="1671"/>
      <c r="CO103" s="1671"/>
      <c r="CP103" s="1671"/>
      <c r="CQ103" s="1671"/>
      <c r="CR103" s="1671"/>
      <c r="CS103" s="1671"/>
      <c r="CT103" s="1671"/>
      <c r="CU103" s="1671"/>
      <c r="CV103" s="1671"/>
      <c r="CW103" s="1671"/>
      <c r="CX103" s="1671"/>
      <c r="CY103" s="1671"/>
      <c r="CZ103" s="1671"/>
      <c r="DA103" s="1671"/>
      <c r="DB103" s="1671"/>
      <c r="EJ103" s="185"/>
      <c r="EK103" s="185"/>
    </row>
    <row r="104" spans="2:141" ht="47.25" customHeight="1" thickBot="1" x14ac:dyDescent="0.45">
      <c r="B104" s="741">
        <v>0</v>
      </c>
      <c r="C104" s="749"/>
      <c r="D104" s="1776" t="str">
        <f>IF(DD107&lt;-(+COS(($B$104*-1)*3.14159265358979/180)*365.5)," ","USE EXBAR AR AT THE BACK")</f>
        <v xml:space="preserve"> </v>
      </c>
      <c r="E104" s="114"/>
      <c r="F104" s="114"/>
      <c r="G104" s="114"/>
      <c r="AF104" s="244"/>
      <c r="AG104" s="244"/>
      <c r="AH104" s="244"/>
      <c r="AI104" s="244"/>
      <c r="AJ104" s="244"/>
      <c r="AK104" s="244"/>
      <c r="AL104" s="244"/>
      <c r="AM104" s="244"/>
      <c r="AN104" s="244"/>
      <c r="AO104" s="244"/>
      <c r="AP104" s="244"/>
      <c r="AQ104" s="244"/>
      <c r="AR104" s="244"/>
      <c r="AS104" s="244"/>
      <c r="AT104" s="244"/>
      <c r="AU104" s="244"/>
      <c r="AV104" s="244"/>
      <c r="AW104" s="244"/>
      <c r="AX104" s="244"/>
      <c r="AY104" s="244"/>
      <c r="AZ104" s="244"/>
      <c r="BA104" s="244"/>
      <c r="BB104" s="7"/>
      <c r="BF104" s="27"/>
      <c r="BH104" s="1550"/>
      <c r="BI104" s="1550"/>
      <c r="BJ104" s="1550"/>
      <c r="BK104" s="27"/>
      <c r="BL104" s="1623"/>
      <c r="BM104" s="1623"/>
      <c r="BN104" s="1623"/>
      <c r="BO104" s="1623"/>
      <c r="BP104" s="1554"/>
      <c r="BQ104" s="1554"/>
      <c r="BR104" s="1554"/>
      <c r="BS104" s="1554"/>
      <c r="BT104" s="1554"/>
      <c r="BU104" s="1554"/>
      <c r="BV104" s="1747"/>
      <c r="BW104" s="1747"/>
      <c r="BX104" s="1747"/>
      <c r="BY104" s="1747"/>
      <c r="BZ104" s="1747"/>
      <c r="CA104" s="1747"/>
      <c r="CB104" s="1747"/>
      <c r="CC104" s="1747"/>
      <c r="CD104" s="1747"/>
      <c r="CE104" s="1747"/>
      <c r="CF104" s="1747"/>
      <c r="CG104" s="1747"/>
      <c r="CH104" s="1747"/>
      <c r="CI104" s="1747"/>
      <c r="CJ104" s="1556"/>
      <c r="CK104" s="1557"/>
      <c r="CL104" s="1557"/>
      <c r="CM104" s="1557"/>
      <c r="CN104" s="1557"/>
      <c r="CO104" s="1557"/>
      <c r="CP104" s="1557"/>
      <c r="CQ104" s="1557"/>
      <c r="CR104" s="1557"/>
      <c r="CS104" s="1557"/>
      <c r="CT104" s="1557"/>
      <c r="CU104" s="1557"/>
      <c r="CV104" s="1557"/>
      <c r="CW104" s="1557"/>
      <c r="CX104" s="1557"/>
      <c r="CY104" s="1557"/>
      <c r="CZ104" s="1557"/>
      <c r="DA104" s="1557"/>
      <c r="DB104" s="1557"/>
      <c r="DC104" s="1557"/>
      <c r="DD104" s="1557"/>
      <c r="EJ104" s="185"/>
      <c r="EK104" s="185"/>
    </row>
    <row r="105" spans="2:141" ht="21" thickBot="1" x14ac:dyDescent="0.4">
      <c r="AF105" s="244"/>
      <c r="AG105" s="244"/>
      <c r="AH105" s="244"/>
      <c r="AI105" s="244"/>
      <c r="AJ105" s="244"/>
      <c r="AK105" s="244"/>
      <c r="AL105" s="244"/>
      <c r="AM105" s="244"/>
      <c r="AN105" s="244"/>
      <c r="AO105" s="244"/>
      <c r="AP105" s="244"/>
      <c r="AQ105" s="244"/>
      <c r="AR105" s="244"/>
      <c r="AS105" s="244"/>
      <c r="AT105" s="244"/>
      <c r="AU105" s="244"/>
      <c r="AV105" s="244"/>
      <c r="AW105" s="244"/>
      <c r="AX105" s="244"/>
      <c r="AY105" s="244"/>
      <c r="AZ105" s="244"/>
      <c r="BA105" s="244"/>
      <c r="BB105" s="7"/>
      <c r="BF105" s="27"/>
      <c r="BH105" s="1550"/>
      <c r="BI105" s="1550"/>
      <c r="BJ105" s="1550"/>
      <c r="BK105" s="27"/>
      <c r="BL105" s="1623"/>
      <c r="BM105" s="1623"/>
      <c r="BN105" s="1623"/>
      <c r="BO105" s="1623"/>
      <c r="BP105" s="1748"/>
      <c r="BQ105" s="1748"/>
      <c r="BR105" s="1748"/>
      <c r="BS105" s="1748"/>
      <c r="BT105" s="1748"/>
      <c r="BU105" s="1748"/>
      <c r="BV105" s="1749"/>
      <c r="BW105" s="1749"/>
      <c r="BX105" s="1749"/>
      <c r="BY105" s="1749"/>
      <c r="BZ105" s="1749"/>
      <c r="CA105" s="1749"/>
      <c r="CB105" s="1749"/>
      <c r="CC105" s="1749"/>
      <c r="CD105" s="1749"/>
      <c r="CE105" s="1749"/>
      <c r="CF105" s="1749"/>
      <c r="CG105" s="1749"/>
      <c r="CH105" s="1749"/>
      <c r="CI105" s="1749"/>
      <c r="CJ105" s="1750"/>
      <c r="EJ105" s="185"/>
      <c r="EK105" s="185"/>
    </row>
    <row r="106" spans="2:141" ht="48" customHeight="1" thickTop="1" thickBot="1" x14ac:dyDescent="0.4">
      <c r="B106" s="702" t="s">
        <v>43</v>
      </c>
      <c r="C106" s="136"/>
      <c r="D106" s="19"/>
      <c r="E106" s="19"/>
      <c r="F106" s="19"/>
      <c r="G106" s="19"/>
      <c r="T106" s="245"/>
      <c r="U106" s="244"/>
      <c r="V106" s="244"/>
      <c r="W106" s="244"/>
      <c r="X106" s="244"/>
      <c r="Y106" s="244"/>
      <c r="Z106" s="244"/>
      <c r="AA106" s="244"/>
      <c r="AB106" s="244"/>
      <c r="AC106" s="244"/>
      <c r="AD106" s="244"/>
      <c r="AE106" s="244"/>
      <c r="AF106" s="244"/>
      <c r="AG106" s="244"/>
      <c r="AH106" s="244"/>
      <c r="AI106" s="244"/>
      <c r="AJ106" s="244"/>
      <c r="AK106" s="244"/>
      <c r="AL106" s="244"/>
      <c r="AM106" s="244"/>
      <c r="AN106" s="244"/>
      <c r="AO106" s="244"/>
      <c r="AP106" s="244"/>
      <c r="AQ106" s="244"/>
      <c r="AR106" s="244"/>
      <c r="AS106" s="244"/>
      <c r="AT106" s="244"/>
      <c r="AU106" s="244"/>
      <c r="AV106" s="244"/>
      <c r="AW106" s="244"/>
      <c r="AX106" s="244"/>
      <c r="AY106" s="244"/>
      <c r="AZ106" s="244"/>
      <c r="BA106" s="244"/>
      <c r="BB106" s="7"/>
      <c r="BC106" s="7"/>
      <c r="BH106" s="1550"/>
      <c r="BI106" s="1550"/>
      <c r="BJ106" s="1550"/>
      <c r="BK106" s="27"/>
      <c r="BL106" s="1751" t="s">
        <v>95</v>
      </c>
      <c r="BM106" s="1623"/>
      <c r="BN106" s="1752"/>
      <c r="BO106" s="1623"/>
      <c r="BP106" s="1552"/>
      <c r="BS106" s="1748"/>
      <c r="BT106" s="1748"/>
      <c r="BU106" s="1748"/>
      <c r="BV106" s="1749"/>
      <c r="BW106" s="1749"/>
      <c r="BX106" s="1749"/>
      <c r="BY106" s="1749"/>
      <c r="BZ106" s="1749"/>
      <c r="CA106" s="1749"/>
      <c r="CB106" s="1749"/>
      <c r="CC106" s="1749"/>
      <c r="CD106" s="1749"/>
      <c r="CE106" s="1749"/>
      <c r="CF106" s="1749"/>
      <c r="CG106" s="1749"/>
      <c r="CH106" s="1749"/>
      <c r="CI106" s="1749"/>
      <c r="CJ106" s="1750"/>
      <c r="CR106" s="1552"/>
      <c r="DD106" s="1751" t="s">
        <v>94</v>
      </c>
      <c r="EJ106" s="185"/>
      <c r="EK106" s="185"/>
    </row>
    <row r="107" spans="2:141" ht="36" customHeight="1" thickTop="1" thickBot="1" x14ac:dyDescent="0.45">
      <c r="B107" s="742">
        <v>1</v>
      </c>
      <c r="C107" s="671"/>
      <c r="D107" s="706" t="s">
        <v>104</v>
      </c>
      <c r="E107" s="445"/>
      <c r="F107" s="445"/>
      <c r="G107" s="445"/>
      <c r="H107" s="1498" t="s">
        <v>172</v>
      </c>
      <c r="I107" s="1498" t="s">
        <v>173</v>
      </c>
      <c r="J107" s="1498" t="s">
        <v>174</v>
      </c>
      <c r="K107"/>
      <c r="L107"/>
      <c r="M107"/>
      <c r="N107"/>
      <c r="O107"/>
      <c r="P107" s="1498" t="s">
        <v>175</v>
      </c>
      <c r="Q107" s="1498" t="s">
        <v>176</v>
      </c>
      <c r="R107" s="445"/>
      <c r="S107" s="1498" t="s">
        <v>177</v>
      </c>
      <c r="T107" s="307"/>
      <c r="W107" s="2047" t="s">
        <v>178</v>
      </c>
      <c r="X107" s="2047"/>
      <c r="Y107" s="2047"/>
      <c r="Z107" s="2047"/>
      <c r="AA107" s="2047"/>
      <c r="AF107" s="244"/>
      <c r="AG107" s="244"/>
      <c r="AH107" s="244"/>
      <c r="AI107" s="244"/>
      <c r="AJ107" s="244"/>
      <c r="AK107" s="244"/>
      <c r="AL107" s="244"/>
      <c r="AM107" s="244"/>
      <c r="AN107" s="244"/>
      <c r="AO107" s="244"/>
      <c r="AP107" s="244"/>
      <c r="AQ107" s="244"/>
      <c r="AR107" s="244"/>
      <c r="AS107" s="244"/>
      <c r="AT107" s="244"/>
      <c r="AU107" s="244"/>
      <c r="AV107" s="244"/>
      <c r="AW107" s="244"/>
      <c r="AX107" s="244"/>
      <c r="AY107" s="272"/>
      <c r="AZ107" s="2045" t="s">
        <v>68</v>
      </c>
      <c r="BA107" s="2046"/>
      <c r="BB107" s="7"/>
      <c r="BC107" s="7"/>
      <c r="BF107" s="27"/>
      <c r="BH107" s="1550"/>
      <c r="BI107" s="1550"/>
      <c r="BJ107" s="1550"/>
      <c r="BK107" s="27"/>
      <c r="BL107" s="1751">
        <f>-+BN165</f>
        <v>632.74659790113878</v>
      </c>
      <c r="BM107" s="1623"/>
      <c r="BN107" s="1752"/>
      <c r="BO107" s="1623"/>
      <c r="BP107" s="1552"/>
      <c r="BS107" s="1748"/>
      <c r="BT107" s="1748"/>
      <c r="BU107" s="1748"/>
      <c r="BV107" s="1749"/>
      <c r="BW107" s="1749"/>
      <c r="BX107" s="1749"/>
      <c r="BY107" s="1749"/>
      <c r="BZ107" s="1749"/>
      <c r="CA107" s="1749"/>
      <c r="CB107" s="1749"/>
      <c r="CC107" s="1749"/>
      <c r="CD107" s="1749"/>
      <c r="CE107" s="1749"/>
      <c r="CF107" s="1749"/>
      <c r="CG107" s="1749"/>
      <c r="CH107" s="1749"/>
      <c r="CI107" s="1749"/>
      <c r="CJ107" s="1750"/>
      <c r="CP107" s="1753"/>
      <c r="CR107" s="1552"/>
      <c r="DD107" s="1751">
        <f>+-BN201</f>
        <v>-915.25340209886122</v>
      </c>
      <c r="EJ107" s="185"/>
      <c r="EK107" s="185"/>
    </row>
    <row r="108" spans="2:141" ht="21.6" hidden="1" thickTop="1" thickBot="1" x14ac:dyDescent="0.4">
      <c r="B108" s="358"/>
      <c r="C108" s="76"/>
      <c r="D108" s="705" t="s">
        <v>13</v>
      </c>
      <c r="E108" s="15"/>
      <c r="F108" s="15"/>
      <c r="G108" s="15"/>
      <c r="H108" s="309" t="s">
        <v>4</v>
      </c>
      <c r="I108" s="309" t="s">
        <v>1</v>
      </c>
      <c r="J108" s="334" t="s">
        <v>119</v>
      </c>
      <c r="K108" s="305" t="s">
        <v>2</v>
      </c>
      <c r="L108" s="305" t="s">
        <v>3</v>
      </c>
      <c r="M108" s="305" t="s">
        <v>8</v>
      </c>
      <c r="N108" s="305" t="s">
        <v>5</v>
      </c>
      <c r="O108" s="305" t="s">
        <v>6</v>
      </c>
      <c r="P108" s="305" t="s">
        <v>7</v>
      </c>
      <c r="Q108" s="305" t="s">
        <v>9</v>
      </c>
      <c r="R108" s="309" t="s">
        <v>10</v>
      </c>
      <c r="S108" s="305" t="s">
        <v>11</v>
      </c>
      <c r="T108" s="306" t="s">
        <v>12</v>
      </c>
      <c r="W108" s="309" t="s">
        <v>182</v>
      </c>
      <c r="X108" s="447" t="s">
        <v>179</v>
      </c>
      <c r="Y108" s="309" t="s">
        <v>183</v>
      </c>
      <c r="Z108" s="448" t="s">
        <v>180</v>
      </c>
      <c r="AA108" s="448" t="s">
        <v>181</v>
      </c>
      <c r="AC108" s="305" t="s">
        <v>184</v>
      </c>
      <c r="AD108" s="305"/>
      <c r="AE108" s="305"/>
      <c r="AF108" s="273"/>
      <c r="AG108" s="273"/>
      <c r="AH108" s="273"/>
      <c r="AI108" s="273"/>
      <c r="AJ108" s="273"/>
      <c r="AK108" s="273"/>
      <c r="AL108" s="273"/>
      <c r="AM108" s="273"/>
      <c r="AN108" s="273"/>
      <c r="AO108" s="273" t="s">
        <v>108</v>
      </c>
      <c r="AP108" s="273"/>
      <c r="AQ108" s="273" t="s">
        <v>108</v>
      </c>
      <c r="AR108" s="273"/>
      <c r="AS108" s="273"/>
      <c r="AT108" s="273" t="s">
        <v>108</v>
      </c>
      <c r="AU108" s="273"/>
      <c r="AV108" s="273"/>
      <c r="AW108" s="273"/>
      <c r="AX108" s="272"/>
      <c r="AY108" s="272"/>
      <c r="AZ108" s="273"/>
      <c r="BA108" s="273"/>
      <c r="BB108" s="6"/>
      <c r="BH108" s="1550"/>
      <c r="BI108" s="1550"/>
      <c r="BJ108" s="1550"/>
      <c r="BK108" s="27"/>
      <c r="EJ108" s="185"/>
      <c r="EK108" s="185"/>
    </row>
    <row r="109" spans="2:141" ht="31.5" customHeight="1" thickTop="1" thickBot="1" x14ac:dyDescent="0.45">
      <c r="B109" s="90"/>
      <c r="C109" s="139"/>
      <c r="D109" s="670" t="s">
        <v>24</v>
      </c>
      <c r="E109" s="445"/>
      <c r="F109" s="445"/>
      <c r="G109" s="50"/>
      <c r="H109" s="309"/>
      <c r="I109" s="309"/>
      <c r="J109" s="334"/>
      <c r="K109" s="305"/>
      <c r="L109" s="305"/>
      <c r="M109" s="305"/>
      <c r="N109" s="305"/>
      <c r="O109" s="305"/>
      <c r="P109" s="305"/>
      <c r="Q109" s="305"/>
      <c r="R109" s="309"/>
      <c r="S109" s="305"/>
      <c r="T109" s="306"/>
      <c r="U109" s="265"/>
      <c r="V109" s="273"/>
      <c r="W109" s="273"/>
      <c r="X109" s="273"/>
      <c r="Y109" s="273"/>
      <c r="Z109" s="273"/>
      <c r="AA109" s="273"/>
      <c r="AB109" s="273"/>
      <c r="AC109" s="452">
        <f>SUM(AC110:AC121)</f>
        <v>343.49989132317432</v>
      </c>
      <c r="AD109" s="453"/>
      <c r="AE109" s="453"/>
      <c r="AF109" s="273" t="s">
        <v>51</v>
      </c>
      <c r="AG109" s="274" t="s">
        <v>44</v>
      </c>
      <c r="AH109" s="274"/>
      <c r="AI109" s="310" t="s">
        <v>106</v>
      </c>
      <c r="AJ109" s="275" t="s">
        <v>45</v>
      </c>
      <c r="AK109" s="310" t="s">
        <v>46</v>
      </c>
      <c r="AL109" s="175" t="s">
        <v>107</v>
      </c>
      <c r="AM109" s="276" t="s">
        <v>47</v>
      </c>
      <c r="AN109" s="310" t="s">
        <v>48</v>
      </c>
      <c r="AO109" s="277" t="s">
        <v>61</v>
      </c>
      <c r="AP109" s="310" t="s">
        <v>60</v>
      </c>
      <c r="AQ109" s="277" t="s">
        <v>62</v>
      </c>
      <c r="AR109" s="278" t="s">
        <v>59</v>
      </c>
      <c r="AS109" s="278" t="s">
        <v>52</v>
      </c>
      <c r="AT109" s="277" t="s">
        <v>64</v>
      </c>
      <c r="AU109" s="278" t="s">
        <v>63</v>
      </c>
      <c r="AV109" s="279" t="s">
        <v>54</v>
      </c>
      <c r="AW109" s="279" t="s">
        <v>55</v>
      </c>
      <c r="AX109" s="280" t="s">
        <v>25</v>
      </c>
      <c r="AY109" s="280" t="s">
        <v>26</v>
      </c>
      <c r="AZ109" s="281" t="s">
        <v>25</v>
      </c>
      <c r="BA109" s="281" t="s">
        <v>26</v>
      </c>
      <c r="BB109" s="7"/>
      <c r="BC109" s="12"/>
      <c r="BH109" s="1550"/>
      <c r="BI109" s="1550"/>
      <c r="BJ109" s="1550"/>
      <c r="BK109" s="27"/>
      <c r="EJ109" s="185"/>
      <c r="EK109" s="185"/>
    </row>
    <row r="110" spans="2:141" ht="21" customHeight="1" thickBot="1" x14ac:dyDescent="0.4">
      <c r="B110" s="87">
        <v>1</v>
      </c>
      <c r="C110" s="668">
        <f>+(B104*-1)+D110</f>
        <v>0</v>
      </c>
      <c r="D110" s="738">
        <v>0</v>
      </c>
      <c r="E110" s="703" t="s">
        <v>126</v>
      </c>
      <c r="F110" s="117"/>
      <c r="G110" s="117"/>
      <c r="H110" s="1498">
        <v>421.92079999999999</v>
      </c>
      <c r="I110" s="1498">
        <v>35.4982179</v>
      </c>
      <c r="J110" s="1498">
        <f>+I110-C110</f>
        <v>35.4982179</v>
      </c>
      <c r="K110" s="117"/>
      <c r="L110" s="117"/>
      <c r="M110" s="117"/>
      <c r="N110" s="117"/>
      <c r="O110" s="117"/>
      <c r="P110" s="1498">
        <f>COS(J110*3.14159265358979/180)</f>
        <v>0.81413357986421708</v>
      </c>
      <c r="Q110" s="1498">
        <f>+P110*H110</f>
        <v>343.49989132317432</v>
      </c>
      <c r="R110" s="446">
        <v>343.5</v>
      </c>
      <c r="S110" s="1498">
        <f>+Q110</f>
        <v>343.49989132317432</v>
      </c>
      <c r="T110" s="117">
        <f t="shared" ref="T110:T121" si="5">+S110</f>
        <v>343.49989132317432</v>
      </c>
      <c r="U110" s="117"/>
      <c r="V110" s="117">
        <f>IF(B110&lt;($B$107+1),T110,0)</f>
        <v>343.49989132317432</v>
      </c>
      <c r="W110" s="446">
        <v>35.4982179</v>
      </c>
      <c r="X110" s="117">
        <f>+W110+AH122</f>
        <v>35.4982179</v>
      </c>
      <c r="Y110" s="117">
        <v>421.92079999999999</v>
      </c>
      <c r="Z110" s="449">
        <f>+COS(X110*3.14159265358979/180)*Y110</f>
        <v>343.49989132317432</v>
      </c>
      <c r="AA110" s="450">
        <f>+AC109-Z110</f>
        <v>0</v>
      </c>
      <c r="AB110" s="117"/>
      <c r="AC110" s="454">
        <f>IF(AD110=1,AF110)</f>
        <v>343.49989132317432</v>
      </c>
      <c r="AD110" s="454">
        <f>MAX(AE$110:AE$121)</f>
        <v>1</v>
      </c>
      <c r="AE110" s="454">
        <f>IF(V110=0,0,1)</f>
        <v>1</v>
      </c>
      <c r="AF110" s="282">
        <f>SUM(V110:V121)/($B$107)</f>
        <v>343.49989132317432</v>
      </c>
      <c r="AG110" s="283">
        <f>+D110+C110</f>
        <v>0</v>
      </c>
      <c r="AH110" s="411">
        <f>IF(B110&lt;($B$107+1),AG110)</f>
        <v>0</v>
      </c>
      <c r="AI110" s="311">
        <f>54.5017821+AG110</f>
        <v>54.5017821</v>
      </c>
      <c r="AJ110" s="284">
        <f>SIN(AI110*3.14159265358979/180)</f>
        <v>0.81413357986421619</v>
      </c>
      <c r="AK110" s="312">
        <f>+AJ110*421.92</f>
        <v>343.49924001631013</v>
      </c>
      <c r="AL110" s="311">
        <f>58.7344156-AG110</f>
        <v>58.734415599999998</v>
      </c>
      <c r="AM110" s="285">
        <f>SIN(AL110*3.14159265358979/180)</f>
        <v>0.85477073319485097</v>
      </c>
      <c r="AN110" s="312">
        <f>+AM110*472.06</f>
        <v>403.50307231196138</v>
      </c>
      <c r="AO110" s="287">
        <f>+((AF110*AP110)+($AP$131*($AF$131+$AA$110)))/AQ110</f>
        <v>207.24661160374168</v>
      </c>
      <c r="AP110" s="312">
        <f>57*B107</f>
        <v>57</v>
      </c>
      <c r="AQ110" s="287">
        <f>+AP110+$AP$131+30</f>
        <v>112.5</v>
      </c>
      <c r="AR110" s="288">
        <f>+AN110+AK110</f>
        <v>747.0023123282715</v>
      </c>
      <c r="AS110" s="289">
        <f>+V110-AN110</f>
        <v>-60.003180988787051</v>
      </c>
      <c r="AT110" s="290">
        <f>+AO110-AS110</f>
        <v>267.24979259252871</v>
      </c>
      <c r="AU110" s="289">
        <f>+AF110-AS110</f>
        <v>403.50307231196138</v>
      </c>
      <c r="AV110" s="291">
        <f>+((AR110-AT110)/AR110)*AQ110</f>
        <v>72.251661848340973</v>
      </c>
      <c r="AW110" s="291">
        <f>+(AT110/AR110)*AQ110</f>
        <v>40.248338151659027</v>
      </c>
      <c r="AX110" s="292">
        <f t="shared" ref="AX110:AX121" si="6">2*$C$19/AV110</f>
        <v>160.54994035083715</v>
      </c>
      <c r="AY110" s="292">
        <f t="shared" ref="AY110:AY121" si="7">2*$D$19/AW110</f>
        <v>288.21065745100464</v>
      </c>
      <c r="AZ110" s="293">
        <f>ABS(AX110)</f>
        <v>160.54994035083715</v>
      </c>
      <c r="BA110" s="293">
        <f>ABS(AY110)</f>
        <v>288.21065745100464</v>
      </c>
      <c r="BB110" s="2"/>
      <c r="BC110" s="12"/>
      <c r="BH110" s="1550"/>
      <c r="BI110" s="1550"/>
      <c r="BJ110" s="1550"/>
      <c r="BK110" s="27"/>
      <c r="EJ110" s="185"/>
      <c r="EK110" s="185"/>
    </row>
    <row r="111" spans="2:141" ht="21" customHeight="1" thickBot="1" x14ac:dyDescent="0.4">
      <c r="B111" s="88">
        <v>2</v>
      </c>
      <c r="C111" s="20"/>
      <c r="D111" s="738">
        <v>0</v>
      </c>
      <c r="E111" s="333" t="s">
        <v>126</v>
      </c>
      <c r="F111" s="81"/>
      <c r="G111" s="81"/>
      <c r="H111" s="81">
        <v>472.06</v>
      </c>
      <c r="I111" s="81">
        <v>62.531168700000002</v>
      </c>
      <c r="J111" s="81">
        <f>+I111+D111</f>
        <v>62.531168700000002</v>
      </c>
      <c r="K111" s="81">
        <f t="shared" ref="K111:K121" si="8">+J111/2</f>
        <v>31.265584350000001</v>
      </c>
      <c r="L111" s="81">
        <f t="shared" ref="L111:L121" si="9">SIN(K111*3.14159265358979/180)</f>
        <v>0.51900577347391186</v>
      </c>
      <c r="M111" s="81">
        <f t="shared" ref="M111:M121" si="10">+L111*H111</f>
        <v>245.00186542609484</v>
      </c>
      <c r="N111" s="81">
        <f t="shared" ref="N111:N121" si="11">+M111*2</f>
        <v>490.00373085218968</v>
      </c>
      <c r="O111" s="81">
        <f>+C110+(D111/2)</f>
        <v>0</v>
      </c>
      <c r="P111" s="81">
        <f t="shared" ref="P111:P121" si="12">SIN(O111*3.14159265358979/180)</f>
        <v>0</v>
      </c>
      <c r="Q111" s="81">
        <f t="shared" ref="Q111:Q121" si="13">+P111*N111</f>
        <v>0</v>
      </c>
      <c r="R111" s="81">
        <f t="shared" ref="R111:R121" si="14">+T110</f>
        <v>343.49989132317432</v>
      </c>
      <c r="S111" s="81">
        <f>+R111+Q111</f>
        <v>343.49989132317432</v>
      </c>
      <c r="T111" s="81">
        <f t="shared" si="5"/>
        <v>343.49989132317432</v>
      </c>
      <c r="U111" s="81"/>
      <c r="V111" s="81">
        <f t="shared" ref="V111:V121" si="15">IF(B111&lt;($B$107+1),T111,0)</f>
        <v>0</v>
      </c>
      <c r="W111" s="81"/>
      <c r="X111" s="81"/>
      <c r="Y111" s="81"/>
      <c r="Z111" s="81"/>
      <c r="AA111" s="81"/>
      <c r="AB111" s="81"/>
      <c r="AC111" s="454" t="b">
        <f>IF(AD111=2,AF111)</f>
        <v>0</v>
      </c>
      <c r="AD111" s="454">
        <f t="shared" ref="AD111:AD121" si="16">MAX(AE$110:AE$121)</f>
        <v>1</v>
      </c>
      <c r="AE111" s="454">
        <f>IF(V111=0,0,2)</f>
        <v>0</v>
      </c>
      <c r="AF111" s="282" t="e">
        <f>SUM(V111:V121)/($B$107-B110)</f>
        <v>#DIV/0!</v>
      </c>
      <c r="AG111" s="301">
        <f>SUM(D111)+$C$110</f>
        <v>0</v>
      </c>
      <c r="AH111" s="411" t="b">
        <f t="shared" ref="AH111:AH121" si="17">IF(B111&lt;($B$107+1),AG111)</f>
        <v>0</v>
      </c>
      <c r="AI111" s="311">
        <f t="shared" ref="AI111:AI121" si="18">54.5017821+AG111</f>
        <v>54.5017821</v>
      </c>
      <c r="AJ111" s="284">
        <f>SIN(AI111*3.14159265358979/180)</f>
        <v>0.81413357986421619</v>
      </c>
      <c r="AK111" s="312">
        <f t="shared" ref="AK111:AK121" si="19">+AJ111*421.92</f>
        <v>343.49924001631013</v>
      </c>
      <c r="AL111" s="311">
        <f t="shared" ref="AL111:AL121" si="20">58.7344156-AG111</f>
        <v>58.734415599999998</v>
      </c>
      <c r="AM111" s="285">
        <f t="shared" ref="AM111:AM121" si="21">SIN(AL111*3.14159265358979/180)</f>
        <v>0.85477073319485097</v>
      </c>
      <c r="AN111" s="312">
        <f t="shared" ref="AN111:AN121" si="22">+AM111*472.06</f>
        <v>403.50307231196138</v>
      </c>
      <c r="AO111" s="287" t="e">
        <f t="shared" ref="AO111:AO121" si="23">+((AF111*AP111)+($AP$131*($AF$131+$AA$110)))/AQ111</f>
        <v>#DIV/0!</v>
      </c>
      <c r="AP111" s="312">
        <f t="shared" ref="AP111:AP121" si="24">57*($B$107-B110)</f>
        <v>0</v>
      </c>
      <c r="AQ111" s="287">
        <f t="shared" ref="AQ111:AQ121" si="25">+AP111+$AP$131+30</f>
        <v>55.5</v>
      </c>
      <c r="AR111" s="288">
        <f t="shared" ref="AR111:AR121" si="26">+AN111+AK111</f>
        <v>747.0023123282715</v>
      </c>
      <c r="AS111" s="289">
        <f>+V111-AN111</f>
        <v>-403.50307231196138</v>
      </c>
      <c r="AT111" s="290" t="e">
        <f t="shared" ref="AT111:AT121" si="27">+AO111-AS111</f>
        <v>#DIV/0!</v>
      </c>
      <c r="AU111" s="289" t="e">
        <f>+AF111-AS111</f>
        <v>#DIV/0!</v>
      </c>
      <c r="AV111" s="291" t="e">
        <f t="shared" ref="AV111:AV121" si="28">+((AR111-AT111)/AR111)*AQ111</f>
        <v>#DIV/0!</v>
      </c>
      <c r="AW111" s="291" t="e">
        <f t="shared" ref="AW111:AW121" si="29">+(AT111/AR111)*AQ111</f>
        <v>#DIV/0!</v>
      </c>
      <c r="AX111" s="292" t="e">
        <f t="shared" si="6"/>
        <v>#DIV/0!</v>
      </c>
      <c r="AY111" s="292" t="e">
        <f t="shared" si="7"/>
        <v>#DIV/0!</v>
      </c>
      <c r="AZ111" s="294" t="e">
        <f t="shared" ref="AZ111:BA121" si="30">ABS(AX111)</f>
        <v>#DIV/0!</v>
      </c>
      <c r="BA111" s="294" t="e">
        <f t="shared" si="30"/>
        <v>#DIV/0!</v>
      </c>
      <c r="BC111" s="12"/>
      <c r="BH111" s="1550"/>
      <c r="BI111" s="1550"/>
      <c r="BJ111" s="1550"/>
      <c r="BK111" s="27"/>
      <c r="EJ111" s="185"/>
      <c r="EK111" s="185"/>
    </row>
    <row r="112" spans="2:141" ht="21" customHeight="1" thickBot="1" x14ac:dyDescent="0.4">
      <c r="B112" s="88">
        <v>3</v>
      </c>
      <c r="C112" s="20"/>
      <c r="D112" s="738">
        <v>0</v>
      </c>
      <c r="E112" s="333" t="s">
        <v>126</v>
      </c>
      <c r="F112" s="81"/>
      <c r="G112" s="81"/>
      <c r="H112" s="81">
        <v>472.06</v>
      </c>
      <c r="I112" s="81">
        <v>62.531168700000002</v>
      </c>
      <c r="J112" s="81">
        <f t="shared" ref="J112:J121" si="31">+I112+D112</f>
        <v>62.531168700000002</v>
      </c>
      <c r="K112" s="81">
        <f t="shared" si="8"/>
        <v>31.265584350000001</v>
      </c>
      <c r="L112" s="81">
        <f t="shared" si="9"/>
        <v>0.51900577347391186</v>
      </c>
      <c r="M112" s="81">
        <f t="shared" si="10"/>
        <v>245.00186542609484</v>
      </c>
      <c r="N112" s="81">
        <f t="shared" si="11"/>
        <v>490.00373085218968</v>
      </c>
      <c r="O112" s="81">
        <f>+C110+D111+(D112/2)</f>
        <v>0</v>
      </c>
      <c r="P112" s="81">
        <f t="shared" si="12"/>
        <v>0</v>
      </c>
      <c r="Q112" s="81">
        <f t="shared" si="13"/>
        <v>0</v>
      </c>
      <c r="R112" s="81">
        <f t="shared" si="14"/>
        <v>343.49989132317432</v>
      </c>
      <c r="S112" s="81">
        <f t="shared" ref="S112:S121" si="32">+S111+Q112</f>
        <v>343.49989132317432</v>
      </c>
      <c r="T112" s="81">
        <f t="shared" si="5"/>
        <v>343.49989132317432</v>
      </c>
      <c r="U112" s="81"/>
      <c r="V112" s="81">
        <f t="shared" si="15"/>
        <v>0</v>
      </c>
      <c r="W112" s="81"/>
      <c r="X112" s="81"/>
      <c r="Y112" s="81"/>
      <c r="Z112" s="81"/>
      <c r="AA112" s="81"/>
      <c r="AB112" s="81"/>
      <c r="AC112" s="454" t="b">
        <f>IF(AD112=3,AF112)</f>
        <v>0</v>
      </c>
      <c r="AD112" s="454">
        <f t="shared" si="16"/>
        <v>1</v>
      </c>
      <c r="AE112" s="454">
        <f>IF(V112=0,0,3)</f>
        <v>0</v>
      </c>
      <c r="AF112" s="282">
        <f>SUM(V112:V121)/($B$107-B111)</f>
        <v>0</v>
      </c>
      <c r="AG112" s="301">
        <f>SUM(D111:D112)+$C$110</f>
        <v>0</v>
      </c>
      <c r="AH112" s="411" t="b">
        <f t="shared" si="17"/>
        <v>0</v>
      </c>
      <c r="AI112" s="311">
        <f t="shared" si="18"/>
        <v>54.5017821</v>
      </c>
      <c r="AJ112" s="284">
        <f t="shared" ref="AJ112:AJ121" si="33">SIN(AI112*3.14159265358979/180)</f>
        <v>0.81413357986421619</v>
      </c>
      <c r="AK112" s="312">
        <f t="shared" si="19"/>
        <v>343.49924001631013</v>
      </c>
      <c r="AL112" s="311">
        <f t="shared" si="20"/>
        <v>58.734415599999998</v>
      </c>
      <c r="AM112" s="285">
        <f t="shared" si="21"/>
        <v>0.85477073319485097</v>
      </c>
      <c r="AN112" s="312">
        <f t="shared" si="22"/>
        <v>403.50307231196138</v>
      </c>
      <c r="AO112" s="287">
        <f t="shared" si="23"/>
        <v>-2490.5</v>
      </c>
      <c r="AP112" s="312">
        <f t="shared" si="24"/>
        <v>-57</v>
      </c>
      <c r="AQ112" s="287">
        <f t="shared" si="25"/>
        <v>-1.5</v>
      </c>
      <c r="AR112" s="288">
        <f t="shared" si="26"/>
        <v>747.0023123282715</v>
      </c>
      <c r="AS112" s="289">
        <f>+V112-AN112</f>
        <v>-403.50307231196138</v>
      </c>
      <c r="AT112" s="290">
        <f t="shared" si="27"/>
        <v>-2086.9969276880388</v>
      </c>
      <c r="AU112" s="289">
        <f>+AF112-AS112</f>
        <v>403.50307231196138</v>
      </c>
      <c r="AV112" s="291">
        <f t="shared" si="28"/>
        <v>-5.6907439105173161</v>
      </c>
      <c r="AW112" s="291">
        <f t="shared" si="29"/>
        <v>4.1907439105173161</v>
      </c>
      <c r="AX112" s="292">
        <f t="shared" si="6"/>
        <v>-2038.3978232725472</v>
      </c>
      <c r="AY112" s="292">
        <f t="shared" si="7"/>
        <v>2768.0049766076177</v>
      </c>
      <c r="AZ112" s="294">
        <f t="shared" si="30"/>
        <v>2038.3978232725472</v>
      </c>
      <c r="BA112" s="294">
        <f t="shared" si="30"/>
        <v>2768.0049766076177</v>
      </c>
      <c r="BC112" s="12"/>
      <c r="BH112" s="1550"/>
      <c r="BI112" s="1550"/>
      <c r="BJ112" s="1550"/>
      <c r="BK112" s="27"/>
      <c r="EJ112" s="185"/>
      <c r="EK112" s="185"/>
    </row>
    <row r="113" spans="2:141" ht="21" customHeight="1" thickBot="1" x14ac:dyDescent="0.4">
      <c r="B113" s="88">
        <v>4</v>
      </c>
      <c r="C113" s="20"/>
      <c r="D113" s="738">
        <v>0</v>
      </c>
      <c r="E113" s="333" t="s">
        <v>126</v>
      </c>
      <c r="F113" s="81"/>
      <c r="G113" s="81"/>
      <c r="H113" s="81">
        <v>472.06</v>
      </c>
      <c r="I113" s="81">
        <v>62.531168700000002</v>
      </c>
      <c r="J113" s="81">
        <f t="shared" si="31"/>
        <v>62.531168700000002</v>
      </c>
      <c r="K113" s="81">
        <f t="shared" si="8"/>
        <v>31.265584350000001</v>
      </c>
      <c r="L113" s="81">
        <f t="shared" si="9"/>
        <v>0.51900577347391186</v>
      </c>
      <c r="M113" s="81">
        <f t="shared" si="10"/>
        <v>245.00186542609484</v>
      </c>
      <c r="N113" s="81">
        <f t="shared" si="11"/>
        <v>490.00373085218968</v>
      </c>
      <c r="O113" s="81">
        <f>+C110+D111+D112+(D113/2)</f>
        <v>0</v>
      </c>
      <c r="P113" s="81">
        <f t="shared" si="12"/>
        <v>0</v>
      </c>
      <c r="Q113" s="81">
        <f t="shared" si="13"/>
        <v>0</v>
      </c>
      <c r="R113" s="81">
        <f t="shared" si="14"/>
        <v>343.49989132317432</v>
      </c>
      <c r="S113" s="81">
        <f t="shared" si="32"/>
        <v>343.49989132317432</v>
      </c>
      <c r="T113" s="81">
        <f t="shared" si="5"/>
        <v>343.49989132317432</v>
      </c>
      <c r="U113" s="81"/>
      <c r="V113" s="81">
        <f t="shared" si="15"/>
        <v>0</v>
      </c>
      <c r="W113" s="81"/>
      <c r="X113" s="81"/>
      <c r="Y113" s="81"/>
      <c r="Z113" s="81"/>
      <c r="AA113" s="81"/>
      <c r="AB113" s="81"/>
      <c r="AC113" s="454" t="b">
        <f>IF(AD113=4,AF113)</f>
        <v>0</v>
      </c>
      <c r="AD113" s="454">
        <f t="shared" si="16"/>
        <v>1</v>
      </c>
      <c r="AE113" s="454">
        <f>IF(V113=0,0,4)</f>
        <v>0</v>
      </c>
      <c r="AF113" s="282">
        <f>SUM(V113:V121)/($B$107-B112)</f>
        <v>0</v>
      </c>
      <c r="AG113" s="301">
        <f>SUM(D111:D113)+$C$110</f>
        <v>0</v>
      </c>
      <c r="AH113" s="411" t="b">
        <f t="shared" si="17"/>
        <v>0</v>
      </c>
      <c r="AI113" s="311">
        <f t="shared" si="18"/>
        <v>54.5017821</v>
      </c>
      <c r="AJ113" s="284">
        <f t="shared" si="33"/>
        <v>0.81413357986421619</v>
      </c>
      <c r="AK113" s="312">
        <f t="shared" si="19"/>
        <v>343.49924001631013</v>
      </c>
      <c r="AL113" s="311">
        <f t="shared" si="20"/>
        <v>58.734415599999998</v>
      </c>
      <c r="AM113" s="285">
        <f t="shared" si="21"/>
        <v>0.85477073319485097</v>
      </c>
      <c r="AN113" s="312">
        <f t="shared" si="22"/>
        <v>403.50307231196138</v>
      </c>
      <c r="AO113" s="287">
        <f t="shared" si="23"/>
        <v>-63.858974358974358</v>
      </c>
      <c r="AP113" s="312">
        <f t="shared" si="24"/>
        <v>-114</v>
      </c>
      <c r="AQ113" s="287">
        <f t="shared" si="25"/>
        <v>-58.5</v>
      </c>
      <c r="AR113" s="288">
        <f t="shared" si="26"/>
        <v>747.0023123282715</v>
      </c>
      <c r="AS113" s="289">
        <f>+V113-AN113</f>
        <v>-403.50307231196138</v>
      </c>
      <c r="AT113" s="290">
        <f t="shared" si="27"/>
        <v>339.64409795298701</v>
      </c>
      <c r="AU113" s="289">
        <f t="shared" ref="AU113:AU121" si="34">+AF113-AS113</f>
        <v>403.50307231196138</v>
      </c>
      <c r="AV113" s="291">
        <f t="shared" si="28"/>
        <v>-31.901448158411867</v>
      </c>
      <c r="AW113" s="291">
        <f t="shared" si="29"/>
        <v>-26.598551841588137</v>
      </c>
      <c r="AX113" s="292">
        <f t="shared" si="6"/>
        <v>-363.61985645285756</v>
      </c>
      <c r="AY113" s="292">
        <f t="shared" si="7"/>
        <v>-436.11396850045168</v>
      </c>
      <c r="AZ113" s="294">
        <f t="shared" si="30"/>
        <v>363.61985645285756</v>
      </c>
      <c r="BA113" s="294">
        <f t="shared" si="30"/>
        <v>436.11396850045168</v>
      </c>
      <c r="BC113" s="12"/>
      <c r="BH113" s="1550"/>
      <c r="BI113" s="1550"/>
      <c r="BJ113" s="1550"/>
      <c r="BK113" s="27"/>
      <c r="EJ113" s="185"/>
      <c r="EK113" s="185"/>
    </row>
    <row r="114" spans="2:141" ht="21" customHeight="1" thickBot="1" x14ac:dyDescent="0.4">
      <c r="B114" s="88">
        <v>5</v>
      </c>
      <c r="C114" s="20"/>
      <c r="D114" s="738">
        <v>0</v>
      </c>
      <c r="E114" s="333" t="s">
        <v>126</v>
      </c>
      <c r="F114" s="81"/>
      <c r="G114" s="81"/>
      <c r="H114" s="81">
        <v>472.06</v>
      </c>
      <c r="I114" s="81">
        <v>62.531168700000002</v>
      </c>
      <c r="J114" s="81">
        <f t="shared" si="31"/>
        <v>62.531168700000002</v>
      </c>
      <c r="K114" s="81">
        <f t="shared" si="8"/>
        <v>31.265584350000001</v>
      </c>
      <c r="L114" s="81">
        <f t="shared" si="9"/>
        <v>0.51900577347391186</v>
      </c>
      <c r="M114" s="81">
        <f t="shared" si="10"/>
        <v>245.00186542609484</v>
      </c>
      <c r="N114" s="81">
        <f t="shared" si="11"/>
        <v>490.00373085218968</v>
      </c>
      <c r="O114" s="81">
        <f>+C110+D111+D112+D113+(D114/2)</f>
        <v>0</v>
      </c>
      <c r="P114" s="81">
        <f t="shared" si="12"/>
        <v>0</v>
      </c>
      <c r="Q114" s="81">
        <f t="shared" si="13"/>
        <v>0</v>
      </c>
      <c r="R114" s="81">
        <f t="shared" si="14"/>
        <v>343.49989132317432</v>
      </c>
      <c r="S114" s="81">
        <f t="shared" si="32"/>
        <v>343.49989132317432</v>
      </c>
      <c r="T114" s="81">
        <f t="shared" si="5"/>
        <v>343.49989132317432</v>
      </c>
      <c r="U114" s="81"/>
      <c r="V114" s="81">
        <f t="shared" si="15"/>
        <v>0</v>
      </c>
      <c r="W114" s="81"/>
      <c r="X114" s="81"/>
      <c r="Y114" s="81"/>
      <c r="Z114" s="81"/>
      <c r="AA114" s="81"/>
      <c r="AB114" s="81"/>
      <c r="AC114" s="454" t="b">
        <f>IF(AD114=5,AF114)</f>
        <v>0</v>
      </c>
      <c r="AD114" s="454">
        <f t="shared" si="16"/>
        <v>1</v>
      </c>
      <c r="AE114" s="454">
        <f>IF(V114=0,0,5)</f>
        <v>0</v>
      </c>
      <c r="AF114" s="282">
        <f>SUM(V114:V121)/($B$107-B113)</f>
        <v>0</v>
      </c>
      <c r="AG114" s="301">
        <f>SUM(D111:D114)+$C$110</f>
        <v>0</v>
      </c>
      <c r="AH114" s="411" t="b">
        <f t="shared" si="17"/>
        <v>0</v>
      </c>
      <c r="AI114" s="311">
        <f t="shared" si="18"/>
        <v>54.5017821</v>
      </c>
      <c r="AJ114" s="284">
        <f t="shared" si="33"/>
        <v>0.81413357986421619</v>
      </c>
      <c r="AK114" s="312">
        <f t="shared" si="19"/>
        <v>343.49924001631013</v>
      </c>
      <c r="AL114" s="311">
        <f t="shared" si="20"/>
        <v>58.734415599999998</v>
      </c>
      <c r="AM114" s="285">
        <f t="shared" si="21"/>
        <v>0.85477073319485097</v>
      </c>
      <c r="AN114" s="312">
        <f t="shared" si="22"/>
        <v>403.50307231196138</v>
      </c>
      <c r="AO114" s="287">
        <f t="shared" si="23"/>
        <v>-32.344155844155843</v>
      </c>
      <c r="AP114" s="312">
        <f t="shared" si="24"/>
        <v>-171</v>
      </c>
      <c r="AQ114" s="287">
        <f t="shared" si="25"/>
        <v>-115.5</v>
      </c>
      <c r="AR114" s="288">
        <f t="shared" si="26"/>
        <v>747.0023123282715</v>
      </c>
      <c r="AS114" s="289">
        <f t="shared" ref="AS114:AS121" si="35">+V114-AN114</f>
        <v>-403.50307231196138</v>
      </c>
      <c r="AT114" s="290">
        <f t="shared" si="27"/>
        <v>371.15891646780551</v>
      </c>
      <c r="AU114" s="289">
        <f t="shared" si="34"/>
        <v>403.50307231196138</v>
      </c>
      <c r="AV114" s="291">
        <f t="shared" si="28"/>
        <v>-58.112152406306414</v>
      </c>
      <c r="AW114" s="291">
        <f t="shared" si="29"/>
        <v>-57.387847593693579</v>
      </c>
      <c r="AX114" s="292">
        <f t="shared" si="6"/>
        <v>-199.61401393112314</v>
      </c>
      <c r="AY114" s="292">
        <f t="shared" si="7"/>
        <v>-202.13338688232557</v>
      </c>
      <c r="AZ114" s="294">
        <f t="shared" si="30"/>
        <v>199.61401393112314</v>
      </c>
      <c r="BA114" s="294">
        <f t="shared" si="30"/>
        <v>202.13338688232557</v>
      </c>
      <c r="BC114" s="12"/>
      <c r="BH114" s="1550"/>
      <c r="BI114" s="1550"/>
      <c r="BJ114" s="1550"/>
      <c r="BK114" s="27"/>
      <c r="EJ114" s="185"/>
      <c r="EK114" s="185"/>
    </row>
    <row r="115" spans="2:141" ht="21" customHeight="1" thickBot="1" x14ac:dyDescent="0.4">
      <c r="B115" s="88">
        <v>6</v>
      </c>
      <c r="C115" s="20"/>
      <c r="D115" s="738">
        <v>0</v>
      </c>
      <c r="E115" s="333" t="s">
        <v>126</v>
      </c>
      <c r="F115" s="81"/>
      <c r="G115" s="81"/>
      <c r="H115" s="81">
        <v>472.06</v>
      </c>
      <c r="I115" s="81">
        <v>62.531168700000002</v>
      </c>
      <c r="J115" s="81">
        <f t="shared" si="31"/>
        <v>62.531168700000002</v>
      </c>
      <c r="K115" s="81">
        <f t="shared" si="8"/>
        <v>31.265584350000001</v>
      </c>
      <c r="L115" s="81">
        <f t="shared" si="9"/>
        <v>0.51900577347391186</v>
      </c>
      <c r="M115" s="81">
        <f t="shared" si="10"/>
        <v>245.00186542609484</v>
      </c>
      <c r="N115" s="81">
        <f t="shared" si="11"/>
        <v>490.00373085218968</v>
      </c>
      <c r="O115" s="81">
        <f>+C110+D111+D112+D113+D114+(D115/2)</f>
        <v>0</v>
      </c>
      <c r="P115" s="81">
        <f t="shared" si="12"/>
        <v>0</v>
      </c>
      <c r="Q115" s="81">
        <f t="shared" si="13"/>
        <v>0</v>
      </c>
      <c r="R115" s="81">
        <f t="shared" si="14"/>
        <v>343.49989132317432</v>
      </c>
      <c r="S115" s="81">
        <f t="shared" si="32"/>
        <v>343.49989132317432</v>
      </c>
      <c r="T115" s="81">
        <f t="shared" si="5"/>
        <v>343.49989132317432</v>
      </c>
      <c r="U115" s="81"/>
      <c r="V115" s="81">
        <f t="shared" si="15"/>
        <v>0</v>
      </c>
      <c r="W115" s="81"/>
      <c r="X115" s="81"/>
      <c r="Y115" s="81"/>
      <c r="Z115" s="81"/>
      <c r="AA115" s="81"/>
      <c r="AB115" s="81"/>
      <c r="AC115" s="454" t="b">
        <f>IF(AD115=6,AF115)</f>
        <v>0</v>
      </c>
      <c r="AD115" s="454">
        <f t="shared" si="16"/>
        <v>1</v>
      </c>
      <c r="AE115" s="454">
        <f>IF(V115=0,0,6)</f>
        <v>0</v>
      </c>
      <c r="AF115" s="282">
        <f>SUM(V115:V121)/($B$107-B114)</f>
        <v>0</v>
      </c>
      <c r="AG115" s="301">
        <f>SUM(D111:D115)+$C$110</f>
        <v>0</v>
      </c>
      <c r="AH115" s="411" t="b">
        <f t="shared" si="17"/>
        <v>0</v>
      </c>
      <c r="AI115" s="311">
        <f t="shared" si="18"/>
        <v>54.5017821</v>
      </c>
      <c r="AJ115" s="284">
        <f t="shared" si="33"/>
        <v>0.81413357986421619</v>
      </c>
      <c r="AK115" s="312">
        <f t="shared" si="19"/>
        <v>343.49924001631013</v>
      </c>
      <c r="AL115" s="311">
        <f t="shared" si="20"/>
        <v>58.734415599999998</v>
      </c>
      <c r="AM115" s="285">
        <f t="shared" si="21"/>
        <v>0.85477073319485097</v>
      </c>
      <c r="AN115" s="312">
        <f t="shared" si="22"/>
        <v>403.50307231196138</v>
      </c>
      <c r="AO115" s="287">
        <f t="shared" si="23"/>
        <v>-21.656521739130437</v>
      </c>
      <c r="AP115" s="312">
        <f t="shared" si="24"/>
        <v>-228</v>
      </c>
      <c r="AQ115" s="287">
        <f t="shared" si="25"/>
        <v>-172.5</v>
      </c>
      <c r="AR115" s="288">
        <f t="shared" si="26"/>
        <v>747.0023123282715</v>
      </c>
      <c r="AS115" s="289">
        <f t="shared" si="35"/>
        <v>-403.50307231196138</v>
      </c>
      <c r="AT115" s="290">
        <f t="shared" si="27"/>
        <v>381.84655057283095</v>
      </c>
      <c r="AU115" s="289">
        <f t="shared" si="34"/>
        <v>403.50307231196138</v>
      </c>
      <c r="AV115" s="291">
        <f t="shared" si="28"/>
        <v>-84.322856654200962</v>
      </c>
      <c r="AW115" s="291">
        <f t="shared" si="29"/>
        <v>-88.177143345799038</v>
      </c>
      <c r="AX115" s="292">
        <f t="shared" si="6"/>
        <v>-137.5664969175601</v>
      </c>
      <c r="AY115" s="292">
        <f t="shared" si="7"/>
        <v>-131.55336587066529</v>
      </c>
      <c r="AZ115" s="294">
        <f t="shared" si="30"/>
        <v>137.5664969175601</v>
      </c>
      <c r="BA115" s="294">
        <f t="shared" si="30"/>
        <v>131.55336587066529</v>
      </c>
      <c r="BC115" s="12"/>
      <c r="BH115" s="1550"/>
      <c r="BI115" s="1550"/>
      <c r="BJ115" s="1550"/>
      <c r="BK115" s="27"/>
      <c r="EJ115" s="185"/>
      <c r="EK115" s="185"/>
    </row>
    <row r="116" spans="2:141" ht="21" customHeight="1" thickBot="1" x14ac:dyDescent="0.4">
      <c r="B116" s="88">
        <v>7</v>
      </c>
      <c r="C116" s="20"/>
      <c r="D116" s="738">
        <v>2.5</v>
      </c>
      <c r="E116" s="333" t="s">
        <v>126</v>
      </c>
      <c r="F116" s="81"/>
      <c r="G116" s="81"/>
      <c r="H116" s="81">
        <v>472.06</v>
      </c>
      <c r="I116" s="81">
        <v>62.531168700000002</v>
      </c>
      <c r="J116" s="81">
        <f t="shared" si="31"/>
        <v>65.031168699999995</v>
      </c>
      <c r="K116" s="81">
        <f t="shared" si="8"/>
        <v>32.515584349999997</v>
      </c>
      <c r="L116" s="81">
        <f t="shared" si="9"/>
        <v>0.53752898943988769</v>
      </c>
      <c r="M116" s="81">
        <f t="shared" si="10"/>
        <v>253.74593475499339</v>
      </c>
      <c r="N116" s="81">
        <f t="shared" si="11"/>
        <v>507.49186950998677</v>
      </c>
      <c r="O116" s="81">
        <f>+C110+D111+D112+D113+D114+D115+(D116/2)</f>
        <v>1.25</v>
      </c>
      <c r="P116" s="81">
        <f t="shared" si="12"/>
        <v>2.18148850345611E-2</v>
      </c>
      <c r="Q116" s="81">
        <f t="shared" si="13"/>
        <v>11.070876789334845</v>
      </c>
      <c r="R116" s="81">
        <f t="shared" si="14"/>
        <v>343.49989132317432</v>
      </c>
      <c r="S116" s="81">
        <f t="shared" si="32"/>
        <v>354.57076811250914</v>
      </c>
      <c r="T116" s="81">
        <f t="shared" si="5"/>
        <v>354.57076811250914</v>
      </c>
      <c r="U116" s="81"/>
      <c r="V116" s="81">
        <f t="shared" si="15"/>
        <v>0</v>
      </c>
      <c r="W116" s="81"/>
      <c r="X116" s="81"/>
      <c r="Y116" s="81"/>
      <c r="Z116" s="81"/>
      <c r="AA116" s="81"/>
      <c r="AB116" s="81"/>
      <c r="AC116" s="454" t="b">
        <f>IF(AD116=7,AF116)</f>
        <v>0</v>
      </c>
      <c r="AD116" s="454">
        <f t="shared" si="16"/>
        <v>1</v>
      </c>
      <c r="AE116" s="454">
        <f>IF(V116=0,0,7)</f>
        <v>0</v>
      </c>
      <c r="AF116" s="282">
        <f>SUM(V116:V121)/($B$107-B115)</f>
        <v>0</v>
      </c>
      <c r="AG116" s="301">
        <f>SUM(D111:D116)+$C$110</f>
        <v>2.5</v>
      </c>
      <c r="AH116" s="411" t="b">
        <f t="shared" si="17"/>
        <v>0</v>
      </c>
      <c r="AI116" s="311">
        <f t="shared" si="18"/>
        <v>57.0017821</v>
      </c>
      <c r="AJ116" s="284">
        <f t="shared" si="33"/>
        <v>0.83868750772683187</v>
      </c>
      <c r="AK116" s="312">
        <f t="shared" si="19"/>
        <v>353.85903326010492</v>
      </c>
      <c r="AL116" s="311">
        <f t="shared" si="20"/>
        <v>56.234415599999998</v>
      </c>
      <c r="AM116" s="285">
        <f t="shared" si="21"/>
        <v>0.83131846694799516</v>
      </c>
      <c r="AN116" s="312">
        <f t="shared" si="22"/>
        <v>392.43219550747062</v>
      </c>
      <c r="AO116" s="287">
        <f t="shared" si="23"/>
        <v>-16.277777777777779</v>
      </c>
      <c r="AP116" s="312">
        <f t="shared" si="24"/>
        <v>-285</v>
      </c>
      <c r="AQ116" s="287">
        <f t="shared" si="25"/>
        <v>-229.5</v>
      </c>
      <c r="AR116" s="288">
        <f t="shared" si="26"/>
        <v>746.2912287675756</v>
      </c>
      <c r="AS116" s="289">
        <f t="shared" si="35"/>
        <v>-392.43219550747062</v>
      </c>
      <c r="AT116" s="290">
        <f t="shared" si="27"/>
        <v>376.15441772969285</v>
      </c>
      <c r="AU116" s="289">
        <f t="shared" si="34"/>
        <v>392.43219550747062</v>
      </c>
      <c r="AV116" s="291">
        <f t="shared" si="28"/>
        <v>-113.82473069323683</v>
      </c>
      <c r="AW116" s="291">
        <f t="shared" si="29"/>
        <v>-115.67526930676318</v>
      </c>
      <c r="AX116" s="292">
        <f t="shared" si="6"/>
        <v>-101.91106914421404</v>
      </c>
      <c r="AY116" s="292">
        <f t="shared" si="7"/>
        <v>-100.28072611819529</v>
      </c>
      <c r="AZ116" s="294">
        <f t="shared" si="30"/>
        <v>101.91106914421404</v>
      </c>
      <c r="BA116" s="294">
        <f t="shared" si="30"/>
        <v>100.28072611819529</v>
      </c>
      <c r="BC116" s="12"/>
      <c r="BH116" s="1550"/>
      <c r="BI116" s="1550"/>
      <c r="BJ116" s="1550"/>
      <c r="BK116" s="27"/>
      <c r="EJ116" s="185"/>
      <c r="EK116" s="185"/>
    </row>
    <row r="117" spans="2:141" ht="21" customHeight="1" thickBot="1" x14ac:dyDescent="0.4">
      <c r="B117" s="88">
        <v>8</v>
      </c>
      <c r="C117" s="20"/>
      <c r="D117" s="738">
        <v>0</v>
      </c>
      <c r="E117" s="333" t="s">
        <v>126</v>
      </c>
      <c r="F117" s="81"/>
      <c r="G117" s="81"/>
      <c r="H117" s="81">
        <v>472.06</v>
      </c>
      <c r="I117" s="81">
        <v>62.531168700000002</v>
      </c>
      <c r="J117" s="81">
        <f t="shared" si="31"/>
        <v>62.531168700000002</v>
      </c>
      <c r="K117" s="81">
        <f t="shared" si="8"/>
        <v>31.265584350000001</v>
      </c>
      <c r="L117" s="81">
        <f t="shared" si="9"/>
        <v>0.51900577347391186</v>
      </c>
      <c r="M117" s="81">
        <f t="shared" si="10"/>
        <v>245.00186542609484</v>
      </c>
      <c r="N117" s="81">
        <f t="shared" si="11"/>
        <v>490.00373085218968</v>
      </c>
      <c r="O117" s="81">
        <f>+C110+D111+D112+D113+D114+D115+D116+(D117/2)</f>
        <v>2.5</v>
      </c>
      <c r="P117" s="81">
        <f t="shared" si="12"/>
        <v>4.3619387365335958E-2</v>
      </c>
      <c r="Q117" s="81">
        <f t="shared" si="13"/>
        <v>21.373662546501485</v>
      </c>
      <c r="R117" s="81">
        <f t="shared" si="14"/>
        <v>354.57076811250914</v>
      </c>
      <c r="S117" s="81">
        <f t="shared" si="32"/>
        <v>375.94443065901061</v>
      </c>
      <c r="T117" s="81">
        <f t="shared" si="5"/>
        <v>375.94443065901061</v>
      </c>
      <c r="U117" s="81"/>
      <c r="V117" s="81">
        <f t="shared" si="15"/>
        <v>0</v>
      </c>
      <c r="W117" s="81"/>
      <c r="X117" s="81"/>
      <c r="Y117" s="81"/>
      <c r="Z117" s="81"/>
      <c r="AA117" s="81"/>
      <c r="AB117" s="81"/>
      <c r="AC117" s="454" t="b">
        <f>IF(AD117=8,AF117)</f>
        <v>0</v>
      </c>
      <c r="AD117" s="454">
        <f t="shared" si="16"/>
        <v>1</v>
      </c>
      <c r="AE117" s="454">
        <f>IF(V117=0,0,8)</f>
        <v>0</v>
      </c>
      <c r="AF117" s="282">
        <f>SUM(V117:V121)/($B$107-B116)</f>
        <v>0</v>
      </c>
      <c r="AG117" s="301">
        <f>SUM(D111:D117)+$C$110</f>
        <v>2.5</v>
      </c>
      <c r="AH117" s="411" t="b">
        <f t="shared" si="17"/>
        <v>0</v>
      </c>
      <c r="AI117" s="311">
        <f t="shared" si="18"/>
        <v>57.0017821</v>
      </c>
      <c r="AJ117" s="284">
        <f t="shared" si="33"/>
        <v>0.83868750772683187</v>
      </c>
      <c r="AK117" s="312">
        <f t="shared" si="19"/>
        <v>353.85903326010492</v>
      </c>
      <c r="AL117" s="311">
        <f t="shared" si="20"/>
        <v>56.234415599999998</v>
      </c>
      <c r="AM117" s="285">
        <f t="shared" si="21"/>
        <v>0.83131846694799516</v>
      </c>
      <c r="AN117" s="312">
        <f t="shared" si="22"/>
        <v>392.43219550747062</v>
      </c>
      <c r="AO117" s="287">
        <f t="shared" si="23"/>
        <v>-13.039267015706807</v>
      </c>
      <c r="AP117" s="312">
        <f t="shared" si="24"/>
        <v>-342</v>
      </c>
      <c r="AQ117" s="287">
        <f t="shared" si="25"/>
        <v>-286.5</v>
      </c>
      <c r="AR117" s="288">
        <f t="shared" si="26"/>
        <v>746.2912287675756</v>
      </c>
      <c r="AS117" s="289">
        <f t="shared" si="35"/>
        <v>-392.43219550747062</v>
      </c>
      <c r="AT117" s="290">
        <f t="shared" si="27"/>
        <v>379.39292849176383</v>
      </c>
      <c r="AU117" s="289">
        <f t="shared" si="34"/>
        <v>392.43219550747062</v>
      </c>
      <c r="AV117" s="291">
        <f t="shared" si="28"/>
        <v>-140.85166618212719</v>
      </c>
      <c r="AW117" s="291">
        <f t="shared" si="29"/>
        <v>-145.64833381787281</v>
      </c>
      <c r="AX117" s="292">
        <f t="shared" si="6"/>
        <v>-82.356143270614254</v>
      </c>
      <c r="AY117" s="292">
        <f t="shared" si="7"/>
        <v>-79.64389084261903</v>
      </c>
      <c r="AZ117" s="294">
        <f t="shared" si="30"/>
        <v>82.356143270614254</v>
      </c>
      <c r="BA117" s="294">
        <f t="shared" si="30"/>
        <v>79.64389084261903</v>
      </c>
      <c r="BC117" s="12"/>
      <c r="BH117" s="1550"/>
      <c r="BI117" s="1550"/>
      <c r="BJ117" s="1550"/>
      <c r="BK117" s="27"/>
      <c r="EJ117" s="185"/>
      <c r="EK117" s="185"/>
    </row>
    <row r="118" spans="2:141" ht="21" customHeight="1" thickBot="1" x14ac:dyDescent="0.4">
      <c r="B118" s="88">
        <v>9</v>
      </c>
      <c r="C118" s="20"/>
      <c r="D118" s="738">
        <v>0</v>
      </c>
      <c r="E118" s="333" t="s">
        <v>126</v>
      </c>
      <c r="F118" s="81"/>
      <c r="G118" s="81"/>
      <c r="H118" s="81">
        <v>472.06</v>
      </c>
      <c r="I118" s="81">
        <v>62.531168700000002</v>
      </c>
      <c r="J118" s="81">
        <f t="shared" si="31"/>
        <v>62.531168700000002</v>
      </c>
      <c r="K118" s="81">
        <f t="shared" si="8"/>
        <v>31.265584350000001</v>
      </c>
      <c r="L118" s="81">
        <f t="shared" si="9"/>
        <v>0.51900577347391186</v>
      </c>
      <c r="M118" s="81">
        <f t="shared" si="10"/>
        <v>245.00186542609484</v>
      </c>
      <c r="N118" s="81">
        <f t="shared" si="11"/>
        <v>490.00373085218968</v>
      </c>
      <c r="O118" s="81">
        <f>+C110+D111+D112+D113+D114+D115+D116+D117+(D118/2)</f>
        <v>2.5</v>
      </c>
      <c r="P118" s="81">
        <f t="shared" si="12"/>
        <v>4.3619387365335958E-2</v>
      </c>
      <c r="Q118" s="81">
        <f t="shared" si="13"/>
        <v>21.373662546501485</v>
      </c>
      <c r="R118" s="81">
        <f t="shared" si="14"/>
        <v>375.94443065901061</v>
      </c>
      <c r="S118" s="81">
        <f t="shared" si="32"/>
        <v>397.31809320551207</v>
      </c>
      <c r="T118" s="81">
        <f t="shared" si="5"/>
        <v>397.31809320551207</v>
      </c>
      <c r="U118" s="81"/>
      <c r="V118" s="81">
        <f t="shared" si="15"/>
        <v>0</v>
      </c>
      <c r="W118" s="81"/>
      <c r="X118" s="81"/>
      <c r="Y118" s="81"/>
      <c r="Z118" s="81"/>
      <c r="AA118" s="81"/>
      <c r="AB118" s="81"/>
      <c r="AC118" s="454" t="b">
        <f>IF(AD118=9,AF118)</f>
        <v>0</v>
      </c>
      <c r="AD118" s="454">
        <f t="shared" si="16"/>
        <v>1</v>
      </c>
      <c r="AE118" s="454">
        <f>IF(V118=0,0,9)</f>
        <v>0</v>
      </c>
      <c r="AF118" s="282">
        <f>SUM(V118:V121)/($B$107-B117)</f>
        <v>0</v>
      </c>
      <c r="AG118" s="301">
        <f>SUM(D111:D118)+$C$110</f>
        <v>2.5</v>
      </c>
      <c r="AH118" s="411" t="b">
        <f t="shared" si="17"/>
        <v>0</v>
      </c>
      <c r="AI118" s="311">
        <f t="shared" si="18"/>
        <v>57.0017821</v>
      </c>
      <c r="AJ118" s="284">
        <f t="shared" si="33"/>
        <v>0.83868750772683187</v>
      </c>
      <c r="AK118" s="312">
        <f t="shared" si="19"/>
        <v>353.85903326010492</v>
      </c>
      <c r="AL118" s="311">
        <f t="shared" si="20"/>
        <v>56.234415599999998</v>
      </c>
      <c r="AM118" s="285">
        <f t="shared" si="21"/>
        <v>0.83131846694799516</v>
      </c>
      <c r="AN118" s="312">
        <f t="shared" si="22"/>
        <v>392.43219550747062</v>
      </c>
      <c r="AO118" s="287">
        <f t="shared" si="23"/>
        <v>-10.875545851528384</v>
      </c>
      <c r="AP118" s="312">
        <f t="shared" si="24"/>
        <v>-399</v>
      </c>
      <c r="AQ118" s="287">
        <f t="shared" si="25"/>
        <v>-343.5</v>
      </c>
      <c r="AR118" s="288">
        <f t="shared" si="26"/>
        <v>746.2912287675756</v>
      </c>
      <c r="AS118" s="289">
        <f t="shared" si="35"/>
        <v>-392.43219550747062</v>
      </c>
      <c r="AT118" s="290">
        <f t="shared" si="27"/>
        <v>381.55664965594224</v>
      </c>
      <c r="AU118" s="289">
        <f t="shared" si="34"/>
        <v>392.43219550747062</v>
      </c>
      <c r="AV118" s="291">
        <f t="shared" si="28"/>
        <v>-167.87860167101755</v>
      </c>
      <c r="AW118" s="291">
        <f t="shared" si="29"/>
        <v>-175.62139832898245</v>
      </c>
      <c r="AX118" s="292">
        <f t="shared" si="6"/>
        <v>-69.097549565798033</v>
      </c>
      <c r="AY118" s="292">
        <f t="shared" si="7"/>
        <v>-66.051176624105466</v>
      </c>
      <c r="AZ118" s="294">
        <f t="shared" si="30"/>
        <v>69.097549565798033</v>
      </c>
      <c r="BA118" s="294">
        <f t="shared" si="30"/>
        <v>66.051176624105466</v>
      </c>
      <c r="BC118" s="12"/>
      <c r="BH118" s="1550"/>
      <c r="BI118" s="1550"/>
      <c r="BJ118" s="1550"/>
      <c r="BK118" s="27"/>
      <c r="EJ118" s="185"/>
      <c r="EK118" s="185"/>
    </row>
    <row r="119" spans="2:141" ht="21" customHeight="1" thickBot="1" x14ac:dyDescent="0.4">
      <c r="B119" s="88">
        <v>10</v>
      </c>
      <c r="C119" s="20"/>
      <c r="D119" s="738">
        <v>0</v>
      </c>
      <c r="E119" s="333" t="s">
        <v>126</v>
      </c>
      <c r="F119" s="81"/>
      <c r="G119" s="81"/>
      <c r="H119" s="81">
        <v>472.06</v>
      </c>
      <c r="I119" s="81">
        <v>62.531168700000002</v>
      </c>
      <c r="J119" s="81">
        <f t="shared" si="31"/>
        <v>62.531168700000002</v>
      </c>
      <c r="K119" s="81">
        <f t="shared" si="8"/>
        <v>31.265584350000001</v>
      </c>
      <c r="L119" s="81">
        <f t="shared" si="9"/>
        <v>0.51900577347391186</v>
      </c>
      <c r="M119" s="81">
        <f t="shared" si="10"/>
        <v>245.00186542609484</v>
      </c>
      <c r="N119" s="81">
        <f t="shared" si="11"/>
        <v>490.00373085218968</v>
      </c>
      <c r="O119" s="81">
        <f>+C110+D111+D112+D113+D114+D115+D116+D117+D118+(D119/2)</f>
        <v>2.5</v>
      </c>
      <c r="P119" s="81">
        <f t="shared" si="12"/>
        <v>4.3619387365335958E-2</v>
      </c>
      <c r="Q119" s="81">
        <f t="shared" si="13"/>
        <v>21.373662546501485</v>
      </c>
      <c r="R119" s="81">
        <f t="shared" si="14"/>
        <v>397.31809320551207</v>
      </c>
      <c r="S119" s="81">
        <f t="shared" si="32"/>
        <v>418.69175575201353</v>
      </c>
      <c r="T119" s="81">
        <f t="shared" si="5"/>
        <v>418.69175575201353</v>
      </c>
      <c r="U119" s="81"/>
      <c r="V119" s="81">
        <f t="shared" si="15"/>
        <v>0</v>
      </c>
      <c r="W119" s="81"/>
      <c r="X119" s="81"/>
      <c r="Y119" s="81"/>
      <c r="Z119" s="81"/>
      <c r="AA119" s="81"/>
      <c r="AB119" s="81"/>
      <c r="AC119" s="454" t="b">
        <f>IF(AD119=10,AF119)</f>
        <v>0</v>
      </c>
      <c r="AD119" s="454">
        <f t="shared" si="16"/>
        <v>1</v>
      </c>
      <c r="AE119" s="454">
        <f>IF(V119=0,0,10)</f>
        <v>0</v>
      </c>
      <c r="AF119" s="282">
        <f>SUM(V119:V121)/($B$107-B118)</f>
        <v>0</v>
      </c>
      <c r="AG119" s="301">
        <f>SUM(D111:D119)+$C$110</f>
        <v>2.5</v>
      </c>
      <c r="AH119" s="411" t="b">
        <f t="shared" si="17"/>
        <v>0</v>
      </c>
      <c r="AI119" s="311">
        <f t="shared" si="18"/>
        <v>57.0017821</v>
      </c>
      <c r="AJ119" s="284">
        <f t="shared" si="33"/>
        <v>0.83868750772683187</v>
      </c>
      <c r="AK119" s="312">
        <f t="shared" si="19"/>
        <v>353.85903326010492</v>
      </c>
      <c r="AL119" s="311">
        <f t="shared" si="20"/>
        <v>56.234415599999998</v>
      </c>
      <c r="AM119" s="285">
        <f t="shared" si="21"/>
        <v>0.83131846694799516</v>
      </c>
      <c r="AN119" s="312">
        <f t="shared" si="22"/>
        <v>392.43219550747062</v>
      </c>
      <c r="AO119" s="287">
        <f t="shared" si="23"/>
        <v>-9.3277153558052426</v>
      </c>
      <c r="AP119" s="312">
        <f t="shared" si="24"/>
        <v>-456</v>
      </c>
      <c r="AQ119" s="287">
        <f t="shared" si="25"/>
        <v>-400.5</v>
      </c>
      <c r="AR119" s="288">
        <f t="shared" si="26"/>
        <v>746.2912287675756</v>
      </c>
      <c r="AS119" s="289">
        <f t="shared" si="35"/>
        <v>-392.43219550747062</v>
      </c>
      <c r="AT119" s="290">
        <f t="shared" si="27"/>
        <v>383.10448015166537</v>
      </c>
      <c r="AU119" s="289">
        <f t="shared" si="34"/>
        <v>392.43219550747062</v>
      </c>
      <c r="AV119" s="291">
        <f t="shared" si="28"/>
        <v>-194.90553715990791</v>
      </c>
      <c r="AW119" s="291">
        <f t="shared" si="29"/>
        <v>-205.59446284009209</v>
      </c>
      <c r="AX119" s="292">
        <f t="shared" si="6"/>
        <v>-59.516010519921345</v>
      </c>
      <c r="AY119" s="292">
        <f t="shared" si="7"/>
        <v>-56.421752997415524</v>
      </c>
      <c r="AZ119" s="294">
        <f t="shared" si="30"/>
        <v>59.516010519921345</v>
      </c>
      <c r="BA119" s="294">
        <f t="shared" si="30"/>
        <v>56.421752997415524</v>
      </c>
      <c r="BC119" s="12"/>
      <c r="BH119" s="1550"/>
      <c r="BI119" s="1550"/>
      <c r="BJ119" s="1550"/>
      <c r="BK119" s="27"/>
      <c r="EJ119" s="185"/>
      <c r="EK119" s="185"/>
    </row>
    <row r="120" spans="2:141" ht="21" customHeight="1" thickBot="1" x14ac:dyDescent="0.4">
      <c r="B120" s="88">
        <v>11</v>
      </c>
      <c r="C120" s="20"/>
      <c r="D120" s="738">
        <v>0</v>
      </c>
      <c r="E120" s="333" t="s">
        <v>126</v>
      </c>
      <c r="F120" s="81"/>
      <c r="G120" s="81"/>
      <c r="H120" s="81">
        <v>472.06</v>
      </c>
      <c r="I120" s="81">
        <v>62.531168700000002</v>
      </c>
      <c r="J120" s="81">
        <f t="shared" si="31"/>
        <v>62.531168700000002</v>
      </c>
      <c r="K120" s="81">
        <f t="shared" si="8"/>
        <v>31.265584350000001</v>
      </c>
      <c r="L120" s="81">
        <f t="shared" si="9"/>
        <v>0.51900577347391186</v>
      </c>
      <c r="M120" s="81">
        <f t="shared" si="10"/>
        <v>245.00186542609484</v>
      </c>
      <c r="N120" s="81">
        <f t="shared" si="11"/>
        <v>490.00373085218968</v>
      </c>
      <c r="O120" s="81">
        <f>+C110+D111+D112+D113+D114+D115+D116+D117+D118+D119+(D120/2)</f>
        <v>2.5</v>
      </c>
      <c r="P120" s="81">
        <f t="shared" si="12"/>
        <v>4.3619387365335958E-2</v>
      </c>
      <c r="Q120" s="81">
        <f t="shared" si="13"/>
        <v>21.373662546501485</v>
      </c>
      <c r="R120" s="81">
        <f t="shared" si="14"/>
        <v>418.69175575201353</v>
      </c>
      <c r="S120" s="81">
        <f t="shared" si="32"/>
        <v>440.065418298515</v>
      </c>
      <c r="T120" s="81">
        <f t="shared" si="5"/>
        <v>440.065418298515</v>
      </c>
      <c r="U120" s="81"/>
      <c r="V120" s="81">
        <f t="shared" si="15"/>
        <v>0</v>
      </c>
      <c r="W120" s="81"/>
      <c r="X120" s="81"/>
      <c r="Y120" s="81"/>
      <c r="Z120" s="81"/>
      <c r="AA120" s="81"/>
      <c r="AB120" s="81"/>
      <c r="AC120" s="454" t="b">
        <f>IF(AD120=11,AF120)</f>
        <v>0</v>
      </c>
      <c r="AD120" s="454">
        <f t="shared" si="16"/>
        <v>1</v>
      </c>
      <c r="AE120" s="454">
        <f>IF(V120=0,0,11)</f>
        <v>0</v>
      </c>
      <c r="AF120" s="282">
        <f>SUM(V120:V121)/($B$107-B119)</f>
        <v>0</v>
      </c>
      <c r="AG120" s="301">
        <f>SUM(D111:D120)+$C$110</f>
        <v>2.5</v>
      </c>
      <c r="AH120" s="411" t="b">
        <f t="shared" si="17"/>
        <v>0</v>
      </c>
      <c r="AI120" s="311">
        <f t="shared" si="18"/>
        <v>57.0017821</v>
      </c>
      <c r="AJ120" s="284">
        <f t="shared" si="33"/>
        <v>0.83868750772683187</v>
      </c>
      <c r="AK120" s="312">
        <f t="shared" si="19"/>
        <v>353.85903326010492</v>
      </c>
      <c r="AL120" s="311">
        <f t="shared" si="20"/>
        <v>56.234415599999998</v>
      </c>
      <c r="AM120" s="285">
        <f t="shared" si="21"/>
        <v>0.83131846694799516</v>
      </c>
      <c r="AN120" s="312">
        <f t="shared" si="22"/>
        <v>392.43219550747062</v>
      </c>
      <c r="AO120" s="287">
        <f t="shared" si="23"/>
        <v>-8.1655737704918039</v>
      </c>
      <c r="AP120" s="312">
        <f t="shared" si="24"/>
        <v>-513</v>
      </c>
      <c r="AQ120" s="287">
        <f t="shared" si="25"/>
        <v>-457.5</v>
      </c>
      <c r="AR120" s="288">
        <f t="shared" si="26"/>
        <v>746.2912287675756</v>
      </c>
      <c r="AS120" s="289">
        <f t="shared" si="35"/>
        <v>-392.43219550747062</v>
      </c>
      <c r="AT120" s="290">
        <f t="shared" si="27"/>
        <v>384.26662173697883</v>
      </c>
      <c r="AU120" s="289">
        <f t="shared" si="34"/>
        <v>392.43219550747062</v>
      </c>
      <c r="AV120" s="291">
        <f t="shared" si="28"/>
        <v>-221.93247264879827</v>
      </c>
      <c r="AW120" s="291">
        <f t="shared" si="29"/>
        <v>-235.56752735120176</v>
      </c>
      <c r="AX120" s="292">
        <f t="shared" si="6"/>
        <v>-52.268151035097354</v>
      </c>
      <c r="AY120" s="292">
        <f t="shared" si="7"/>
        <v>-49.242780320505929</v>
      </c>
      <c r="AZ120" s="294">
        <f t="shared" si="30"/>
        <v>52.268151035097354</v>
      </c>
      <c r="BA120" s="294">
        <f t="shared" si="30"/>
        <v>49.242780320505929</v>
      </c>
      <c r="BC120" s="12"/>
      <c r="BH120" s="1550"/>
      <c r="BI120" s="1550"/>
      <c r="BJ120" s="1550"/>
      <c r="BK120" s="27"/>
      <c r="EJ120" s="185"/>
      <c r="EK120" s="185"/>
    </row>
    <row r="121" spans="2:141" ht="21" customHeight="1" thickBot="1" x14ac:dyDescent="0.4">
      <c r="B121" s="88">
        <v>12</v>
      </c>
      <c r="C121" s="20"/>
      <c r="D121" s="738">
        <v>0</v>
      </c>
      <c r="E121" s="333" t="s">
        <v>126</v>
      </c>
      <c r="F121" s="81"/>
      <c r="G121" s="81"/>
      <c r="H121" s="81">
        <v>472.06</v>
      </c>
      <c r="I121" s="81">
        <v>62.531168700000002</v>
      </c>
      <c r="J121" s="81">
        <f t="shared" si="31"/>
        <v>62.531168700000002</v>
      </c>
      <c r="K121" s="81">
        <f t="shared" si="8"/>
        <v>31.265584350000001</v>
      </c>
      <c r="L121" s="81">
        <f t="shared" si="9"/>
        <v>0.51900577347391186</v>
      </c>
      <c r="M121" s="81">
        <f t="shared" si="10"/>
        <v>245.00186542609484</v>
      </c>
      <c r="N121" s="81">
        <f t="shared" si="11"/>
        <v>490.00373085218968</v>
      </c>
      <c r="O121" s="81">
        <f>+C110+D111+D112+D113+D114+D115+D116+D117+D118+D119+D120+(D121/2)</f>
        <v>2.5</v>
      </c>
      <c r="P121" s="81">
        <f t="shared" si="12"/>
        <v>4.3619387365335958E-2</v>
      </c>
      <c r="Q121" s="81">
        <f t="shared" si="13"/>
        <v>21.373662546501485</v>
      </c>
      <c r="R121" s="81">
        <f t="shared" si="14"/>
        <v>440.065418298515</v>
      </c>
      <c r="S121" s="81">
        <f t="shared" si="32"/>
        <v>461.43908084501646</v>
      </c>
      <c r="T121" s="81">
        <f t="shared" si="5"/>
        <v>461.43908084501646</v>
      </c>
      <c r="U121" s="81"/>
      <c r="V121" s="81">
        <f t="shared" si="15"/>
        <v>0</v>
      </c>
      <c r="W121" s="81"/>
      <c r="X121" s="81"/>
      <c r="Y121" s="81"/>
      <c r="Z121" s="81"/>
      <c r="AA121" s="81"/>
      <c r="AB121" s="81"/>
      <c r="AC121" s="454" t="b">
        <f>IF(AD121=12,AF121)</f>
        <v>0</v>
      </c>
      <c r="AD121" s="454">
        <f t="shared" si="16"/>
        <v>1</v>
      </c>
      <c r="AE121" s="454">
        <f>IF(V121=0,0,12)</f>
        <v>0</v>
      </c>
      <c r="AF121" s="282">
        <f>SUM(V121)/($B$107-B120)</f>
        <v>0</v>
      </c>
      <c r="AG121" s="301">
        <f>SUM(D111:D121)+$C$110</f>
        <v>2.5</v>
      </c>
      <c r="AH121" s="411" t="b">
        <f t="shared" si="17"/>
        <v>0</v>
      </c>
      <c r="AI121" s="311">
        <f t="shared" si="18"/>
        <v>57.0017821</v>
      </c>
      <c r="AJ121" s="284">
        <f t="shared" si="33"/>
        <v>0.83868750772683187</v>
      </c>
      <c r="AK121" s="312">
        <f t="shared" si="19"/>
        <v>353.85903326010492</v>
      </c>
      <c r="AL121" s="311">
        <f t="shared" si="20"/>
        <v>56.234415599999998</v>
      </c>
      <c r="AM121" s="285">
        <f t="shared" si="21"/>
        <v>0.83131846694799516</v>
      </c>
      <c r="AN121" s="312">
        <f t="shared" si="22"/>
        <v>392.43219550747062</v>
      </c>
      <c r="AO121" s="287">
        <f t="shared" si="23"/>
        <v>-7.2609329446064139</v>
      </c>
      <c r="AP121" s="312">
        <f t="shared" si="24"/>
        <v>-570</v>
      </c>
      <c r="AQ121" s="287">
        <f t="shared" si="25"/>
        <v>-514.5</v>
      </c>
      <c r="AR121" s="288">
        <f t="shared" si="26"/>
        <v>746.2912287675756</v>
      </c>
      <c r="AS121" s="289">
        <f t="shared" si="35"/>
        <v>-392.43219550747062</v>
      </c>
      <c r="AT121" s="290">
        <f t="shared" si="27"/>
        <v>385.17126256286423</v>
      </c>
      <c r="AU121" s="289">
        <f t="shared" si="34"/>
        <v>392.43219550747062</v>
      </c>
      <c r="AV121" s="291">
        <f t="shared" si="28"/>
        <v>-248.95940813768863</v>
      </c>
      <c r="AW121" s="291">
        <f t="shared" si="29"/>
        <v>-265.54059186231137</v>
      </c>
      <c r="AX121" s="292">
        <f t="shared" si="6"/>
        <v>-46.593941103782448</v>
      </c>
      <c r="AY121" s="292">
        <f t="shared" si="7"/>
        <v>-43.68446992848029</v>
      </c>
      <c r="AZ121" s="294">
        <f t="shared" si="30"/>
        <v>46.593941103782448</v>
      </c>
      <c r="BA121" s="294">
        <f t="shared" si="30"/>
        <v>43.68446992848029</v>
      </c>
      <c r="BC121" s="12"/>
      <c r="BH121" s="1550"/>
      <c r="BI121" s="1550"/>
      <c r="BJ121" s="1550"/>
      <c r="BK121" s="27"/>
      <c r="EJ121" s="185"/>
      <c r="EK121" s="185"/>
    </row>
    <row r="122" spans="2:141" ht="21" thickBot="1" x14ac:dyDescent="0.4">
      <c r="B122" s="24"/>
      <c r="C122" s="24"/>
      <c r="D122" s="15"/>
      <c r="E122" s="15"/>
      <c r="F122" s="15"/>
      <c r="G122" s="15"/>
      <c r="H122" s="244"/>
      <c r="I122" s="244"/>
      <c r="J122" s="244"/>
      <c r="K122" s="244"/>
      <c r="L122" s="244"/>
      <c r="M122" s="244"/>
      <c r="N122" s="244"/>
      <c r="O122" s="244"/>
      <c r="P122" s="244"/>
      <c r="Q122" s="244"/>
      <c r="R122" s="244"/>
      <c r="S122" s="244"/>
      <c r="T122" s="244"/>
      <c r="U122" s="12"/>
      <c r="V122" s="244"/>
      <c r="W122" s="244"/>
      <c r="X122" s="244"/>
      <c r="Y122" s="244"/>
      <c r="Z122" s="244"/>
      <c r="AA122" s="244"/>
      <c r="AB122" s="244"/>
      <c r="AC122" s="244"/>
      <c r="AD122" s="244"/>
      <c r="AE122" s="244"/>
      <c r="AF122" s="244"/>
      <c r="AG122" s="410" t="s">
        <v>125</v>
      </c>
      <c r="AH122" s="412">
        <f>MAX(AH110:AH121)</f>
        <v>0</v>
      </c>
      <c r="AI122" s="244"/>
      <c r="AJ122" s="244"/>
      <c r="AK122" s="244"/>
      <c r="AL122" s="244"/>
      <c r="AM122" s="244"/>
      <c r="AN122" s="244"/>
      <c r="AO122" s="244"/>
      <c r="AP122" s="244"/>
      <c r="AQ122" s="244"/>
      <c r="AR122" s="244"/>
      <c r="AS122" s="244"/>
      <c r="AT122" s="244"/>
      <c r="AU122" s="244"/>
      <c r="AV122" s="244"/>
      <c r="AW122" s="244"/>
      <c r="AX122" s="244"/>
      <c r="AY122" s="244"/>
      <c r="AZ122" s="244"/>
      <c r="BA122" s="244"/>
      <c r="BB122" s="7"/>
      <c r="BC122" s="12"/>
      <c r="BH122" s="1550"/>
      <c r="BI122" s="1550"/>
      <c r="BJ122" s="1550"/>
      <c r="BK122" s="27"/>
      <c r="EJ122" s="185"/>
      <c r="EK122" s="185"/>
    </row>
    <row r="123" spans="2:141" ht="18" hidden="1" x14ac:dyDescent="0.35">
      <c r="B123" s="125"/>
      <c r="C123" s="24"/>
      <c r="D123" s="15"/>
      <c r="E123" s="15"/>
      <c r="F123" s="15"/>
      <c r="G123" s="15"/>
      <c r="H123" s="244"/>
      <c r="I123" s="244"/>
      <c r="J123" s="244"/>
      <c r="K123" s="244"/>
      <c r="L123" s="244"/>
      <c r="M123" s="244"/>
      <c r="N123" s="244"/>
      <c r="O123" s="244"/>
      <c r="P123" s="244"/>
      <c r="Q123" s="244"/>
      <c r="R123" s="244"/>
      <c r="S123" s="244"/>
      <c r="T123" s="244"/>
      <c r="U123" s="12"/>
      <c r="V123" s="244"/>
      <c r="W123" s="244"/>
      <c r="X123" s="244"/>
      <c r="Y123" s="244"/>
      <c r="Z123" s="244"/>
      <c r="AA123" s="244"/>
      <c r="AB123" s="244"/>
      <c r="AC123" s="244"/>
      <c r="AD123" s="244"/>
      <c r="AE123" s="244"/>
      <c r="AF123" s="244"/>
      <c r="AG123" s="244"/>
      <c r="AH123" s="244"/>
      <c r="AI123" s="244"/>
      <c r="AJ123" s="244"/>
      <c r="AK123" s="244"/>
      <c r="AL123" s="244"/>
      <c r="AM123" s="244"/>
      <c r="AN123" s="244"/>
      <c r="AO123" s="244"/>
      <c r="AP123" s="244"/>
      <c r="AQ123" s="244"/>
      <c r="AR123" s="244"/>
      <c r="AS123" s="244"/>
      <c r="AT123" s="244"/>
      <c r="AU123" s="244"/>
      <c r="AV123" s="244"/>
      <c r="AW123" s="244"/>
      <c r="AX123" s="244"/>
      <c r="AY123" s="244"/>
      <c r="AZ123" s="244"/>
      <c r="BA123" s="244"/>
      <c r="BB123" s="7"/>
      <c r="BC123" s="12"/>
      <c r="BH123" s="1550"/>
      <c r="BI123" s="1550"/>
      <c r="BJ123" s="1550"/>
    </row>
    <row r="124" spans="2:141" hidden="1" x14ac:dyDescent="0.3">
      <c r="B124" s="125"/>
      <c r="AB124" s="272"/>
      <c r="AC124" s="272"/>
      <c r="AD124" s="272"/>
      <c r="AE124" s="272"/>
      <c r="BF124" s="27"/>
      <c r="BH124" s="1550"/>
      <c r="BI124" s="1550"/>
      <c r="BJ124" s="1550"/>
    </row>
    <row r="125" spans="2:141" hidden="1" x14ac:dyDescent="0.3">
      <c r="V125" s="245"/>
      <c r="W125" s="245"/>
      <c r="X125" s="245"/>
      <c r="Y125" s="245"/>
      <c r="Z125" s="245"/>
      <c r="AA125" s="245"/>
      <c r="AB125" s="245"/>
      <c r="AC125" s="245"/>
      <c r="AD125" s="245"/>
      <c r="AE125" s="245"/>
      <c r="AF125" s="245"/>
      <c r="AG125" s="245"/>
      <c r="AH125" s="245"/>
      <c r="AI125" s="245"/>
      <c r="AJ125" s="245"/>
      <c r="AK125" s="245"/>
      <c r="AL125" s="245"/>
      <c r="AM125" s="245"/>
      <c r="AN125" s="245"/>
      <c r="AO125" s="245"/>
      <c r="AP125" s="245"/>
      <c r="AQ125" s="245"/>
      <c r="AR125" s="245"/>
      <c r="AS125" s="245"/>
      <c r="AT125" s="245"/>
      <c r="AU125" s="245"/>
      <c r="AV125" s="245"/>
      <c r="AW125" s="245"/>
      <c r="AX125" s="245"/>
      <c r="AY125" s="245"/>
      <c r="AZ125" s="245"/>
      <c r="BA125" s="245"/>
      <c r="BB125" s="4"/>
      <c r="BH125" s="1550"/>
      <c r="BI125" s="1550"/>
      <c r="BJ125" s="1550"/>
    </row>
    <row r="126" spans="2:141" ht="18" hidden="1" thickBot="1" x14ac:dyDescent="0.35">
      <c r="U126" s="243"/>
      <c r="V126" s="245"/>
      <c r="W126" s="245"/>
      <c r="X126" s="245"/>
      <c r="Y126" s="245"/>
      <c r="Z126" s="245"/>
      <c r="AA126" s="245"/>
      <c r="AB126" s="245"/>
      <c r="AC126" s="245"/>
      <c r="AD126" s="245"/>
      <c r="AE126" s="245"/>
      <c r="AF126" s="245"/>
      <c r="AG126" s="245"/>
      <c r="AH126" s="245"/>
      <c r="AI126" s="245"/>
      <c r="AJ126" s="245"/>
      <c r="AK126" s="245"/>
      <c r="AL126" s="245"/>
      <c r="AM126" s="245"/>
      <c r="AN126" s="245"/>
      <c r="AO126" s="245"/>
      <c r="AP126" s="245"/>
      <c r="AQ126" s="245"/>
      <c r="AR126" s="245"/>
      <c r="AS126" s="245"/>
      <c r="AT126" s="245"/>
      <c r="AU126" s="245"/>
      <c r="AV126" s="245"/>
      <c r="AW126" s="245"/>
      <c r="AX126" s="245"/>
      <c r="AY126" s="245"/>
      <c r="AZ126" s="245"/>
      <c r="BA126" s="245"/>
      <c r="BB126" s="4"/>
      <c r="BC126" s="14"/>
      <c r="BF126" s="27"/>
      <c r="BH126" s="1550"/>
      <c r="BI126" s="1550"/>
      <c r="BJ126" s="1550"/>
    </row>
    <row r="127" spans="2:141" ht="54.75" customHeight="1" thickTop="1" thickBot="1" x14ac:dyDescent="0.45">
      <c r="B127" s="695" t="s">
        <v>42</v>
      </c>
      <c r="C127" s="707"/>
      <c r="D127" s="708"/>
      <c r="E127" s="74"/>
      <c r="F127" s="74"/>
      <c r="G127" s="74"/>
      <c r="H127" s="248"/>
      <c r="I127" s="248"/>
      <c r="J127" s="248"/>
      <c r="K127" s="248"/>
      <c r="L127" s="248"/>
      <c r="M127" s="248"/>
      <c r="N127" s="248"/>
      <c r="O127" s="248"/>
      <c r="P127" s="248"/>
      <c r="Q127" s="248"/>
      <c r="R127" s="248"/>
      <c r="S127" s="255" t="s">
        <v>105</v>
      </c>
      <c r="T127" s="255">
        <f>SUM(V131:V154)/B128</f>
        <v>146.5</v>
      </c>
      <c r="U127" s="295"/>
      <c r="V127" s="245"/>
      <c r="W127" s="245"/>
      <c r="X127" s="245"/>
      <c r="Y127" s="245"/>
      <c r="Z127" s="245"/>
      <c r="AA127" s="245"/>
      <c r="AB127" s="245"/>
      <c r="AC127" s="245"/>
      <c r="AD127" s="245"/>
      <c r="AE127" s="245"/>
      <c r="AF127" s="245"/>
      <c r="AG127" s="245"/>
      <c r="AH127" s="245"/>
      <c r="AI127" s="245"/>
      <c r="AJ127" s="245"/>
      <c r="AK127" s="245"/>
      <c r="AL127" s="245"/>
      <c r="AM127" s="245"/>
      <c r="AN127" s="245"/>
      <c r="AO127" s="245"/>
      <c r="AP127" s="245"/>
      <c r="AQ127" s="245"/>
      <c r="AR127" s="245"/>
      <c r="AS127" s="245"/>
      <c r="AT127" s="245"/>
      <c r="AU127" s="245"/>
      <c r="AV127" s="245"/>
      <c r="AW127" s="245"/>
      <c r="AX127" s="245"/>
      <c r="AY127" s="245"/>
      <c r="AZ127" s="245"/>
      <c r="BA127" s="245"/>
      <c r="BB127" s="4"/>
      <c r="BC127" s="36"/>
      <c r="BD127" s="36"/>
      <c r="BE127" s="36"/>
      <c r="BF127" s="27"/>
      <c r="BH127" s="1550"/>
      <c r="BI127" s="1550"/>
      <c r="BJ127" s="1550"/>
    </row>
    <row r="128" spans="2:141" ht="36" customHeight="1" thickTop="1" thickBot="1" x14ac:dyDescent="0.45">
      <c r="B128" s="743">
        <v>1</v>
      </c>
      <c r="C128" s="671"/>
      <c r="D128" s="706" t="s">
        <v>71</v>
      </c>
      <c r="E128" s="445"/>
      <c r="F128" s="445"/>
      <c r="G128" s="445"/>
      <c r="H128" s="246"/>
      <c r="I128" s="247"/>
      <c r="J128" s="247"/>
      <c r="K128" s="247"/>
      <c r="L128" s="247"/>
      <c r="M128" s="247"/>
      <c r="N128" s="247"/>
      <c r="O128" s="247"/>
      <c r="P128" s="247"/>
      <c r="Q128" s="247"/>
      <c r="R128" s="247"/>
      <c r="S128" s="303"/>
      <c r="T128" s="304"/>
      <c r="U128" s="266"/>
      <c r="V128" s="296"/>
      <c r="W128" s="296"/>
      <c r="X128" s="296"/>
      <c r="Y128" s="296"/>
      <c r="Z128" s="296"/>
      <c r="AA128" s="296"/>
      <c r="AB128" s="296"/>
      <c r="AC128" s="296"/>
      <c r="AD128" s="296"/>
      <c r="AE128" s="296"/>
      <c r="AF128" s="296"/>
      <c r="AG128" s="296"/>
      <c r="AH128" s="296"/>
      <c r="AI128" s="296"/>
      <c r="AJ128" s="296"/>
      <c r="AK128" s="296"/>
      <c r="AL128" s="296"/>
      <c r="AM128" s="296"/>
      <c r="AN128" s="296"/>
      <c r="AO128" s="296"/>
      <c r="AP128" s="296"/>
      <c r="AQ128" s="296"/>
      <c r="AR128" s="296"/>
      <c r="AS128" s="296"/>
      <c r="AT128" s="296"/>
      <c r="AU128" s="296"/>
      <c r="AV128" s="296"/>
      <c r="AW128" s="296"/>
      <c r="AX128" s="296"/>
      <c r="AY128" s="296"/>
      <c r="AZ128" s="2045" t="s">
        <v>68</v>
      </c>
      <c r="BA128" s="2046"/>
      <c r="BB128" s="5"/>
      <c r="BC128" s="33"/>
      <c r="BD128" s="33"/>
      <c r="BE128" s="33"/>
      <c r="BF128" s="27"/>
      <c r="BH128" s="1550"/>
      <c r="BI128" s="1550"/>
      <c r="BJ128" s="1550"/>
    </row>
    <row r="129" spans="1:105" ht="18.600000000000001" hidden="1" thickTop="1" thickBot="1" x14ac:dyDescent="0.35">
      <c r="B129" s="358"/>
      <c r="C129" s="76"/>
      <c r="D129" s="698" t="s">
        <v>13</v>
      </c>
      <c r="E129" s="15"/>
      <c r="F129" s="15"/>
      <c r="G129" s="15"/>
      <c r="H129" s="297" t="s">
        <v>4</v>
      </c>
      <c r="I129" s="297" t="s">
        <v>1</v>
      </c>
      <c r="J129" s="248" t="s">
        <v>0</v>
      </c>
      <c r="K129" s="248" t="s">
        <v>2</v>
      </c>
      <c r="L129" s="248" t="s">
        <v>3</v>
      </c>
      <c r="M129" s="248" t="s">
        <v>8</v>
      </c>
      <c r="N129" s="248" t="s">
        <v>5</v>
      </c>
      <c r="O129" s="248" t="s">
        <v>6</v>
      </c>
      <c r="P129" s="248" t="s">
        <v>7</v>
      </c>
      <c r="Q129" s="248" t="s">
        <v>9</v>
      </c>
      <c r="R129" s="316" t="s">
        <v>10</v>
      </c>
      <c r="S129" s="248" t="s">
        <v>11</v>
      </c>
      <c r="T129" s="249" t="s">
        <v>12</v>
      </c>
      <c r="U129" s="265"/>
      <c r="V129" s="273"/>
      <c r="W129" s="273"/>
      <c r="X129" s="273"/>
      <c r="Y129" s="273"/>
      <c r="Z129" s="273"/>
      <c r="AA129" s="273"/>
      <c r="AB129" s="273"/>
      <c r="AC129" s="273"/>
      <c r="AD129" s="273"/>
      <c r="AE129" s="273"/>
      <c r="AF129" s="273"/>
      <c r="AG129" s="273"/>
      <c r="AH129" s="273"/>
      <c r="AI129" s="273"/>
      <c r="AJ129" s="273"/>
      <c r="AK129" s="273"/>
      <c r="AL129" s="273"/>
      <c r="AM129" s="273"/>
      <c r="AN129" s="273"/>
      <c r="AO129" s="273"/>
      <c r="AP129" s="273"/>
      <c r="AQ129" s="273"/>
      <c r="AR129" s="273"/>
      <c r="AS129" s="273"/>
      <c r="AT129" s="273"/>
      <c r="AU129" s="273"/>
      <c r="AV129" s="273"/>
      <c r="AW129" s="273"/>
      <c r="AX129" s="272"/>
      <c r="AY129" s="273"/>
      <c r="AZ129" s="273"/>
      <c r="BA129" s="273"/>
      <c r="BB129" s="6"/>
      <c r="BC129" s="16"/>
      <c r="BD129" s="7"/>
      <c r="BE129" s="7"/>
      <c r="BF129" s="27"/>
      <c r="BH129" s="1550"/>
      <c r="BI129" s="1550"/>
      <c r="BJ129" s="1550"/>
    </row>
    <row r="130" spans="1:105" ht="36" customHeight="1" thickTop="1" thickBot="1" x14ac:dyDescent="0.45">
      <c r="B130" s="90"/>
      <c r="C130" s="139"/>
      <c r="D130" s="670" t="s">
        <v>24</v>
      </c>
      <c r="E130" s="445"/>
      <c r="F130" s="30" t="s">
        <v>58</v>
      </c>
      <c r="G130" s="50"/>
      <c r="H130" s="298"/>
      <c r="I130" s="317"/>
      <c r="J130" s="244"/>
      <c r="K130" s="244"/>
      <c r="L130" s="244"/>
      <c r="M130" s="244"/>
      <c r="N130" s="244"/>
      <c r="O130" s="244"/>
      <c r="P130" s="244"/>
      <c r="Q130" s="244"/>
      <c r="R130" s="316"/>
      <c r="S130" s="244"/>
      <c r="T130" s="250"/>
      <c r="U130" s="265"/>
      <c r="V130" s="273"/>
      <c r="W130" s="273"/>
      <c r="X130" s="273"/>
      <c r="Y130" s="273"/>
      <c r="Z130" s="273"/>
      <c r="AA130" s="273"/>
      <c r="AB130" s="273"/>
      <c r="AC130" s="273"/>
      <c r="AD130" s="273"/>
      <c r="AE130" s="273"/>
      <c r="AF130" s="273" t="s">
        <v>51</v>
      </c>
      <c r="AG130" s="274" t="s">
        <v>44</v>
      </c>
      <c r="AH130" s="274"/>
      <c r="AI130" s="175" t="s">
        <v>96</v>
      </c>
      <c r="AJ130" s="275" t="s">
        <v>45</v>
      </c>
      <c r="AK130" s="172" t="s">
        <v>46</v>
      </c>
      <c r="AL130" s="175" t="s">
        <v>97</v>
      </c>
      <c r="AM130" s="276" t="s">
        <v>47</v>
      </c>
      <c r="AN130" s="172" t="s">
        <v>48</v>
      </c>
      <c r="AO130" s="276"/>
      <c r="AP130" s="179" t="s">
        <v>49</v>
      </c>
      <c r="AQ130" s="278"/>
      <c r="AR130" s="278" t="s">
        <v>50</v>
      </c>
      <c r="AS130" s="278" t="s">
        <v>52</v>
      </c>
      <c r="AT130" s="278"/>
      <c r="AU130" s="278" t="s">
        <v>53</v>
      </c>
      <c r="AV130" s="279" t="s">
        <v>54</v>
      </c>
      <c r="AW130" s="279" t="s">
        <v>55</v>
      </c>
      <c r="AX130" s="280" t="s">
        <v>25</v>
      </c>
      <c r="AY130" s="280" t="s">
        <v>26</v>
      </c>
      <c r="AZ130" s="281" t="s">
        <v>25</v>
      </c>
      <c r="BA130" s="281" t="s">
        <v>26</v>
      </c>
      <c r="BB130" s="7"/>
      <c r="BC130" s="16"/>
      <c r="BD130" s="7"/>
      <c r="BE130" s="7"/>
      <c r="BF130" s="27"/>
      <c r="BH130" s="1550"/>
      <c r="BI130" s="1550"/>
      <c r="BJ130" s="1550"/>
    </row>
    <row r="131" spans="1:105" ht="21" customHeight="1" thickBot="1" x14ac:dyDescent="0.35">
      <c r="B131" s="87">
        <v>1</v>
      </c>
      <c r="C131" s="668">
        <f>+AH122+D131</f>
        <v>0</v>
      </c>
      <c r="D131" s="738">
        <v>0</v>
      </c>
      <c r="E131" s="333" t="s">
        <v>73</v>
      </c>
      <c r="F131" s="81">
        <f>+G131</f>
        <v>0</v>
      </c>
      <c r="G131" s="81">
        <f>+D131</f>
        <v>0</v>
      </c>
      <c r="H131" s="299">
        <v>190.76</v>
      </c>
      <c r="I131" s="318">
        <v>79.651040199999997</v>
      </c>
      <c r="J131" s="251">
        <f>+I131-C131</f>
        <v>79.651040199999997</v>
      </c>
      <c r="K131" s="251">
        <f>+J131/2</f>
        <v>39.825520099999999</v>
      </c>
      <c r="L131" s="251">
        <f t="shared" ref="L131:L154" si="36">SIN(K131*3.14159265358979/180)</f>
        <v>0.64045183696587837</v>
      </c>
      <c r="M131" s="251">
        <f t="shared" ref="M131:M154" si="37">+L131*H131</f>
        <v>122.17259241961095</v>
      </c>
      <c r="N131" s="251">
        <f t="shared" ref="N131:N154" si="38">+M131*2</f>
        <v>244.3451848392219</v>
      </c>
      <c r="O131" s="251">
        <f>+C131/2</f>
        <v>0</v>
      </c>
      <c r="P131" s="251">
        <f t="shared" ref="P131:P154" si="39">SIN(O131*3.14159265358979/180)</f>
        <v>0</v>
      </c>
      <c r="Q131" s="251">
        <f t="shared" ref="Q131:Q154" si="40">+P131*N131</f>
        <v>0</v>
      </c>
      <c r="R131" s="319">
        <v>146.5</v>
      </c>
      <c r="S131" s="251">
        <f>+R131+Q131</f>
        <v>146.5</v>
      </c>
      <c r="T131" s="252">
        <f t="shared" ref="T131:T154" si="41">+S131</f>
        <v>146.5</v>
      </c>
      <c r="V131" s="282">
        <f t="shared" ref="V131:V154" si="42">IF(B131&lt;($B$128+1),T131,0)</f>
        <v>146.5</v>
      </c>
      <c r="W131" s="282"/>
      <c r="X131" s="282"/>
      <c r="Y131" s="282"/>
      <c r="Z131" s="282"/>
      <c r="AA131" s="282"/>
      <c r="AB131" s="300" t="str">
        <f>IF(AY131&lt;0,"pin in groundstacking hole"," ")</f>
        <v xml:space="preserve"> </v>
      </c>
      <c r="AC131" s="451"/>
      <c r="AD131" s="451"/>
      <c r="AE131" s="451"/>
      <c r="AF131" s="282">
        <f>SUM(V131:V154)/($B$128)</f>
        <v>146.5</v>
      </c>
      <c r="AG131" s="301">
        <f>C131</f>
        <v>0</v>
      </c>
      <c r="AH131" s="301"/>
      <c r="AI131" s="173">
        <f>69.3447148-AG131</f>
        <v>69.344714800000006</v>
      </c>
      <c r="AJ131" s="284">
        <f t="shared" ref="AJ131:AJ154" si="43">SIN(AI131*3.14159265358979/180)</f>
        <v>0.93571960494171247</v>
      </c>
      <c r="AK131" s="174">
        <f>+AJ131*192.42</f>
        <v>180.0511663828843</v>
      </c>
      <c r="AL131" s="173">
        <f>50.1744799+AG131</f>
        <v>50.174479900000001</v>
      </c>
      <c r="AM131" s="285">
        <f>SIN(AL131*3.14159265358979/180)</f>
        <v>0.76799833627881664</v>
      </c>
      <c r="AN131" s="174">
        <f>+AM131*190.76</f>
        <v>146.50336262854705</v>
      </c>
      <c r="AO131" s="286"/>
      <c r="AP131" s="174">
        <f>25.5*B128</f>
        <v>25.5</v>
      </c>
      <c r="AQ131" s="288"/>
      <c r="AR131" s="288">
        <f>+AN131+AK131</f>
        <v>326.55452901143133</v>
      </c>
      <c r="AS131" s="289">
        <f>+V131-AN131</f>
        <v>-3.3626285470518269E-3</v>
      </c>
      <c r="AT131" s="289"/>
      <c r="AU131" s="289">
        <f>+AF131-AS131</f>
        <v>146.50336262854705</v>
      </c>
      <c r="AV131" s="291">
        <f>+((AR131-AU131)/AR131)*AP131</f>
        <v>14.059840960291279</v>
      </c>
      <c r="AW131" s="291">
        <f>+(AU131/AR131)*AP131</f>
        <v>11.440159039708721</v>
      </c>
      <c r="AX131" s="292">
        <f>2*$C$18/AV131</f>
        <v>825.04489437408847</v>
      </c>
      <c r="AY131" s="292">
        <f>$D$18/AW131</f>
        <v>874.11372213358766</v>
      </c>
      <c r="AZ131" s="294">
        <f>ABS(AX131)</f>
        <v>825.04489437408847</v>
      </c>
      <c r="BA131" s="294">
        <f>ABS(AY131)</f>
        <v>874.11372213358766</v>
      </c>
      <c r="BB131" s="2" t="s">
        <v>56</v>
      </c>
      <c r="BC131" s="11"/>
      <c r="BF131" s="27"/>
      <c r="BH131" s="1550"/>
      <c r="BI131" s="1550"/>
      <c r="BJ131" s="1550"/>
    </row>
    <row r="132" spans="1:105" ht="21" customHeight="1" thickBot="1" x14ac:dyDescent="0.35">
      <c r="B132" s="88">
        <v>2</v>
      </c>
      <c r="C132" s="20"/>
      <c r="D132" s="738">
        <v>0</v>
      </c>
      <c r="E132" s="333" t="s">
        <v>72</v>
      </c>
      <c r="F132" s="81" t="e">
        <f t="shared" ref="F132:F154" si="44">+G132</f>
        <v>#DIV/0!</v>
      </c>
      <c r="G132" s="81" t="e">
        <f t="shared" ref="G132:G154" si="45">+D132+BB132</f>
        <v>#DIV/0!</v>
      </c>
      <c r="H132" s="299">
        <v>190.76</v>
      </c>
      <c r="I132" s="318">
        <v>79.651040199999997</v>
      </c>
      <c r="J132" s="251">
        <f t="shared" ref="J132:J154" si="46">+I132-D132</f>
        <v>79.651040199999997</v>
      </c>
      <c r="K132" s="251">
        <f t="shared" ref="K132:K154" si="47">+J132/2</f>
        <v>39.825520099999999</v>
      </c>
      <c r="L132" s="251">
        <f t="shared" si="36"/>
        <v>0.64045183696587837</v>
      </c>
      <c r="M132" s="251">
        <f t="shared" si="37"/>
        <v>122.17259241961095</v>
      </c>
      <c r="N132" s="251">
        <f t="shared" si="38"/>
        <v>244.3451848392219</v>
      </c>
      <c r="O132" s="251">
        <f>+C131+(D132/2)</f>
        <v>0</v>
      </c>
      <c r="P132" s="251">
        <f t="shared" si="39"/>
        <v>0</v>
      </c>
      <c r="Q132" s="251">
        <f t="shared" si="40"/>
        <v>0</v>
      </c>
      <c r="R132" s="251">
        <f t="shared" ref="R132:R154" si="48">+T131</f>
        <v>146.5</v>
      </c>
      <c r="S132" s="251">
        <f>+R132+Q132</f>
        <v>146.5</v>
      </c>
      <c r="T132" s="252">
        <f t="shared" si="41"/>
        <v>146.5</v>
      </c>
      <c r="V132" s="282">
        <f t="shared" si="42"/>
        <v>0</v>
      </c>
      <c r="W132" s="282"/>
      <c r="X132" s="282"/>
      <c r="Y132" s="282"/>
      <c r="Z132" s="282"/>
      <c r="AA132" s="282"/>
      <c r="AB132" s="300" t="e">
        <f t="shared" ref="AB132:AB154" si="49">IF(AY132&lt;0,"pin in groundstacking hole"," ")</f>
        <v>#DIV/0!</v>
      </c>
      <c r="AC132" s="451"/>
      <c r="AD132" s="451"/>
      <c r="AE132" s="451"/>
      <c r="AF132" s="282" t="e">
        <f>SUM(V132:V155)/($B$128-B131)</f>
        <v>#DIV/0!</v>
      </c>
      <c r="AG132" s="301">
        <f>SUM(D132)+$C$131</f>
        <v>0</v>
      </c>
      <c r="AH132" s="301"/>
      <c r="AI132" s="173">
        <f t="shared" ref="AI132:AI154" si="50">69.3447148-AG132</f>
        <v>69.344714800000006</v>
      </c>
      <c r="AJ132" s="284">
        <f t="shared" si="43"/>
        <v>0.93571960494171247</v>
      </c>
      <c r="AK132" s="174">
        <f t="shared" ref="AK132:AK154" si="51">+AJ132*192.42</f>
        <v>180.0511663828843</v>
      </c>
      <c r="AL132" s="173">
        <f t="shared" ref="AL132:AL154" si="52">50.1744799+AG132</f>
        <v>50.174479900000001</v>
      </c>
      <c r="AM132" s="285">
        <f t="shared" ref="AM132:AM154" si="53">SIN(AL132*3.14159265358979/180)</f>
        <v>0.76799833627881664</v>
      </c>
      <c r="AN132" s="174">
        <f t="shared" ref="AN132:AN154" si="54">+AM132*190.76</f>
        <v>146.50336262854705</v>
      </c>
      <c r="AO132" s="286"/>
      <c r="AP132" s="174">
        <f>25.5*($B$128-B131)</f>
        <v>0</v>
      </c>
      <c r="AQ132" s="288"/>
      <c r="AR132" s="288">
        <f t="shared" ref="AR132:AR154" si="55">+AN132+AK132</f>
        <v>326.55452901143133</v>
      </c>
      <c r="AS132" s="289">
        <f>+V132-AN132</f>
        <v>-146.50336262854705</v>
      </c>
      <c r="AT132" s="289"/>
      <c r="AU132" s="289" t="e">
        <f>+AF132-AS132</f>
        <v>#DIV/0!</v>
      </c>
      <c r="AV132" s="291" t="e">
        <f t="shared" ref="AV132:AV154" si="56">+((AR132-AU132)/AR132)*AP132</f>
        <v>#DIV/0!</v>
      </c>
      <c r="AW132" s="291" t="e">
        <f t="shared" ref="AW132:AW154" si="57">+(AU132/AR132)*AP132</f>
        <v>#DIV/0!</v>
      </c>
      <c r="AX132" s="292" t="e">
        <f t="shared" ref="AX132:AX154" si="58">2*$C$18/AV132</f>
        <v>#DIV/0!</v>
      </c>
      <c r="AY132" s="292" t="e">
        <f t="shared" ref="AY132:AY154" si="59">$D$18/AW132</f>
        <v>#DIV/0!</v>
      </c>
      <c r="AZ132" s="294" t="e">
        <f t="shared" ref="AZ132:BA154" si="60">ABS(AX132)</f>
        <v>#DIV/0!</v>
      </c>
      <c r="BA132" s="294" t="e">
        <f t="shared" si="60"/>
        <v>#DIV/0!</v>
      </c>
      <c r="BB132" t="e">
        <f t="shared" ref="BB132:BB154" si="61">IF(AY132&lt;0,0.3,0)</f>
        <v>#DIV/0!</v>
      </c>
      <c r="BF132" s="27"/>
      <c r="BH132" s="1550"/>
      <c r="BI132" s="1550"/>
      <c r="BJ132" s="1550"/>
    </row>
    <row r="133" spans="1:105" ht="21" customHeight="1" thickBot="1" x14ac:dyDescent="0.35">
      <c r="B133" s="88">
        <v>3</v>
      </c>
      <c r="C133" s="20"/>
      <c r="D133" s="738">
        <v>0</v>
      </c>
      <c r="E133" s="333" t="s">
        <v>72</v>
      </c>
      <c r="F133" s="81">
        <f t="shared" si="44"/>
        <v>0.3</v>
      </c>
      <c r="G133" s="81">
        <f t="shared" si="45"/>
        <v>0.3</v>
      </c>
      <c r="H133" s="299">
        <v>190.76</v>
      </c>
      <c r="I133" s="318">
        <v>79.651040199999997</v>
      </c>
      <c r="J133" s="251">
        <f t="shared" si="46"/>
        <v>79.651040199999997</v>
      </c>
      <c r="K133" s="251">
        <f t="shared" si="47"/>
        <v>39.825520099999999</v>
      </c>
      <c r="L133" s="251">
        <f t="shared" si="36"/>
        <v>0.64045183696587837</v>
      </c>
      <c r="M133" s="251">
        <f t="shared" si="37"/>
        <v>122.17259241961095</v>
      </c>
      <c r="N133" s="251">
        <f t="shared" si="38"/>
        <v>244.3451848392219</v>
      </c>
      <c r="O133" s="251">
        <f>+C131+D132+(D133/2)</f>
        <v>0</v>
      </c>
      <c r="P133" s="251">
        <f t="shared" si="39"/>
        <v>0</v>
      </c>
      <c r="Q133" s="251">
        <f t="shared" si="40"/>
        <v>0</v>
      </c>
      <c r="R133" s="251">
        <f t="shared" si="48"/>
        <v>146.5</v>
      </c>
      <c r="S133" s="251">
        <f t="shared" ref="S133:S154" si="62">+S132+Q133</f>
        <v>146.5</v>
      </c>
      <c r="T133" s="252">
        <f t="shared" si="41"/>
        <v>146.5</v>
      </c>
      <c r="V133" s="282">
        <f t="shared" si="42"/>
        <v>0</v>
      </c>
      <c r="W133" s="282"/>
      <c r="X133" s="282"/>
      <c r="Y133" s="282"/>
      <c r="Z133" s="282"/>
      <c r="AA133" s="282"/>
      <c r="AB133" s="300" t="str">
        <f t="shared" si="49"/>
        <v>pin in groundstacking hole</v>
      </c>
      <c r="AC133" s="451"/>
      <c r="AD133" s="451"/>
      <c r="AE133" s="451"/>
      <c r="AF133" s="282">
        <f t="shared" ref="AF133:AF154" si="63">SUM(V133:V156)/($B$128-B132)</f>
        <v>0</v>
      </c>
      <c r="AG133" s="301">
        <f>SUM(D132:D133)+$C$131</f>
        <v>0</v>
      </c>
      <c r="AH133" s="301"/>
      <c r="AI133" s="173">
        <f t="shared" si="50"/>
        <v>69.344714800000006</v>
      </c>
      <c r="AJ133" s="284">
        <f t="shared" si="43"/>
        <v>0.93571960494171247</v>
      </c>
      <c r="AK133" s="174">
        <f t="shared" si="51"/>
        <v>180.0511663828843</v>
      </c>
      <c r="AL133" s="173">
        <f t="shared" si="52"/>
        <v>50.174479900000001</v>
      </c>
      <c r="AM133" s="285">
        <f t="shared" si="53"/>
        <v>0.76799833627881664</v>
      </c>
      <c r="AN133" s="174">
        <f t="shared" si="54"/>
        <v>146.50336262854705</v>
      </c>
      <c r="AO133" s="286"/>
      <c r="AP133" s="174">
        <f t="shared" ref="AP133:AP154" si="64">25.5*($B$128-B132)</f>
        <v>-25.5</v>
      </c>
      <c r="AQ133" s="288"/>
      <c r="AR133" s="288">
        <f t="shared" si="55"/>
        <v>326.55452901143133</v>
      </c>
      <c r="AS133" s="289">
        <f>+V133-AN133</f>
        <v>-146.50336262854705</v>
      </c>
      <c r="AT133" s="289"/>
      <c r="AU133" s="289">
        <f>+AF133-AS133</f>
        <v>146.50336262854705</v>
      </c>
      <c r="AV133" s="291">
        <f t="shared" si="56"/>
        <v>-14.059840960291279</v>
      </c>
      <c r="AW133" s="291">
        <f t="shared" si="57"/>
        <v>-11.440159039708721</v>
      </c>
      <c r="AX133" s="292">
        <f t="shared" si="58"/>
        <v>-825.04489437408847</v>
      </c>
      <c r="AY133" s="292">
        <f t="shared" si="59"/>
        <v>-874.11372213358766</v>
      </c>
      <c r="AZ133" s="294">
        <f t="shared" si="60"/>
        <v>825.04489437408847</v>
      </c>
      <c r="BA133" s="294">
        <f t="shared" si="60"/>
        <v>874.11372213358766</v>
      </c>
      <c r="BB133">
        <f t="shared" si="61"/>
        <v>0.3</v>
      </c>
      <c r="BF133" s="27"/>
      <c r="BG133" s="27"/>
      <c r="BH133" s="27"/>
      <c r="BI133" s="27"/>
      <c r="BJ133" s="27"/>
    </row>
    <row r="134" spans="1:105" ht="21" customHeight="1" thickBot="1" x14ac:dyDescent="0.35">
      <c r="B134" s="88">
        <v>4</v>
      </c>
      <c r="C134" s="20"/>
      <c r="D134" s="738">
        <v>0</v>
      </c>
      <c r="E134" s="333" t="s">
        <v>72</v>
      </c>
      <c r="F134" s="81">
        <f t="shared" si="44"/>
        <v>0.3</v>
      </c>
      <c r="G134" s="81">
        <f t="shared" si="45"/>
        <v>0.3</v>
      </c>
      <c r="H134" s="299">
        <v>190.76</v>
      </c>
      <c r="I134" s="318">
        <v>79.651040199999997</v>
      </c>
      <c r="J134" s="251">
        <f t="shared" si="46"/>
        <v>79.651040199999997</v>
      </c>
      <c r="K134" s="251">
        <f t="shared" si="47"/>
        <v>39.825520099999999</v>
      </c>
      <c r="L134" s="251">
        <f t="shared" si="36"/>
        <v>0.64045183696587837</v>
      </c>
      <c r="M134" s="251">
        <f t="shared" si="37"/>
        <v>122.17259241961095</v>
      </c>
      <c r="N134" s="251">
        <f t="shared" si="38"/>
        <v>244.3451848392219</v>
      </c>
      <c r="O134" s="251">
        <f>+C131+D132+D133+(D134/2)</f>
        <v>0</v>
      </c>
      <c r="P134" s="251">
        <f t="shared" si="39"/>
        <v>0</v>
      </c>
      <c r="Q134" s="251">
        <f t="shared" si="40"/>
        <v>0</v>
      </c>
      <c r="R134" s="251">
        <f t="shared" si="48"/>
        <v>146.5</v>
      </c>
      <c r="S134" s="251">
        <f t="shared" si="62"/>
        <v>146.5</v>
      </c>
      <c r="T134" s="252">
        <f t="shared" si="41"/>
        <v>146.5</v>
      </c>
      <c r="V134" s="282">
        <f t="shared" si="42"/>
        <v>0</v>
      </c>
      <c r="W134" s="282"/>
      <c r="X134" s="282"/>
      <c r="Y134" s="282"/>
      <c r="Z134" s="282"/>
      <c r="AA134" s="282"/>
      <c r="AB134" s="300" t="str">
        <f t="shared" si="49"/>
        <v>pin in groundstacking hole</v>
      </c>
      <c r="AC134" s="451"/>
      <c r="AD134" s="451"/>
      <c r="AE134" s="451"/>
      <c r="AF134" s="282">
        <f t="shared" si="63"/>
        <v>0</v>
      </c>
      <c r="AG134" s="301">
        <f>SUM(D132:D134)+$C$131</f>
        <v>0</v>
      </c>
      <c r="AH134" s="301"/>
      <c r="AI134" s="173">
        <f t="shared" si="50"/>
        <v>69.344714800000006</v>
      </c>
      <c r="AJ134" s="284">
        <f t="shared" si="43"/>
        <v>0.93571960494171247</v>
      </c>
      <c r="AK134" s="174">
        <f t="shared" si="51"/>
        <v>180.0511663828843</v>
      </c>
      <c r="AL134" s="173">
        <f t="shared" si="52"/>
        <v>50.174479900000001</v>
      </c>
      <c r="AM134" s="285">
        <f t="shared" si="53"/>
        <v>0.76799833627881664</v>
      </c>
      <c r="AN134" s="174">
        <f t="shared" si="54"/>
        <v>146.50336262854705</v>
      </c>
      <c r="AO134" s="286"/>
      <c r="AP134" s="174">
        <f t="shared" si="64"/>
        <v>-51</v>
      </c>
      <c r="AQ134" s="288"/>
      <c r="AR134" s="288">
        <f t="shared" si="55"/>
        <v>326.55452901143133</v>
      </c>
      <c r="AS134" s="289">
        <f>+V134-AN134</f>
        <v>-146.50336262854705</v>
      </c>
      <c r="AT134" s="289"/>
      <c r="AU134" s="289">
        <f t="shared" ref="AU134:AU154" si="65">+AF134-AS134</f>
        <v>146.50336262854705</v>
      </c>
      <c r="AV134" s="291">
        <f t="shared" si="56"/>
        <v>-28.119681920582558</v>
      </c>
      <c r="AW134" s="291">
        <f t="shared" si="57"/>
        <v>-22.880318079417442</v>
      </c>
      <c r="AX134" s="292">
        <f t="shared" si="58"/>
        <v>-412.52244718704424</v>
      </c>
      <c r="AY134" s="292">
        <f t="shared" si="59"/>
        <v>-437.05686106679383</v>
      </c>
      <c r="AZ134" s="294">
        <f t="shared" si="60"/>
        <v>412.52244718704424</v>
      </c>
      <c r="BA134" s="294">
        <f t="shared" si="60"/>
        <v>437.05686106679383</v>
      </c>
      <c r="BB134">
        <f t="shared" si="61"/>
        <v>0.3</v>
      </c>
      <c r="BF134" s="27"/>
      <c r="BG134" s="27"/>
      <c r="BH134" s="27"/>
      <c r="BI134" s="27"/>
      <c r="BJ134" s="27"/>
    </row>
    <row r="135" spans="1:105" ht="21" customHeight="1" thickBot="1" x14ac:dyDescent="0.35">
      <c r="B135" s="88">
        <v>5</v>
      </c>
      <c r="C135" s="20"/>
      <c r="D135" s="738">
        <v>0</v>
      </c>
      <c r="E135" s="333" t="s">
        <v>72</v>
      </c>
      <c r="F135" s="81">
        <f t="shared" si="44"/>
        <v>0.3</v>
      </c>
      <c r="G135" s="81">
        <f t="shared" si="45"/>
        <v>0.3</v>
      </c>
      <c r="H135" s="299">
        <v>190.76</v>
      </c>
      <c r="I135" s="318">
        <v>79.651040199999997</v>
      </c>
      <c r="J135" s="251">
        <f t="shared" si="46"/>
        <v>79.651040199999997</v>
      </c>
      <c r="K135" s="251">
        <f t="shared" si="47"/>
        <v>39.825520099999999</v>
      </c>
      <c r="L135" s="251">
        <f t="shared" si="36"/>
        <v>0.64045183696587837</v>
      </c>
      <c r="M135" s="251">
        <f t="shared" si="37"/>
        <v>122.17259241961095</v>
      </c>
      <c r="N135" s="251">
        <f t="shared" si="38"/>
        <v>244.3451848392219</v>
      </c>
      <c r="O135" s="251">
        <f>+C131+D132+D133+D134+(D135/2)</f>
        <v>0</v>
      </c>
      <c r="P135" s="251">
        <f t="shared" si="39"/>
        <v>0</v>
      </c>
      <c r="Q135" s="251">
        <f t="shared" si="40"/>
        <v>0</v>
      </c>
      <c r="R135" s="251">
        <f t="shared" si="48"/>
        <v>146.5</v>
      </c>
      <c r="S135" s="251">
        <f t="shared" si="62"/>
        <v>146.5</v>
      </c>
      <c r="T135" s="252">
        <f t="shared" si="41"/>
        <v>146.5</v>
      </c>
      <c r="V135" s="282">
        <f t="shared" si="42"/>
        <v>0</v>
      </c>
      <c r="W135" s="282"/>
      <c r="X135" s="282"/>
      <c r="Y135" s="282"/>
      <c r="Z135" s="282"/>
      <c r="AA135" s="282"/>
      <c r="AB135" s="300" t="str">
        <f t="shared" si="49"/>
        <v>pin in groundstacking hole</v>
      </c>
      <c r="AC135" s="451"/>
      <c r="AD135" s="451"/>
      <c r="AE135" s="451"/>
      <c r="AF135" s="282">
        <f t="shared" si="63"/>
        <v>0</v>
      </c>
      <c r="AG135" s="301">
        <f>SUM(D132:D135)+$C$131</f>
        <v>0</v>
      </c>
      <c r="AH135" s="301"/>
      <c r="AI135" s="173">
        <f t="shared" si="50"/>
        <v>69.344714800000006</v>
      </c>
      <c r="AJ135" s="284">
        <f t="shared" si="43"/>
        <v>0.93571960494171247</v>
      </c>
      <c r="AK135" s="174">
        <f t="shared" si="51"/>
        <v>180.0511663828843</v>
      </c>
      <c r="AL135" s="173">
        <f t="shared" si="52"/>
        <v>50.174479900000001</v>
      </c>
      <c r="AM135" s="285">
        <f t="shared" si="53"/>
        <v>0.76799833627881664</v>
      </c>
      <c r="AN135" s="174">
        <f t="shared" si="54"/>
        <v>146.50336262854705</v>
      </c>
      <c r="AO135" s="286"/>
      <c r="AP135" s="174">
        <f t="shared" si="64"/>
        <v>-76.5</v>
      </c>
      <c r="AQ135" s="288"/>
      <c r="AR135" s="288">
        <f t="shared" si="55"/>
        <v>326.55452901143133</v>
      </c>
      <c r="AS135" s="289">
        <f t="shared" ref="AS135:AS154" si="66">+V135-AN135</f>
        <v>-146.50336262854705</v>
      </c>
      <c r="AT135" s="289"/>
      <c r="AU135" s="289">
        <f t="shared" si="65"/>
        <v>146.50336262854705</v>
      </c>
      <c r="AV135" s="291">
        <f t="shared" si="56"/>
        <v>-42.17952288087384</v>
      </c>
      <c r="AW135" s="291">
        <f t="shared" si="57"/>
        <v>-34.32047711912616</v>
      </c>
      <c r="AX135" s="292">
        <f t="shared" si="58"/>
        <v>-275.01496479136279</v>
      </c>
      <c r="AY135" s="292">
        <f t="shared" si="59"/>
        <v>-291.37124071119592</v>
      </c>
      <c r="AZ135" s="294">
        <f t="shared" si="60"/>
        <v>275.01496479136279</v>
      </c>
      <c r="BA135" s="294">
        <f t="shared" si="60"/>
        <v>291.37124071119592</v>
      </c>
      <c r="BB135">
        <f t="shared" si="61"/>
        <v>0.3</v>
      </c>
      <c r="BC135" s="10"/>
      <c r="BD135" s="10"/>
      <c r="BE135" s="10"/>
      <c r="BF135" s="27"/>
      <c r="BG135" s="27"/>
      <c r="BH135" s="27"/>
      <c r="BI135" s="27"/>
      <c r="BJ135" s="27"/>
    </row>
    <row r="136" spans="1:105" ht="21" customHeight="1" thickBot="1" x14ac:dyDescent="0.35">
      <c r="B136" s="88">
        <v>6</v>
      </c>
      <c r="C136" s="20"/>
      <c r="D136" s="738">
        <v>0</v>
      </c>
      <c r="E136" s="333" t="s">
        <v>72</v>
      </c>
      <c r="F136" s="81">
        <f t="shared" si="44"/>
        <v>0.3</v>
      </c>
      <c r="G136" s="81">
        <f t="shared" si="45"/>
        <v>0.3</v>
      </c>
      <c r="H136" s="299">
        <v>190.76</v>
      </c>
      <c r="I136" s="318">
        <v>79.651040199999997</v>
      </c>
      <c r="J136" s="251">
        <f t="shared" si="46"/>
        <v>79.651040199999997</v>
      </c>
      <c r="K136" s="251">
        <f t="shared" si="47"/>
        <v>39.825520099999999</v>
      </c>
      <c r="L136" s="251">
        <f t="shared" si="36"/>
        <v>0.64045183696587837</v>
      </c>
      <c r="M136" s="251">
        <f t="shared" si="37"/>
        <v>122.17259241961095</v>
      </c>
      <c r="N136" s="251">
        <f t="shared" si="38"/>
        <v>244.3451848392219</v>
      </c>
      <c r="O136" s="251">
        <f>+C131+D132+D133+D134+D135+(D136/2)</f>
        <v>0</v>
      </c>
      <c r="P136" s="251">
        <f t="shared" si="39"/>
        <v>0</v>
      </c>
      <c r="Q136" s="251">
        <f t="shared" si="40"/>
        <v>0</v>
      </c>
      <c r="R136" s="251">
        <f t="shared" si="48"/>
        <v>146.5</v>
      </c>
      <c r="S136" s="251">
        <f t="shared" si="62"/>
        <v>146.5</v>
      </c>
      <c r="T136" s="252">
        <f t="shared" si="41"/>
        <v>146.5</v>
      </c>
      <c r="V136" s="282">
        <f t="shared" si="42"/>
        <v>0</v>
      </c>
      <c r="W136" s="282"/>
      <c r="X136" s="282"/>
      <c r="Y136" s="282"/>
      <c r="Z136" s="282"/>
      <c r="AA136" s="282"/>
      <c r="AB136" s="300" t="str">
        <f t="shared" si="49"/>
        <v>pin in groundstacking hole</v>
      </c>
      <c r="AC136" s="451"/>
      <c r="AD136" s="451"/>
      <c r="AE136" s="451"/>
      <c r="AF136" s="282">
        <f t="shared" si="63"/>
        <v>0</v>
      </c>
      <c r="AG136" s="301">
        <f>SUM(D132:D136)+$C$131</f>
        <v>0</v>
      </c>
      <c r="AH136" s="301"/>
      <c r="AI136" s="173">
        <f t="shared" si="50"/>
        <v>69.344714800000006</v>
      </c>
      <c r="AJ136" s="284">
        <f t="shared" si="43"/>
        <v>0.93571960494171247</v>
      </c>
      <c r="AK136" s="174">
        <f t="shared" si="51"/>
        <v>180.0511663828843</v>
      </c>
      <c r="AL136" s="173">
        <f t="shared" si="52"/>
        <v>50.174479900000001</v>
      </c>
      <c r="AM136" s="285">
        <f t="shared" si="53"/>
        <v>0.76799833627881664</v>
      </c>
      <c r="AN136" s="174">
        <f t="shared" si="54"/>
        <v>146.50336262854705</v>
      </c>
      <c r="AO136" s="286"/>
      <c r="AP136" s="174">
        <f t="shared" si="64"/>
        <v>-102</v>
      </c>
      <c r="AQ136" s="288"/>
      <c r="AR136" s="288">
        <f t="shared" si="55"/>
        <v>326.55452901143133</v>
      </c>
      <c r="AS136" s="289">
        <f t="shared" si="66"/>
        <v>-146.50336262854705</v>
      </c>
      <c r="AT136" s="289"/>
      <c r="AU136" s="289">
        <f t="shared" si="65"/>
        <v>146.50336262854705</v>
      </c>
      <c r="AV136" s="291">
        <f t="shared" si="56"/>
        <v>-56.239363841165115</v>
      </c>
      <c r="AW136" s="291">
        <f t="shared" si="57"/>
        <v>-45.760636158834885</v>
      </c>
      <c r="AX136" s="292">
        <f t="shared" si="58"/>
        <v>-206.26122359352212</v>
      </c>
      <c r="AY136" s="292">
        <f t="shared" si="59"/>
        <v>-218.52843053339691</v>
      </c>
      <c r="AZ136" s="294">
        <f t="shared" si="60"/>
        <v>206.26122359352212</v>
      </c>
      <c r="BA136" s="294">
        <f t="shared" si="60"/>
        <v>218.52843053339691</v>
      </c>
      <c r="BB136">
        <f t="shared" si="61"/>
        <v>0.3</v>
      </c>
      <c r="BC136" s="10"/>
      <c r="BD136" s="10"/>
      <c r="BE136" s="10"/>
      <c r="BF136" s="27"/>
      <c r="BG136" s="27"/>
      <c r="BH136" s="27"/>
      <c r="BI136" s="27"/>
      <c r="BJ136" s="27"/>
      <c r="BM136" s="1623"/>
      <c r="BN136" s="1623"/>
      <c r="BO136" s="1623"/>
      <c r="BP136" s="1748"/>
      <c r="BQ136" s="1748"/>
      <c r="BR136" s="1748"/>
      <c r="BS136" s="1748"/>
      <c r="BT136" s="1748"/>
      <c r="BU136" s="1748"/>
      <c r="BV136" s="1749"/>
      <c r="BW136" s="1749"/>
      <c r="BX136" s="1749"/>
      <c r="BY136" s="1749"/>
      <c r="BZ136" s="1749"/>
      <c r="CA136" s="1749"/>
      <c r="CB136" s="1749"/>
      <c r="CC136" s="1749"/>
      <c r="CD136" s="1749"/>
      <c r="CE136" s="1749"/>
      <c r="CF136" s="1749"/>
      <c r="CG136" s="1749"/>
      <c r="CH136" s="1749"/>
      <c r="CI136" s="1749"/>
      <c r="CJ136" s="1750"/>
    </row>
    <row r="137" spans="1:105" ht="21" customHeight="1" thickBot="1" x14ac:dyDescent="0.5">
      <c r="B137" s="88">
        <v>7</v>
      </c>
      <c r="C137" s="20"/>
      <c r="D137" s="738">
        <v>0</v>
      </c>
      <c r="E137" s="333" t="s">
        <v>72</v>
      </c>
      <c r="F137" s="81">
        <f t="shared" si="44"/>
        <v>0.3</v>
      </c>
      <c r="G137" s="81">
        <f t="shared" si="45"/>
        <v>0.3</v>
      </c>
      <c r="H137" s="299">
        <v>190.76</v>
      </c>
      <c r="I137" s="318">
        <v>79.651040199999997</v>
      </c>
      <c r="J137" s="251">
        <f t="shared" si="46"/>
        <v>79.651040199999997</v>
      </c>
      <c r="K137" s="251">
        <f t="shared" si="47"/>
        <v>39.825520099999999</v>
      </c>
      <c r="L137" s="251">
        <f t="shared" si="36"/>
        <v>0.64045183696587837</v>
      </c>
      <c r="M137" s="251">
        <f t="shared" si="37"/>
        <v>122.17259241961095</v>
      </c>
      <c r="N137" s="251">
        <f t="shared" si="38"/>
        <v>244.3451848392219</v>
      </c>
      <c r="O137" s="251">
        <f>+C131+D132+D133+D134+D135+D136+(D137/2)</f>
        <v>0</v>
      </c>
      <c r="P137" s="251">
        <f t="shared" si="39"/>
        <v>0</v>
      </c>
      <c r="Q137" s="251">
        <f t="shared" si="40"/>
        <v>0</v>
      </c>
      <c r="R137" s="251">
        <f t="shared" si="48"/>
        <v>146.5</v>
      </c>
      <c r="S137" s="251">
        <f t="shared" si="62"/>
        <v>146.5</v>
      </c>
      <c r="T137" s="252">
        <f t="shared" si="41"/>
        <v>146.5</v>
      </c>
      <c r="V137" s="282">
        <f t="shared" si="42"/>
        <v>0</v>
      </c>
      <c r="W137" s="282"/>
      <c r="X137" s="282"/>
      <c r="Y137" s="282"/>
      <c r="Z137" s="282"/>
      <c r="AA137" s="282"/>
      <c r="AB137" s="300" t="str">
        <f t="shared" si="49"/>
        <v>pin in groundstacking hole</v>
      </c>
      <c r="AC137" s="451"/>
      <c r="AD137" s="451"/>
      <c r="AE137" s="451"/>
      <c r="AF137" s="282">
        <f t="shared" si="63"/>
        <v>0</v>
      </c>
      <c r="AG137" s="301">
        <f>SUM(D132:D137)+$C$131</f>
        <v>0</v>
      </c>
      <c r="AH137" s="301"/>
      <c r="AI137" s="173">
        <f t="shared" si="50"/>
        <v>69.344714800000006</v>
      </c>
      <c r="AJ137" s="284">
        <f t="shared" si="43"/>
        <v>0.93571960494171247</v>
      </c>
      <c r="AK137" s="174">
        <f t="shared" si="51"/>
        <v>180.0511663828843</v>
      </c>
      <c r="AL137" s="173">
        <f t="shared" si="52"/>
        <v>50.174479900000001</v>
      </c>
      <c r="AM137" s="285">
        <f t="shared" si="53"/>
        <v>0.76799833627881664</v>
      </c>
      <c r="AN137" s="174">
        <f t="shared" si="54"/>
        <v>146.50336262854705</v>
      </c>
      <c r="AO137" s="286"/>
      <c r="AP137" s="174">
        <f t="shared" si="64"/>
        <v>-127.5</v>
      </c>
      <c r="AQ137" s="288"/>
      <c r="AR137" s="288">
        <f t="shared" si="55"/>
        <v>326.55452901143133</v>
      </c>
      <c r="AS137" s="289">
        <f t="shared" si="66"/>
        <v>-146.50336262854705</v>
      </c>
      <c r="AT137" s="289"/>
      <c r="AU137" s="289">
        <f t="shared" si="65"/>
        <v>146.50336262854705</v>
      </c>
      <c r="AV137" s="291">
        <f t="shared" si="56"/>
        <v>-70.299204801456398</v>
      </c>
      <c r="AW137" s="291">
        <f t="shared" si="57"/>
        <v>-57.200795198543602</v>
      </c>
      <c r="AX137" s="292">
        <f t="shared" si="58"/>
        <v>-165.00897887481767</v>
      </c>
      <c r="AY137" s="292">
        <f t="shared" si="59"/>
        <v>-174.82274442671755</v>
      </c>
      <c r="AZ137" s="294">
        <f t="shared" si="60"/>
        <v>165.00897887481767</v>
      </c>
      <c r="BA137" s="294">
        <f t="shared" si="60"/>
        <v>174.82274442671755</v>
      </c>
      <c r="BB137">
        <f t="shared" si="61"/>
        <v>0.3</v>
      </c>
      <c r="BF137" s="27"/>
      <c r="BG137" s="27"/>
      <c r="BH137" s="27"/>
      <c r="BI137" s="27"/>
      <c r="BJ137" s="27"/>
      <c r="BM137" s="1754"/>
      <c r="BN137" s="1754"/>
      <c r="BO137" s="1754"/>
      <c r="BP137" s="1748"/>
      <c r="BQ137" s="1748"/>
      <c r="BR137" s="1748"/>
      <c r="BS137" s="1748"/>
      <c r="BT137" s="1748"/>
      <c r="BU137" s="1748"/>
      <c r="BV137" s="1749"/>
      <c r="BW137" s="1749"/>
      <c r="BX137" s="1749"/>
      <c r="BY137" s="1749"/>
      <c r="BZ137" s="1749"/>
      <c r="CA137" s="1749"/>
      <c r="CB137" s="1749"/>
      <c r="CC137" s="1749"/>
      <c r="CD137" s="1749"/>
      <c r="CE137" s="1749"/>
      <c r="CF137" s="1749"/>
      <c r="CG137" s="1749"/>
      <c r="CH137" s="1749"/>
      <c r="CI137" s="1749"/>
      <c r="CJ137" s="1750"/>
    </row>
    <row r="138" spans="1:105" ht="21" customHeight="1" thickBot="1" x14ac:dyDescent="0.5">
      <c r="B138" s="88">
        <v>8</v>
      </c>
      <c r="C138" s="20"/>
      <c r="D138" s="738">
        <v>0</v>
      </c>
      <c r="E138" s="333" t="s">
        <v>72</v>
      </c>
      <c r="F138" s="81">
        <f t="shared" si="44"/>
        <v>0.3</v>
      </c>
      <c r="G138" s="81">
        <f t="shared" si="45"/>
        <v>0.3</v>
      </c>
      <c r="H138" s="299">
        <v>190.76</v>
      </c>
      <c r="I138" s="318">
        <v>79.651040199999997</v>
      </c>
      <c r="J138" s="251">
        <f t="shared" si="46"/>
        <v>79.651040199999997</v>
      </c>
      <c r="K138" s="251">
        <f t="shared" si="47"/>
        <v>39.825520099999999</v>
      </c>
      <c r="L138" s="251">
        <f t="shared" si="36"/>
        <v>0.64045183696587837</v>
      </c>
      <c r="M138" s="251">
        <f t="shared" si="37"/>
        <v>122.17259241961095</v>
      </c>
      <c r="N138" s="251">
        <f t="shared" si="38"/>
        <v>244.3451848392219</v>
      </c>
      <c r="O138" s="251">
        <f>+C131+D132+D133+D134+D135+D136+D137+(D138/2)</f>
        <v>0</v>
      </c>
      <c r="P138" s="251">
        <f t="shared" si="39"/>
        <v>0</v>
      </c>
      <c r="Q138" s="251">
        <f t="shared" si="40"/>
        <v>0</v>
      </c>
      <c r="R138" s="251">
        <f t="shared" si="48"/>
        <v>146.5</v>
      </c>
      <c r="S138" s="251">
        <f t="shared" si="62"/>
        <v>146.5</v>
      </c>
      <c r="T138" s="252">
        <f t="shared" si="41"/>
        <v>146.5</v>
      </c>
      <c r="V138" s="282">
        <f t="shared" si="42"/>
        <v>0</v>
      </c>
      <c r="W138" s="282"/>
      <c r="X138" s="282"/>
      <c r="Y138" s="282"/>
      <c r="Z138" s="282"/>
      <c r="AA138" s="282"/>
      <c r="AB138" s="300" t="str">
        <f>IF(AY138&lt;0,"pin in groundstacking hole"," ")</f>
        <v>pin in groundstacking hole</v>
      </c>
      <c r="AC138" s="451"/>
      <c r="AD138" s="451"/>
      <c r="AE138" s="451"/>
      <c r="AF138" s="282">
        <f t="shared" si="63"/>
        <v>0</v>
      </c>
      <c r="AG138" s="301">
        <f>SUM(D132:D138)+$C$131</f>
        <v>0</v>
      </c>
      <c r="AH138" s="301"/>
      <c r="AI138" s="173">
        <f t="shared" si="50"/>
        <v>69.344714800000006</v>
      </c>
      <c r="AJ138" s="284">
        <f t="shared" si="43"/>
        <v>0.93571960494171247</v>
      </c>
      <c r="AK138" s="174">
        <f t="shared" si="51"/>
        <v>180.0511663828843</v>
      </c>
      <c r="AL138" s="173">
        <f t="shared" si="52"/>
        <v>50.174479900000001</v>
      </c>
      <c r="AM138" s="285">
        <f t="shared" si="53"/>
        <v>0.76799833627881664</v>
      </c>
      <c r="AN138" s="174">
        <f t="shared" si="54"/>
        <v>146.50336262854705</v>
      </c>
      <c r="AO138" s="286"/>
      <c r="AP138" s="174">
        <f t="shared" si="64"/>
        <v>-153</v>
      </c>
      <c r="AQ138" s="288"/>
      <c r="AR138" s="288">
        <f t="shared" si="55"/>
        <v>326.55452901143133</v>
      </c>
      <c r="AS138" s="289">
        <f t="shared" si="66"/>
        <v>-146.50336262854705</v>
      </c>
      <c r="AT138" s="289"/>
      <c r="AU138" s="289">
        <f t="shared" si="65"/>
        <v>146.50336262854705</v>
      </c>
      <c r="AV138" s="291">
        <f t="shared" si="56"/>
        <v>-84.35904576174768</v>
      </c>
      <c r="AW138" s="291">
        <f t="shared" si="57"/>
        <v>-68.64095423825232</v>
      </c>
      <c r="AX138" s="292">
        <f t="shared" si="58"/>
        <v>-137.50748239568139</v>
      </c>
      <c r="AY138" s="292">
        <f t="shared" si="59"/>
        <v>-145.68562035559796</v>
      </c>
      <c r="AZ138" s="294">
        <f t="shared" si="60"/>
        <v>137.50748239568139</v>
      </c>
      <c r="BA138" s="294">
        <f t="shared" si="60"/>
        <v>145.68562035559796</v>
      </c>
      <c r="BB138">
        <f t="shared" si="61"/>
        <v>0.3</v>
      </c>
      <c r="BF138" s="27"/>
      <c r="BG138" s="27"/>
      <c r="BH138" s="27"/>
      <c r="BI138" s="27"/>
      <c r="BJ138" s="27"/>
      <c r="BM138" s="1754"/>
      <c r="BN138" s="1754"/>
      <c r="BO138" s="1754"/>
      <c r="BP138" s="1748"/>
      <c r="BQ138" s="1748"/>
      <c r="BR138" s="1748"/>
      <c r="BS138" s="1748"/>
      <c r="BT138" s="1748"/>
      <c r="BU138" s="1748"/>
      <c r="BV138" s="1749"/>
      <c r="BW138" s="1749"/>
      <c r="BX138" s="1749"/>
      <c r="BY138" s="1749"/>
      <c r="BZ138" s="1749"/>
      <c r="CA138" s="1749"/>
      <c r="CB138" s="1749"/>
      <c r="CC138" s="1749"/>
      <c r="CD138" s="1749"/>
      <c r="CE138" s="1749"/>
      <c r="CF138" s="1749"/>
      <c r="CG138" s="1749"/>
      <c r="CH138" s="1749"/>
      <c r="CI138" s="1749"/>
      <c r="CJ138" s="1750"/>
    </row>
    <row r="139" spans="1:105" ht="21" customHeight="1" thickBot="1" x14ac:dyDescent="0.5">
      <c r="B139" s="88">
        <v>9</v>
      </c>
      <c r="C139" s="20"/>
      <c r="D139" s="738">
        <v>0</v>
      </c>
      <c r="E139" s="333" t="s">
        <v>72</v>
      </c>
      <c r="F139" s="81">
        <f t="shared" si="44"/>
        <v>0.3</v>
      </c>
      <c r="G139" s="81">
        <f t="shared" si="45"/>
        <v>0.3</v>
      </c>
      <c r="H139" s="299">
        <v>190.76</v>
      </c>
      <c r="I139" s="318">
        <v>79.651040199999997</v>
      </c>
      <c r="J139" s="251">
        <f t="shared" si="46"/>
        <v>79.651040199999997</v>
      </c>
      <c r="K139" s="251">
        <f t="shared" si="47"/>
        <v>39.825520099999999</v>
      </c>
      <c r="L139" s="251">
        <f t="shared" si="36"/>
        <v>0.64045183696587837</v>
      </c>
      <c r="M139" s="251">
        <f t="shared" si="37"/>
        <v>122.17259241961095</v>
      </c>
      <c r="N139" s="251">
        <f t="shared" si="38"/>
        <v>244.3451848392219</v>
      </c>
      <c r="O139" s="251">
        <f>+C131+D132+D133+D134+D135+D136+D137+D138+(D139/2)</f>
        <v>0</v>
      </c>
      <c r="P139" s="251">
        <f t="shared" si="39"/>
        <v>0</v>
      </c>
      <c r="Q139" s="251">
        <f t="shared" si="40"/>
        <v>0</v>
      </c>
      <c r="R139" s="251">
        <f t="shared" si="48"/>
        <v>146.5</v>
      </c>
      <c r="S139" s="251">
        <f t="shared" si="62"/>
        <v>146.5</v>
      </c>
      <c r="T139" s="252">
        <f t="shared" si="41"/>
        <v>146.5</v>
      </c>
      <c r="V139" s="282">
        <f t="shared" si="42"/>
        <v>0</v>
      </c>
      <c r="W139" s="282"/>
      <c r="X139" s="282"/>
      <c r="Y139" s="282"/>
      <c r="Z139" s="282"/>
      <c r="AA139" s="282"/>
      <c r="AB139" s="300" t="str">
        <f t="shared" si="49"/>
        <v>pin in groundstacking hole</v>
      </c>
      <c r="AC139" s="451"/>
      <c r="AD139" s="451"/>
      <c r="AE139" s="451"/>
      <c r="AF139" s="282">
        <f t="shared" si="63"/>
        <v>0</v>
      </c>
      <c r="AG139" s="301">
        <f>SUM(D132:D139)+$C$131</f>
        <v>0</v>
      </c>
      <c r="AH139" s="301"/>
      <c r="AI139" s="173">
        <f t="shared" si="50"/>
        <v>69.344714800000006</v>
      </c>
      <c r="AJ139" s="284">
        <f t="shared" si="43"/>
        <v>0.93571960494171247</v>
      </c>
      <c r="AK139" s="174">
        <f t="shared" si="51"/>
        <v>180.0511663828843</v>
      </c>
      <c r="AL139" s="173">
        <f t="shared" si="52"/>
        <v>50.174479900000001</v>
      </c>
      <c r="AM139" s="285">
        <f t="shared" si="53"/>
        <v>0.76799833627881664</v>
      </c>
      <c r="AN139" s="174">
        <f t="shared" si="54"/>
        <v>146.50336262854705</v>
      </c>
      <c r="AO139" s="286"/>
      <c r="AP139" s="174">
        <f t="shared" si="64"/>
        <v>-178.5</v>
      </c>
      <c r="AQ139" s="288"/>
      <c r="AR139" s="288">
        <f t="shared" si="55"/>
        <v>326.55452901143133</v>
      </c>
      <c r="AS139" s="289">
        <f t="shared" si="66"/>
        <v>-146.50336262854705</v>
      </c>
      <c r="AT139" s="289"/>
      <c r="AU139" s="289">
        <f t="shared" si="65"/>
        <v>146.50336262854705</v>
      </c>
      <c r="AV139" s="291">
        <f t="shared" si="56"/>
        <v>-98.418886722038962</v>
      </c>
      <c r="AW139" s="291">
        <f t="shared" si="57"/>
        <v>-80.081113277961038</v>
      </c>
      <c r="AX139" s="292">
        <f t="shared" si="58"/>
        <v>-117.86355633915548</v>
      </c>
      <c r="AY139" s="292">
        <f t="shared" si="59"/>
        <v>-124.87338887622683</v>
      </c>
      <c r="AZ139" s="294">
        <f t="shared" si="60"/>
        <v>117.86355633915548</v>
      </c>
      <c r="BA139" s="294">
        <f t="shared" si="60"/>
        <v>124.87338887622683</v>
      </c>
      <c r="BB139">
        <f t="shared" si="61"/>
        <v>0.3</v>
      </c>
      <c r="BF139" s="27"/>
      <c r="BG139" s="27"/>
      <c r="BH139" s="27"/>
      <c r="BI139" s="27"/>
      <c r="BJ139" s="27"/>
      <c r="BM139" s="1754"/>
      <c r="BN139" s="1754"/>
      <c r="BO139" s="1754"/>
      <c r="BP139" s="1748"/>
      <c r="BY139" s="1748"/>
      <c r="BZ139" s="1748"/>
      <c r="CA139" s="1748"/>
      <c r="CB139" s="1748"/>
      <c r="CC139" s="1748"/>
      <c r="CD139" s="1748"/>
      <c r="CE139" s="1748"/>
      <c r="CF139" s="1748"/>
      <c r="CG139" s="1748"/>
      <c r="CH139" s="1748"/>
      <c r="CI139" s="1748"/>
      <c r="CJ139" s="1748"/>
      <c r="CK139" s="1748"/>
      <c r="CL139" s="1748"/>
      <c r="CM139" s="1748"/>
      <c r="CN139" s="1748"/>
      <c r="CO139" s="1748"/>
      <c r="CP139" s="1748"/>
      <c r="CQ139" s="1748"/>
      <c r="CR139" s="1748"/>
      <c r="CS139" s="1748"/>
      <c r="CT139" s="1748"/>
      <c r="CU139" s="1748"/>
      <c r="CV139" s="1748"/>
      <c r="CW139" s="1748"/>
      <c r="CX139" s="1748"/>
      <c r="CY139" s="1748"/>
      <c r="CZ139" s="1748"/>
      <c r="DA139" s="1748"/>
    </row>
    <row r="140" spans="1:105" ht="21" customHeight="1" thickBot="1" x14ac:dyDescent="0.5">
      <c r="B140" s="88">
        <v>10</v>
      </c>
      <c r="C140" s="20"/>
      <c r="D140" s="738">
        <v>0</v>
      </c>
      <c r="E140" s="333" t="s">
        <v>72</v>
      </c>
      <c r="F140" s="81">
        <f t="shared" si="44"/>
        <v>0.3</v>
      </c>
      <c r="G140" s="81">
        <f t="shared" si="45"/>
        <v>0.3</v>
      </c>
      <c r="H140" s="299">
        <v>190.76</v>
      </c>
      <c r="I140" s="318">
        <v>79.651040199999997</v>
      </c>
      <c r="J140" s="251">
        <f t="shared" si="46"/>
        <v>79.651040199999997</v>
      </c>
      <c r="K140" s="251">
        <f t="shared" si="47"/>
        <v>39.825520099999999</v>
      </c>
      <c r="L140" s="251">
        <f t="shared" si="36"/>
        <v>0.64045183696587837</v>
      </c>
      <c r="M140" s="251">
        <f t="shared" si="37"/>
        <v>122.17259241961095</v>
      </c>
      <c r="N140" s="251">
        <f t="shared" si="38"/>
        <v>244.3451848392219</v>
      </c>
      <c r="O140" s="251">
        <f>+C131+D132+D133+D134+D135+D136+D137+D138+D139+(D140/2)</f>
        <v>0</v>
      </c>
      <c r="P140" s="251">
        <f t="shared" si="39"/>
        <v>0</v>
      </c>
      <c r="Q140" s="251">
        <f t="shared" si="40"/>
        <v>0</v>
      </c>
      <c r="R140" s="251">
        <f t="shared" si="48"/>
        <v>146.5</v>
      </c>
      <c r="S140" s="251">
        <f t="shared" si="62"/>
        <v>146.5</v>
      </c>
      <c r="T140" s="252">
        <f t="shared" si="41"/>
        <v>146.5</v>
      </c>
      <c r="V140" s="282">
        <f t="shared" si="42"/>
        <v>0</v>
      </c>
      <c r="W140" s="282"/>
      <c r="X140" s="282"/>
      <c r="Y140" s="282"/>
      <c r="Z140" s="282"/>
      <c r="AA140" s="282"/>
      <c r="AB140" s="300" t="str">
        <f t="shared" si="49"/>
        <v>pin in groundstacking hole</v>
      </c>
      <c r="AC140" s="451"/>
      <c r="AD140" s="451"/>
      <c r="AE140" s="451"/>
      <c r="AF140" s="282">
        <f t="shared" si="63"/>
        <v>0</v>
      </c>
      <c r="AG140" s="301">
        <f>SUM(D132:D140)+$C$131</f>
        <v>0</v>
      </c>
      <c r="AH140" s="301"/>
      <c r="AI140" s="173">
        <f t="shared" si="50"/>
        <v>69.344714800000006</v>
      </c>
      <c r="AJ140" s="284">
        <f t="shared" si="43"/>
        <v>0.93571960494171247</v>
      </c>
      <c r="AK140" s="174">
        <f t="shared" si="51"/>
        <v>180.0511663828843</v>
      </c>
      <c r="AL140" s="173">
        <f t="shared" si="52"/>
        <v>50.174479900000001</v>
      </c>
      <c r="AM140" s="285">
        <f t="shared" si="53"/>
        <v>0.76799833627881664</v>
      </c>
      <c r="AN140" s="174">
        <f t="shared" si="54"/>
        <v>146.50336262854705</v>
      </c>
      <c r="AO140" s="286"/>
      <c r="AP140" s="174">
        <f t="shared" si="64"/>
        <v>-204</v>
      </c>
      <c r="AQ140" s="288"/>
      <c r="AR140" s="288">
        <f t="shared" si="55"/>
        <v>326.55452901143133</v>
      </c>
      <c r="AS140" s="289">
        <f t="shared" si="66"/>
        <v>-146.50336262854705</v>
      </c>
      <c r="AT140" s="289"/>
      <c r="AU140" s="289">
        <f t="shared" si="65"/>
        <v>146.50336262854705</v>
      </c>
      <c r="AV140" s="291">
        <f t="shared" si="56"/>
        <v>-112.47872768233023</v>
      </c>
      <c r="AW140" s="291">
        <f t="shared" si="57"/>
        <v>-91.521272317669769</v>
      </c>
      <c r="AX140" s="292">
        <f t="shared" si="58"/>
        <v>-103.13061179676106</v>
      </c>
      <c r="AY140" s="292">
        <f t="shared" si="59"/>
        <v>-109.26421526669846</v>
      </c>
      <c r="AZ140" s="294">
        <f t="shared" si="60"/>
        <v>103.13061179676106</v>
      </c>
      <c r="BA140" s="294">
        <f t="shared" si="60"/>
        <v>109.26421526669846</v>
      </c>
      <c r="BB140">
        <f t="shared" si="61"/>
        <v>0.3</v>
      </c>
      <c r="BF140" s="27"/>
      <c r="BG140" s="27"/>
      <c r="BH140" s="27"/>
      <c r="BI140" s="27"/>
      <c r="BJ140" s="27"/>
      <c r="BM140" s="1754"/>
      <c r="BN140" s="1754"/>
      <c r="BO140" s="1754"/>
      <c r="CI140" s="1755"/>
      <c r="CJ140" s="1755"/>
      <c r="CK140" s="1755"/>
      <c r="CL140" s="1755"/>
      <c r="CM140" s="1755"/>
      <c r="CN140" s="1755"/>
    </row>
    <row r="141" spans="1:105" ht="21" customHeight="1" thickBot="1" x14ac:dyDescent="0.5">
      <c r="A141" s="9"/>
      <c r="B141" s="88">
        <v>11</v>
      </c>
      <c r="C141" s="20"/>
      <c r="D141" s="738">
        <v>0</v>
      </c>
      <c r="E141" s="333" t="s">
        <v>72</v>
      </c>
      <c r="F141" s="81">
        <f t="shared" si="44"/>
        <v>0.3</v>
      </c>
      <c r="G141" s="81">
        <f t="shared" si="45"/>
        <v>0.3</v>
      </c>
      <c r="H141" s="299">
        <v>190.76</v>
      </c>
      <c r="I141" s="318">
        <v>79.651040199999997</v>
      </c>
      <c r="J141" s="251">
        <f t="shared" si="46"/>
        <v>79.651040199999997</v>
      </c>
      <c r="K141" s="251">
        <f t="shared" si="47"/>
        <v>39.825520099999999</v>
      </c>
      <c r="L141" s="251">
        <f t="shared" si="36"/>
        <v>0.64045183696587837</v>
      </c>
      <c r="M141" s="251">
        <f t="shared" si="37"/>
        <v>122.17259241961095</v>
      </c>
      <c r="N141" s="251">
        <f t="shared" si="38"/>
        <v>244.3451848392219</v>
      </c>
      <c r="O141" s="251">
        <f>+C131+D132+D133+D134+D135+D136+D137+D138+D139+D140+(D141/2)</f>
        <v>0</v>
      </c>
      <c r="P141" s="251">
        <f t="shared" si="39"/>
        <v>0</v>
      </c>
      <c r="Q141" s="251">
        <f t="shared" si="40"/>
        <v>0</v>
      </c>
      <c r="R141" s="251">
        <f t="shared" si="48"/>
        <v>146.5</v>
      </c>
      <c r="S141" s="251">
        <f t="shared" si="62"/>
        <v>146.5</v>
      </c>
      <c r="T141" s="252">
        <f t="shared" si="41"/>
        <v>146.5</v>
      </c>
      <c r="V141" s="282">
        <f t="shared" si="42"/>
        <v>0</v>
      </c>
      <c r="W141" s="282"/>
      <c r="X141" s="282"/>
      <c r="Y141" s="282"/>
      <c r="Z141" s="282"/>
      <c r="AA141" s="282"/>
      <c r="AB141" s="300" t="str">
        <f t="shared" si="49"/>
        <v>pin in groundstacking hole</v>
      </c>
      <c r="AC141" s="451"/>
      <c r="AD141" s="451"/>
      <c r="AE141" s="451"/>
      <c r="AF141" s="282">
        <f t="shared" si="63"/>
        <v>0</v>
      </c>
      <c r="AG141" s="301">
        <f>SUM(D132:D141)+$C$131</f>
        <v>0</v>
      </c>
      <c r="AH141" s="301"/>
      <c r="AI141" s="173">
        <f t="shared" si="50"/>
        <v>69.344714800000006</v>
      </c>
      <c r="AJ141" s="284">
        <f t="shared" si="43"/>
        <v>0.93571960494171247</v>
      </c>
      <c r="AK141" s="174">
        <f t="shared" si="51"/>
        <v>180.0511663828843</v>
      </c>
      <c r="AL141" s="173">
        <f t="shared" si="52"/>
        <v>50.174479900000001</v>
      </c>
      <c r="AM141" s="285">
        <f t="shared" si="53"/>
        <v>0.76799833627881664</v>
      </c>
      <c r="AN141" s="174">
        <f t="shared" si="54"/>
        <v>146.50336262854705</v>
      </c>
      <c r="AO141" s="286"/>
      <c r="AP141" s="174">
        <f t="shared" si="64"/>
        <v>-229.5</v>
      </c>
      <c r="AQ141" s="288"/>
      <c r="AR141" s="288">
        <f t="shared" si="55"/>
        <v>326.55452901143133</v>
      </c>
      <c r="AS141" s="289">
        <f t="shared" si="66"/>
        <v>-146.50336262854705</v>
      </c>
      <c r="AT141" s="289"/>
      <c r="AU141" s="289">
        <f t="shared" si="65"/>
        <v>146.50336262854705</v>
      </c>
      <c r="AV141" s="291">
        <f t="shared" si="56"/>
        <v>-126.53856864262151</v>
      </c>
      <c r="AW141" s="291">
        <f t="shared" si="57"/>
        <v>-102.96143135737849</v>
      </c>
      <c r="AX141" s="292">
        <f t="shared" si="58"/>
        <v>-91.671654930454267</v>
      </c>
      <c r="AY141" s="292">
        <f t="shared" si="59"/>
        <v>-97.12374690373197</v>
      </c>
      <c r="AZ141" s="294">
        <f t="shared" si="60"/>
        <v>91.671654930454267</v>
      </c>
      <c r="BA141" s="294">
        <f t="shared" si="60"/>
        <v>97.12374690373197</v>
      </c>
      <c r="BB141">
        <f t="shared" si="61"/>
        <v>0.3</v>
      </c>
      <c r="BF141" s="27"/>
      <c r="BG141" s="27"/>
      <c r="BH141" s="27"/>
      <c r="BI141" s="27"/>
      <c r="BJ141" s="27"/>
      <c r="BM141" s="1754"/>
      <c r="BN141" s="1754"/>
      <c r="BO141" s="1754"/>
    </row>
    <row r="142" spans="1:105" ht="21" customHeight="1" thickBot="1" x14ac:dyDescent="0.5">
      <c r="A142" s="9"/>
      <c r="B142" s="88">
        <v>12</v>
      </c>
      <c r="C142" s="20"/>
      <c r="D142" s="738">
        <v>0</v>
      </c>
      <c r="E142" s="333" t="s">
        <v>72</v>
      </c>
      <c r="F142" s="81">
        <f t="shared" si="44"/>
        <v>0.3</v>
      </c>
      <c r="G142" s="81">
        <f t="shared" si="45"/>
        <v>0.3</v>
      </c>
      <c r="H142" s="299">
        <v>190.76</v>
      </c>
      <c r="I142" s="318">
        <v>79.651040199999997</v>
      </c>
      <c r="J142" s="251">
        <f t="shared" si="46"/>
        <v>79.651040199999997</v>
      </c>
      <c r="K142" s="251">
        <f t="shared" si="47"/>
        <v>39.825520099999999</v>
      </c>
      <c r="L142" s="251">
        <f t="shared" si="36"/>
        <v>0.64045183696587837</v>
      </c>
      <c r="M142" s="251">
        <f t="shared" si="37"/>
        <v>122.17259241961095</v>
      </c>
      <c r="N142" s="251">
        <f t="shared" si="38"/>
        <v>244.3451848392219</v>
      </c>
      <c r="O142" s="251">
        <f>+C131+D132+D133+D134+D135+D136+D137+D138+D139+D140+D141+(D142/2)</f>
        <v>0</v>
      </c>
      <c r="P142" s="251">
        <f t="shared" si="39"/>
        <v>0</v>
      </c>
      <c r="Q142" s="251">
        <f t="shared" si="40"/>
        <v>0</v>
      </c>
      <c r="R142" s="251">
        <f t="shared" si="48"/>
        <v>146.5</v>
      </c>
      <c r="S142" s="251">
        <f t="shared" si="62"/>
        <v>146.5</v>
      </c>
      <c r="T142" s="252">
        <f t="shared" si="41"/>
        <v>146.5</v>
      </c>
      <c r="V142" s="282">
        <f t="shared" si="42"/>
        <v>0</v>
      </c>
      <c r="W142" s="282"/>
      <c r="X142" s="282"/>
      <c r="Y142" s="282"/>
      <c r="Z142" s="282"/>
      <c r="AA142" s="282"/>
      <c r="AB142" s="300" t="str">
        <f t="shared" si="49"/>
        <v>pin in groundstacking hole</v>
      </c>
      <c r="AC142" s="451"/>
      <c r="AD142" s="451"/>
      <c r="AE142" s="451"/>
      <c r="AF142" s="282">
        <f t="shared" si="63"/>
        <v>0</v>
      </c>
      <c r="AG142" s="301">
        <f>SUM(D132:D142)+$C$131</f>
        <v>0</v>
      </c>
      <c r="AH142" s="301"/>
      <c r="AI142" s="173">
        <f t="shared" si="50"/>
        <v>69.344714800000006</v>
      </c>
      <c r="AJ142" s="284">
        <f t="shared" si="43"/>
        <v>0.93571960494171247</v>
      </c>
      <c r="AK142" s="174">
        <f t="shared" si="51"/>
        <v>180.0511663828843</v>
      </c>
      <c r="AL142" s="173">
        <f t="shared" si="52"/>
        <v>50.174479900000001</v>
      </c>
      <c r="AM142" s="285">
        <f t="shared" si="53"/>
        <v>0.76799833627881664</v>
      </c>
      <c r="AN142" s="174">
        <f t="shared" si="54"/>
        <v>146.50336262854705</v>
      </c>
      <c r="AO142" s="286"/>
      <c r="AP142" s="174">
        <f t="shared" si="64"/>
        <v>-255</v>
      </c>
      <c r="AQ142" s="288"/>
      <c r="AR142" s="288">
        <f t="shared" si="55"/>
        <v>326.55452901143133</v>
      </c>
      <c r="AS142" s="289">
        <f t="shared" si="66"/>
        <v>-146.50336262854705</v>
      </c>
      <c r="AT142" s="289"/>
      <c r="AU142" s="289">
        <f t="shared" si="65"/>
        <v>146.50336262854705</v>
      </c>
      <c r="AV142" s="291">
        <f t="shared" si="56"/>
        <v>-140.5984096029128</v>
      </c>
      <c r="AW142" s="291">
        <f t="shared" si="57"/>
        <v>-114.4015903970872</v>
      </c>
      <c r="AX142" s="292">
        <f t="shared" si="58"/>
        <v>-82.504489437408836</v>
      </c>
      <c r="AY142" s="292">
        <f t="shared" si="59"/>
        <v>-87.411372213358774</v>
      </c>
      <c r="AZ142" s="294">
        <f t="shared" si="60"/>
        <v>82.504489437408836</v>
      </c>
      <c r="BA142" s="294">
        <f t="shared" si="60"/>
        <v>87.411372213358774</v>
      </c>
      <c r="BB142">
        <f t="shared" si="61"/>
        <v>0.3</v>
      </c>
      <c r="BF142" s="27"/>
      <c r="BG142" s="27"/>
      <c r="BH142" s="27"/>
      <c r="BI142" s="27"/>
      <c r="BJ142" s="27"/>
      <c r="BM142" s="1754"/>
      <c r="BN142" s="1754"/>
      <c r="BO142" s="1754"/>
    </row>
    <row r="143" spans="1:105" ht="21" customHeight="1" thickBot="1" x14ac:dyDescent="0.5">
      <c r="B143" s="88">
        <v>13</v>
      </c>
      <c r="C143" s="20"/>
      <c r="D143" s="738">
        <v>0</v>
      </c>
      <c r="E143" s="333" t="s">
        <v>72</v>
      </c>
      <c r="F143" s="81">
        <f t="shared" si="44"/>
        <v>0.3</v>
      </c>
      <c r="G143" s="81">
        <f t="shared" si="45"/>
        <v>0.3</v>
      </c>
      <c r="H143" s="299">
        <v>190.76</v>
      </c>
      <c r="I143" s="318">
        <v>79.651040199999997</v>
      </c>
      <c r="J143" s="251">
        <f t="shared" si="46"/>
        <v>79.651040199999997</v>
      </c>
      <c r="K143" s="251">
        <f t="shared" si="47"/>
        <v>39.825520099999999</v>
      </c>
      <c r="L143" s="251">
        <f t="shared" si="36"/>
        <v>0.64045183696587837</v>
      </c>
      <c r="M143" s="251">
        <f t="shared" si="37"/>
        <v>122.17259241961095</v>
      </c>
      <c r="N143" s="251">
        <f t="shared" si="38"/>
        <v>244.3451848392219</v>
      </c>
      <c r="O143" s="251">
        <f>+C131+D132+D133+D134+D135+D136+D137+D138+D139+D140+D141+D142+(D143/2)</f>
        <v>0</v>
      </c>
      <c r="P143" s="251">
        <f t="shared" si="39"/>
        <v>0</v>
      </c>
      <c r="Q143" s="251">
        <f t="shared" si="40"/>
        <v>0</v>
      </c>
      <c r="R143" s="251">
        <f t="shared" si="48"/>
        <v>146.5</v>
      </c>
      <c r="S143" s="251">
        <f t="shared" si="62"/>
        <v>146.5</v>
      </c>
      <c r="T143" s="252">
        <f t="shared" si="41"/>
        <v>146.5</v>
      </c>
      <c r="V143" s="282">
        <f t="shared" si="42"/>
        <v>0</v>
      </c>
      <c r="W143" s="282"/>
      <c r="X143" s="282"/>
      <c r="Y143" s="282"/>
      <c r="Z143" s="282"/>
      <c r="AA143" s="282"/>
      <c r="AB143" s="300" t="str">
        <f t="shared" si="49"/>
        <v>pin in groundstacking hole</v>
      </c>
      <c r="AC143" s="451"/>
      <c r="AD143" s="451"/>
      <c r="AE143" s="451"/>
      <c r="AF143" s="282">
        <f t="shared" si="63"/>
        <v>0</v>
      </c>
      <c r="AG143" s="301">
        <f>SUM(D132:D143)+$C$131</f>
        <v>0</v>
      </c>
      <c r="AH143" s="301"/>
      <c r="AI143" s="173">
        <f t="shared" si="50"/>
        <v>69.344714800000006</v>
      </c>
      <c r="AJ143" s="284">
        <f t="shared" si="43"/>
        <v>0.93571960494171247</v>
      </c>
      <c r="AK143" s="174">
        <f t="shared" si="51"/>
        <v>180.0511663828843</v>
      </c>
      <c r="AL143" s="173">
        <f t="shared" si="52"/>
        <v>50.174479900000001</v>
      </c>
      <c r="AM143" s="285">
        <f t="shared" si="53"/>
        <v>0.76799833627881664</v>
      </c>
      <c r="AN143" s="174">
        <f t="shared" si="54"/>
        <v>146.50336262854705</v>
      </c>
      <c r="AO143" s="286"/>
      <c r="AP143" s="174">
        <f t="shared" si="64"/>
        <v>-280.5</v>
      </c>
      <c r="AQ143" s="288"/>
      <c r="AR143" s="288">
        <f t="shared" si="55"/>
        <v>326.55452901143133</v>
      </c>
      <c r="AS143" s="289">
        <f t="shared" si="66"/>
        <v>-146.50336262854705</v>
      </c>
      <c r="AT143" s="289"/>
      <c r="AU143" s="289">
        <f t="shared" si="65"/>
        <v>146.50336262854705</v>
      </c>
      <c r="AV143" s="291">
        <f t="shared" si="56"/>
        <v>-154.65825056320406</v>
      </c>
      <c r="AW143" s="291">
        <f t="shared" si="57"/>
        <v>-125.84174943679592</v>
      </c>
      <c r="AX143" s="292">
        <f t="shared" si="58"/>
        <v>-75.004081306735316</v>
      </c>
      <c r="AY143" s="292">
        <f t="shared" si="59"/>
        <v>-79.464883830326158</v>
      </c>
      <c r="AZ143" s="294">
        <f t="shared" si="60"/>
        <v>75.004081306735316</v>
      </c>
      <c r="BA143" s="294">
        <f t="shared" si="60"/>
        <v>79.464883830326158</v>
      </c>
      <c r="BB143">
        <f t="shared" si="61"/>
        <v>0.3</v>
      </c>
      <c r="BF143" s="27"/>
      <c r="BG143" s="27"/>
      <c r="BH143" s="27"/>
      <c r="BI143" s="27"/>
      <c r="BJ143" s="27"/>
      <c r="BM143" s="1754"/>
      <c r="BN143" s="1754"/>
      <c r="BO143" s="1754"/>
    </row>
    <row r="144" spans="1:105" ht="21" customHeight="1" thickBot="1" x14ac:dyDescent="0.5">
      <c r="B144" s="88">
        <v>14</v>
      </c>
      <c r="C144" s="20"/>
      <c r="D144" s="738">
        <v>0</v>
      </c>
      <c r="E144" s="333" t="s">
        <v>72</v>
      </c>
      <c r="F144" s="81">
        <f t="shared" si="44"/>
        <v>0.3</v>
      </c>
      <c r="G144" s="81">
        <f t="shared" si="45"/>
        <v>0.3</v>
      </c>
      <c r="H144" s="299">
        <v>190.76</v>
      </c>
      <c r="I144" s="318">
        <v>79.651040199999997</v>
      </c>
      <c r="J144" s="251">
        <f t="shared" si="46"/>
        <v>79.651040199999997</v>
      </c>
      <c r="K144" s="251">
        <f t="shared" si="47"/>
        <v>39.825520099999999</v>
      </c>
      <c r="L144" s="251">
        <f t="shared" si="36"/>
        <v>0.64045183696587837</v>
      </c>
      <c r="M144" s="251">
        <f t="shared" si="37"/>
        <v>122.17259241961095</v>
      </c>
      <c r="N144" s="251">
        <f t="shared" si="38"/>
        <v>244.3451848392219</v>
      </c>
      <c r="O144" s="251">
        <f>+C131+D132+D133+D134+D135+D136+D137+D138+D139+D140+D141+D142+D143+(D144/2)</f>
        <v>0</v>
      </c>
      <c r="P144" s="251">
        <f t="shared" si="39"/>
        <v>0</v>
      </c>
      <c r="Q144" s="251">
        <f t="shared" si="40"/>
        <v>0</v>
      </c>
      <c r="R144" s="251">
        <f t="shared" si="48"/>
        <v>146.5</v>
      </c>
      <c r="S144" s="251">
        <f t="shared" si="62"/>
        <v>146.5</v>
      </c>
      <c r="T144" s="252">
        <f t="shared" si="41"/>
        <v>146.5</v>
      </c>
      <c r="V144" s="282">
        <f t="shared" si="42"/>
        <v>0</v>
      </c>
      <c r="W144" s="282"/>
      <c r="X144" s="282"/>
      <c r="Y144" s="282"/>
      <c r="Z144" s="282"/>
      <c r="AA144" s="282"/>
      <c r="AB144" s="300" t="str">
        <f t="shared" si="49"/>
        <v>pin in groundstacking hole</v>
      </c>
      <c r="AC144" s="451"/>
      <c r="AD144" s="451"/>
      <c r="AE144" s="451"/>
      <c r="AF144" s="282">
        <f t="shared" si="63"/>
        <v>0</v>
      </c>
      <c r="AG144" s="301">
        <f>SUM(D132:D144)+$C$131</f>
        <v>0</v>
      </c>
      <c r="AH144" s="301"/>
      <c r="AI144" s="173">
        <f t="shared" si="50"/>
        <v>69.344714800000006</v>
      </c>
      <c r="AJ144" s="284">
        <f t="shared" si="43"/>
        <v>0.93571960494171247</v>
      </c>
      <c r="AK144" s="174">
        <f t="shared" si="51"/>
        <v>180.0511663828843</v>
      </c>
      <c r="AL144" s="173">
        <f t="shared" si="52"/>
        <v>50.174479900000001</v>
      </c>
      <c r="AM144" s="285">
        <f t="shared" si="53"/>
        <v>0.76799833627881664</v>
      </c>
      <c r="AN144" s="174">
        <f t="shared" si="54"/>
        <v>146.50336262854705</v>
      </c>
      <c r="AO144" s="286"/>
      <c r="AP144" s="174">
        <f t="shared" si="64"/>
        <v>-306</v>
      </c>
      <c r="AQ144" s="288"/>
      <c r="AR144" s="288">
        <f t="shared" si="55"/>
        <v>326.55452901143133</v>
      </c>
      <c r="AS144" s="289">
        <f t="shared" si="66"/>
        <v>-146.50336262854705</v>
      </c>
      <c r="AT144" s="289"/>
      <c r="AU144" s="289">
        <f t="shared" si="65"/>
        <v>146.50336262854705</v>
      </c>
      <c r="AV144" s="291">
        <f t="shared" si="56"/>
        <v>-168.71809152349536</v>
      </c>
      <c r="AW144" s="291">
        <f t="shared" si="57"/>
        <v>-137.28190847650464</v>
      </c>
      <c r="AX144" s="292">
        <f t="shared" si="58"/>
        <v>-68.753741197840696</v>
      </c>
      <c r="AY144" s="292">
        <f t="shared" si="59"/>
        <v>-72.842810177798981</v>
      </c>
      <c r="AZ144" s="294">
        <f t="shared" si="60"/>
        <v>68.753741197840696</v>
      </c>
      <c r="BA144" s="294">
        <f t="shared" si="60"/>
        <v>72.842810177798981</v>
      </c>
      <c r="BB144">
        <f t="shared" si="61"/>
        <v>0.3</v>
      </c>
      <c r="BF144" s="27"/>
      <c r="BG144" s="27"/>
      <c r="BH144" s="27"/>
      <c r="BI144" s="27"/>
      <c r="BJ144" s="27"/>
      <c r="BM144" s="1754"/>
      <c r="BN144" s="1754"/>
      <c r="BO144" s="1754"/>
      <c r="BP144" s="1551"/>
    </row>
    <row r="145" spans="2:133" ht="21" customHeight="1" thickBot="1" x14ac:dyDescent="0.5">
      <c r="B145" s="88">
        <v>15</v>
      </c>
      <c r="C145" s="20"/>
      <c r="D145" s="738">
        <v>0</v>
      </c>
      <c r="E145" s="333" t="s">
        <v>72</v>
      </c>
      <c r="F145" s="81">
        <f t="shared" si="44"/>
        <v>0.3</v>
      </c>
      <c r="G145" s="81">
        <f t="shared" si="45"/>
        <v>0.3</v>
      </c>
      <c r="H145" s="299">
        <v>190.76</v>
      </c>
      <c r="I145" s="318">
        <v>79.651040199999997</v>
      </c>
      <c r="J145" s="251">
        <f t="shared" si="46"/>
        <v>79.651040199999997</v>
      </c>
      <c r="K145" s="251">
        <f t="shared" si="47"/>
        <v>39.825520099999999</v>
      </c>
      <c r="L145" s="251">
        <f t="shared" si="36"/>
        <v>0.64045183696587837</v>
      </c>
      <c r="M145" s="251">
        <f t="shared" si="37"/>
        <v>122.17259241961095</v>
      </c>
      <c r="N145" s="251">
        <f t="shared" si="38"/>
        <v>244.3451848392219</v>
      </c>
      <c r="O145" s="251">
        <f>+C131+D132+D133+D134+D135+D136+D137+D138+D139+D140+D141+D142+D143+D144+(D145/2)</f>
        <v>0</v>
      </c>
      <c r="P145" s="251">
        <f t="shared" si="39"/>
        <v>0</v>
      </c>
      <c r="Q145" s="251">
        <f t="shared" si="40"/>
        <v>0</v>
      </c>
      <c r="R145" s="251">
        <f t="shared" si="48"/>
        <v>146.5</v>
      </c>
      <c r="S145" s="251">
        <f t="shared" si="62"/>
        <v>146.5</v>
      </c>
      <c r="T145" s="252">
        <f t="shared" si="41"/>
        <v>146.5</v>
      </c>
      <c r="V145" s="282">
        <f t="shared" si="42"/>
        <v>0</v>
      </c>
      <c r="W145" s="282"/>
      <c r="X145" s="282"/>
      <c r="Y145" s="282"/>
      <c r="Z145" s="282"/>
      <c r="AA145" s="282"/>
      <c r="AB145" s="300" t="str">
        <f t="shared" si="49"/>
        <v>pin in groundstacking hole</v>
      </c>
      <c r="AC145" s="451"/>
      <c r="AD145" s="451"/>
      <c r="AE145" s="451"/>
      <c r="AF145" s="282">
        <f t="shared" si="63"/>
        <v>0</v>
      </c>
      <c r="AG145" s="301">
        <f>SUM(D132:D145)+$C$131</f>
        <v>0</v>
      </c>
      <c r="AH145" s="301"/>
      <c r="AI145" s="173">
        <f t="shared" si="50"/>
        <v>69.344714800000006</v>
      </c>
      <c r="AJ145" s="284">
        <f t="shared" si="43"/>
        <v>0.93571960494171247</v>
      </c>
      <c r="AK145" s="174">
        <f t="shared" si="51"/>
        <v>180.0511663828843</v>
      </c>
      <c r="AL145" s="173">
        <f t="shared" si="52"/>
        <v>50.174479900000001</v>
      </c>
      <c r="AM145" s="285">
        <f t="shared" si="53"/>
        <v>0.76799833627881664</v>
      </c>
      <c r="AN145" s="174">
        <f t="shared" si="54"/>
        <v>146.50336262854705</v>
      </c>
      <c r="AO145" s="286"/>
      <c r="AP145" s="174">
        <f t="shared" si="64"/>
        <v>-331.5</v>
      </c>
      <c r="AQ145" s="288"/>
      <c r="AR145" s="288">
        <f t="shared" si="55"/>
        <v>326.55452901143133</v>
      </c>
      <c r="AS145" s="289">
        <f t="shared" si="66"/>
        <v>-146.50336262854705</v>
      </c>
      <c r="AT145" s="289"/>
      <c r="AU145" s="289">
        <f t="shared" si="65"/>
        <v>146.50336262854705</v>
      </c>
      <c r="AV145" s="291">
        <f t="shared" si="56"/>
        <v>-182.77793248378663</v>
      </c>
      <c r="AW145" s="291">
        <f t="shared" si="57"/>
        <v>-148.72206751621337</v>
      </c>
      <c r="AX145" s="292">
        <f t="shared" si="58"/>
        <v>-63.464991874929879</v>
      </c>
      <c r="AY145" s="292">
        <f t="shared" si="59"/>
        <v>-67.239517087199047</v>
      </c>
      <c r="AZ145" s="294">
        <f t="shared" si="60"/>
        <v>63.464991874929879</v>
      </c>
      <c r="BA145" s="294">
        <f t="shared" si="60"/>
        <v>67.239517087199047</v>
      </c>
      <c r="BB145">
        <f t="shared" si="61"/>
        <v>0.3</v>
      </c>
      <c r="BF145" s="27"/>
      <c r="BG145" s="27"/>
      <c r="BH145" s="27"/>
      <c r="BI145" s="27"/>
      <c r="BJ145" s="27"/>
      <c r="BM145" s="1754"/>
      <c r="BN145" s="1754"/>
      <c r="BO145" s="1754"/>
      <c r="BP145" s="1551"/>
    </row>
    <row r="146" spans="2:133" ht="21" customHeight="1" thickBot="1" x14ac:dyDescent="0.5">
      <c r="B146" s="88">
        <v>16</v>
      </c>
      <c r="C146" s="20"/>
      <c r="D146" s="738">
        <v>0</v>
      </c>
      <c r="E146" s="333" t="s">
        <v>72</v>
      </c>
      <c r="F146" s="81">
        <f t="shared" si="44"/>
        <v>0.3</v>
      </c>
      <c r="G146" s="81">
        <f t="shared" si="45"/>
        <v>0.3</v>
      </c>
      <c r="H146" s="299">
        <v>190.76</v>
      </c>
      <c r="I146" s="318">
        <v>79.651040199999997</v>
      </c>
      <c r="J146" s="251">
        <f t="shared" si="46"/>
        <v>79.651040199999997</v>
      </c>
      <c r="K146" s="251">
        <f t="shared" si="47"/>
        <v>39.825520099999999</v>
      </c>
      <c r="L146" s="251">
        <f t="shared" si="36"/>
        <v>0.64045183696587837</v>
      </c>
      <c r="M146" s="251">
        <f t="shared" si="37"/>
        <v>122.17259241961095</v>
      </c>
      <c r="N146" s="251">
        <f t="shared" si="38"/>
        <v>244.3451848392219</v>
      </c>
      <c r="O146" s="251">
        <f>+C131+D132+D133+D134+D135+D136+D137+D138+D139+D140+D141+D142+D143+D144+D145+(D146/2)</f>
        <v>0</v>
      </c>
      <c r="P146" s="251">
        <f t="shared" si="39"/>
        <v>0</v>
      </c>
      <c r="Q146" s="251">
        <f t="shared" si="40"/>
        <v>0</v>
      </c>
      <c r="R146" s="251">
        <f t="shared" si="48"/>
        <v>146.5</v>
      </c>
      <c r="S146" s="251">
        <f t="shared" si="62"/>
        <v>146.5</v>
      </c>
      <c r="T146" s="252">
        <f t="shared" si="41"/>
        <v>146.5</v>
      </c>
      <c r="V146" s="282">
        <f t="shared" si="42"/>
        <v>0</v>
      </c>
      <c r="W146" s="282"/>
      <c r="X146" s="282"/>
      <c r="Y146" s="282"/>
      <c r="Z146" s="282"/>
      <c r="AA146" s="282"/>
      <c r="AB146" s="300" t="str">
        <f t="shared" si="49"/>
        <v>pin in groundstacking hole</v>
      </c>
      <c r="AC146" s="451"/>
      <c r="AD146" s="451"/>
      <c r="AE146" s="451"/>
      <c r="AF146" s="282">
        <f t="shared" si="63"/>
        <v>0</v>
      </c>
      <c r="AG146" s="301">
        <f>SUM(D132:D146)+$C$131</f>
        <v>0</v>
      </c>
      <c r="AH146" s="301"/>
      <c r="AI146" s="173">
        <f t="shared" si="50"/>
        <v>69.344714800000006</v>
      </c>
      <c r="AJ146" s="284">
        <f t="shared" si="43"/>
        <v>0.93571960494171247</v>
      </c>
      <c r="AK146" s="174">
        <f t="shared" si="51"/>
        <v>180.0511663828843</v>
      </c>
      <c r="AL146" s="173">
        <f t="shared" si="52"/>
        <v>50.174479900000001</v>
      </c>
      <c r="AM146" s="285">
        <f t="shared" si="53"/>
        <v>0.76799833627881664</v>
      </c>
      <c r="AN146" s="174">
        <f t="shared" si="54"/>
        <v>146.50336262854705</v>
      </c>
      <c r="AO146" s="286"/>
      <c r="AP146" s="174">
        <f t="shared" si="64"/>
        <v>-357</v>
      </c>
      <c r="AQ146" s="288"/>
      <c r="AR146" s="288">
        <f t="shared" si="55"/>
        <v>326.55452901143133</v>
      </c>
      <c r="AS146" s="289">
        <f t="shared" si="66"/>
        <v>-146.50336262854705</v>
      </c>
      <c r="AT146" s="289"/>
      <c r="AU146" s="289">
        <f t="shared" si="65"/>
        <v>146.50336262854705</v>
      </c>
      <c r="AV146" s="291">
        <f t="shared" si="56"/>
        <v>-196.83777344407792</v>
      </c>
      <c r="AW146" s="291">
        <f t="shared" si="57"/>
        <v>-160.16222655592208</v>
      </c>
      <c r="AX146" s="292">
        <f t="shared" si="58"/>
        <v>-58.93177816957774</v>
      </c>
      <c r="AY146" s="292">
        <f t="shared" si="59"/>
        <v>-62.436694438113413</v>
      </c>
      <c r="AZ146" s="294">
        <f t="shared" si="60"/>
        <v>58.93177816957774</v>
      </c>
      <c r="BA146" s="294">
        <f t="shared" si="60"/>
        <v>62.436694438113413</v>
      </c>
      <c r="BB146">
        <f t="shared" si="61"/>
        <v>0.3</v>
      </c>
      <c r="BF146" s="27"/>
      <c r="BG146" s="27"/>
      <c r="BH146" s="27"/>
      <c r="BI146" s="27"/>
      <c r="BJ146" s="27"/>
      <c r="BM146" s="1754"/>
      <c r="BN146" s="1754"/>
      <c r="BO146" s="1754"/>
      <c r="BP146" s="1551"/>
    </row>
    <row r="147" spans="2:133" ht="21" customHeight="1" thickBot="1" x14ac:dyDescent="0.5">
      <c r="B147" s="88">
        <v>17</v>
      </c>
      <c r="C147" s="20"/>
      <c r="D147" s="738">
        <v>0</v>
      </c>
      <c r="E147" s="333" t="s">
        <v>72</v>
      </c>
      <c r="F147" s="81">
        <f t="shared" si="44"/>
        <v>0.3</v>
      </c>
      <c r="G147" s="81">
        <f t="shared" si="45"/>
        <v>0.3</v>
      </c>
      <c r="H147" s="299">
        <v>190.76</v>
      </c>
      <c r="I147" s="318">
        <v>79.651040199999997</v>
      </c>
      <c r="J147" s="251">
        <f t="shared" si="46"/>
        <v>79.651040199999997</v>
      </c>
      <c r="K147" s="251">
        <f t="shared" si="47"/>
        <v>39.825520099999999</v>
      </c>
      <c r="L147" s="251">
        <f t="shared" si="36"/>
        <v>0.64045183696587837</v>
      </c>
      <c r="M147" s="251">
        <f t="shared" si="37"/>
        <v>122.17259241961095</v>
      </c>
      <c r="N147" s="251">
        <f t="shared" si="38"/>
        <v>244.3451848392219</v>
      </c>
      <c r="O147" s="251">
        <f>+C131+D132+D133+D134+D135+D136+D137+D138+D139+D140+D141+D142+D143+D144+D145+D146+(D147/2)</f>
        <v>0</v>
      </c>
      <c r="P147" s="251">
        <f t="shared" si="39"/>
        <v>0</v>
      </c>
      <c r="Q147" s="251">
        <f t="shared" si="40"/>
        <v>0</v>
      </c>
      <c r="R147" s="251">
        <f t="shared" si="48"/>
        <v>146.5</v>
      </c>
      <c r="S147" s="251">
        <f t="shared" si="62"/>
        <v>146.5</v>
      </c>
      <c r="T147" s="252">
        <f t="shared" si="41"/>
        <v>146.5</v>
      </c>
      <c r="V147" s="282">
        <f t="shared" si="42"/>
        <v>0</v>
      </c>
      <c r="W147" s="282"/>
      <c r="X147" s="282"/>
      <c r="Y147" s="282"/>
      <c r="Z147" s="282"/>
      <c r="AA147" s="282"/>
      <c r="AB147" s="300" t="str">
        <f t="shared" si="49"/>
        <v>pin in groundstacking hole</v>
      </c>
      <c r="AC147" s="451"/>
      <c r="AD147" s="451"/>
      <c r="AE147" s="451"/>
      <c r="AF147" s="282">
        <f t="shared" si="63"/>
        <v>0</v>
      </c>
      <c r="AG147" s="301">
        <f>SUM(D132:D147)+$C$131</f>
        <v>0</v>
      </c>
      <c r="AH147" s="301"/>
      <c r="AI147" s="173">
        <f t="shared" si="50"/>
        <v>69.344714800000006</v>
      </c>
      <c r="AJ147" s="284">
        <f t="shared" si="43"/>
        <v>0.93571960494171247</v>
      </c>
      <c r="AK147" s="174">
        <f t="shared" si="51"/>
        <v>180.0511663828843</v>
      </c>
      <c r="AL147" s="173">
        <f t="shared" si="52"/>
        <v>50.174479900000001</v>
      </c>
      <c r="AM147" s="285">
        <f t="shared" si="53"/>
        <v>0.76799833627881664</v>
      </c>
      <c r="AN147" s="174">
        <f t="shared" si="54"/>
        <v>146.50336262854705</v>
      </c>
      <c r="AO147" s="286"/>
      <c r="AP147" s="174">
        <f t="shared" si="64"/>
        <v>-382.5</v>
      </c>
      <c r="AQ147" s="288"/>
      <c r="AR147" s="288">
        <f t="shared" si="55"/>
        <v>326.55452901143133</v>
      </c>
      <c r="AS147" s="289">
        <f t="shared" si="66"/>
        <v>-146.50336262854705</v>
      </c>
      <c r="AT147" s="289"/>
      <c r="AU147" s="289">
        <f t="shared" si="65"/>
        <v>146.50336262854705</v>
      </c>
      <c r="AV147" s="291">
        <f t="shared" si="56"/>
        <v>-210.89761440436919</v>
      </c>
      <c r="AW147" s="291">
        <f t="shared" si="57"/>
        <v>-171.60238559563081</v>
      </c>
      <c r="AX147" s="292">
        <f t="shared" si="58"/>
        <v>-55.002992958272557</v>
      </c>
      <c r="AY147" s="292">
        <f t="shared" si="59"/>
        <v>-58.27424814223918</v>
      </c>
      <c r="AZ147" s="294">
        <f t="shared" si="60"/>
        <v>55.002992958272557</v>
      </c>
      <c r="BA147" s="294">
        <f t="shared" si="60"/>
        <v>58.27424814223918</v>
      </c>
      <c r="BB147">
        <f t="shared" si="61"/>
        <v>0.3</v>
      </c>
      <c r="BF147" s="27"/>
      <c r="BG147" s="27"/>
      <c r="BH147" s="27"/>
      <c r="BI147" s="27"/>
      <c r="BJ147" s="27"/>
      <c r="BK147" s="27"/>
      <c r="BM147" s="1754"/>
      <c r="BN147" s="1754"/>
      <c r="BO147" s="1754"/>
      <c r="BP147" s="1551"/>
      <c r="DE147" s="10"/>
      <c r="DF147" s="10"/>
      <c r="DG147" s="10"/>
      <c r="DH147" s="10"/>
      <c r="DI147" s="10"/>
      <c r="DJ147" s="10"/>
      <c r="DK147" s="49"/>
      <c r="DL147" s="49"/>
      <c r="DM147" s="49"/>
      <c r="DN147" s="49"/>
      <c r="DO147" s="49"/>
      <c r="DP147" s="49"/>
      <c r="DQ147" s="49"/>
      <c r="DR147" s="49"/>
      <c r="DS147" s="49"/>
      <c r="DT147" s="49"/>
      <c r="DU147" s="49"/>
      <c r="DV147" s="49"/>
      <c r="DW147" s="49"/>
      <c r="DX147" s="49"/>
      <c r="DY147" s="7"/>
    </row>
    <row r="148" spans="2:133" ht="21" customHeight="1" thickBot="1" x14ac:dyDescent="0.5">
      <c r="B148" s="88">
        <v>18</v>
      </c>
      <c r="C148" s="20"/>
      <c r="D148" s="738">
        <v>0</v>
      </c>
      <c r="E148" s="333" t="s">
        <v>72</v>
      </c>
      <c r="F148" s="81">
        <f t="shared" si="44"/>
        <v>0.3</v>
      </c>
      <c r="G148" s="81">
        <f t="shared" si="45"/>
        <v>0.3</v>
      </c>
      <c r="H148" s="299">
        <v>190.76</v>
      </c>
      <c r="I148" s="318">
        <v>79.651040199999997</v>
      </c>
      <c r="J148" s="251">
        <f t="shared" si="46"/>
        <v>79.651040199999997</v>
      </c>
      <c r="K148" s="251">
        <f t="shared" si="47"/>
        <v>39.825520099999999</v>
      </c>
      <c r="L148" s="251">
        <f t="shared" si="36"/>
        <v>0.64045183696587837</v>
      </c>
      <c r="M148" s="251">
        <f t="shared" si="37"/>
        <v>122.17259241961095</v>
      </c>
      <c r="N148" s="251">
        <f t="shared" si="38"/>
        <v>244.3451848392219</v>
      </c>
      <c r="O148" s="251">
        <f>+C131+D132+D133+D134+D135+D136+D137+D138+D139+D140+D141+D142+D143+D144+D145+D146+D147+(D148/2)</f>
        <v>0</v>
      </c>
      <c r="P148" s="251">
        <f t="shared" si="39"/>
        <v>0</v>
      </c>
      <c r="Q148" s="251">
        <f t="shared" si="40"/>
        <v>0</v>
      </c>
      <c r="R148" s="251">
        <f t="shared" si="48"/>
        <v>146.5</v>
      </c>
      <c r="S148" s="251">
        <f t="shared" si="62"/>
        <v>146.5</v>
      </c>
      <c r="T148" s="252">
        <f t="shared" si="41"/>
        <v>146.5</v>
      </c>
      <c r="V148" s="282">
        <f t="shared" si="42"/>
        <v>0</v>
      </c>
      <c r="W148" s="282"/>
      <c r="X148" s="282"/>
      <c r="Y148" s="282"/>
      <c r="Z148" s="282"/>
      <c r="AA148" s="282"/>
      <c r="AB148" s="300" t="str">
        <f t="shared" si="49"/>
        <v>pin in groundstacking hole</v>
      </c>
      <c r="AC148" s="451"/>
      <c r="AD148" s="451"/>
      <c r="AE148" s="451"/>
      <c r="AF148" s="282">
        <f t="shared" si="63"/>
        <v>0</v>
      </c>
      <c r="AG148" s="301">
        <f>SUM(D132:D148)+$C$131</f>
        <v>0</v>
      </c>
      <c r="AH148" s="301"/>
      <c r="AI148" s="173">
        <f t="shared" si="50"/>
        <v>69.344714800000006</v>
      </c>
      <c r="AJ148" s="284">
        <f t="shared" si="43"/>
        <v>0.93571960494171247</v>
      </c>
      <c r="AK148" s="174">
        <f t="shared" si="51"/>
        <v>180.0511663828843</v>
      </c>
      <c r="AL148" s="173">
        <f t="shared" si="52"/>
        <v>50.174479900000001</v>
      </c>
      <c r="AM148" s="285">
        <f t="shared" si="53"/>
        <v>0.76799833627881664</v>
      </c>
      <c r="AN148" s="174">
        <f t="shared" si="54"/>
        <v>146.50336262854705</v>
      </c>
      <c r="AO148" s="286"/>
      <c r="AP148" s="174">
        <f t="shared" si="64"/>
        <v>-408</v>
      </c>
      <c r="AQ148" s="288"/>
      <c r="AR148" s="288">
        <f t="shared" si="55"/>
        <v>326.55452901143133</v>
      </c>
      <c r="AS148" s="289">
        <f t="shared" si="66"/>
        <v>-146.50336262854705</v>
      </c>
      <c r="AT148" s="289"/>
      <c r="AU148" s="289">
        <f t="shared" si="65"/>
        <v>146.50336262854705</v>
      </c>
      <c r="AV148" s="291">
        <f t="shared" si="56"/>
        <v>-224.95745536466046</v>
      </c>
      <c r="AW148" s="291">
        <f t="shared" si="57"/>
        <v>-183.04254463533954</v>
      </c>
      <c r="AX148" s="292">
        <f t="shared" si="58"/>
        <v>-51.565305898380529</v>
      </c>
      <c r="AY148" s="292">
        <f t="shared" si="59"/>
        <v>-54.632107633349229</v>
      </c>
      <c r="AZ148" s="294">
        <f t="shared" si="60"/>
        <v>51.565305898380529</v>
      </c>
      <c r="BA148" s="294">
        <f t="shared" si="60"/>
        <v>54.632107633349229</v>
      </c>
      <c r="BB148">
        <f t="shared" si="61"/>
        <v>0.3</v>
      </c>
      <c r="BF148" s="27"/>
      <c r="BG148" s="27"/>
      <c r="BH148" s="27"/>
      <c r="BI148" s="27"/>
      <c r="BJ148" s="27"/>
      <c r="BK148" s="35"/>
      <c r="BM148" s="1754"/>
      <c r="BN148" s="1754"/>
      <c r="BO148" s="1754"/>
      <c r="BP148" s="1551"/>
      <c r="DE148" s="10"/>
      <c r="DF148" s="10"/>
      <c r="DG148" s="10"/>
      <c r="DH148" s="10"/>
      <c r="DI148" s="10"/>
      <c r="DJ148" s="10"/>
      <c r="DK148" s="49"/>
      <c r="DL148" s="49"/>
      <c r="DM148" s="49"/>
      <c r="DN148" s="49"/>
      <c r="DO148" s="49"/>
      <c r="DP148" s="49"/>
      <c r="DQ148" s="49"/>
      <c r="DR148" s="49"/>
      <c r="DS148" s="49"/>
      <c r="DT148" s="49"/>
      <c r="DU148" s="49"/>
      <c r="DV148" s="49"/>
      <c r="DW148" s="49"/>
      <c r="DX148" s="49"/>
      <c r="DY148" s="7"/>
    </row>
    <row r="149" spans="2:133" ht="21" customHeight="1" thickBot="1" x14ac:dyDescent="0.5">
      <c r="B149" s="88">
        <v>19</v>
      </c>
      <c r="C149" s="20"/>
      <c r="D149" s="738">
        <v>0</v>
      </c>
      <c r="E149" s="333" t="s">
        <v>72</v>
      </c>
      <c r="F149" s="81">
        <f t="shared" si="44"/>
        <v>0.3</v>
      </c>
      <c r="G149" s="81">
        <f t="shared" si="45"/>
        <v>0.3</v>
      </c>
      <c r="H149" s="299">
        <v>190.76</v>
      </c>
      <c r="I149" s="318">
        <v>79.651040199999997</v>
      </c>
      <c r="J149" s="251">
        <f t="shared" si="46"/>
        <v>79.651040199999997</v>
      </c>
      <c r="K149" s="251">
        <f t="shared" si="47"/>
        <v>39.825520099999999</v>
      </c>
      <c r="L149" s="251">
        <f t="shared" si="36"/>
        <v>0.64045183696587837</v>
      </c>
      <c r="M149" s="251">
        <f t="shared" si="37"/>
        <v>122.17259241961095</v>
      </c>
      <c r="N149" s="251">
        <f t="shared" si="38"/>
        <v>244.3451848392219</v>
      </c>
      <c r="O149" s="251">
        <f>+C131+D132+D133+D134+D135+D136+D137+D138+D139+D140+D141+D142+D143+D144+D145+D146+D147+D148+(D149/2)</f>
        <v>0</v>
      </c>
      <c r="P149" s="251">
        <f t="shared" si="39"/>
        <v>0</v>
      </c>
      <c r="Q149" s="251">
        <f t="shared" si="40"/>
        <v>0</v>
      </c>
      <c r="R149" s="251">
        <f t="shared" si="48"/>
        <v>146.5</v>
      </c>
      <c r="S149" s="251">
        <f t="shared" si="62"/>
        <v>146.5</v>
      </c>
      <c r="T149" s="252">
        <f t="shared" si="41"/>
        <v>146.5</v>
      </c>
      <c r="V149" s="282">
        <f t="shared" si="42"/>
        <v>0</v>
      </c>
      <c r="W149" s="282"/>
      <c r="X149" s="282"/>
      <c r="Y149" s="282"/>
      <c r="Z149" s="282"/>
      <c r="AA149" s="282"/>
      <c r="AB149" s="300" t="str">
        <f t="shared" si="49"/>
        <v>pin in groundstacking hole</v>
      </c>
      <c r="AC149" s="451"/>
      <c r="AD149" s="451"/>
      <c r="AE149" s="451"/>
      <c r="AF149" s="282">
        <f t="shared" si="63"/>
        <v>0</v>
      </c>
      <c r="AG149" s="301">
        <f>SUM(D131:D149)+$C$131</f>
        <v>0</v>
      </c>
      <c r="AH149" s="301"/>
      <c r="AI149" s="173">
        <f t="shared" si="50"/>
        <v>69.344714800000006</v>
      </c>
      <c r="AJ149" s="284">
        <f t="shared" si="43"/>
        <v>0.93571960494171247</v>
      </c>
      <c r="AK149" s="174">
        <f t="shared" si="51"/>
        <v>180.0511663828843</v>
      </c>
      <c r="AL149" s="173">
        <f t="shared" si="52"/>
        <v>50.174479900000001</v>
      </c>
      <c r="AM149" s="285">
        <f t="shared" si="53"/>
        <v>0.76799833627881664</v>
      </c>
      <c r="AN149" s="174">
        <f t="shared" si="54"/>
        <v>146.50336262854705</v>
      </c>
      <c r="AO149" s="286"/>
      <c r="AP149" s="174">
        <f t="shared" si="64"/>
        <v>-433.5</v>
      </c>
      <c r="AQ149" s="288"/>
      <c r="AR149" s="288">
        <f t="shared" si="55"/>
        <v>326.55452901143133</v>
      </c>
      <c r="AS149" s="289">
        <f t="shared" si="66"/>
        <v>-146.50336262854705</v>
      </c>
      <c r="AT149" s="289"/>
      <c r="AU149" s="289">
        <f t="shared" si="65"/>
        <v>146.50336262854705</v>
      </c>
      <c r="AV149" s="291">
        <f t="shared" si="56"/>
        <v>-239.01729632495176</v>
      </c>
      <c r="AW149" s="291">
        <f t="shared" si="57"/>
        <v>-194.48270367504824</v>
      </c>
      <c r="AX149" s="292">
        <f t="shared" si="58"/>
        <v>-48.532052610240491</v>
      </c>
      <c r="AY149" s="292">
        <f t="shared" si="59"/>
        <v>-51.418454243152219</v>
      </c>
      <c r="AZ149" s="294">
        <f t="shared" si="60"/>
        <v>48.532052610240491</v>
      </c>
      <c r="BA149" s="294">
        <f t="shared" si="60"/>
        <v>51.418454243152219</v>
      </c>
      <c r="BB149">
        <f t="shared" si="61"/>
        <v>0.3</v>
      </c>
      <c r="BF149" s="27"/>
      <c r="BG149" s="27"/>
      <c r="BH149" s="27"/>
      <c r="BI149" s="27"/>
      <c r="BJ149" s="27"/>
      <c r="BK149" s="33"/>
      <c r="BM149" s="1754"/>
      <c r="BN149" s="1754"/>
      <c r="BO149" s="1754"/>
      <c r="BP149" s="1551"/>
      <c r="DE149" s="10"/>
      <c r="DF149" s="10"/>
      <c r="DG149" s="10"/>
      <c r="DH149" s="10"/>
      <c r="DI149" s="10"/>
      <c r="DJ149" s="10"/>
      <c r="DK149" s="49"/>
      <c r="DL149" s="49"/>
      <c r="DM149" s="49"/>
      <c r="DN149" s="49"/>
      <c r="DO149" s="49"/>
      <c r="DP149" s="49"/>
      <c r="DQ149" s="49"/>
      <c r="DR149" s="49"/>
      <c r="DS149" s="49"/>
      <c r="DT149" s="49"/>
      <c r="DU149" s="49"/>
      <c r="DV149" s="49"/>
      <c r="DW149" s="49"/>
      <c r="DX149" s="49"/>
      <c r="DY149" s="7"/>
    </row>
    <row r="150" spans="2:133" ht="21" customHeight="1" thickBot="1" x14ac:dyDescent="0.5">
      <c r="B150" s="88">
        <v>20</v>
      </c>
      <c r="C150" s="20"/>
      <c r="D150" s="738">
        <v>0</v>
      </c>
      <c r="E150" s="333" t="s">
        <v>72</v>
      </c>
      <c r="F150" s="81">
        <f t="shared" si="44"/>
        <v>0.3</v>
      </c>
      <c r="G150" s="81">
        <f t="shared" si="45"/>
        <v>0.3</v>
      </c>
      <c r="H150" s="299">
        <v>190.76</v>
      </c>
      <c r="I150" s="318">
        <v>79.651040199999997</v>
      </c>
      <c r="J150" s="251">
        <f t="shared" si="46"/>
        <v>79.651040199999997</v>
      </c>
      <c r="K150" s="251">
        <f t="shared" si="47"/>
        <v>39.825520099999999</v>
      </c>
      <c r="L150" s="251">
        <f t="shared" si="36"/>
        <v>0.64045183696587837</v>
      </c>
      <c r="M150" s="251">
        <f t="shared" si="37"/>
        <v>122.17259241961095</v>
      </c>
      <c r="N150" s="251">
        <f t="shared" si="38"/>
        <v>244.3451848392219</v>
      </c>
      <c r="O150" s="251">
        <f>+C131+D132+D133+D134+D135+D136+D137+D138+D139+D140+D141+D142+D143+D144+D145+D146+D147+D148+D149+(D150/2)</f>
        <v>0</v>
      </c>
      <c r="P150" s="251">
        <f t="shared" si="39"/>
        <v>0</v>
      </c>
      <c r="Q150" s="251">
        <f t="shared" si="40"/>
        <v>0</v>
      </c>
      <c r="R150" s="251">
        <f t="shared" si="48"/>
        <v>146.5</v>
      </c>
      <c r="S150" s="251">
        <f t="shared" si="62"/>
        <v>146.5</v>
      </c>
      <c r="T150" s="252">
        <f t="shared" si="41"/>
        <v>146.5</v>
      </c>
      <c r="V150" s="282">
        <f t="shared" si="42"/>
        <v>0</v>
      </c>
      <c r="W150" s="282"/>
      <c r="X150" s="282"/>
      <c r="Y150" s="282"/>
      <c r="Z150" s="282"/>
      <c r="AA150" s="282"/>
      <c r="AB150" s="300" t="str">
        <f t="shared" si="49"/>
        <v>pin in groundstacking hole</v>
      </c>
      <c r="AC150" s="451"/>
      <c r="AD150" s="451"/>
      <c r="AE150" s="451"/>
      <c r="AF150" s="282">
        <f t="shared" si="63"/>
        <v>0</v>
      </c>
      <c r="AG150" s="301">
        <f>SUM(D132:D150)+$C$131</f>
        <v>0</v>
      </c>
      <c r="AH150" s="301"/>
      <c r="AI150" s="173">
        <f t="shared" si="50"/>
        <v>69.344714800000006</v>
      </c>
      <c r="AJ150" s="284">
        <f t="shared" si="43"/>
        <v>0.93571960494171247</v>
      </c>
      <c r="AK150" s="174">
        <f t="shared" si="51"/>
        <v>180.0511663828843</v>
      </c>
      <c r="AL150" s="173">
        <f t="shared" si="52"/>
        <v>50.174479900000001</v>
      </c>
      <c r="AM150" s="285">
        <f t="shared" si="53"/>
        <v>0.76799833627881664</v>
      </c>
      <c r="AN150" s="174">
        <f t="shared" si="54"/>
        <v>146.50336262854705</v>
      </c>
      <c r="AO150" s="286"/>
      <c r="AP150" s="174">
        <f t="shared" si="64"/>
        <v>-459</v>
      </c>
      <c r="AQ150" s="288"/>
      <c r="AR150" s="288">
        <f t="shared" si="55"/>
        <v>326.55452901143133</v>
      </c>
      <c r="AS150" s="289">
        <f t="shared" si="66"/>
        <v>-146.50336262854705</v>
      </c>
      <c r="AT150" s="289"/>
      <c r="AU150" s="289">
        <f t="shared" si="65"/>
        <v>146.50336262854705</v>
      </c>
      <c r="AV150" s="291">
        <f t="shared" si="56"/>
        <v>-253.07713728524303</v>
      </c>
      <c r="AW150" s="291">
        <f t="shared" si="57"/>
        <v>-205.92286271475697</v>
      </c>
      <c r="AX150" s="292">
        <f t="shared" si="58"/>
        <v>-45.835827465227133</v>
      </c>
      <c r="AY150" s="292">
        <f t="shared" si="59"/>
        <v>-48.561873451865985</v>
      </c>
      <c r="AZ150" s="294">
        <f t="shared" si="60"/>
        <v>45.835827465227133</v>
      </c>
      <c r="BA150" s="294">
        <f t="shared" si="60"/>
        <v>48.561873451865985</v>
      </c>
      <c r="BB150">
        <f t="shared" si="61"/>
        <v>0.3</v>
      </c>
      <c r="BF150" s="27"/>
      <c r="BG150" s="27"/>
      <c r="BH150" s="27"/>
      <c r="BI150" s="27"/>
      <c r="BJ150" s="27"/>
      <c r="BK150" s="33"/>
      <c r="BM150" s="1754"/>
      <c r="BN150" s="1754"/>
      <c r="BO150" s="1754"/>
      <c r="BP150" s="1551"/>
      <c r="DE150" s="10"/>
      <c r="DF150" s="10"/>
      <c r="DG150" s="10"/>
      <c r="DH150" s="10"/>
      <c r="DI150" s="10"/>
      <c r="DJ150" s="10"/>
      <c r="DK150" s="49"/>
      <c r="DL150" s="49"/>
      <c r="DM150" s="49"/>
      <c r="DN150" s="49"/>
      <c r="DO150" s="49"/>
      <c r="DP150" s="49"/>
      <c r="DQ150" s="49"/>
      <c r="DR150" s="49"/>
      <c r="DS150" s="49"/>
      <c r="DT150" s="49"/>
      <c r="DU150" s="49"/>
      <c r="DV150" s="49"/>
      <c r="DW150" s="49"/>
      <c r="DX150" s="49"/>
      <c r="DY150" s="7"/>
    </row>
    <row r="151" spans="2:133" ht="21" customHeight="1" thickBot="1" x14ac:dyDescent="0.5">
      <c r="B151" s="88">
        <v>21</v>
      </c>
      <c r="C151" s="20"/>
      <c r="D151" s="738">
        <v>0</v>
      </c>
      <c r="E151" s="333" t="s">
        <v>72</v>
      </c>
      <c r="F151" s="81">
        <f t="shared" si="44"/>
        <v>0.3</v>
      </c>
      <c r="G151" s="81">
        <f t="shared" si="45"/>
        <v>0.3</v>
      </c>
      <c r="H151" s="299">
        <v>190.76</v>
      </c>
      <c r="I151" s="318">
        <v>79.651040199999997</v>
      </c>
      <c r="J151" s="251">
        <f t="shared" si="46"/>
        <v>79.651040199999997</v>
      </c>
      <c r="K151" s="251">
        <f t="shared" si="47"/>
        <v>39.825520099999999</v>
      </c>
      <c r="L151" s="251">
        <f t="shared" si="36"/>
        <v>0.64045183696587837</v>
      </c>
      <c r="M151" s="251">
        <f t="shared" si="37"/>
        <v>122.17259241961095</v>
      </c>
      <c r="N151" s="251">
        <f t="shared" si="38"/>
        <v>244.3451848392219</v>
      </c>
      <c r="O151" s="251">
        <f>+C131+D132+D133+D134+D135+D136+D137+D138+D139+D140+D141+D142+D143+D144+D145+D146+D147+D148+D149+D150+(D151/2)</f>
        <v>0</v>
      </c>
      <c r="P151" s="251">
        <f t="shared" si="39"/>
        <v>0</v>
      </c>
      <c r="Q151" s="251">
        <f t="shared" si="40"/>
        <v>0</v>
      </c>
      <c r="R151" s="251">
        <f t="shared" si="48"/>
        <v>146.5</v>
      </c>
      <c r="S151" s="251">
        <f t="shared" si="62"/>
        <v>146.5</v>
      </c>
      <c r="T151" s="252">
        <f t="shared" si="41"/>
        <v>146.5</v>
      </c>
      <c r="V151" s="282">
        <f t="shared" si="42"/>
        <v>0</v>
      </c>
      <c r="W151" s="282"/>
      <c r="X151" s="282"/>
      <c r="Y151" s="282"/>
      <c r="Z151" s="282"/>
      <c r="AA151" s="282"/>
      <c r="AB151" s="300" t="str">
        <f t="shared" si="49"/>
        <v>pin in groundstacking hole</v>
      </c>
      <c r="AC151" s="451"/>
      <c r="AD151" s="451"/>
      <c r="AE151" s="451"/>
      <c r="AF151" s="282">
        <f t="shared" si="63"/>
        <v>0</v>
      </c>
      <c r="AG151" s="301">
        <f>SUM(D132:D151)+$C$131</f>
        <v>0</v>
      </c>
      <c r="AH151" s="301"/>
      <c r="AI151" s="173">
        <f t="shared" si="50"/>
        <v>69.344714800000006</v>
      </c>
      <c r="AJ151" s="284">
        <f t="shared" si="43"/>
        <v>0.93571960494171247</v>
      </c>
      <c r="AK151" s="174">
        <f t="shared" si="51"/>
        <v>180.0511663828843</v>
      </c>
      <c r="AL151" s="173">
        <f t="shared" si="52"/>
        <v>50.174479900000001</v>
      </c>
      <c r="AM151" s="285">
        <f t="shared" si="53"/>
        <v>0.76799833627881664</v>
      </c>
      <c r="AN151" s="174">
        <f t="shared" si="54"/>
        <v>146.50336262854705</v>
      </c>
      <c r="AO151" s="286"/>
      <c r="AP151" s="174">
        <f t="shared" si="64"/>
        <v>-484.5</v>
      </c>
      <c r="AQ151" s="288"/>
      <c r="AR151" s="288">
        <f t="shared" si="55"/>
        <v>326.55452901143133</v>
      </c>
      <c r="AS151" s="289">
        <f t="shared" si="66"/>
        <v>-146.50336262854705</v>
      </c>
      <c r="AT151" s="289"/>
      <c r="AU151" s="289">
        <f t="shared" si="65"/>
        <v>146.50336262854705</v>
      </c>
      <c r="AV151" s="291">
        <f t="shared" si="56"/>
        <v>-267.13697824553429</v>
      </c>
      <c r="AW151" s="291">
        <f t="shared" si="57"/>
        <v>-217.36302175446571</v>
      </c>
      <c r="AX151" s="292">
        <f t="shared" si="58"/>
        <v>-43.423415493373078</v>
      </c>
      <c r="AY151" s="292">
        <f t="shared" si="59"/>
        <v>-46.005985375451978</v>
      </c>
      <c r="AZ151" s="294">
        <f t="shared" si="60"/>
        <v>43.423415493373078</v>
      </c>
      <c r="BA151" s="294">
        <f t="shared" si="60"/>
        <v>46.005985375451978</v>
      </c>
      <c r="BB151">
        <f t="shared" si="61"/>
        <v>0.3</v>
      </c>
      <c r="BF151" s="27"/>
      <c r="BG151" s="27"/>
      <c r="BH151" s="27"/>
      <c r="BI151" s="27"/>
      <c r="BJ151" s="27"/>
      <c r="BM151" s="1754"/>
      <c r="BN151" s="1754"/>
      <c r="BO151" s="1754"/>
      <c r="DX151" s="60"/>
      <c r="DY151" s="60"/>
      <c r="DZ151" s="60"/>
      <c r="EA151" s="60"/>
      <c r="EB151" s="60"/>
      <c r="EC151" s="60"/>
    </row>
    <row r="152" spans="2:133" ht="21" customHeight="1" thickBot="1" x14ac:dyDescent="0.5">
      <c r="B152" s="88">
        <v>22</v>
      </c>
      <c r="C152" s="20"/>
      <c r="D152" s="738">
        <v>0</v>
      </c>
      <c r="E152" s="333" t="s">
        <v>72</v>
      </c>
      <c r="F152" s="81">
        <f t="shared" si="44"/>
        <v>0.3</v>
      </c>
      <c r="G152" s="81">
        <f t="shared" si="45"/>
        <v>0.3</v>
      </c>
      <c r="H152" s="299">
        <v>190.76</v>
      </c>
      <c r="I152" s="318">
        <v>79.651040199999997</v>
      </c>
      <c r="J152" s="251">
        <f t="shared" si="46"/>
        <v>79.651040199999997</v>
      </c>
      <c r="K152" s="251">
        <f t="shared" si="47"/>
        <v>39.825520099999999</v>
      </c>
      <c r="L152" s="251">
        <f t="shared" si="36"/>
        <v>0.64045183696587837</v>
      </c>
      <c r="M152" s="251">
        <f t="shared" si="37"/>
        <v>122.17259241961095</v>
      </c>
      <c r="N152" s="251">
        <f t="shared" si="38"/>
        <v>244.3451848392219</v>
      </c>
      <c r="O152" s="251">
        <f>+C131+D132+D133+D134+D135+D136+D137+D138+D139+D140+D141+D142+D143+D144+D145+D146+D147+D148+D149+D150+D151+(D152/2)</f>
        <v>0</v>
      </c>
      <c r="P152" s="251">
        <f t="shared" si="39"/>
        <v>0</v>
      </c>
      <c r="Q152" s="251">
        <f t="shared" si="40"/>
        <v>0</v>
      </c>
      <c r="R152" s="251">
        <f t="shared" si="48"/>
        <v>146.5</v>
      </c>
      <c r="S152" s="251">
        <f t="shared" si="62"/>
        <v>146.5</v>
      </c>
      <c r="T152" s="252">
        <f t="shared" si="41"/>
        <v>146.5</v>
      </c>
      <c r="V152" s="282">
        <f t="shared" si="42"/>
        <v>0</v>
      </c>
      <c r="W152" s="282"/>
      <c r="X152" s="282"/>
      <c r="Y152" s="282"/>
      <c r="Z152" s="282"/>
      <c r="AA152" s="282"/>
      <c r="AB152" s="300" t="str">
        <f t="shared" si="49"/>
        <v>pin in groundstacking hole</v>
      </c>
      <c r="AC152" s="451"/>
      <c r="AD152" s="451"/>
      <c r="AE152" s="451"/>
      <c r="AF152" s="282">
        <f t="shared" si="63"/>
        <v>0</v>
      </c>
      <c r="AG152" s="301">
        <f>SUM(D132:D152)+$C$131</f>
        <v>0</v>
      </c>
      <c r="AH152" s="301"/>
      <c r="AI152" s="173">
        <f t="shared" si="50"/>
        <v>69.344714800000006</v>
      </c>
      <c r="AJ152" s="284">
        <f t="shared" si="43"/>
        <v>0.93571960494171247</v>
      </c>
      <c r="AK152" s="174">
        <f t="shared" si="51"/>
        <v>180.0511663828843</v>
      </c>
      <c r="AL152" s="173">
        <f t="shared" si="52"/>
        <v>50.174479900000001</v>
      </c>
      <c r="AM152" s="285">
        <f t="shared" si="53"/>
        <v>0.76799833627881664</v>
      </c>
      <c r="AN152" s="174">
        <f t="shared" si="54"/>
        <v>146.50336262854705</v>
      </c>
      <c r="AO152" s="286"/>
      <c r="AP152" s="174">
        <f t="shared" si="64"/>
        <v>-510</v>
      </c>
      <c r="AQ152" s="288"/>
      <c r="AR152" s="288">
        <f t="shared" si="55"/>
        <v>326.55452901143133</v>
      </c>
      <c r="AS152" s="289">
        <f t="shared" si="66"/>
        <v>-146.50336262854705</v>
      </c>
      <c r="AT152" s="289"/>
      <c r="AU152" s="289">
        <f t="shared" si="65"/>
        <v>146.50336262854705</v>
      </c>
      <c r="AV152" s="291">
        <f t="shared" si="56"/>
        <v>-281.19681920582559</v>
      </c>
      <c r="AW152" s="291">
        <f t="shared" si="57"/>
        <v>-228.80318079417441</v>
      </c>
      <c r="AX152" s="292">
        <f t="shared" si="58"/>
        <v>-41.252244718704418</v>
      </c>
      <c r="AY152" s="292">
        <f t="shared" si="59"/>
        <v>-43.705686106679387</v>
      </c>
      <c r="AZ152" s="294">
        <f t="shared" si="60"/>
        <v>41.252244718704418</v>
      </c>
      <c r="BA152" s="294">
        <f t="shared" si="60"/>
        <v>43.705686106679387</v>
      </c>
      <c r="BB152">
        <f t="shared" si="61"/>
        <v>0.3</v>
      </c>
      <c r="BF152" s="27"/>
      <c r="BG152" s="27"/>
      <c r="BH152" s="27"/>
      <c r="BI152" s="27"/>
      <c r="BJ152" s="27"/>
      <c r="BM152" s="1754"/>
      <c r="BN152" s="1754"/>
      <c r="BO152" s="1754"/>
    </row>
    <row r="153" spans="2:133" ht="21" customHeight="1" thickBot="1" x14ac:dyDescent="0.5">
      <c r="B153" s="88">
        <v>23</v>
      </c>
      <c r="C153" s="20"/>
      <c r="D153" s="738">
        <v>0</v>
      </c>
      <c r="E153" s="333" t="s">
        <v>72</v>
      </c>
      <c r="F153" s="81">
        <f t="shared" si="44"/>
        <v>0.3</v>
      </c>
      <c r="G153" s="81">
        <f t="shared" si="45"/>
        <v>0.3</v>
      </c>
      <c r="H153" s="299">
        <v>190.76</v>
      </c>
      <c r="I153" s="318">
        <v>79.651040199999997</v>
      </c>
      <c r="J153" s="251">
        <f t="shared" si="46"/>
        <v>79.651040199999997</v>
      </c>
      <c r="K153" s="251">
        <f t="shared" si="47"/>
        <v>39.825520099999999</v>
      </c>
      <c r="L153" s="251">
        <f t="shared" si="36"/>
        <v>0.64045183696587837</v>
      </c>
      <c r="M153" s="251">
        <f t="shared" si="37"/>
        <v>122.17259241961095</v>
      </c>
      <c r="N153" s="251">
        <f t="shared" si="38"/>
        <v>244.3451848392219</v>
      </c>
      <c r="O153" s="251">
        <f>+C131+D132+D133+D134+D135+D136+D137+D138+D139+D140+D141+D142+D143+D144+D145+D146+D147+D148+D149+D150+D151+D152+(D153/2)</f>
        <v>0</v>
      </c>
      <c r="P153" s="251">
        <f t="shared" si="39"/>
        <v>0</v>
      </c>
      <c r="Q153" s="251">
        <f t="shared" si="40"/>
        <v>0</v>
      </c>
      <c r="R153" s="251">
        <f t="shared" si="48"/>
        <v>146.5</v>
      </c>
      <c r="S153" s="251">
        <f t="shared" si="62"/>
        <v>146.5</v>
      </c>
      <c r="T153" s="252">
        <f t="shared" si="41"/>
        <v>146.5</v>
      </c>
      <c r="V153" s="282">
        <f t="shared" si="42"/>
        <v>0</v>
      </c>
      <c r="W153" s="282"/>
      <c r="X153" s="282"/>
      <c r="Y153" s="282"/>
      <c r="Z153" s="282"/>
      <c r="AA153" s="282"/>
      <c r="AB153" s="300" t="str">
        <f t="shared" si="49"/>
        <v>pin in groundstacking hole</v>
      </c>
      <c r="AC153" s="451"/>
      <c r="AD153" s="451"/>
      <c r="AE153" s="451"/>
      <c r="AF153" s="282">
        <f t="shared" si="63"/>
        <v>0</v>
      </c>
      <c r="AG153" s="301">
        <f>SUM(D132:D153)+$C$131</f>
        <v>0</v>
      </c>
      <c r="AH153" s="301"/>
      <c r="AI153" s="173">
        <f t="shared" si="50"/>
        <v>69.344714800000006</v>
      </c>
      <c r="AJ153" s="284">
        <f t="shared" si="43"/>
        <v>0.93571960494171247</v>
      </c>
      <c r="AK153" s="174">
        <f t="shared" si="51"/>
        <v>180.0511663828843</v>
      </c>
      <c r="AL153" s="173">
        <f t="shared" si="52"/>
        <v>50.174479900000001</v>
      </c>
      <c r="AM153" s="285">
        <f t="shared" si="53"/>
        <v>0.76799833627881664</v>
      </c>
      <c r="AN153" s="174">
        <f t="shared" si="54"/>
        <v>146.50336262854705</v>
      </c>
      <c r="AO153" s="286"/>
      <c r="AP153" s="174">
        <f t="shared" si="64"/>
        <v>-535.5</v>
      </c>
      <c r="AQ153" s="288"/>
      <c r="AR153" s="288">
        <f t="shared" si="55"/>
        <v>326.55452901143133</v>
      </c>
      <c r="AS153" s="289">
        <f t="shared" si="66"/>
        <v>-146.50336262854705</v>
      </c>
      <c r="AT153" s="289"/>
      <c r="AU153" s="289">
        <f t="shared" si="65"/>
        <v>146.50336262854705</v>
      </c>
      <c r="AV153" s="291">
        <f t="shared" si="56"/>
        <v>-295.25666016611689</v>
      </c>
      <c r="AW153" s="291">
        <f t="shared" si="57"/>
        <v>-240.24333983388314</v>
      </c>
      <c r="AX153" s="292">
        <f t="shared" si="58"/>
        <v>-39.287852113051827</v>
      </c>
      <c r="AY153" s="292">
        <f t="shared" si="59"/>
        <v>-41.624462958742271</v>
      </c>
      <c r="AZ153" s="294">
        <f t="shared" si="60"/>
        <v>39.287852113051827</v>
      </c>
      <c r="BA153" s="294">
        <f t="shared" si="60"/>
        <v>41.624462958742271</v>
      </c>
      <c r="BB153">
        <f t="shared" si="61"/>
        <v>0.3</v>
      </c>
      <c r="BF153" s="27"/>
      <c r="BG153" s="27"/>
      <c r="BH153" s="27"/>
      <c r="BI153" s="27"/>
      <c r="BJ153" s="27"/>
      <c r="BK153" s="42"/>
      <c r="BM153" s="1754"/>
      <c r="BN153" s="1754"/>
      <c r="BO153" s="1754"/>
    </row>
    <row r="154" spans="2:133" ht="21" customHeight="1" thickBot="1" x14ac:dyDescent="0.5">
      <c r="B154" s="88">
        <v>24</v>
      </c>
      <c r="C154" s="20"/>
      <c r="D154" s="738">
        <v>0</v>
      </c>
      <c r="E154" s="333" t="s">
        <v>72</v>
      </c>
      <c r="F154" s="81">
        <f t="shared" si="44"/>
        <v>0.3</v>
      </c>
      <c r="G154" s="81">
        <f t="shared" si="45"/>
        <v>0.3</v>
      </c>
      <c r="H154" s="299">
        <v>190.76</v>
      </c>
      <c r="I154" s="318">
        <v>79.651040199999997</v>
      </c>
      <c r="J154" s="251">
        <f t="shared" si="46"/>
        <v>79.651040199999997</v>
      </c>
      <c r="K154" s="251">
        <f t="shared" si="47"/>
        <v>39.825520099999999</v>
      </c>
      <c r="L154" s="251">
        <f t="shared" si="36"/>
        <v>0.64045183696587837</v>
      </c>
      <c r="M154" s="251">
        <f t="shared" si="37"/>
        <v>122.17259241961095</v>
      </c>
      <c r="N154" s="251">
        <f t="shared" si="38"/>
        <v>244.3451848392219</v>
      </c>
      <c r="O154" s="251">
        <f>+SUM(D132:D153)+(D154/2)+C131</f>
        <v>0</v>
      </c>
      <c r="P154" s="251">
        <f t="shared" si="39"/>
        <v>0</v>
      </c>
      <c r="Q154" s="251">
        <f t="shared" si="40"/>
        <v>0</v>
      </c>
      <c r="R154" s="251">
        <f t="shared" si="48"/>
        <v>146.5</v>
      </c>
      <c r="S154" s="251">
        <f t="shared" si="62"/>
        <v>146.5</v>
      </c>
      <c r="T154" s="252">
        <f t="shared" si="41"/>
        <v>146.5</v>
      </c>
      <c r="V154" s="282">
        <f t="shared" si="42"/>
        <v>0</v>
      </c>
      <c r="W154" s="282"/>
      <c r="X154" s="282"/>
      <c r="Y154" s="282"/>
      <c r="Z154" s="282"/>
      <c r="AA154" s="282"/>
      <c r="AB154" s="300" t="str">
        <f t="shared" si="49"/>
        <v>pin in groundstacking hole</v>
      </c>
      <c r="AC154" s="451"/>
      <c r="AD154" s="451"/>
      <c r="AE154" s="451"/>
      <c r="AF154" s="282">
        <f t="shared" si="63"/>
        <v>0</v>
      </c>
      <c r="AG154" s="301">
        <f>SUM(D132:D154)+$C$131</f>
        <v>0</v>
      </c>
      <c r="AH154" s="301"/>
      <c r="AI154" s="173">
        <f t="shared" si="50"/>
        <v>69.344714800000006</v>
      </c>
      <c r="AJ154" s="284">
        <f t="shared" si="43"/>
        <v>0.93571960494171247</v>
      </c>
      <c r="AK154" s="174">
        <f t="shared" si="51"/>
        <v>180.0511663828843</v>
      </c>
      <c r="AL154" s="173">
        <f t="shared" si="52"/>
        <v>50.174479900000001</v>
      </c>
      <c r="AM154" s="285">
        <f t="shared" si="53"/>
        <v>0.76799833627881664</v>
      </c>
      <c r="AN154" s="174">
        <f t="shared" si="54"/>
        <v>146.50336262854705</v>
      </c>
      <c r="AO154" s="302"/>
      <c r="AP154" s="174">
        <f t="shared" si="64"/>
        <v>-561</v>
      </c>
      <c r="AQ154" s="288"/>
      <c r="AR154" s="288">
        <f t="shared" si="55"/>
        <v>326.55452901143133</v>
      </c>
      <c r="AS154" s="289">
        <f t="shared" si="66"/>
        <v>-146.50336262854705</v>
      </c>
      <c r="AT154" s="289"/>
      <c r="AU154" s="289">
        <f t="shared" si="65"/>
        <v>146.50336262854705</v>
      </c>
      <c r="AV154" s="291">
        <f t="shared" si="56"/>
        <v>-309.31650112640813</v>
      </c>
      <c r="AW154" s="291">
        <f t="shared" si="57"/>
        <v>-251.68349887359184</v>
      </c>
      <c r="AX154" s="292">
        <f t="shared" si="58"/>
        <v>-37.502040653367658</v>
      </c>
      <c r="AY154" s="292">
        <f t="shared" si="59"/>
        <v>-39.732441915163079</v>
      </c>
      <c r="AZ154" s="294">
        <f t="shared" si="60"/>
        <v>37.502040653367658</v>
      </c>
      <c r="BA154" s="294">
        <f t="shared" si="60"/>
        <v>39.732441915163079</v>
      </c>
      <c r="BB154">
        <f t="shared" si="61"/>
        <v>0.3</v>
      </c>
      <c r="BF154" s="27"/>
      <c r="BG154" s="27"/>
      <c r="BH154" s="27"/>
      <c r="BI154" s="27"/>
      <c r="BJ154" s="27"/>
      <c r="BK154" s="42"/>
      <c r="BM154" s="1754"/>
      <c r="BN154" s="1754"/>
      <c r="BO154" s="1754"/>
    </row>
    <row r="155" spans="2:133" ht="21" customHeight="1" x14ac:dyDescent="0.45">
      <c r="BF155" s="27"/>
      <c r="BG155" s="27"/>
      <c r="BH155" s="27"/>
      <c r="BI155" s="27"/>
      <c r="BJ155" s="27"/>
      <c r="BK155" s="42"/>
      <c r="BM155" s="1754"/>
      <c r="BN155" s="1754"/>
      <c r="BO155" s="1754"/>
      <c r="DE155" s="14"/>
    </row>
    <row r="156" spans="2:133" ht="19.2" x14ac:dyDescent="0.45">
      <c r="BF156" s="27"/>
      <c r="BG156" s="27"/>
      <c r="BH156" s="27"/>
      <c r="BI156" s="27"/>
      <c r="BJ156" s="27"/>
      <c r="BK156" s="42"/>
      <c r="BM156" s="1754"/>
      <c r="BN156" s="1754"/>
      <c r="BO156" s="1754"/>
      <c r="DE156" s="14"/>
    </row>
    <row r="157" spans="2:133" x14ac:dyDescent="0.3">
      <c r="BF157" s="27"/>
      <c r="BG157" s="27"/>
      <c r="BH157" s="27"/>
      <c r="BI157" s="27"/>
      <c r="BJ157" s="27"/>
      <c r="DE157" s="14"/>
    </row>
    <row r="158" spans="2:133" hidden="1" x14ac:dyDescent="0.3">
      <c r="BF158" s="35"/>
      <c r="BG158" s="35"/>
      <c r="BH158" s="35"/>
      <c r="BI158" s="35"/>
      <c r="BJ158" s="35"/>
      <c r="DE158" s="14"/>
    </row>
    <row r="159" spans="2:133" hidden="1" x14ac:dyDescent="0.3">
      <c r="BF159" s="33"/>
      <c r="BG159" s="33"/>
      <c r="BH159" s="33"/>
      <c r="BI159" s="33"/>
      <c r="BJ159" s="33"/>
      <c r="DE159" s="14"/>
    </row>
    <row r="160" spans="2:133" hidden="1" x14ac:dyDescent="0.3">
      <c r="BF160" s="33"/>
      <c r="BG160" s="33"/>
      <c r="BH160" s="33"/>
      <c r="BI160" s="33"/>
      <c r="BJ160" s="33"/>
      <c r="DE160" s="14"/>
    </row>
    <row r="161" spans="58:109" hidden="1" x14ac:dyDescent="0.3">
      <c r="DE161" s="14"/>
    </row>
    <row r="162" spans="58:109" hidden="1" x14ac:dyDescent="0.3">
      <c r="BF162" s="39"/>
    </row>
    <row r="163" spans="58:109" hidden="1" x14ac:dyDescent="0.3"/>
    <row r="164" spans="58:109" hidden="1" x14ac:dyDescent="0.3">
      <c r="BK164" s="1623"/>
      <c r="BL164" s="1623"/>
      <c r="BM164" s="1756" t="s">
        <v>235</v>
      </c>
      <c r="BN164" s="1623"/>
      <c r="BO164" s="1623"/>
      <c r="BP164" s="1623"/>
      <c r="BQ164" s="1623"/>
      <c r="BR164" s="1623"/>
    </row>
    <row r="165" spans="58:109" ht="19.2" hidden="1" x14ac:dyDescent="0.45">
      <c r="BK165" s="1757">
        <v>1</v>
      </c>
      <c r="BL165" s="1758">
        <v>-473</v>
      </c>
      <c r="BM165" s="1759">
        <f>+COS(($B$104*-1)*3.14159265358979/180)*BL165</f>
        <v>-473</v>
      </c>
      <c r="BN165" s="1760">
        <f t="shared" ref="BN165:BN201" si="67">+BM165-D$3</f>
        <v>-632.74659790113878</v>
      </c>
      <c r="BO165" s="1761">
        <f t="shared" ref="BO165:BO201" si="68">ABS(BN165)</f>
        <v>632.74659790113878</v>
      </c>
      <c r="BP165" s="1762">
        <f>MIN(BO165:BO201)</f>
        <v>12.253402098861272</v>
      </c>
      <c r="BQ165" s="1761" t="b">
        <f>IF(BP165=BO165,BK165)</f>
        <v>0</v>
      </c>
      <c r="BR165" s="1763">
        <v>1</v>
      </c>
    </row>
    <row r="166" spans="58:109" ht="19.2" hidden="1" x14ac:dyDescent="0.45">
      <c r="BK166" s="1757">
        <v>2</v>
      </c>
      <c r="BL166" s="1758">
        <f>+BL165+43</f>
        <v>-430</v>
      </c>
      <c r="BM166" s="1764">
        <f>+BM165+$E$2</f>
        <v>-430</v>
      </c>
      <c r="BN166" s="1760">
        <f t="shared" si="67"/>
        <v>-589.74659790113878</v>
      </c>
      <c r="BO166" s="1761">
        <f t="shared" si="68"/>
        <v>589.74659790113878</v>
      </c>
      <c r="BP166" s="1761">
        <f>+BP165</f>
        <v>12.253402098861272</v>
      </c>
      <c r="BQ166" s="1761" t="b">
        <f t="shared" ref="BQ166:BQ201" si="69">IF(BP166=BO166,BK166)</f>
        <v>0</v>
      </c>
      <c r="BR166" s="1763">
        <v>2</v>
      </c>
    </row>
    <row r="167" spans="58:109" ht="19.2" hidden="1" x14ac:dyDescent="0.45">
      <c r="BK167" s="1757">
        <v>3</v>
      </c>
      <c r="BL167" s="1758">
        <f t="shared" ref="BL167:BL201" si="70">+BL166+43</f>
        <v>-387</v>
      </c>
      <c r="BM167" s="1764">
        <f t="shared" ref="BM167:BM201" si="71">+BM166+$E$2</f>
        <v>-387</v>
      </c>
      <c r="BN167" s="1760">
        <f t="shared" si="67"/>
        <v>-546.74659790113878</v>
      </c>
      <c r="BO167" s="1761">
        <f t="shared" si="68"/>
        <v>546.74659790113878</v>
      </c>
      <c r="BP167" s="1761">
        <f t="shared" ref="BP167:BP201" si="72">+BP166</f>
        <v>12.253402098861272</v>
      </c>
      <c r="BQ167" s="1761" t="b">
        <f t="shared" si="69"/>
        <v>0</v>
      </c>
      <c r="BR167" s="1763">
        <v>3</v>
      </c>
    </row>
    <row r="168" spans="58:109" ht="19.2" hidden="1" x14ac:dyDescent="0.45">
      <c r="BK168" s="1757">
        <v>4</v>
      </c>
      <c r="BL168" s="1758">
        <f t="shared" si="70"/>
        <v>-344</v>
      </c>
      <c r="BM168" s="1764">
        <f t="shared" si="71"/>
        <v>-344</v>
      </c>
      <c r="BN168" s="1760">
        <f t="shared" si="67"/>
        <v>-503.74659790113873</v>
      </c>
      <c r="BO168" s="1761">
        <f t="shared" si="68"/>
        <v>503.74659790113873</v>
      </c>
      <c r="BP168" s="1761">
        <f t="shared" si="72"/>
        <v>12.253402098861272</v>
      </c>
      <c r="BQ168" s="1761" t="b">
        <f t="shared" si="69"/>
        <v>0</v>
      </c>
      <c r="BR168" s="1763">
        <v>4</v>
      </c>
    </row>
    <row r="169" spans="58:109" ht="19.2" hidden="1" x14ac:dyDescent="0.45">
      <c r="BK169" s="1757">
        <v>5</v>
      </c>
      <c r="BL169" s="1758">
        <f t="shared" si="70"/>
        <v>-301</v>
      </c>
      <c r="BM169" s="1764">
        <f t="shared" si="71"/>
        <v>-301</v>
      </c>
      <c r="BN169" s="1760">
        <f t="shared" si="67"/>
        <v>-460.74659790113873</v>
      </c>
      <c r="BO169" s="1761">
        <f t="shared" si="68"/>
        <v>460.74659790113873</v>
      </c>
      <c r="BP169" s="1761">
        <f t="shared" si="72"/>
        <v>12.253402098861272</v>
      </c>
      <c r="BQ169" s="1761" t="b">
        <f t="shared" si="69"/>
        <v>0</v>
      </c>
      <c r="BR169" s="1763">
        <v>5</v>
      </c>
    </row>
    <row r="170" spans="58:109" ht="19.2" hidden="1" x14ac:dyDescent="0.45">
      <c r="BK170" s="1757">
        <v>6</v>
      </c>
      <c r="BL170" s="1758">
        <f t="shared" si="70"/>
        <v>-258</v>
      </c>
      <c r="BM170" s="1764">
        <f t="shared" si="71"/>
        <v>-258</v>
      </c>
      <c r="BN170" s="1760">
        <f t="shared" si="67"/>
        <v>-417.74659790113873</v>
      </c>
      <c r="BO170" s="1761">
        <f t="shared" si="68"/>
        <v>417.74659790113873</v>
      </c>
      <c r="BP170" s="1761">
        <f t="shared" si="72"/>
        <v>12.253402098861272</v>
      </c>
      <c r="BQ170" s="1761" t="b">
        <f t="shared" si="69"/>
        <v>0</v>
      </c>
      <c r="BR170" s="1763">
        <v>6</v>
      </c>
    </row>
    <row r="171" spans="58:109" ht="19.2" hidden="1" x14ac:dyDescent="0.45">
      <c r="BK171" s="1757">
        <v>7</v>
      </c>
      <c r="BL171" s="1758">
        <f t="shared" si="70"/>
        <v>-215</v>
      </c>
      <c r="BM171" s="1764">
        <f t="shared" si="71"/>
        <v>-215</v>
      </c>
      <c r="BN171" s="1760">
        <f t="shared" si="67"/>
        <v>-374.74659790113873</v>
      </c>
      <c r="BO171" s="1761">
        <f t="shared" si="68"/>
        <v>374.74659790113873</v>
      </c>
      <c r="BP171" s="1761">
        <f t="shared" si="72"/>
        <v>12.253402098861272</v>
      </c>
      <c r="BQ171" s="1761" t="b">
        <f t="shared" si="69"/>
        <v>0</v>
      </c>
      <c r="BR171" s="1763">
        <v>7</v>
      </c>
    </row>
    <row r="172" spans="58:109" ht="19.2" hidden="1" x14ac:dyDescent="0.45">
      <c r="BK172" s="1757">
        <v>8</v>
      </c>
      <c r="BL172" s="1758">
        <f t="shared" si="70"/>
        <v>-172</v>
      </c>
      <c r="BM172" s="1764">
        <f t="shared" si="71"/>
        <v>-172</v>
      </c>
      <c r="BN172" s="1760">
        <f t="shared" si="67"/>
        <v>-331.74659790113873</v>
      </c>
      <c r="BO172" s="1761">
        <f t="shared" si="68"/>
        <v>331.74659790113873</v>
      </c>
      <c r="BP172" s="1761">
        <f t="shared" si="72"/>
        <v>12.253402098861272</v>
      </c>
      <c r="BQ172" s="1761" t="b">
        <f t="shared" si="69"/>
        <v>0</v>
      </c>
      <c r="BR172" s="1763">
        <v>8</v>
      </c>
    </row>
    <row r="173" spans="58:109" ht="19.2" hidden="1" x14ac:dyDescent="0.45">
      <c r="BK173" s="1757">
        <v>9</v>
      </c>
      <c r="BL173" s="1758">
        <f t="shared" si="70"/>
        <v>-129</v>
      </c>
      <c r="BM173" s="1764">
        <f t="shared" si="71"/>
        <v>-129</v>
      </c>
      <c r="BN173" s="1760">
        <f t="shared" si="67"/>
        <v>-288.74659790113873</v>
      </c>
      <c r="BO173" s="1761">
        <f t="shared" si="68"/>
        <v>288.74659790113873</v>
      </c>
      <c r="BP173" s="1761">
        <f t="shared" si="72"/>
        <v>12.253402098861272</v>
      </c>
      <c r="BQ173" s="1761" t="b">
        <f t="shared" si="69"/>
        <v>0</v>
      </c>
      <c r="BR173" s="1763">
        <v>9</v>
      </c>
    </row>
    <row r="174" spans="58:109" ht="19.2" hidden="1" x14ac:dyDescent="0.45">
      <c r="BK174" s="1757">
        <v>10</v>
      </c>
      <c r="BL174" s="1758">
        <f t="shared" si="70"/>
        <v>-86</v>
      </c>
      <c r="BM174" s="1764">
        <f t="shared" si="71"/>
        <v>-86</v>
      </c>
      <c r="BN174" s="1760">
        <f t="shared" si="67"/>
        <v>-245.74659790113873</v>
      </c>
      <c r="BO174" s="1761">
        <f t="shared" si="68"/>
        <v>245.74659790113873</v>
      </c>
      <c r="BP174" s="1761">
        <f t="shared" si="72"/>
        <v>12.253402098861272</v>
      </c>
      <c r="BQ174" s="1761" t="b">
        <f t="shared" si="69"/>
        <v>0</v>
      </c>
      <c r="BR174" s="1763">
        <v>10</v>
      </c>
    </row>
    <row r="175" spans="58:109" ht="19.2" hidden="1" x14ac:dyDescent="0.45">
      <c r="BK175" s="1757">
        <v>11</v>
      </c>
      <c r="BL175" s="1758">
        <f t="shared" si="70"/>
        <v>-43</v>
      </c>
      <c r="BM175" s="1764">
        <f t="shared" si="71"/>
        <v>-43</v>
      </c>
      <c r="BN175" s="1760">
        <f t="shared" si="67"/>
        <v>-202.74659790113873</v>
      </c>
      <c r="BO175" s="1761">
        <f t="shared" si="68"/>
        <v>202.74659790113873</v>
      </c>
      <c r="BP175" s="1761">
        <f t="shared" si="72"/>
        <v>12.253402098861272</v>
      </c>
      <c r="BQ175" s="1761" t="b">
        <f t="shared" si="69"/>
        <v>0</v>
      </c>
      <c r="BR175" s="1763">
        <v>11</v>
      </c>
    </row>
    <row r="176" spans="58:109" ht="19.2" hidden="1" x14ac:dyDescent="0.45">
      <c r="BK176" s="1757">
        <v>12</v>
      </c>
      <c r="BL176" s="1758">
        <f t="shared" si="70"/>
        <v>0</v>
      </c>
      <c r="BM176" s="1764">
        <f t="shared" si="71"/>
        <v>0</v>
      </c>
      <c r="BN176" s="1760">
        <f t="shared" si="67"/>
        <v>-159.74659790113873</v>
      </c>
      <c r="BO176" s="1761">
        <f t="shared" si="68"/>
        <v>159.74659790113873</v>
      </c>
      <c r="BP176" s="1761">
        <f t="shared" si="72"/>
        <v>12.253402098861272</v>
      </c>
      <c r="BQ176" s="1761" t="b">
        <f t="shared" si="69"/>
        <v>0</v>
      </c>
      <c r="BR176" s="1763">
        <v>12</v>
      </c>
    </row>
    <row r="177" spans="63:93" ht="19.2" hidden="1" x14ac:dyDescent="0.45">
      <c r="BK177" s="1757">
        <v>13</v>
      </c>
      <c r="BL177" s="1758">
        <f t="shared" si="70"/>
        <v>43</v>
      </c>
      <c r="BM177" s="1764">
        <f t="shared" si="71"/>
        <v>43</v>
      </c>
      <c r="BN177" s="1760">
        <f t="shared" si="67"/>
        <v>-116.74659790113873</v>
      </c>
      <c r="BO177" s="1761">
        <f t="shared" si="68"/>
        <v>116.74659790113873</v>
      </c>
      <c r="BP177" s="1761">
        <f t="shared" si="72"/>
        <v>12.253402098861272</v>
      </c>
      <c r="BQ177" s="1761" t="b">
        <f t="shared" si="69"/>
        <v>0</v>
      </c>
      <c r="BR177" s="1763">
        <v>13</v>
      </c>
    </row>
    <row r="178" spans="63:93" ht="19.2" hidden="1" x14ac:dyDescent="0.45">
      <c r="BK178" s="1757">
        <v>14</v>
      </c>
      <c r="BL178" s="1758">
        <f t="shared" si="70"/>
        <v>86</v>
      </c>
      <c r="BM178" s="1764">
        <f t="shared" si="71"/>
        <v>86</v>
      </c>
      <c r="BN178" s="1760">
        <f t="shared" si="67"/>
        <v>-73.746597901138728</v>
      </c>
      <c r="BO178" s="1761">
        <f t="shared" si="68"/>
        <v>73.746597901138728</v>
      </c>
      <c r="BP178" s="1761">
        <f t="shared" si="72"/>
        <v>12.253402098861272</v>
      </c>
      <c r="BQ178" s="1761" t="b">
        <f t="shared" si="69"/>
        <v>0</v>
      </c>
      <c r="BR178" s="1763">
        <v>14</v>
      </c>
    </row>
    <row r="179" spans="63:93" ht="19.2" hidden="1" x14ac:dyDescent="0.45">
      <c r="BK179" s="1757">
        <v>15</v>
      </c>
      <c r="BL179" s="1758">
        <f t="shared" si="70"/>
        <v>129</v>
      </c>
      <c r="BM179" s="1764">
        <f t="shared" si="71"/>
        <v>129</v>
      </c>
      <c r="BN179" s="1760">
        <f t="shared" si="67"/>
        <v>-30.746597901138728</v>
      </c>
      <c r="BO179" s="1761">
        <f t="shared" si="68"/>
        <v>30.746597901138728</v>
      </c>
      <c r="BP179" s="1761">
        <f t="shared" si="72"/>
        <v>12.253402098861272</v>
      </c>
      <c r="BQ179" s="1761" t="b">
        <f t="shared" si="69"/>
        <v>0</v>
      </c>
      <c r="BR179" s="1763">
        <v>15</v>
      </c>
    </row>
    <row r="180" spans="63:93" ht="19.2" hidden="1" x14ac:dyDescent="0.45">
      <c r="BK180" s="1757">
        <v>16</v>
      </c>
      <c r="BL180" s="1758">
        <f t="shared" si="70"/>
        <v>172</v>
      </c>
      <c r="BM180" s="1764">
        <f t="shared" si="71"/>
        <v>172</v>
      </c>
      <c r="BN180" s="1760">
        <f t="shared" si="67"/>
        <v>12.253402098861272</v>
      </c>
      <c r="BO180" s="1761">
        <f t="shared" si="68"/>
        <v>12.253402098861272</v>
      </c>
      <c r="BP180" s="1761">
        <f t="shared" si="72"/>
        <v>12.253402098861272</v>
      </c>
      <c r="BQ180" s="1761">
        <f t="shared" si="69"/>
        <v>16</v>
      </c>
      <c r="BR180" s="1763">
        <v>16</v>
      </c>
    </row>
    <row r="181" spans="63:93" ht="19.2" hidden="1" x14ac:dyDescent="0.45">
      <c r="BK181" s="1757">
        <v>17</v>
      </c>
      <c r="BL181" s="1758">
        <f t="shared" si="70"/>
        <v>215</v>
      </c>
      <c r="BM181" s="1764">
        <f t="shared" si="71"/>
        <v>215</v>
      </c>
      <c r="BN181" s="1760">
        <f t="shared" si="67"/>
        <v>55.253402098861272</v>
      </c>
      <c r="BO181" s="1761">
        <f t="shared" si="68"/>
        <v>55.253402098861272</v>
      </c>
      <c r="BP181" s="1761">
        <f t="shared" si="72"/>
        <v>12.253402098861272</v>
      </c>
      <c r="BQ181" s="1761" t="b">
        <f t="shared" si="69"/>
        <v>0</v>
      </c>
      <c r="BR181" s="1763">
        <v>17</v>
      </c>
    </row>
    <row r="182" spans="63:93" ht="19.2" hidden="1" x14ac:dyDescent="0.45">
      <c r="BK182" s="1757">
        <v>18</v>
      </c>
      <c r="BL182" s="1758">
        <f t="shared" si="70"/>
        <v>258</v>
      </c>
      <c r="BM182" s="1764">
        <f t="shared" si="71"/>
        <v>258</v>
      </c>
      <c r="BN182" s="1760">
        <f t="shared" si="67"/>
        <v>98.253402098861272</v>
      </c>
      <c r="BO182" s="1761">
        <f t="shared" si="68"/>
        <v>98.253402098861272</v>
      </c>
      <c r="BP182" s="1761">
        <f t="shared" si="72"/>
        <v>12.253402098861272</v>
      </c>
      <c r="BQ182" s="1761" t="b">
        <f t="shared" si="69"/>
        <v>0</v>
      </c>
      <c r="BR182" s="1763">
        <v>18</v>
      </c>
      <c r="BS182" s="1765"/>
      <c r="BT182" s="1765"/>
      <c r="BU182" s="1765"/>
      <c r="BV182" s="2010"/>
      <c r="BW182" s="2010"/>
      <c r="BX182" s="2010"/>
      <c r="BY182" s="1748"/>
      <c r="BZ182" s="1750"/>
      <c r="CA182" s="1750"/>
      <c r="CB182" s="1750"/>
      <c r="CC182" s="1750"/>
      <c r="CD182" s="1750"/>
      <c r="CE182" s="1750"/>
      <c r="CF182" s="1750"/>
      <c r="CG182" s="1750"/>
      <c r="CH182" s="1750"/>
      <c r="CI182" s="1750"/>
      <c r="CJ182" s="1750"/>
      <c r="CK182" s="1750"/>
      <c r="CL182" s="1750"/>
      <c r="CM182" s="1750"/>
      <c r="CN182" s="1750"/>
      <c r="CO182" s="1750"/>
    </row>
    <row r="183" spans="63:93" ht="19.2" hidden="1" x14ac:dyDescent="0.45">
      <c r="BK183" s="1757">
        <v>19</v>
      </c>
      <c r="BL183" s="1758">
        <f t="shared" si="70"/>
        <v>301</v>
      </c>
      <c r="BM183" s="1764">
        <f t="shared" si="71"/>
        <v>301</v>
      </c>
      <c r="BN183" s="1760">
        <f t="shared" si="67"/>
        <v>141.25340209886127</v>
      </c>
      <c r="BO183" s="1761">
        <f t="shared" si="68"/>
        <v>141.25340209886127</v>
      </c>
      <c r="BP183" s="1761">
        <f t="shared" si="72"/>
        <v>12.253402098861272</v>
      </c>
      <c r="BQ183" s="1761" t="b">
        <f t="shared" si="69"/>
        <v>0</v>
      </c>
      <c r="BR183" s="1763">
        <v>19</v>
      </c>
      <c r="BS183" s="1750"/>
      <c r="BT183" s="1750"/>
      <c r="BU183" s="1750"/>
      <c r="BV183" s="1766"/>
      <c r="BW183" s="1750"/>
      <c r="BX183" s="1750"/>
      <c r="BY183" s="1750"/>
      <c r="BZ183" s="1750"/>
      <c r="CA183" s="1750"/>
      <c r="CB183" s="1750"/>
      <c r="CC183" s="1750"/>
      <c r="CD183" s="1750"/>
      <c r="CE183" s="1750"/>
      <c r="CF183" s="1750"/>
      <c r="CG183" s="1750"/>
      <c r="CH183" s="1750"/>
      <c r="CI183" s="1766"/>
      <c r="CJ183" s="1750"/>
      <c r="CK183" s="1750"/>
      <c r="CL183" s="1750"/>
      <c r="CM183" s="1750"/>
      <c r="CN183" s="1750"/>
      <c r="CO183" s="1750"/>
    </row>
    <row r="184" spans="63:93" ht="19.2" hidden="1" x14ac:dyDescent="0.45">
      <c r="BK184" s="1757">
        <v>20</v>
      </c>
      <c r="BL184" s="1758">
        <f t="shared" si="70"/>
        <v>344</v>
      </c>
      <c r="BM184" s="1764">
        <f t="shared" si="71"/>
        <v>344</v>
      </c>
      <c r="BN184" s="1760">
        <f t="shared" si="67"/>
        <v>184.25340209886127</v>
      </c>
      <c r="BO184" s="1761">
        <f t="shared" si="68"/>
        <v>184.25340209886127</v>
      </c>
      <c r="BP184" s="1761">
        <f t="shared" si="72"/>
        <v>12.253402098861272</v>
      </c>
      <c r="BQ184" s="1761" t="b">
        <f t="shared" si="69"/>
        <v>0</v>
      </c>
      <c r="BR184" s="1763">
        <v>20</v>
      </c>
      <c r="BS184" s="1767"/>
      <c r="BT184" s="1767"/>
      <c r="BU184" s="1767"/>
      <c r="BV184" s="2011"/>
      <c r="BW184" s="2011"/>
      <c r="BX184" s="1750"/>
      <c r="BY184" s="1750"/>
      <c r="BZ184" s="1750"/>
      <c r="CA184" s="1750"/>
      <c r="CB184" s="1750"/>
      <c r="CC184" s="1750"/>
      <c r="CD184" s="1750"/>
      <c r="CE184" s="1750"/>
      <c r="CF184" s="1750"/>
      <c r="CG184" s="1750"/>
      <c r="CH184" s="2012"/>
      <c r="CI184" s="2012"/>
      <c r="CJ184" s="1750"/>
      <c r="CK184" s="1750"/>
      <c r="CL184" s="1750"/>
      <c r="CM184" s="1750"/>
      <c r="CN184" s="1750"/>
      <c r="CO184" s="1750"/>
    </row>
    <row r="185" spans="63:93" ht="19.2" hidden="1" x14ac:dyDescent="0.45">
      <c r="BK185" s="1757">
        <v>21</v>
      </c>
      <c r="BL185" s="1758">
        <f t="shared" si="70"/>
        <v>387</v>
      </c>
      <c r="BM185" s="1764">
        <f t="shared" si="71"/>
        <v>387</v>
      </c>
      <c r="BN185" s="1760">
        <f t="shared" si="67"/>
        <v>227.25340209886127</v>
      </c>
      <c r="BO185" s="1761">
        <f t="shared" si="68"/>
        <v>227.25340209886127</v>
      </c>
      <c r="BP185" s="1761">
        <f t="shared" si="72"/>
        <v>12.253402098861272</v>
      </c>
      <c r="BQ185" s="1761" t="b">
        <f t="shared" si="69"/>
        <v>0</v>
      </c>
      <c r="BR185" s="1763">
        <v>21</v>
      </c>
      <c r="BS185" s="1750"/>
      <c r="BT185" s="1750"/>
      <c r="BU185" s="1750"/>
      <c r="BV185" s="1750"/>
      <c r="BW185" s="1750"/>
      <c r="BX185" s="1750"/>
      <c r="BY185" s="1750"/>
      <c r="BZ185" s="1750"/>
      <c r="CA185" s="1750"/>
      <c r="CB185" s="1750"/>
      <c r="CC185" s="1750"/>
      <c r="CD185" s="1750"/>
      <c r="CE185" s="1750"/>
      <c r="CF185" s="1750"/>
      <c r="CG185" s="1750"/>
      <c r="CH185" s="1750"/>
      <c r="CI185" s="1750"/>
      <c r="CJ185" s="1750"/>
      <c r="CK185" s="1750"/>
      <c r="CL185" s="1750"/>
      <c r="CM185" s="1750"/>
      <c r="CN185" s="1750"/>
      <c r="CO185" s="1750"/>
    </row>
    <row r="186" spans="63:93" ht="19.2" hidden="1" x14ac:dyDescent="0.45">
      <c r="BK186" s="1757">
        <v>22</v>
      </c>
      <c r="BL186" s="1758">
        <f t="shared" si="70"/>
        <v>430</v>
      </c>
      <c r="BM186" s="1764">
        <f t="shared" si="71"/>
        <v>430</v>
      </c>
      <c r="BN186" s="1760">
        <f t="shared" si="67"/>
        <v>270.25340209886127</v>
      </c>
      <c r="BO186" s="1761">
        <f t="shared" si="68"/>
        <v>270.25340209886127</v>
      </c>
      <c r="BP186" s="1761">
        <f t="shared" si="72"/>
        <v>12.253402098861272</v>
      </c>
      <c r="BQ186" s="1761" t="b">
        <f t="shared" si="69"/>
        <v>0</v>
      </c>
      <c r="BR186" s="1763">
        <v>22</v>
      </c>
      <c r="BS186" s="1750"/>
      <c r="BT186" s="1750"/>
      <c r="BU186" s="1750"/>
      <c r="BV186" s="1750"/>
      <c r="BW186" s="1750"/>
      <c r="BX186" s="1750"/>
      <c r="BY186" s="1750"/>
      <c r="BZ186" s="1750"/>
      <c r="CA186" s="1750"/>
      <c r="CB186" s="1750"/>
      <c r="CC186" s="1750"/>
      <c r="CD186" s="1750"/>
      <c r="CE186" s="1750"/>
      <c r="CF186" s="1750"/>
      <c r="CG186" s="1750"/>
      <c r="CH186" s="1750"/>
      <c r="CI186" s="1750"/>
      <c r="CJ186" s="1750"/>
      <c r="CK186" s="1750"/>
      <c r="CL186" s="1750"/>
      <c r="CM186" s="1750"/>
      <c r="CN186" s="1750"/>
      <c r="CO186" s="1750"/>
    </row>
    <row r="187" spans="63:93" ht="19.2" hidden="1" x14ac:dyDescent="0.45">
      <c r="BK187" s="1757">
        <v>23</v>
      </c>
      <c r="BL187" s="1758">
        <f t="shared" si="70"/>
        <v>473</v>
      </c>
      <c r="BM187" s="1764">
        <f t="shared" si="71"/>
        <v>473</v>
      </c>
      <c r="BN187" s="1760">
        <f t="shared" si="67"/>
        <v>313.25340209886127</v>
      </c>
      <c r="BO187" s="1761">
        <f t="shared" si="68"/>
        <v>313.25340209886127</v>
      </c>
      <c r="BP187" s="1761">
        <f t="shared" si="72"/>
        <v>12.253402098861272</v>
      </c>
      <c r="BQ187" s="1761" t="b">
        <f t="shared" si="69"/>
        <v>0</v>
      </c>
      <c r="BR187" s="1763">
        <v>23</v>
      </c>
      <c r="BS187" s="1750"/>
      <c r="BT187" s="1750"/>
      <c r="BU187" s="1750"/>
      <c r="BV187" s="1750"/>
      <c r="BW187" s="1750"/>
      <c r="BX187" s="1750"/>
      <c r="BY187" s="1750"/>
      <c r="BZ187" s="1750"/>
      <c r="CA187" s="1750"/>
      <c r="CB187" s="1750"/>
      <c r="CC187" s="1750"/>
      <c r="CD187" s="1750"/>
      <c r="CE187" s="1750"/>
      <c r="CF187" s="1750"/>
      <c r="CG187" s="1750"/>
      <c r="CH187" s="1750"/>
      <c r="CI187" s="1750"/>
      <c r="CJ187" s="1750"/>
      <c r="CK187" s="1750"/>
      <c r="CL187" s="1750"/>
      <c r="CM187" s="1750"/>
      <c r="CN187" s="1750"/>
      <c r="CO187" s="1750"/>
    </row>
    <row r="188" spans="63:93" ht="19.2" hidden="1" x14ac:dyDescent="0.45">
      <c r="BK188" s="1757">
        <v>24</v>
      </c>
      <c r="BL188" s="1758">
        <f t="shared" si="70"/>
        <v>516</v>
      </c>
      <c r="BM188" s="1764">
        <f t="shared" si="71"/>
        <v>516</v>
      </c>
      <c r="BN188" s="1760">
        <f t="shared" si="67"/>
        <v>356.25340209886127</v>
      </c>
      <c r="BO188" s="1761">
        <f t="shared" si="68"/>
        <v>356.25340209886127</v>
      </c>
      <c r="BP188" s="1761">
        <f t="shared" si="72"/>
        <v>12.253402098861272</v>
      </c>
      <c r="BQ188" s="1761" t="b">
        <f t="shared" si="69"/>
        <v>0</v>
      </c>
      <c r="BR188" s="1763">
        <v>24</v>
      </c>
      <c r="BS188" s="1750"/>
      <c r="BT188" s="1750"/>
      <c r="BU188" s="1750"/>
      <c r="BV188" s="1750"/>
      <c r="BW188" s="1750"/>
      <c r="BX188" s="1750"/>
      <c r="BY188" s="1750"/>
      <c r="BZ188" s="1750"/>
      <c r="CA188" s="1750"/>
      <c r="CB188" s="1750"/>
      <c r="CC188" s="1750"/>
      <c r="CD188" s="1750"/>
      <c r="CE188" s="1750"/>
      <c r="CF188" s="1750"/>
      <c r="CG188" s="1750"/>
      <c r="CH188" s="1750"/>
      <c r="CI188" s="1750"/>
      <c r="CJ188" s="1750"/>
      <c r="CK188" s="1750"/>
      <c r="CL188" s="1750"/>
      <c r="CM188" s="1750"/>
      <c r="CN188" s="1750"/>
      <c r="CO188" s="1750"/>
    </row>
    <row r="189" spans="63:93" ht="19.2" hidden="1" x14ac:dyDescent="0.45">
      <c r="BK189" s="1757">
        <v>25</v>
      </c>
      <c r="BL189" s="1758">
        <f t="shared" si="70"/>
        <v>559</v>
      </c>
      <c r="BM189" s="1764">
        <f t="shared" si="71"/>
        <v>559</v>
      </c>
      <c r="BN189" s="1760">
        <f t="shared" si="67"/>
        <v>399.25340209886127</v>
      </c>
      <c r="BO189" s="1761">
        <f t="shared" si="68"/>
        <v>399.25340209886127</v>
      </c>
      <c r="BP189" s="1761">
        <f t="shared" si="72"/>
        <v>12.253402098861272</v>
      </c>
      <c r="BQ189" s="1761" t="b">
        <f t="shared" si="69"/>
        <v>0</v>
      </c>
      <c r="BR189" s="1763">
        <v>25</v>
      </c>
      <c r="BS189" s="1750"/>
      <c r="BT189" s="1750"/>
      <c r="BU189" s="1750"/>
      <c r="BV189" s="1750"/>
      <c r="BW189" s="1750"/>
      <c r="BX189" s="1750"/>
      <c r="BY189" s="1750"/>
      <c r="BZ189" s="1750"/>
      <c r="CA189" s="1750"/>
      <c r="CB189" s="1750"/>
      <c r="CC189" s="1750"/>
      <c r="CD189" s="1750"/>
      <c r="CE189" s="1750"/>
      <c r="CF189" s="1750"/>
      <c r="CG189" s="1750"/>
      <c r="CH189" s="1750"/>
      <c r="CI189" s="1750"/>
      <c r="CJ189" s="1750"/>
      <c r="CK189" s="1750"/>
      <c r="CL189" s="1750"/>
      <c r="CM189" s="1750"/>
      <c r="CN189" s="1750"/>
      <c r="CO189" s="1750"/>
    </row>
    <row r="190" spans="63:93" ht="19.2" hidden="1" x14ac:dyDescent="0.45">
      <c r="BK190" s="1757">
        <v>26</v>
      </c>
      <c r="BL190" s="1758">
        <f t="shared" si="70"/>
        <v>602</v>
      </c>
      <c r="BM190" s="1764">
        <f t="shared" si="71"/>
        <v>602</v>
      </c>
      <c r="BN190" s="1760">
        <f t="shared" si="67"/>
        <v>442.25340209886127</v>
      </c>
      <c r="BO190" s="1761">
        <f t="shared" si="68"/>
        <v>442.25340209886127</v>
      </c>
      <c r="BP190" s="1761">
        <f t="shared" si="72"/>
        <v>12.253402098861272</v>
      </c>
      <c r="BQ190" s="1761" t="b">
        <f t="shared" si="69"/>
        <v>0</v>
      </c>
      <c r="BR190" s="1763">
        <v>26</v>
      </c>
      <c r="BS190" s="1750"/>
      <c r="BT190" s="1750"/>
      <c r="BU190" s="1750"/>
      <c r="BV190" s="1750"/>
      <c r="BW190" s="1750"/>
      <c r="BX190" s="1750"/>
      <c r="BY190" s="1750"/>
      <c r="BZ190" s="1750"/>
      <c r="CA190" s="1750"/>
      <c r="CB190" s="1750"/>
      <c r="CC190" s="1750"/>
      <c r="CD190" s="1750"/>
      <c r="CE190" s="1750"/>
      <c r="CF190" s="1750"/>
      <c r="CG190" s="1750"/>
      <c r="CH190" s="1750"/>
      <c r="CI190" s="1750"/>
      <c r="CJ190" s="1750"/>
      <c r="CK190" s="1750"/>
      <c r="CL190" s="1750"/>
      <c r="CM190" s="1750"/>
      <c r="CN190" s="1750"/>
      <c r="CO190" s="1750"/>
    </row>
    <row r="191" spans="63:93" ht="19.2" hidden="1" x14ac:dyDescent="0.45">
      <c r="BK191" s="1757">
        <v>27</v>
      </c>
      <c r="BL191" s="1758">
        <f t="shared" si="70"/>
        <v>645</v>
      </c>
      <c r="BM191" s="1764">
        <f t="shared" si="71"/>
        <v>645</v>
      </c>
      <c r="BN191" s="1760">
        <f t="shared" si="67"/>
        <v>485.25340209886127</v>
      </c>
      <c r="BO191" s="1761">
        <f t="shared" si="68"/>
        <v>485.25340209886127</v>
      </c>
      <c r="BP191" s="1761">
        <f t="shared" si="72"/>
        <v>12.253402098861272</v>
      </c>
      <c r="BQ191" s="1761" t="b">
        <f t="shared" si="69"/>
        <v>0</v>
      </c>
      <c r="BR191" s="1763">
        <v>27</v>
      </c>
      <c r="BS191" s="1750"/>
      <c r="BT191" s="1750"/>
      <c r="BU191" s="1750"/>
      <c r="BV191" s="1750"/>
      <c r="BW191" s="1750"/>
      <c r="BX191" s="1750"/>
      <c r="BY191" s="1750"/>
      <c r="BZ191" s="1750"/>
      <c r="CA191" s="1750"/>
      <c r="CB191" s="1750"/>
      <c r="CC191" s="1750"/>
      <c r="CD191" s="1750"/>
      <c r="CE191" s="1750"/>
      <c r="CF191" s="1750"/>
      <c r="CG191" s="1750"/>
      <c r="CH191" s="1750"/>
      <c r="CI191" s="1750"/>
      <c r="CJ191" s="1750"/>
      <c r="CK191" s="1750"/>
      <c r="CL191" s="1750"/>
      <c r="CM191" s="1750"/>
      <c r="CN191" s="1750"/>
      <c r="CO191" s="1750"/>
    </row>
    <row r="192" spans="63:93" ht="19.2" hidden="1" x14ac:dyDescent="0.45">
      <c r="BK192" s="1757">
        <v>28</v>
      </c>
      <c r="BL192" s="1758">
        <f t="shared" si="70"/>
        <v>688</v>
      </c>
      <c r="BM192" s="1764">
        <f t="shared" si="71"/>
        <v>688</v>
      </c>
      <c r="BN192" s="1760">
        <f t="shared" si="67"/>
        <v>528.25340209886122</v>
      </c>
      <c r="BO192" s="1761">
        <f t="shared" si="68"/>
        <v>528.25340209886122</v>
      </c>
      <c r="BP192" s="1761">
        <f t="shared" si="72"/>
        <v>12.253402098861272</v>
      </c>
      <c r="BQ192" s="1761" t="b">
        <f t="shared" si="69"/>
        <v>0</v>
      </c>
      <c r="BR192" s="1763">
        <v>28</v>
      </c>
      <c r="BS192" s="1750"/>
      <c r="BT192" s="1750"/>
      <c r="BU192" s="1750"/>
      <c r="BV192" s="1750"/>
      <c r="BW192" s="1750"/>
      <c r="BX192" s="1750"/>
      <c r="BY192" s="1750"/>
      <c r="BZ192" s="1750"/>
      <c r="CA192" s="1750"/>
      <c r="CB192" s="1750"/>
      <c r="CC192" s="1750"/>
      <c r="CD192" s="1750"/>
      <c r="CE192" s="1750"/>
      <c r="CF192" s="1750"/>
      <c r="CG192" s="1750"/>
      <c r="CH192" s="1750"/>
      <c r="CI192" s="1750"/>
      <c r="CJ192" s="1750"/>
      <c r="CK192" s="1750"/>
      <c r="CL192" s="1750"/>
      <c r="CM192" s="1750"/>
      <c r="CN192" s="1750"/>
      <c r="CO192" s="1750"/>
    </row>
    <row r="193" spans="63:134" ht="19.2" hidden="1" x14ac:dyDescent="0.45">
      <c r="BK193" s="1757">
        <v>29</v>
      </c>
      <c r="BL193" s="1758">
        <f t="shared" si="70"/>
        <v>731</v>
      </c>
      <c r="BM193" s="1764">
        <f t="shared" si="71"/>
        <v>731</v>
      </c>
      <c r="BN193" s="1760">
        <f t="shared" si="67"/>
        <v>571.25340209886122</v>
      </c>
      <c r="BO193" s="1761">
        <f t="shared" si="68"/>
        <v>571.25340209886122</v>
      </c>
      <c r="BP193" s="1761">
        <f t="shared" si="72"/>
        <v>12.253402098861272</v>
      </c>
      <c r="BQ193" s="1761" t="b">
        <f t="shared" si="69"/>
        <v>0</v>
      </c>
      <c r="BR193" s="1763">
        <v>29</v>
      </c>
      <c r="BS193" s="1750"/>
      <c r="BT193" s="1750"/>
      <c r="BU193" s="1750"/>
      <c r="BV193" s="1750"/>
      <c r="BW193" s="1750"/>
      <c r="BX193" s="1750"/>
      <c r="BY193" s="1750"/>
      <c r="BZ193" s="1750"/>
      <c r="CA193" s="1750"/>
      <c r="CB193" s="1750"/>
      <c r="CC193" s="1750"/>
      <c r="CD193" s="1750"/>
      <c r="CE193" s="1750"/>
      <c r="CF193" s="1750"/>
      <c r="CG193" s="1750"/>
      <c r="CH193" s="1750"/>
      <c r="CI193" s="1750"/>
      <c r="CJ193" s="1750"/>
      <c r="CK193" s="1750"/>
      <c r="CL193" s="1750"/>
      <c r="CM193" s="1750"/>
      <c r="CN193" s="1750"/>
      <c r="CO193" s="1750"/>
    </row>
    <row r="194" spans="63:134" ht="19.2" hidden="1" x14ac:dyDescent="0.45">
      <c r="BK194" s="1757">
        <v>30</v>
      </c>
      <c r="BL194" s="1758">
        <f t="shared" si="70"/>
        <v>774</v>
      </c>
      <c r="BM194" s="1764">
        <f t="shared" si="71"/>
        <v>774</v>
      </c>
      <c r="BN194" s="1760">
        <f t="shared" si="67"/>
        <v>614.25340209886122</v>
      </c>
      <c r="BO194" s="1761">
        <f t="shared" si="68"/>
        <v>614.25340209886122</v>
      </c>
      <c r="BP194" s="1761">
        <f t="shared" si="72"/>
        <v>12.253402098861272</v>
      </c>
      <c r="BQ194" s="1761" t="b">
        <f t="shared" si="69"/>
        <v>0</v>
      </c>
      <c r="BR194" s="1763">
        <v>30</v>
      </c>
      <c r="BS194" s="1750"/>
      <c r="BT194" s="1750"/>
      <c r="BU194" s="1750"/>
      <c r="BV194" s="1750"/>
      <c r="BW194" s="1750"/>
      <c r="BX194" s="1750"/>
      <c r="BY194" s="1750"/>
      <c r="BZ194" s="1750"/>
      <c r="CA194" s="1750"/>
      <c r="CB194" s="1750"/>
      <c r="CC194" s="1750"/>
      <c r="CD194" s="1750"/>
      <c r="CE194" s="1750"/>
      <c r="CF194" s="1750"/>
      <c r="CG194" s="1750"/>
      <c r="CH194" s="1750"/>
      <c r="CI194" s="1750"/>
      <c r="CJ194" s="1750"/>
      <c r="CK194" s="1750"/>
      <c r="CL194" s="1750"/>
      <c r="CM194" s="1750"/>
      <c r="CN194" s="1750"/>
      <c r="CO194" s="1750"/>
    </row>
    <row r="195" spans="63:134" ht="19.2" hidden="1" x14ac:dyDescent="0.45">
      <c r="BK195" s="1757">
        <v>31</v>
      </c>
      <c r="BL195" s="1758">
        <f t="shared" si="70"/>
        <v>817</v>
      </c>
      <c r="BM195" s="1764">
        <f t="shared" si="71"/>
        <v>817</v>
      </c>
      <c r="BN195" s="1760">
        <f t="shared" si="67"/>
        <v>657.25340209886122</v>
      </c>
      <c r="BO195" s="1761">
        <f t="shared" si="68"/>
        <v>657.25340209886122</v>
      </c>
      <c r="BP195" s="1761">
        <f t="shared" si="72"/>
        <v>12.253402098861272</v>
      </c>
      <c r="BQ195" s="1761" t="b">
        <f t="shared" si="69"/>
        <v>0</v>
      </c>
      <c r="BR195" s="1763">
        <v>31</v>
      </c>
      <c r="BS195" s="1750"/>
      <c r="BT195" s="1750"/>
      <c r="BU195" s="1750"/>
      <c r="BV195" s="1750"/>
      <c r="BW195" s="1750"/>
      <c r="BX195" s="1750"/>
      <c r="BY195" s="1750"/>
      <c r="BZ195" s="1750"/>
      <c r="CA195" s="1750"/>
      <c r="CB195" s="1750"/>
      <c r="CC195" s="1750"/>
      <c r="CD195" s="1750"/>
      <c r="CE195" s="1750"/>
      <c r="CF195" s="1750"/>
      <c r="CG195" s="1750"/>
      <c r="CH195" s="1750"/>
      <c r="CI195" s="1750"/>
      <c r="CJ195" s="1750"/>
      <c r="CK195" s="1750"/>
      <c r="CL195" s="1750"/>
      <c r="CM195" s="1750"/>
      <c r="CN195" s="1750"/>
      <c r="CO195" s="1750"/>
    </row>
    <row r="196" spans="63:134" ht="19.2" hidden="1" x14ac:dyDescent="0.45">
      <c r="BK196" s="1757">
        <v>32</v>
      </c>
      <c r="BL196" s="1758">
        <f t="shared" si="70"/>
        <v>860</v>
      </c>
      <c r="BM196" s="1764">
        <f t="shared" si="71"/>
        <v>860</v>
      </c>
      <c r="BN196" s="1760">
        <f t="shared" si="67"/>
        <v>700.25340209886122</v>
      </c>
      <c r="BO196" s="1761">
        <f t="shared" si="68"/>
        <v>700.25340209886122</v>
      </c>
      <c r="BP196" s="1761">
        <f t="shared" si="72"/>
        <v>12.253402098861272</v>
      </c>
      <c r="BQ196" s="1761" t="b">
        <f t="shared" si="69"/>
        <v>0</v>
      </c>
      <c r="BR196" s="1763">
        <v>32</v>
      </c>
      <c r="BS196" s="1750"/>
      <c r="BT196" s="1750"/>
      <c r="BU196" s="1750"/>
      <c r="BV196" s="1750"/>
      <c r="BW196" s="1750"/>
      <c r="BX196" s="1750"/>
      <c r="BY196" s="1750"/>
      <c r="BZ196" s="1750"/>
      <c r="CA196" s="1750"/>
      <c r="CB196" s="1750"/>
      <c r="CC196" s="1750"/>
      <c r="CD196" s="1750"/>
      <c r="CE196" s="1750"/>
      <c r="CF196" s="1750"/>
      <c r="CG196" s="1750"/>
      <c r="CH196" s="1750"/>
      <c r="CI196" s="1750"/>
      <c r="CJ196" s="1750"/>
      <c r="CK196" s="1750"/>
      <c r="CL196" s="1750"/>
      <c r="CM196" s="1750"/>
      <c r="CN196" s="1750"/>
      <c r="CO196" s="1750"/>
    </row>
    <row r="197" spans="63:134" ht="19.2" hidden="1" x14ac:dyDescent="0.45">
      <c r="BK197" s="1757">
        <v>33</v>
      </c>
      <c r="BL197" s="1758">
        <f t="shared" si="70"/>
        <v>903</v>
      </c>
      <c r="BM197" s="1764">
        <f t="shared" si="71"/>
        <v>903</v>
      </c>
      <c r="BN197" s="1760">
        <f t="shared" si="67"/>
        <v>743.25340209886122</v>
      </c>
      <c r="BO197" s="1761">
        <f t="shared" si="68"/>
        <v>743.25340209886122</v>
      </c>
      <c r="BP197" s="1761">
        <f t="shared" si="72"/>
        <v>12.253402098861272</v>
      </c>
      <c r="BQ197" s="1761" t="b">
        <f t="shared" si="69"/>
        <v>0</v>
      </c>
      <c r="BR197" s="1763">
        <v>33</v>
      </c>
      <c r="BS197" s="1750"/>
      <c r="BT197" s="1750"/>
      <c r="BU197" s="1581"/>
      <c r="BV197" s="1581"/>
      <c r="BW197" s="1581"/>
      <c r="BX197" s="1581"/>
      <c r="BY197" s="1581"/>
      <c r="BZ197" s="1581"/>
      <c r="CA197" s="1581"/>
      <c r="CB197" s="1581"/>
      <c r="CC197" s="1581"/>
      <c r="CD197" s="1581"/>
      <c r="CE197" s="1750"/>
      <c r="CF197" s="1750"/>
      <c r="CG197" s="1750"/>
      <c r="CH197" s="1750"/>
      <c r="CI197" s="1750"/>
      <c r="CJ197" s="1750"/>
      <c r="CK197" s="1750"/>
      <c r="CL197" s="1750"/>
      <c r="CM197" s="1750"/>
      <c r="CN197" s="1750"/>
      <c r="CO197" s="1750"/>
      <c r="DE197" s="64"/>
      <c r="DF197" s="64"/>
      <c r="DG197" s="64"/>
      <c r="DH197" s="64"/>
      <c r="DI197" s="64"/>
      <c r="DJ197" s="64"/>
      <c r="DK197" s="1998"/>
      <c r="DL197" s="1998"/>
      <c r="DM197" s="1998"/>
      <c r="DN197" s="10"/>
      <c r="DO197" s="7"/>
      <c r="DP197" s="7"/>
      <c r="DQ197" s="7"/>
      <c r="DR197" s="7"/>
      <c r="DS197" s="7"/>
      <c r="DT197" s="7"/>
      <c r="DU197" s="7"/>
      <c r="DV197" s="7"/>
      <c r="DW197" s="7"/>
      <c r="DX197" s="7"/>
      <c r="DY197" s="7"/>
      <c r="DZ197" s="7"/>
      <c r="EA197" s="7"/>
      <c r="EB197" s="7"/>
      <c r="EC197" s="7"/>
      <c r="ED197" s="7"/>
    </row>
    <row r="198" spans="63:134" ht="19.2" hidden="1" x14ac:dyDescent="0.45">
      <c r="BK198" s="1757">
        <v>34</v>
      </c>
      <c r="BL198" s="1758">
        <f t="shared" si="70"/>
        <v>946</v>
      </c>
      <c r="BM198" s="1764">
        <f t="shared" si="71"/>
        <v>946</v>
      </c>
      <c r="BN198" s="1760">
        <f t="shared" si="67"/>
        <v>786.25340209886122</v>
      </c>
      <c r="BO198" s="1761">
        <f t="shared" si="68"/>
        <v>786.25340209886122</v>
      </c>
      <c r="BP198" s="1761">
        <f t="shared" si="72"/>
        <v>12.253402098861272</v>
      </c>
      <c r="BQ198" s="1761" t="b">
        <f t="shared" si="69"/>
        <v>0</v>
      </c>
      <c r="BR198" s="1763">
        <v>34</v>
      </c>
      <c r="BS198" s="1750"/>
      <c r="BT198" s="1750"/>
      <c r="BU198" s="1581"/>
      <c r="BV198" s="1581"/>
      <c r="BW198" s="1581"/>
      <c r="BX198" s="1581"/>
      <c r="BY198" s="1581"/>
      <c r="BZ198" s="1581"/>
      <c r="CA198" s="1581"/>
      <c r="CB198" s="1581"/>
      <c r="CC198" s="1581"/>
      <c r="CD198" s="1581"/>
      <c r="CE198" s="1750"/>
      <c r="CF198" s="1750"/>
      <c r="CG198" s="1750"/>
      <c r="CH198" s="1750"/>
      <c r="CI198" s="1750"/>
      <c r="CJ198" s="1750"/>
      <c r="CK198" s="1750"/>
      <c r="CL198" s="1750"/>
      <c r="CM198" s="1750"/>
      <c r="CN198" s="1750"/>
      <c r="CO198" s="1750"/>
      <c r="DE198" s="7"/>
      <c r="DF198" s="7"/>
      <c r="DG198" s="7"/>
      <c r="DH198" s="7"/>
      <c r="DI198" s="7"/>
      <c r="DJ198" s="7"/>
      <c r="DK198" s="57"/>
      <c r="DL198" s="7"/>
      <c r="DM198" s="7"/>
      <c r="DN198" s="7"/>
      <c r="DO198" s="7"/>
      <c r="DP198" s="7"/>
      <c r="DQ198" s="7"/>
      <c r="DR198" s="7"/>
      <c r="DS198" s="7"/>
      <c r="DT198" s="7"/>
      <c r="DU198" s="7"/>
      <c r="DV198" s="7"/>
      <c r="DW198" s="7"/>
      <c r="DX198" s="57"/>
      <c r="DY198" s="7"/>
      <c r="DZ198" s="7"/>
      <c r="EA198" s="7"/>
      <c r="EB198" s="7"/>
      <c r="EC198" s="7"/>
      <c r="ED198" s="7"/>
    </row>
    <row r="199" spans="63:134" ht="19.2" hidden="1" x14ac:dyDescent="0.45">
      <c r="BK199" s="1757">
        <v>35</v>
      </c>
      <c r="BL199" s="1758">
        <f t="shared" si="70"/>
        <v>989</v>
      </c>
      <c r="BM199" s="1764">
        <f t="shared" si="71"/>
        <v>989</v>
      </c>
      <c r="BN199" s="1760">
        <f t="shared" si="67"/>
        <v>829.25340209886122</v>
      </c>
      <c r="BO199" s="1761">
        <f t="shared" si="68"/>
        <v>829.25340209886122</v>
      </c>
      <c r="BP199" s="1761">
        <f t="shared" si="72"/>
        <v>12.253402098861272</v>
      </c>
      <c r="BQ199" s="1761" t="b">
        <f t="shared" si="69"/>
        <v>0</v>
      </c>
      <c r="BR199" s="1763">
        <v>35</v>
      </c>
      <c r="BS199" s="1750"/>
      <c r="BT199" s="1750"/>
      <c r="BU199" s="1581"/>
      <c r="BV199" s="1581"/>
      <c r="BW199" s="1581"/>
      <c r="BX199" s="1581"/>
      <c r="BY199" s="1581"/>
      <c r="BZ199" s="1581"/>
      <c r="CA199" s="1581"/>
      <c r="CB199" s="1581"/>
      <c r="CC199" s="1581"/>
      <c r="CD199" s="1581"/>
      <c r="CE199" s="1750"/>
      <c r="CF199" s="1750"/>
      <c r="CG199" s="1750"/>
      <c r="CH199" s="1750"/>
      <c r="CI199" s="1750"/>
      <c r="CJ199" s="1750"/>
      <c r="CK199" s="1750"/>
      <c r="CL199" s="1750"/>
      <c r="CM199" s="1750"/>
      <c r="CN199" s="1750"/>
      <c r="CO199" s="1750"/>
      <c r="DE199" s="65"/>
      <c r="DF199" s="65"/>
      <c r="DG199" s="65"/>
      <c r="DH199" s="65"/>
      <c r="DI199" s="65"/>
      <c r="DJ199" s="65"/>
      <c r="DK199" s="1999"/>
      <c r="DL199" s="1999"/>
      <c r="DM199" s="7"/>
      <c r="DN199" s="7"/>
      <c r="DO199" s="7"/>
      <c r="DP199" s="7"/>
      <c r="DQ199" s="7"/>
      <c r="DR199" s="7"/>
      <c r="DS199" s="7"/>
      <c r="DT199" s="7"/>
      <c r="DU199" s="7"/>
      <c r="DV199" s="7"/>
      <c r="DW199" s="1993"/>
      <c r="DX199" s="1993"/>
      <c r="DY199" s="7"/>
      <c r="DZ199" s="7"/>
      <c r="EA199" s="7"/>
      <c r="EB199" s="7"/>
      <c r="EC199" s="7"/>
      <c r="ED199" s="7"/>
    </row>
    <row r="200" spans="63:134" ht="19.2" hidden="1" x14ac:dyDescent="0.45">
      <c r="BK200" s="1757">
        <v>36</v>
      </c>
      <c r="BL200" s="1758">
        <f t="shared" si="70"/>
        <v>1032</v>
      </c>
      <c r="BM200" s="1764">
        <f t="shared" si="71"/>
        <v>1032</v>
      </c>
      <c r="BN200" s="1760">
        <f t="shared" si="67"/>
        <v>872.25340209886122</v>
      </c>
      <c r="BO200" s="1761">
        <f t="shared" si="68"/>
        <v>872.25340209886122</v>
      </c>
      <c r="BP200" s="1761">
        <f t="shared" si="72"/>
        <v>12.253402098861272</v>
      </c>
      <c r="BQ200" s="1761" t="b">
        <f t="shared" si="69"/>
        <v>0</v>
      </c>
      <c r="BR200" s="1763">
        <v>36</v>
      </c>
      <c r="BS200" s="1750"/>
      <c r="BT200" s="1750"/>
      <c r="BU200" s="1581"/>
      <c r="BV200" s="1581"/>
      <c r="BW200" s="1581"/>
      <c r="BX200" s="1581"/>
      <c r="BY200" s="1581"/>
      <c r="BZ200" s="1581"/>
      <c r="CA200" s="1581"/>
      <c r="CB200" s="1581"/>
      <c r="CC200" s="1581"/>
      <c r="CD200" s="1581"/>
      <c r="CE200" s="1750"/>
      <c r="CF200" s="1750"/>
      <c r="CG200" s="1750"/>
      <c r="CH200" s="1750"/>
      <c r="CI200" s="1750"/>
      <c r="CJ200" s="1750"/>
      <c r="CK200" s="1750"/>
      <c r="CL200" s="1750"/>
      <c r="CM200" s="1750"/>
      <c r="CN200" s="1750"/>
      <c r="CO200" s="1750"/>
      <c r="DE200" s="7"/>
      <c r="DF200" s="7"/>
      <c r="DG200" s="7"/>
      <c r="DH200" s="7"/>
      <c r="DI200" s="7"/>
      <c r="DJ200" s="7"/>
      <c r="DK200" s="7"/>
      <c r="DL200" s="7"/>
      <c r="DM200" s="7"/>
      <c r="DN200" s="7"/>
      <c r="DO200" s="7"/>
      <c r="DP200" s="7"/>
      <c r="DQ200" s="7"/>
      <c r="DR200" s="7"/>
      <c r="DS200" s="7"/>
      <c r="DT200" s="7"/>
      <c r="DU200" s="7"/>
      <c r="DV200" s="7"/>
      <c r="DW200" s="7"/>
      <c r="DX200" s="7"/>
      <c r="DY200" s="7"/>
      <c r="DZ200" s="7"/>
      <c r="EA200" s="7"/>
      <c r="EB200" s="7"/>
      <c r="EC200" s="7"/>
      <c r="ED200" s="7"/>
    </row>
    <row r="201" spans="63:134" ht="19.2" hidden="1" x14ac:dyDescent="0.45">
      <c r="BK201" s="1768">
        <v>37</v>
      </c>
      <c r="BL201" s="1769">
        <f t="shared" si="70"/>
        <v>1075</v>
      </c>
      <c r="BM201" s="1764">
        <f t="shared" si="71"/>
        <v>1075</v>
      </c>
      <c r="BN201" s="1760">
        <f t="shared" si="67"/>
        <v>915.25340209886122</v>
      </c>
      <c r="BO201" s="1761">
        <f t="shared" si="68"/>
        <v>915.25340209886122</v>
      </c>
      <c r="BP201" s="1761">
        <f t="shared" si="72"/>
        <v>12.253402098861272</v>
      </c>
      <c r="BQ201" s="1761" t="b">
        <f t="shared" si="69"/>
        <v>0</v>
      </c>
      <c r="BR201" s="1770">
        <v>37</v>
      </c>
      <c r="BS201" s="1750"/>
      <c r="BT201" s="1748"/>
      <c r="BU201" s="1581"/>
      <c r="BV201" s="1581"/>
      <c r="BW201" s="1581"/>
      <c r="BX201" s="1581"/>
      <c r="BY201" s="1581"/>
      <c r="BZ201" s="1581"/>
      <c r="CA201" s="1581"/>
      <c r="CB201" s="1581"/>
      <c r="CC201" s="1581"/>
      <c r="CD201" s="1581"/>
      <c r="CE201" s="1750"/>
      <c r="CF201" s="1750"/>
      <c r="CG201" s="1750"/>
      <c r="CH201" s="1750"/>
      <c r="CI201" s="1750"/>
      <c r="CJ201" s="1750"/>
      <c r="CK201" s="1750"/>
      <c r="CL201" s="1750"/>
      <c r="CM201" s="1750"/>
      <c r="CN201" s="1750"/>
      <c r="CO201" s="1750"/>
      <c r="DE201" s="7"/>
      <c r="DF201" s="7"/>
      <c r="DG201" s="7"/>
      <c r="DH201" s="7"/>
      <c r="DI201" s="7"/>
      <c r="DJ201" s="7"/>
      <c r="DK201" s="7"/>
      <c r="DL201" s="7"/>
      <c r="DM201" s="7"/>
      <c r="DN201" s="7"/>
      <c r="DO201" s="7"/>
      <c r="DP201" s="7"/>
      <c r="DQ201" s="7"/>
      <c r="DR201" s="7"/>
      <c r="DS201" s="7"/>
      <c r="DT201" s="7"/>
      <c r="DU201" s="7"/>
      <c r="DV201" s="7"/>
      <c r="DW201" s="7"/>
      <c r="DX201" s="7"/>
      <c r="DY201" s="7"/>
      <c r="DZ201" s="7"/>
      <c r="EA201" s="7"/>
      <c r="EB201" s="7"/>
      <c r="EC201" s="7"/>
      <c r="ED201" s="7"/>
    </row>
    <row r="202" spans="63:134" hidden="1" x14ac:dyDescent="0.3">
      <c r="BK202" s="1550"/>
      <c r="BS202" s="1750"/>
      <c r="BT202" s="1748"/>
      <c r="BU202" s="1581"/>
      <c r="BV202" s="1581"/>
      <c r="BW202" s="1581"/>
      <c r="BX202" s="1581"/>
      <c r="BY202" s="1581"/>
      <c r="BZ202" s="1581"/>
      <c r="CA202" s="1581"/>
      <c r="CB202" s="1581"/>
      <c r="CC202" s="1581"/>
      <c r="CD202" s="1581"/>
      <c r="CE202" s="1750"/>
      <c r="CF202" s="1750"/>
      <c r="CG202" s="1750"/>
      <c r="CH202" s="1750"/>
      <c r="CI202" s="1750"/>
      <c r="CJ202" s="1750"/>
      <c r="CK202" s="1750"/>
      <c r="CL202" s="1750"/>
      <c r="CM202" s="1750"/>
      <c r="CN202" s="1750"/>
      <c r="CO202" s="1750"/>
      <c r="DE202" s="7"/>
      <c r="DF202" s="7"/>
      <c r="DG202" s="7"/>
      <c r="DH202" s="7"/>
      <c r="DI202" s="7"/>
      <c r="DJ202" s="7"/>
      <c r="DK202" s="7"/>
      <c r="DL202" s="7"/>
      <c r="DM202" s="7"/>
      <c r="DN202" s="7"/>
      <c r="DO202" s="7"/>
      <c r="DP202" s="7"/>
      <c r="DQ202" s="7"/>
      <c r="DR202" s="7"/>
      <c r="DS202" s="7"/>
      <c r="DT202" s="7"/>
      <c r="DU202" s="7"/>
      <c r="DV202" s="7"/>
      <c r="DW202" s="7"/>
      <c r="DX202" s="7"/>
      <c r="DY202" s="7"/>
      <c r="DZ202" s="7"/>
      <c r="EA202" s="7"/>
      <c r="EB202" s="7"/>
      <c r="EC202" s="7"/>
      <c r="ED202" s="7"/>
    </row>
    <row r="203" spans="63:134" hidden="1" x14ac:dyDescent="0.3">
      <c r="BP203" s="1748"/>
      <c r="BQ203" s="1771"/>
      <c r="BR203" s="1771"/>
      <c r="BS203" s="1771"/>
      <c r="BT203" s="1771"/>
      <c r="BU203" s="1771"/>
      <c r="BV203" s="1771"/>
      <c r="BW203" s="1771"/>
      <c r="BX203" s="1771"/>
      <c r="BY203" s="1771"/>
      <c r="BZ203" s="1771"/>
      <c r="CA203" s="1771"/>
      <c r="CB203" s="1771"/>
      <c r="CC203" s="1771"/>
      <c r="CD203" s="1771"/>
      <c r="CE203" s="1771"/>
      <c r="CF203" s="1771"/>
      <c r="CG203" s="1771"/>
      <c r="CH203" s="1771"/>
      <c r="CI203" s="1771"/>
      <c r="CJ203" s="1771"/>
      <c r="CK203" s="1771"/>
      <c r="CL203" s="1771"/>
      <c r="CM203" s="1771"/>
      <c r="CN203" s="1771"/>
      <c r="CO203" s="1750"/>
      <c r="DE203" s="7"/>
      <c r="DF203" s="7"/>
      <c r="DG203" s="7"/>
      <c r="DH203" s="7"/>
      <c r="DI203" s="7"/>
      <c r="DJ203" s="7"/>
      <c r="DK203" s="7"/>
      <c r="DL203" s="7"/>
      <c r="DM203" s="7"/>
      <c r="DN203" s="7"/>
      <c r="DO203" s="7"/>
      <c r="DP203" s="7"/>
      <c r="DQ203" s="7"/>
      <c r="DR203" s="7"/>
      <c r="DS203" s="7"/>
      <c r="DT203" s="7"/>
      <c r="DU203" s="7"/>
      <c r="DV203" s="7"/>
      <c r="DW203" s="7"/>
      <c r="DX203" s="7"/>
      <c r="DY203" s="7"/>
      <c r="DZ203" s="7"/>
      <c r="EA203" s="7"/>
      <c r="EB203" s="7"/>
      <c r="EC203" s="7"/>
      <c r="ED203" s="7"/>
    </row>
    <row r="204" spans="63:134" hidden="1" x14ac:dyDescent="0.3">
      <c r="BP204" s="1748"/>
      <c r="BQ204" s="1750"/>
      <c r="BR204" s="1750"/>
      <c r="BS204" s="1750"/>
      <c r="BT204" s="1750"/>
      <c r="BU204" s="1750"/>
      <c r="BV204" s="1750"/>
      <c r="BW204" s="1750"/>
      <c r="BX204" s="1750"/>
      <c r="BY204" s="1750"/>
      <c r="BZ204" s="1750"/>
      <c r="CA204" s="1750"/>
      <c r="CB204" s="1750"/>
      <c r="CC204" s="1750"/>
      <c r="CD204" s="1750"/>
      <c r="CE204" s="1750"/>
      <c r="CF204" s="1750"/>
      <c r="CG204" s="1750"/>
      <c r="CH204" s="1750"/>
      <c r="CI204" s="1750"/>
      <c r="CJ204" s="1750"/>
      <c r="CK204" s="1750"/>
      <c r="CL204" s="1750"/>
      <c r="CM204" s="1750"/>
      <c r="CN204" s="1750"/>
      <c r="CO204" s="1750"/>
      <c r="DE204" s="7"/>
      <c r="DF204" s="7"/>
      <c r="DG204" s="7"/>
      <c r="DH204" s="7"/>
      <c r="DI204" s="7"/>
      <c r="DJ204" s="7"/>
      <c r="DK204" s="7"/>
      <c r="DL204" s="7"/>
      <c r="DM204" s="7"/>
      <c r="DN204" s="7"/>
      <c r="DO204" s="7"/>
      <c r="DP204" s="7"/>
      <c r="DQ204" s="7"/>
      <c r="DR204" s="7"/>
      <c r="DS204" s="7"/>
      <c r="DT204" s="7"/>
      <c r="DU204" s="7"/>
      <c r="DV204" s="7"/>
      <c r="DW204" s="7"/>
      <c r="DX204" s="7"/>
      <c r="DY204" s="7"/>
      <c r="DZ204" s="7"/>
      <c r="EA204" s="7"/>
      <c r="EB204" s="7"/>
      <c r="EC204" s="7"/>
      <c r="ED204" s="7"/>
    </row>
    <row r="205" spans="63:134" hidden="1" x14ac:dyDescent="0.3">
      <c r="BP205" s="1772"/>
      <c r="BQ205" s="1773"/>
      <c r="BR205" s="1773"/>
      <c r="BS205" s="1773"/>
      <c r="BT205" s="1773"/>
      <c r="BU205" s="1773"/>
      <c r="BV205" s="1773"/>
      <c r="BW205" s="1773"/>
      <c r="BX205" s="1773"/>
      <c r="BY205" s="1773"/>
      <c r="BZ205" s="1773"/>
      <c r="CA205" s="1773"/>
      <c r="CB205" s="1773"/>
      <c r="CC205" s="1773"/>
      <c r="CD205" s="1773"/>
      <c r="CE205" s="1773"/>
      <c r="CF205" s="1773"/>
      <c r="CG205" s="1773"/>
      <c r="CH205" s="1773"/>
      <c r="CI205" s="1773"/>
      <c r="CJ205" s="1773"/>
      <c r="CK205" s="1773"/>
      <c r="CL205" s="1773"/>
      <c r="CM205" s="1773"/>
      <c r="CN205" s="1773"/>
      <c r="CO205" s="1750"/>
      <c r="DE205" s="7"/>
      <c r="DF205" s="7"/>
      <c r="DG205" s="7"/>
      <c r="DH205" s="7"/>
      <c r="DI205" s="7"/>
      <c r="DJ205" s="7"/>
      <c r="DK205" s="7"/>
      <c r="DL205" s="7"/>
      <c r="DM205" s="7"/>
      <c r="DN205" s="7"/>
      <c r="DO205" s="7"/>
      <c r="DP205" s="7"/>
      <c r="DQ205" s="7"/>
      <c r="DR205" s="7"/>
      <c r="DS205" s="7"/>
      <c r="DT205" s="7"/>
      <c r="DU205" s="7"/>
      <c r="DV205" s="7"/>
      <c r="DW205" s="7"/>
      <c r="DX205" s="7"/>
      <c r="DY205" s="7"/>
      <c r="DZ205" s="7"/>
      <c r="EA205" s="7"/>
      <c r="EB205" s="7"/>
      <c r="EC205" s="7"/>
      <c r="ED205" s="7"/>
    </row>
    <row r="206" spans="63:134" hidden="1" x14ac:dyDescent="0.3">
      <c r="BP206" s="1748"/>
      <c r="BQ206" s="1749"/>
      <c r="BR206" s="1749"/>
      <c r="BS206" s="1749"/>
      <c r="BT206" s="1749"/>
      <c r="BU206" s="1749"/>
      <c r="BV206" s="1749"/>
      <c r="BW206" s="1749"/>
      <c r="BX206" s="1749"/>
      <c r="BY206" s="1749"/>
      <c r="BZ206" s="1749"/>
      <c r="CA206" s="1749"/>
      <c r="CB206" s="1749"/>
      <c r="CC206" s="1749"/>
      <c r="CD206" s="1749"/>
      <c r="CE206" s="1749"/>
      <c r="CF206" s="1749"/>
      <c r="CG206" s="1749"/>
      <c r="CH206" s="1749"/>
      <c r="CI206" s="1749"/>
      <c r="CJ206" s="1749"/>
      <c r="CK206" s="1749"/>
      <c r="CL206" s="1749"/>
      <c r="CM206" s="1749"/>
      <c r="CN206" s="1749"/>
      <c r="CO206" s="1750"/>
      <c r="DE206" s="7"/>
      <c r="DF206" s="7"/>
      <c r="DG206" s="7"/>
      <c r="DH206" s="7"/>
      <c r="DI206" s="7"/>
      <c r="DJ206" s="7"/>
      <c r="DK206" s="7"/>
      <c r="DL206" s="7"/>
      <c r="DM206" s="7"/>
      <c r="DN206" s="7"/>
      <c r="DO206" s="7"/>
      <c r="DP206" s="7"/>
      <c r="DQ206" s="7"/>
      <c r="DR206" s="7"/>
      <c r="DS206" s="7"/>
      <c r="DT206" s="7"/>
      <c r="DU206" s="7"/>
      <c r="DV206" s="7"/>
      <c r="DW206" s="7"/>
      <c r="DX206" s="7"/>
      <c r="DY206" s="7"/>
      <c r="DZ206" s="7"/>
      <c r="EA206" s="7"/>
      <c r="EB206" s="7"/>
      <c r="EC206" s="7"/>
      <c r="ED206" s="7"/>
    </row>
    <row r="207" spans="63:134" hidden="1" x14ac:dyDescent="0.3">
      <c r="BP207" s="1750"/>
      <c r="BQ207" s="1750"/>
      <c r="BR207" s="1750"/>
      <c r="BS207" s="1750"/>
      <c r="BT207" s="1750"/>
      <c r="BU207" s="1750"/>
      <c r="BV207" s="1750"/>
      <c r="BW207" s="1750"/>
      <c r="BX207" s="1750"/>
      <c r="BY207" s="1750"/>
      <c r="BZ207" s="1750"/>
      <c r="CA207" s="1750"/>
      <c r="CB207" s="1750"/>
      <c r="CC207" s="1750"/>
      <c r="CD207" s="1750"/>
      <c r="CE207" s="1750"/>
      <c r="CF207" s="1750"/>
      <c r="CG207" s="1750"/>
      <c r="CH207" s="1750"/>
      <c r="CI207" s="1750"/>
      <c r="CJ207" s="1750"/>
      <c r="CK207" s="1750"/>
      <c r="CL207" s="1750"/>
      <c r="CM207" s="1750"/>
      <c r="CN207" s="1750"/>
      <c r="CO207" s="1750"/>
      <c r="DE207" s="7"/>
      <c r="DF207" s="7"/>
      <c r="DG207" s="7"/>
      <c r="DH207" s="7"/>
      <c r="DI207" s="7"/>
      <c r="DJ207" s="7"/>
      <c r="DK207" s="7"/>
      <c r="DL207" s="7"/>
      <c r="DM207" s="7"/>
      <c r="DN207" s="7"/>
      <c r="DO207" s="7"/>
      <c r="DP207" s="7"/>
      <c r="DQ207" s="7"/>
      <c r="DR207" s="7"/>
      <c r="DS207" s="7"/>
      <c r="DT207" s="7"/>
      <c r="DU207" s="7"/>
      <c r="DV207" s="7"/>
      <c r="DW207" s="7"/>
      <c r="DX207" s="7"/>
      <c r="DY207" s="7"/>
      <c r="DZ207" s="7"/>
      <c r="EA207" s="7"/>
      <c r="EB207" s="7"/>
      <c r="EC207" s="7"/>
      <c r="ED207" s="7"/>
    </row>
    <row r="208" spans="63:134" hidden="1" x14ac:dyDescent="0.3">
      <c r="BP208" s="1750"/>
      <c r="BQ208" s="1774"/>
      <c r="BR208" s="1774"/>
      <c r="BS208" s="1774"/>
      <c r="BT208" s="1774"/>
      <c r="BU208" s="1774"/>
      <c r="BV208" s="1774"/>
      <c r="BW208" s="1748"/>
      <c r="BX208" s="1748"/>
      <c r="BY208" s="1748"/>
      <c r="BZ208" s="1748"/>
      <c r="CA208" s="1748"/>
      <c r="CB208" s="1774"/>
      <c r="CC208" s="1774"/>
      <c r="CD208" s="1774"/>
      <c r="CE208" s="1748"/>
      <c r="CF208" s="1748"/>
      <c r="CG208" s="1748"/>
      <c r="CH208" s="1748"/>
      <c r="CI208" s="1748"/>
      <c r="CJ208" s="1748"/>
      <c r="CK208" s="1748"/>
      <c r="CL208" s="1748"/>
      <c r="CM208" s="1748"/>
      <c r="CN208" s="1748"/>
      <c r="CO208" s="1750"/>
      <c r="DE208" s="7"/>
      <c r="DF208" s="7"/>
      <c r="DG208" s="7"/>
      <c r="DH208" s="7"/>
      <c r="DI208" s="7"/>
      <c r="DJ208" s="7"/>
      <c r="DK208" s="7"/>
      <c r="DL208" s="7"/>
      <c r="DM208" s="7"/>
      <c r="DN208" s="7"/>
      <c r="DO208" s="7"/>
      <c r="DP208" s="7"/>
      <c r="DQ208" s="7"/>
      <c r="DR208" s="7"/>
      <c r="DS208" s="7"/>
      <c r="DT208" s="7"/>
      <c r="DU208" s="7"/>
      <c r="DV208" s="7"/>
      <c r="DW208" s="7"/>
      <c r="DX208" s="7"/>
      <c r="DY208" s="7"/>
      <c r="DZ208" s="7"/>
      <c r="EA208" s="7"/>
      <c r="EB208" s="7"/>
      <c r="EC208" s="7"/>
      <c r="ED208" s="7"/>
    </row>
    <row r="209" spans="68:134" hidden="1" x14ac:dyDescent="0.3">
      <c r="BP209" s="1750"/>
      <c r="BQ209" s="1774"/>
      <c r="BR209" s="1774"/>
      <c r="BS209" s="1774"/>
      <c r="BT209" s="1774"/>
      <c r="BU209" s="1774"/>
      <c r="BV209" s="1774"/>
      <c r="BW209" s="1750"/>
      <c r="BX209" s="1750"/>
      <c r="BY209" s="1750"/>
      <c r="BZ209" s="1750"/>
      <c r="CA209" s="1774"/>
      <c r="CB209" s="1774"/>
      <c r="CC209" s="1774"/>
      <c r="CD209" s="1774"/>
      <c r="CE209" s="1750"/>
      <c r="CF209" s="1750"/>
      <c r="CG209" s="1750"/>
      <c r="CH209" s="1750"/>
      <c r="CI209" s="1774"/>
      <c r="CJ209" s="1774"/>
      <c r="CK209" s="1774"/>
      <c r="CL209" s="1774"/>
      <c r="CM209" s="1774"/>
      <c r="CN209" s="1774"/>
      <c r="CO209" s="1750"/>
      <c r="DE209" s="7"/>
      <c r="DF209" s="7"/>
      <c r="DG209" s="7"/>
      <c r="DH209" s="7"/>
      <c r="DI209" s="7"/>
      <c r="DJ209" s="7"/>
      <c r="DK209" s="7"/>
      <c r="DL209" s="7"/>
      <c r="DM209" s="7"/>
      <c r="DN209" s="7"/>
      <c r="DO209" s="7"/>
      <c r="DP209" s="7"/>
      <c r="DQ209" s="7"/>
      <c r="DR209" s="7"/>
      <c r="DS209" s="7"/>
      <c r="DT209" s="7"/>
      <c r="DU209" s="7"/>
      <c r="DV209" s="7"/>
      <c r="DW209" s="7"/>
      <c r="DX209" s="7"/>
      <c r="DY209" s="7"/>
      <c r="DZ209" s="7"/>
      <c r="EA209" s="7"/>
      <c r="EB209" s="7"/>
      <c r="EC209" s="7"/>
      <c r="ED209" s="7"/>
    </row>
    <row r="210" spans="68:134" hidden="1" x14ac:dyDescent="0.3">
      <c r="BP210" s="1750"/>
      <c r="BQ210" s="1750"/>
      <c r="BR210" s="1750"/>
      <c r="BS210" s="1750"/>
      <c r="BT210" s="1750"/>
      <c r="BU210" s="1750"/>
      <c r="BV210" s="1750"/>
      <c r="BW210" s="1750"/>
      <c r="BX210" s="1750"/>
      <c r="BY210" s="1750"/>
      <c r="BZ210" s="1750"/>
      <c r="CA210" s="1750"/>
      <c r="CB210" s="1750"/>
      <c r="CC210" s="1750"/>
      <c r="CD210" s="1750"/>
      <c r="CE210" s="1750"/>
      <c r="CF210" s="1750"/>
      <c r="CG210" s="1750"/>
      <c r="CH210" s="1750"/>
      <c r="CI210" s="1750"/>
      <c r="CJ210" s="1750"/>
      <c r="CK210" s="1750"/>
      <c r="CL210" s="1750"/>
      <c r="CM210" s="1750"/>
      <c r="CN210" s="1750"/>
      <c r="CO210" s="1750"/>
      <c r="DE210" s="7"/>
      <c r="DF210" s="7"/>
      <c r="DG210" s="7"/>
      <c r="DH210" s="7"/>
      <c r="DI210" s="7"/>
      <c r="DJ210" s="7"/>
      <c r="DK210" s="7"/>
      <c r="DL210" s="7"/>
      <c r="DM210" s="7"/>
      <c r="DN210" s="7"/>
      <c r="DO210" s="7"/>
      <c r="DP210" s="7"/>
      <c r="DQ210" s="7"/>
      <c r="DR210" s="7"/>
      <c r="DS210" s="7"/>
      <c r="DT210" s="7"/>
      <c r="DU210" s="7"/>
      <c r="DV210" s="7"/>
      <c r="DW210" s="7"/>
      <c r="DX210" s="7"/>
      <c r="DY210" s="7"/>
      <c r="DZ210" s="7"/>
      <c r="EA210" s="7"/>
      <c r="EB210" s="7"/>
      <c r="EC210" s="7"/>
      <c r="ED210" s="7"/>
    </row>
    <row r="211" spans="68:134" hidden="1" x14ac:dyDescent="0.3">
      <c r="BP211" s="1750"/>
      <c r="BQ211" s="1750"/>
      <c r="BR211" s="1750"/>
      <c r="BS211" s="1750"/>
      <c r="BT211" s="1750"/>
      <c r="BU211" s="1750"/>
      <c r="BV211" s="1750"/>
      <c r="BW211" s="1750"/>
      <c r="BX211" s="1750"/>
      <c r="BY211" s="1750"/>
      <c r="BZ211" s="1750"/>
      <c r="CA211" s="1750"/>
      <c r="CB211" s="1750"/>
      <c r="CC211" s="1750"/>
      <c r="CD211" s="1750"/>
      <c r="CE211" s="1750"/>
      <c r="CF211" s="1750"/>
      <c r="CG211" s="1750"/>
      <c r="CH211" s="1750"/>
      <c r="CI211" s="1750"/>
      <c r="CJ211" s="1750"/>
      <c r="CK211" s="1750"/>
      <c r="CL211" s="1750"/>
      <c r="CM211" s="1750"/>
      <c r="CN211" s="1750"/>
      <c r="CO211" s="1750"/>
      <c r="DE211" s="7"/>
      <c r="DF211" s="7"/>
      <c r="DG211" s="7"/>
      <c r="DH211" s="7"/>
      <c r="DI211" s="7"/>
      <c r="DJ211" s="7"/>
      <c r="DK211" s="7"/>
      <c r="DL211" s="7"/>
      <c r="DM211" s="7"/>
      <c r="DN211" s="7"/>
      <c r="DO211" s="7"/>
      <c r="DP211" s="7"/>
      <c r="DQ211" s="7"/>
      <c r="DR211" s="7"/>
      <c r="DS211" s="7"/>
      <c r="DT211" s="7"/>
      <c r="DU211" s="7"/>
      <c r="DV211" s="7"/>
      <c r="DW211" s="7"/>
      <c r="DX211" s="7"/>
      <c r="DY211" s="7"/>
      <c r="DZ211" s="7"/>
      <c r="EA211" s="7"/>
      <c r="EB211" s="7"/>
      <c r="EC211" s="7"/>
      <c r="ED211" s="7"/>
    </row>
    <row r="212" spans="68:134" hidden="1" x14ac:dyDescent="0.3">
      <c r="DE212" s="7"/>
      <c r="DF212" s="7"/>
      <c r="DG212" s="7"/>
      <c r="DH212" s="7"/>
      <c r="DI212" s="7"/>
      <c r="DJ212" s="15"/>
      <c r="DK212" s="15"/>
      <c r="DL212" s="15"/>
      <c r="DM212" s="15"/>
      <c r="DN212" s="15"/>
      <c r="DO212" s="15"/>
      <c r="DP212" s="15"/>
      <c r="DQ212" s="15"/>
      <c r="DR212" s="15"/>
      <c r="DS212" s="15"/>
      <c r="DT212" s="7"/>
      <c r="DU212" s="7"/>
      <c r="DV212" s="7"/>
      <c r="DW212" s="7"/>
      <c r="DX212" s="7"/>
      <c r="DY212" s="7"/>
      <c r="DZ212" s="7"/>
      <c r="EA212" s="7"/>
      <c r="EB212" s="7"/>
      <c r="EC212" s="7"/>
      <c r="ED212" s="7"/>
    </row>
    <row r="213" spans="68:134" hidden="1" x14ac:dyDescent="0.3">
      <c r="DE213" s="7"/>
      <c r="DF213" s="7"/>
      <c r="DG213" s="7"/>
      <c r="DH213" s="7"/>
      <c r="DI213" s="7"/>
      <c r="DJ213" s="15"/>
      <c r="DK213" s="15"/>
      <c r="DL213" s="15"/>
      <c r="DM213" s="15"/>
      <c r="DN213" s="15"/>
      <c r="DO213" s="15"/>
      <c r="DP213" s="15"/>
      <c r="DQ213" s="15"/>
      <c r="DR213" s="15"/>
      <c r="DS213" s="15"/>
      <c r="DT213" s="7"/>
      <c r="DU213" s="7"/>
      <c r="DV213" s="7"/>
      <c r="DW213" s="7"/>
      <c r="DX213" s="7"/>
      <c r="DY213" s="7"/>
      <c r="DZ213" s="7"/>
      <c r="EA213" s="7"/>
      <c r="EB213" s="7"/>
      <c r="EC213" s="7"/>
      <c r="ED213" s="7"/>
    </row>
    <row r="214" spans="68:134" hidden="1" x14ac:dyDescent="0.3">
      <c r="DE214" s="7"/>
      <c r="DF214" s="7"/>
      <c r="DG214" s="7"/>
      <c r="DH214" s="7"/>
      <c r="DI214" s="7"/>
      <c r="DJ214" s="15"/>
      <c r="DK214" s="15"/>
      <c r="DL214" s="15"/>
      <c r="DM214" s="15"/>
      <c r="DN214" s="15"/>
      <c r="DO214" s="15"/>
      <c r="DP214" s="15"/>
      <c r="DQ214" s="15"/>
      <c r="DR214" s="15"/>
      <c r="DS214" s="15"/>
      <c r="DT214" s="7"/>
      <c r="DU214" s="7"/>
      <c r="DV214" s="7"/>
      <c r="DW214" s="7"/>
      <c r="DX214" s="7"/>
      <c r="DY214" s="7"/>
      <c r="DZ214" s="7"/>
      <c r="EA214" s="7"/>
      <c r="EB214" s="7"/>
      <c r="EC214" s="7"/>
      <c r="ED214" s="7"/>
    </row>
    <row r="215" spans="68:134" hidden="1" x14ac:dyDescent="0.3">
      <c r="DE215" s="7"/>
      <c r="DF215" s="7"/>
      <c r="DG215" s="7"/>
      <c r="DH215" s="7"/>
      <c r="DI215" s="7"/>
      <c r="DJ215" s="15"/>
      <c r="DK215" s="15"/>
      <c r="DL215" s="15"/>
      <c r="DM215" s="15"/>
      <c r="DN215" s="15"/>
      <c r="DO215" s="15"/>
      <c r="DP215" s="15"/>
      <c r="DQ215" s="15"/>
      <c r="DR215" s="15"/>
      <c r="DS215" s="15"/>
      <c r="DT215" s="7"/>
      <c r="DU215" s="7"/>
      <c r="DV215" s="7"/>
      <c r="DW215" s="7"/>
      <c r="DX215" s="7"/>
      <c r="DY215" s="7"/>
      <c r="DZ215" s="7"/>
      <c r="EA215" s="7"/>
      <c r="EB215" s="7"/>
      <c r="EC215" s="7"/>
      <c r="ED215" s="7"/>
    </row>
    <row r="216" spans="68:134" hidden="1" x14ac:dyDescent="0.3">
      <c r="DE216" s="10"/>
      <c r="DF216" s="7"/>
      <c r="DG216" s="10"/>
      <c r="DH216" s="7"/>
      <c r="DI216" s="10"/>
      <c r="DJ216" s="15"/>
      <c r="DK216" s="15"/>
      <c r="DL216" s="15"/>
      <c r="DM216" s="15"/>
      <c r="DN216" s="15"/>
      <c r="DO216" s="15"/>
      <c r="DP216" s="15"/>
      <c r="DQ216" s="15"/>
      <c r="DR216" s="15"/>
      <c r="DS216" s="15"/>
      <c r="DT216" s="7"/>
      <c r="DU216" s="7"/>
      <c r="DV216" s="7"/>
      <c r="DW216" s="7"/>
      <c r="DX216" s="7"/>
      <c r="DY216" s="7"/>
      <c r="DZ216" s="7"/>
      <c r="EA216" s="7"/>
      <c r="EB216" s="7"/>
      <c r="EC216" s="7"/>
      <c r="ED216" s="7"/>
    </row>
    <row r="217" spans="68:134" hidden="1" x14ac:dyDescent="0.3">
      <c r="DE217" s="10"/>
      <c r="DF217" s="7"/>
      <c r="DG217" s="7"/>
      <c r="DH217" s="7"/>
      <c r="DI217" s="10"/>
      <c r="DJ217" s="15"/>
      <c r="DK217" s="15"/>
      <c r="DL217" s="15"/>
      <c r="DM217" s="15"/>
      <c r="DN217" s="15"/>
      <c r="DO217" s="15"/>
      <c r="DP217" s="15"/>
      <c r="DQ217" s="15"/>
      <c r="DR217" s="15"/>
      <c r="DS217" s="15"/>
      <c r="DT217" s="7"/>
      <c r="DU217" s="7"/>
      <c r="DV217" s="7"/>
      <c r="DW217" s="7"/>
      <c r="DX217" s="7"/>
      <c r="DY217" s="7"/>
      <c r="DZ217" s="7"/>
      <c r="EA217" s="7"/>
      <c r="EB217" s="7"/>
      <c r="EC217" s="7"/>
      <c r="ED217" s="7"/>
    </row>
    <row r="218" spans="68:134" hidden="1" x14ac:dyDescent="0.3">
      <c r="DE218" s="10"/>
      <c r="DF218" s="66"/>
      <c r="DG218" s="66"/>
      <c r="DH218" s="66"/>
      <c r="DI218" s="66"/>
      <c r="DJ218" s="66"/>
      <c r="DK218" s="66"/>
      <c r="DL218" s="66"/>
      <c r="DM218" s="66"/>
      <c r="DN218" s="66"/>
      <c r="DO218" s="66"/>
      <c r="DP218" s="66"/>
      <c r="DQ218" s="66"/>
      <c r="DR218" s="66"/>
      <c r="DS218" s="66"/>
      <c r="DT218" s="66"/>
      <c r="DU218" s="66"/>
      <c r="DV218" s="66"/>
      <c r="DW218" s="66"/>
      <c r="DX218" s="66"/>
      <c r="DY218" s="66"/>
      <c r="DZ218" s="66"/>
      <c r="EA218" s="66"/>
      <c r="EB218" s="66"/>
      <c r="EC218" s="66"/>
      <c r="ED218" s="7"/>
    </row>
    <row r="219" spans="68:134" hidden="1" x14ac:dyDescent="0.3">
      <c r="DE219" s="10"/>
      <c r="DF219" s="7"/>
      <c r="DG219" s="7"/>
      <c r="DH219" s="7"/>
      <c r="DI219" s="7"/>
      <c r="DJ219" s="7"/>
      <c r="DK219" s="7"/>
      <c r="DL219" s="7"/>
      <c r="DM219" s="7"/>
      <c r="DN219" s="7"/>
      <c r="DO219" s="7"/>
      <c r="DP219" s="7"/>
      <c r="DQ219" s="7"/>
      <c r="DR219" s="7"/>
      <c r="DS219" s="7"/>
      <c r="DT219" s="7"/>
      <c r="DU219" s="7"/>
      <c r="DV219" s="7"/>
      <c r="DW219" s="7"/>
      <c r="DX219" s="7"/>
      <c r="DY219" s="7"/>
      <c r="DZ219" s="7"/>
      <c r="EA219" s="7"/>
      <c r="EB219" s="7"/>
      <c r="EC219" s="7"/>
      <c r="ED219" s="7"/>
    </row>
    <row r="220" spans="68:134" hidden="1" x14ac:dyDescent="0.3">
      <c r="DE220" s="18"/>
      <c r="DF220" s="61"/>
      <c r="DG220" s="61"/>
      <c r="DH220" s="61"/>
      <c r="DI220" s="61"/>
      <c r="DJ220" s="61"/>
      <c r="DK220" s="61"/>
      <c r="DL220" s="61"/>
      <c r="DM220" s="61"/>
      <c r="DN220" s="61"/>
      <c r="DO220" s="61"/>
      <c r="DP220" s="61"/>
      <c r="DQ220" s="61"/>
      <c r="DR220" s="61"/>
      <c r="DS220" s="61"/>
      <c r="DT220" s="61"/>
      <c r="DU220" s="61"/>
      <c r="DV220" s="61"/>
      <c r="DW220" s="61"/>
      <c r="DX220" s="61"/>
      <c r="DY220" s="61"/>
      <c r="DZ220" s="61"/>
      <c r="EA220" s="61"/>
      <c r="EB220" s="61"/>
      <c r="EC220" s="61"/>
      <c r="ED220" s="7"/>
    </row>
    <row r="221" spans="68:134" hidden="1" x14ac:dyDescent="0.3">
      <c r="DE221" s="10"/>
      <c r="DF221" s="49"/>
      <c r="DG221" s="49"/>
      <c r="DH221" s="49"/>
      <c r="DI221" s="49"/>
      <c r="DJ221" s="49"/>
      <c r="DK221" s="49"/>
      <c r="DL221" s="49"/>
      <c r="DM221" s="49"/>
      <c r="DN221" s="49"/>
      <c r="DO221" s="49"/>
      <c r="DP221" s="49"/>
      <c r="DQ221" s="49"/>
      <c r="DR221" s="49"/>
      <c r="DS221" s="49"/>
      <c r="DT221" s="49"/>
      <c r="DU221" s="49"/>
      <c r="DV221" s="49"/>
      <c r="DW221" s="49"/>
      <c r="DX221" s="49"/>
      <c r="DY221" s="49"/>
      <c r="DZ221" s="49"/>
      <c r="EA221" s="49"/>
      <c r="EB221" s="49"/>
      <c r="EC221" s="49"/>
      <c r="ED221" s="7"/>
    </row>
    <row r="222" spans="68:134" hidden="1" x14ac:dyDescent="0.3">
      <c r="DE222" s="7"/>
      <c r="DF222" s="7"/>
      <c r="DG222" s="7"/>
      <c r="DH222" s="7"/>
      <c r="DI222" s="7"/>
      <c r="DJ222" s="7"/>
      <c r="DK222" s="7"/>
      <c r="DL222" s="7"/>
      <c r="DM222" s="7"/>
      <c r="DN222" s="7"/>
      <c r="DO222" s="7"/>
      <c r="DP222" s="7"/>
      <c r="DQ222" s="7"/>
      <c r="DR222" s="7"/>
      <c r="DS222" s="7"/>
      <c r="DT222" s="7"/>
      <c r="DU222" s="7"/>
      <c r="DV222" s="7"/>
      <c r="DW222" s="7"/>
      <c r="DX222" s="7"/>
      <c r="DY222" s="7"/>
      <c r="DZ222" s="7"/>
      <c r="EA222" s="7"/>
      <c r="EB222" s="7"/>
      <c r="EC222" s="7"/>
      <c r="ED222" s="7"/>
    </row>
    <row r="223" spans="68:134" x14ac:dyDescent="0.3">
      <c r="DE223" s="7"/>
      <c r="DF223" s="67"/>
      <c r="DG223" s="67"/>
      <c r="DH223" s="67"/>
      <c r="DI223" s="67"/>
      <c r="DJ223" s="67"/>
      <c r="DK223" s="67"/>
      <c r="DL223" s="10"/>
      <c r="DM223" s="10"/>
      <c r="DN223" s="10"/>
      <c r="DO223" s="10"/>
      <c r="DP223" s="10"/>
      <c r="DQ223" s="67"/>
      <c r="DR223" s="67"/>
      <c r="DS223" s="67"/>
      <c r="DT223" s="10"/>
      <c r="DU223" s="10"/>
      <c r="DV223" s="10"/>
      <c r="DW223" s="10"/>
      <c r="DX223" s="10"/>
      <c r="DY223" s="10"/>
      <c r="DZ223" s="10"/>
      <c r="EA223" s="10"/>
      <c r="EB223" s="10"/>
      <c r="EC223" s="10"/>
      <c r="ED223" s="7"/>
    </row>
    <row r="224" spans="68:134" x14ac:dyDescent="0.3">
      <c r="DE224" s="7"/>
      <c r="DF224" s="67"/>
      <c r="DG224" s="67"/>
      <c r="DH224" s="67"/>
      <c r="DI224" s="67"/>
      <c r="DJ224" s="67"/>
      <c r="DK224" s="67"/>
      <c r="DL224" s="7"/>
      <c r="DM224" s="7"/>
      <c r="DN224" s="7"/>
      <c r="DO224" s="7"/>
      <c r="DP224" s="67"/>
      <c r="DQ224" s="67"/>
      <c r="DR224" s="67"/>
      <c r="DS224" s="67"/>
      <c r="DT224" s="7"/>
      <c r="DU224" s="7"/>
      <c r="DV224" s="7"/>
      <c r="DW224" s="7"/>
      <c r="DX224" s="67"/>
      <c r="DY224" s="67"/>
      <c r="DZ224" s="67"/>
      <c r="EA224" s="67"/>
      <c r="EB224" s="67"/>
      <c r="EC224" s="67"/>
      <c r="ED224" s="7"/>
    </row>
    <row r="225" spans="109:134" x14ac:dyDescent="0.3">
      <c r="DE225" s="7"/>
      <c r="DF225" s="7"/>
      <c r="DG225" s="7"/>
      <c r="DH225" s="7"/>
      <c r="DI225" s="7"/>
      <c r="DJ225" s="7"/>
      <c r="DK225" s="7"/>
      <c r="DL225" s="7"/>
      <c r="DM225" s="7"/>
      <c r="DN225" s="7"/>
      <c r="DO225" s="7"/>
      <c r="DP225" s="7"/>
      <c r="DQ225" s="7"/>
      <c r="DR225" s="7"/>
      <c r="DS225" s="7"/>
      <c r="DT225" s="7"/>
      <c r="DU225" s="7"/>
      <c r="DV225" s="7"/>
      <c r="DW225" s="7"/>
      <c r="DX225" s="7"/>
      <c r="DY225" s="7"/>
      <c r="DZ225" s="7"/>
      <c r="EA225" s="7"/>
      <c r="EB225" s="7"/>
      <c r="EC225" s="7"/>
      <c r="ED225" s="7"/>
    </row>
    <row r="226" spans="109:134" x14ac:dyDescent="0.3">
      <c r="DE226" s="7"/>
      <c r="DF226" s="7"/>
      <c r="DG226" s="7"/>
      <c r="DH226" s="7"/>
      <c r="DI226" s="7"/>
      <c r="DJ226" s="7"/>
      <c r="DK226" s="7"/>
      <c r="DL226" s="7"/>
      <c r="DM226" s="7"/>
      <c r="DN226" s="7"/>
      <c r="DO226" s="7"/>
      <c r="DP226" s="7"/>
      <c r="DQ226" s="7"/>
      <c r="DR226" s="7"/>
      <c r="DS226" s="7"/>
      <c r="DT226" s="7"/>
      <c r="DU226" s="7"/>
      <c r="DV226" s="7"/>
      <c r="DW226" s="7"/>
      <c r="DX226" s="7"/>
      <c r="DY226" s="7"/>
      <c r="DZ226" s="7"/>
      <c r="EA226" s="7"/>
      <c r="EB226" s="7"/>
      <c r="EC226" s="7"/>
      <c r="ED226" s="7"/>
    </row>
  </sheetData>
  <sheetProtection algorithmName="SHA-512" hashValue="EuYJzjFS4fxSXtpRGNp8Ou6plXt4IVe6wj9NeZtTZrre6Ghk+ITS+GTMThHVdF/JNkDuuusdbVWodkLdRzlAZA==" saltValue="BcCEhAYBIiFyCSR1H85Hew==" spinCount="100000" sheet="1" objects="1" scenarios="1"/>
  <protectedRanges>
    <protectedRange sqref="B104 B107 D110:D121 B128 D131:D154" name="Range1"/>
  </protectedRanges>
  <mergeCells count="22">
    <mergeCell ref="BV184:BW184"/>
    <mergeCell ref="BQ25:BR25"/>
    <mergeCell ref="BQ27:BR27"/>
    <mergeCell ref="CO27:CP27"/>
    <mergeCell ref="CB30:CC30"/>
    <mergeCell ref="CH184:CI184"/>
    <mergeCell ref="DW199:DX199"/>
    <mergeCell ref="CQ26:DA27"/>
    <mergeCell ref="BQ29:CA30"/>
    <mergeCell ref="B102:B103"/>
    <mergeCell ref="W107:AA107"/>
    <mergeCell ref="AZ107:BA107"/>
    <mergeCell ref="AZ128:BA128"/>
    <mergeCell ref="DK197:DM197"/>
    <mergeCell ref="DK199:DL199"/>
    <mergeCell ref="CB33:CC33"/>
    <mergeCell ref="CQ33:CR33"/>
    <mergeCell ref="DF55:DG55"/>
    <mergeCell ref="BQ32:CA33"/>
    <mergeCell ref="CS32:DA33"/>
    <mergeCell ref="BV182:BX182"/>
    <mergeCell ref="CZ30:DA30"/>
  </mergeCells>
  <conditionalFormatting sqref="AB29:AE66 U29:U66 AB26:AE26 U26">
    <cfRule type="cellIs" dxfId="965" priority="120" stopIfTrue="1" operator="between">
      <formula>"OVERLOAD"</formula>
      <formula>"OVERLOAD"</formula>
    </cfRule>
  </conditionalFormatting>
  <conditionalFormatting sqref="DF220:EC221 DK147:DX150">
    <cfRule type="cellIs" dxfId="964" priority="117" stopIfTrue="1" operator="equal">
      <formula>FALSE</formula>
    </cfRule>
  </conditionalFormatting>
  <conditionalFormatting sqref="DF218:EC218">
    <cfRule type="cellIs" dxfId="963" priority="33" stopIfTrue="1" operator="equal">
      <formula>0</formula>
    </cfRule>
  </conditionalFormatting>
  <conditionalFormatting sqref="BK153:BK156">
    <cfRule type="cellIs" dxfId="962" priority="119" stopIfTrue="1" operator="equal">
      <formula>FALSE</formula>
    </cfRule>
  </conditionalFormatting>
  <conditionalFormatting sqref="D110 K110:O110 R110 T110:Y110 AB110">
    <cfRule type="expression" dxfId="961" priority="111" stopIfTrue="1">
      <formula>$B$107&lt;1</formula>
    </cfRule>
  </conditionalFormatting>
  <conditionalFormatting sqref="AX111:BA111 D111">
    <cfRule type="expression" dxfId="960" priority="109" stopIfTrue="1">
      <formula>$B$107&lt;2</formula>
    </cfRule>
  </conditionalFormatting>
  <conditionalFormatting sqref="AX112:BA112 D112">
    <cfRule type="expression" dxfId="959" priority="108" stopIfTrue="1">
      <formula>$B$107&lt;3</formula>
    </cfRule>
  </conditionalFormatting>
  <conditionalFormatting sqref="AX113:BA113 D113">
    <cfRule type="expression" dxfId="958" priority="107" stopIfTrue="1">
      <formula>$B$107&lt;4</formula>
    </cfRule>
  </conditionalFormatting>
  <conditionalFormatting sqref="AX114:BA114 D114">
    <cfRule type="expression" dxfId="957" priority="106" stopIfTrue="1">
      <formula>$B$107&lt;5</formula>
    </cfRule>
  </conditionalFormatting>
  <conditionalFormatting sqref="AX115:BA115 D115">
    <cfRule type="expression" dxfId="956" priority="105" stopIfTrue="1">
      <formula>$B$107&lt;6</formula>
    </cfRule>
  </conditionalFormatting>
  <conditionalFormatting sqref="AX116:BA116 D116">
    <cfRule type="expression" dxfId="955" priority="104" stopIfTrue="1">
      <formula>$B$107&lt;7</formula>
    </cfRule>
  </conditionalFormatting>
  <conditionalFormatting sqref="AX117:BA117 D117">
    <cfRule type="expression" dxfId="954" priority="103" stopIfTrue="1">
      <formula>$B$107&lt;8</formula>
    </cfRule>
  </conditionalFormatting>
  <conditionalFormatting sqref="AX118:BA118 D118">
    <cfRule type="expression" dxfId="953" priority="102" stopIfTrue="1">
      <formula>$B$107&lt;9</formula>
    </cfRule>
  </conditionalFormatting>
  <conditionalFormatting sqref="AX119:BA119 D119">
    <cfRule type="expression" dxfId="952" priority="76" stopIfTrue="1">
      <formula>$B$107&lt;10</formula>
    </cfRule>
  </conditionalFormatting>
  <conditionalFormatting sqref="AX120:BA120 D120">
    <cfRule type="expression" dxfId="951" priority="63" stopIfTrue="1">
      <formula>$B$107&lt;11</formula>
    </cfRule>
  </conditionalFormatting>
  <conditionalFormatting sqref="AX121:BA121 D121">
    <cfRule type="expression" dxfId="950" priority="49" stopIfTrue="1">
      <formula>$B$107&lt;12</formula>
    </cfRule>
  </conditionalFormatting>
  <conditionalFormatting sqref="D101:G102">
    <cfRule type="cellIs" dxfId="949" priority="114" stopIfTrue="1" operator="equal">
      <formula>"change the angle of frame or of cabinets"</formula>
    </cfRule>
  </conditionalFormatting>
  <conditionalFormatting sqref="E104:G104">
    <cfRule type="cellIs" dxfId="948" priority="115" stopIfTrue="1" operator="equal">
      <formula>"USE EXBAR VR AT THE BACK"</formula>
    </cfRule>
  </conditionalFormatting>
  <conditionalFormatting sqref="E103:G103 E104">
    <cfRule type="cellIs" dxfId="947" priority="116" stopIfTrue="1" operator="equal">
      <formula>"USE EXBAR VR AT THE FRONT"</formula>
    </cfRule>
  </conditionalFormatting>
  <conditionalFormatting sqref="B110:B121">
    <cfRule type="cellIs" dxfId="946" priority="112" stopIfTrue="1" operator="greaterThan">
      <formula>$B$107</formula>
    </cfRule>
  </conditionalFormatting>
  <conditionalFormatting sqref="B131:B154">
    <cfRule type="cellIs" dxfId="945" priority="100" stopIfTrue="1" operator="greaterThan">
      <formula>$B$128</formula>
    </cfRule>
  </conditionalFormatting>
  <conditionalFormatting sqref="AX131:BA131 AB131:AE131 D131:G131 AX132:AY154">
    <cfRule type="expression" dxfId="944" priority="97" stopIfTrue="1">
      <formula>$B$128&lt;1</formula>
    </cfRule>
  </conditionalFormatting>
  <conditionalFormatting sqref="AX132:BA132 AB132:AE132 D132:G132">
    <cfRule type="expression" dxfId="943" priority="96" stopIfTrue="1">
      <formula>$B$128&lt;2</formula>
    </cfRule>
  </conditionalFormatting>
  <conditionalFormatting sqref="AX133:BA133 AB133:AE133 D133:G133">
    <cfRule type="expression" dxfId="942" priority="95" stopIfTrue="1">
      <formula>$B$128&lt;3</formula>
    </cfRule>
  </conditionalFormatting>
  <conditionalFormatting sqref="AX134:BA134 AB134:AE134 D134:G134">
    <cfRule type="expression" dxfId="941" priority="94" stopIfTrue="1">
      <formula>$B$128&lt;4</formula>
    </cfRule>
  </conditionalFormatting>
  <conditionalFormatting sqref="AX135:BA135 AB135:AE135 D135:G135">
    <cfRule type="expression" dxfId="940" priority="93" stopIfTrue="1">
      <formula>$B$128&lt;5</formula>
    </cfRule>
  </conditionalFormatting>
  <conditionalFormatting sqref="AX136:BA136 AB136:AE136 D136:G136">
    <cfRule type="expression" dxfId="939" priority="92">
      <formula>$B$128&lt;6</formula>
    </cfRule>
  </conditionalFormatting>
  <conditionalFormatting sqref="AX137:BA137 AB137:AE137 D137:G137">
    <cfRule type="expression" dxfId="938" priority="91">
      <formula>$B$128&lt;7</formula>
    </cfRule>
  </conditionalFormatting>
  <conditionalFormatting sqref="AX138:BA138 AB138:AE138 D138:G138">
    <cfRule type="expression" dxfId="937" priority="90">
      <formula>$B$128&lt;8</formula>
    </cfRule>
  </conditionalFormatting>
  <conditionalFormatting sqref="AX139:BA139 AB139:AE139 D139:G139">
    <cfRule type="expression" dxfId="936" priority="89">
      <formula>$B$128&lt;9</formula>
    </cfRule>
  </conditionalFormatting>
  <conditionalFormatting sqref="AX140:BA140 AB140:AE140 D140:G140">
    <cfRule type="expression" dxfId="935" priority="88">
      <formula>$B$128&lt;10</formula>
    </cfRule>
  </conditionalFormatting>
  <conditionalFormatting sqref="AX141:BA141 AB141:AE141 D141:G141">
    <cfRule type="expression" dxfId="934" priority="87">
      <formula>$B$128&lt;11</formula>
    </cfRule>
  </conditionalFormatting>
  <conditionalFormatting sqref="AX142:BA142 AB142:AE142 D142:G142">
    <cfRule type="expression" dxfId="933" priority="86">
      <formula>$B$128&lt;12</formula>
    </cfRule>
  </conditionalFormatting>
  <conditionalFormatting sqref="AX143:BA143 AB143:AE143 D143:G143">
    <cfRule type="expression" dxfId="932" priority="85">
      <formula>$B$128&lt;13</formula>
    </cfRule>
  </conditionalFormatting>
  <conditionalFormatting sqref="AX144:BA144 AB144:AE144 D144:G144">
    <cfRule type="expression" dxfId="931" priority="84">
      <formula>$B$128&lt;14</formula>
    </cfRule>
  </conditionalFormatting>
  <conditionalFormatting sqref="AX145:BA145 AB145:AE145 D145:G145">
    <cfRule type="expression" dxfId="930" priority="83">
      <formula>$B$128&lt;15</formula>
    </cfRule>
  </conditionalFormatting>
  <conditionalFormatting sqref="AX146:BA146 AB146:AE146 D146:G146">
    <cfRule type="expression" dxfId="929" priority="82">
      <formula>$B$128&lt;16</formula>
    </cfRule>
  </conditionalFormatting>
  <conditionalFormatting sqref="AX147:BA147 AB147:AE147 D147:G147">
    <cfRule type="expression" dxfId="928" priority="81">
      <formula>$B$128&lt;17</formula>
    </cfRule>
  </conditionalFormatting>
  <conditionalFormatting sqref="AX148:BA148 AB148:AE148 D148:G148">
    <cfRule type="expression" dxfId="927" priority="80">
      <formula>$B$128&lt;18</formula>
    </cfRule>
  </conditionalFormatting>
  <conditionalFormatting sqref="AX149:BA149 AB149:AE149 D149:G149">
    <cfRule type="expression" dxfId="926" priority="79">
      <formula>$B$128&lt;19</formula>
    </cfRule>
  </conditionalFormatting>
  <conditionalFormatting sqref="AX150:BA150 AB150:AE150 D150:G150">
    <cfRule type="expression" dxfId="925" priority="78">
      <formula>$B$128&lt;20</formula>
    </cfRule>
  </conditionalFormatting>
  <conditionalFormatting sqref="AX151:BA151 AB151:AE151 D151:G151">
    <cfRule type="expression" dxfId="924" priority="77">
      <formula>$B$128&lt;21</formula>
    </cfRule>
  </conditionalFormatting>
  <conditionalFormatting sqref="AX152:BA152 AB152:AE152 D152:G152">
    <cfRule type="expression" dxfId="923" priority="62">
      <formula>$B$128&lt;22</formula>
    </cfRule>
  </conditionalFormatting>
  <conditionalFormatting sqref="AX153:BA153 AB153:AE153 D153:G153">
    <cfRule type="expression" dxfId="922" priority="48">
      <formula>$B$128&lt;23</formula>
    </cfRule>
  </conditionalFormatting>
  <conditionalFormatting sqref="AX154:BA154 AB154:AE154 D154:G154">
    <cfRule type="expression" dxfId="921" priority="1">
      <formula>$B$128&lt;24</formula>
    </cfRule>
  </conditionalFormatting>
  <conditionalFormatting sqref="E110">
    <cfRule type="expression" dxfId="920" priority="75" stopIfTrue="1">
      <formula>$B$107&lt;1</formula>
    </cfRule>
  </conditionalFormatting>
  <conditionalFormatting sqref="E111">
    <cfRule type="expression" dxfId="919" priority="74" stopIfTrue="1">
      <formula>$B$107&lt;2</formula>
    </cfRule>
  </conditionalFormatting>
  <conditionalFormatting sqref="E112">
    <cfRule type="expression" dxfId="918" priority="73" stopIfTrue="1">
      <formula>$B$107&lt;3</formula>
    </cfRule>
  </conditionalFormatting>
  <conditionalFormatting sqref="E113">
    <cfRule type="expression" dxfId="917" priority="72" stopIfTrue="1">
      <formula>$B$107&lt;4</formula>
    </cfRule>
  </conditionalFormatting>
  <conditionalFormatting sqref="E114">
    <cfRule type="expression" dxfId="916" priority="71" stopIfTrue="1">
      <formula>$B$107&lt;5</formula>
    </cfRule>
  </conditionalFormatting>
  <conditionalFormatting sqref="E115">
    <cfRule type="expression" dxfId="915" priority="70" stopIfTrue="1">
      <formula>$B$107&lt;6</formula>
    </cfRule>
  </conditionalFormatting>
  <conditionalFormatting sqref="E116">
    <cfRule type="expression" dxfId="914" priority="69" stopIfTrue="1">
      <formula>$B$107&lt;7</formula>
    </cfRule>
  </conditionalFormatting>
  <conditionalFormatting sqref="E117">
    <cfRule type="expression" dxfId="913" priority="68" stopIfTrue="1">
      <formula>$B$107&lt;8</formula>
    </cfRule>
  </conditionalFormatting>
  <conditionalFormatting sqref="E118">
    <cfRule type="expression" dxfId="912" priority="67" stopIfTrue="1">
      <formula>$B$107&lt;9</formula>
    </cfRule>
  </conditionalFormatting>
  <conditionalFormatting sqref="E119">
    <cfRule type="expression" dxfId="911" priority="66" stopIfTrue="1">
      <formula>$B$107&lt;10</formula>
    </cfRule>
  </conditionalFormatting>
  <conditionalFormatting sqref="E120">
    <cfRule type="expression" dxfId="910" priority="65" stopIfTrue="1">
      <formula>$B$107&lt;11</formula>
    </cfRule>
  </conditionalFormatting>
  <conditionalFormatting sqref="E121">
    <cfRule type="expression" dxfId="909" priority="64" stopIfTrue="1">
      <formula>$B$107&lt;12</formula>
    </cfRule>
  </conditionalFormatting>
  <conditionalFormatting sqref="AZ110:BA121">
    <cfRule type="cellIs" dxfId="908" priority="110" stopIfTrue="1" operator="lessThan">
      <formula>10</formula>
    </cfRule>
  </conditionalFormatting>
  <conditionalFormatting sqref="AZ131:BA154">
    <cfRule type="cellIs" dxfId="907" priority="99" stopIfTrue="1" operator="lessThan">
      <formula>10</formula>
    </cfRule>
  </conditionalFormatting>
  <conditionalFormatting sqref="F110:G110">
    <cfRule type="expression" dxfId="906" priority="61" stopIfTrue="1">
      <formula>$B$107&lt;1</formula>
    </cfRule>
  </conditionalFormatting>
  <conditionalFormatting sqref="F111:AB111">
    <cfRule type="expression" dxfId="905" priority="60" stopIfTrue="1">
      <formula>$B$107&lt;2</formula>
    </cfRule>
  </conditionalFormatting>
  <conditionalFormatting sqref="F112:AB112">
    <cfRule type="expression" dxfId="904" priority="59" stopIfTrue="1">
      <formula>$B$107&lt;3</formula>
    </cfRule>
  </conditionalFormatting>
  <conditionalFormatting sqref="F113:AB113">
    <cfRule type="expression" dxfId="903" priority="58" stopIfTrue="1">
      <formula>$B$107&lt;4</formula>
    </cfRule>
  </conditionalFormatting>
  <conditionalFormatting sqref="F114:AB114">
    <cfRule type="expression" dxfId="902" priority="57" stopIfTrue="1">
      <formula>$B$107&lt;5</formula>
    </cfRule>
  </conditionalFormatting>
  <conditionalFormatting sqref="F115:AB115">
    <cfRule type="expression" dxfId="901" priority="56" stopIfTrue="1">
      <formula>$B$107&lt;6</formula>
    </cfRule>
  </conditionalFormatting>
  <conditionalFormatting sqref="F116:AB116">
    <cfRule type="expression" dxfId="900" priority="55" stopIfTrue="1">
      <formula>$B$107&lt;7</formula>
    </cfRule>
  </conditionalFormatting>
  <conditionalFormatting sqref="F117:AB117">
    <cfRule type="expression" dxfId="899" priority="54" stopIfTrue="1">
      <formula>$B$107&lt;8</formula>
    </cfRule>
  </conditionalFormatting>
  <conditionalFormatting sqref="F118:AB118">
    <cfRule type="expression" dxfId="898" priority="53" stopIfTrue="1">
      <formula>$B$107&lt;9</formula>
    </cfRule>
  </conditionalFormatting>
  <conditionalFormatting sqref="F119:AB119">
    <cfRule type="expression" dxfId="897" priority="52" stopIfTrue="1">
      <formula>$B$107&lt;10</formula>
    </cfRule>
  </conditionalFormatting>
  <conditionalFormatting sqref="F120:AB120">
    <cfRule type="expression" dxfId="896" priority="51" stopIfTrue="1">
      <formula>$B$107&lt;11</formula>
    </cfRule>
  </conditionalFormatting>
  <conditionalFormatting sqref="F121:AB121">
    <cfRule type="expression" dxfId="895" priority="50" stopIfTrue="1">
      <formula>$B$107&lt;12</formula>
    </cfRule>
  </conditionalFormatting>
  <conditionalFormatting sqref="D110:D121">
    <cfRule type="cellIs" dxfId="894" priority="113" stopIfTrue="1" operator="notEqual">
      <formula>0</formula>
    </cfRule>
  </conditionalFormatting>
  <conditionalFormatting sqref="D131:D154">
    <cfRule type="cellIs" dxfId="893" priority="101" stopIfTrue="1" operator="notEqual">
      <formula>0</formula>
    </cfRule>
  </conditionalFormatting>
  <conditionalFormatting sqref="Z110:AA110">
    <cfRule type="expression" dxfId="892" priority="45" stopIfTrue="1">
      <formula>$B$110&lt;1</formula>
    </cfRule>
  </conditionalFormatting>
  <conditionalFormatting sqref="AD111:AD121">
    <cfRule type="expression" dxfId="891" priority="40" stopIfTrue="1">
      <formula>$B$110&lt;1</formula>
    </cfRule>
  </conditionalFormatting>
  <conditionalFormatting sqref="AC110:AD110">
    <cfRule type="expression" dxfId="890" priority="44" stopIfTrue="1">
      <formula>$B$110&lt;1</formula>
    </cfRule>
  </conditionalFormatting>
  <conditionalFormatting sqref="AD110:AD121">
    <cfRule type="expression" dxfId="889" priority="43" stopIfTrue="1">
      <formula>$B$110&lt;1</formula>
    </cfRule>
  </conditionalFormatting>
  <conditionalFormatting sqref="AD111:AD121">
    <cfRule type="expression" dxfId="888" priority="42" stopIfTrue="1">
      <formula>$B$110&lt;1</formula>
    </cfRule>
  </conditionalFormatting>
  <conditionalFormatting sqref="AC111:AC121">
    <cfRule type="expression" dxfId="887" priority="41" stopIfTrue="1">
      <formula>$B$110&lt;1</formula>
    </cfRule>
  </conditionalFormatting>
  <conditionalFormatting sqref="AD111:AD121">
    <cfRule type="expression" dxfId="886" priority="39" stopIfTrue="1">
      <formula>$B$110&lt;1</formula>
    </cfRule>
  </conditionalFormatting>
  <conditionalFormatting sqref="AE110">
    <cfRule type="expression" dxfId="885" priority="38" stopIfTrue="1">
      <formula>$B$110&lt;1</formula>
    </cfRule>
  </conditionalFormatting>
  <conditionalFormatting sqref="AE111:AE121">
    <cfRule type="expression" dxfId="884" priority="37" stopIfTrue="1">
      <formula>$B$110&lt;1</formula>
    </cfRule>
  </conditionalFormatting>
  <conditionalFormatting sqref="C66">
    <cfRule type="cellIs" dxfId="883" priority="36" stopIfTrue="1" operator="between">
      <formula>"OVERLOAD"</formula>
      <formula>"OVERLOAD"</formula>
    </cfRule>
  </conditionalFormatting>
  <conditionalFormatting sqref="BQ101:CG101">
    <cfRule type="expression" dxfId="882" priority="23">
      <formula>$B$104=0</formula>
    </cfRule>
  </conditionalFormatting>
  <conditionalFormatting sqref="CB55:CR55">
    <cfRule type="cellIs" dxfId="881" priority="19" operator="equal">
      <formula>0</formula>
    </cfRule>
    <cfRule type="expression" dxfId="880" priority="22">
      <formula>$B$104=0</formula>
    </cfRule>
  </conditionalFormatting>
  <conditionalFormatting sqref="BN102 BO101:BO102 BN56 BO55:BO56">
    <cfRule type="expression" dxfId="879" priority="2">
      <formula>$B$104&lt;&gt;0</formula>
    </cfRule>
  </conditionalFormatting>
  <conditionalFormatting sqref="CK101:DA101">
    <cfRule type="expression" dxfId="878" priority="20">
      <formula>$B$104=0</formula>
    </cfRule>
  </conditionalFormatting>
  <conditionalFormatting sqref="D103">
    <cfRule type="cellIs" dxfId="877" priority="18" stopIfTrue="1" operator="equal">
      <formula>"USE EXBAR AR AT THE FRONT"</formula>
    </cfRule>
  </conditionalFormatting>
  <conditionalFormatting sqref="D104">
    <cfRule type="cellIs" dxfId="876" priority="17" stopIfTrue="1" operator="equal">
      <formula>"USE EXBAR AR AT THE BACK"</formula>
    </cfRule>
  </conditionalFormatting>
  <conditionalFormatting sqref="BN27">
    <cfRule type="cellIs" dxfId="875" priority="15" operator="equal">
      <formula>"""OK"""</formula>
    </cfRule>
    <cfRule type="cellIs" dxfId="874" priority="16" stopIfTrue="1" operator="equal">
      <formula>"overload"</formula>
    </cfRule>
  </conditionalFormatting>
  <conditionalFormatting sqref="BN26">
    <cfRule type="cellIs" dxfId="873" priority="13" operator="equal">
      <formula>"""OK"""</formula>
    </cfRule>
    <cfRule type="cellIs" dxfId="872" priority="14" stopIfTrue="1" operator="equal">
      <formula>"negative force at the motor"</formula>
    </cfRule>
  </conditionalFormatting>
  <conditionalFormatting sqref="BN30">
    <cfRule type="cellIs" dxfId="871" priority="11" operator="equal">
      <formula>"""OK"""</formula>
    </cfRule>
    <cfRule type="cellIs" dxfId="870" priority="12" stopIfTrue="1" operator="equal">
      <formula>"overload"</formula>
    </cfRule>
  </conditionalFormatting>
  <conditionalFormatting sqref="BN29">
    <cfRule type="cellIs" dxfId="869" priority="9" operator="equal">
      <formula>"""OK"""</formula>
    </cfRule>
    <cfRule type="cellIs" dxfId="868" priority="10" stopIfTrue="1" operator="equal">
      <formula>"negative force at the motor"</formula>
    </cfRule>
  </conditionalFormatting>
  <conditionalFormatting sqref="BN33">
    <cfRule type="cellIs" dxfId="867" priority="7" operator="equal">
      <formula>"""OK"""</formula>
    </cfRule>
    <cfRule type="cellIs" dxfId="866" priority="8" stopIfTrue="1" operator="equal">
      <formula>"overload"</formula>
    </cfRule>
  </conditionalFormatting>
  <conditionalFormatting sqref="BN32">
    <cfRule type="cellIs" dxfId="865" priority="5" operator="equal">
      <formula>"""OK"""</formula>
    </cfRule>
    <cfRule type="cellIs" dxfId="864" priority="6" stopIfTrue="1" operator="equal">
      <formula>"negative force at the motor"</formula>
    </cfRule>
  </conditionalFormatting>
  <conditionalFormatting sqref="BN61">
    <cfRule type="cellIs" dxfId="863" priority="3" operator="equal">
      <formula>"""OK"""</formula>
    </cfRule>
    <cfRule type="cellIs" dxfId="862" priority="4" stopIfTrue="1" operator="equal">
      <formula>"overload"</formula>
    </cfRule>
  </conditionalFormatting>
  <conditionalFormatting sqref="BN56 BN102">
    <cfRule type="cellIs" dxfId="861" priority="21" operator="equal">
      <formula>"overload"</formula>
    </cfRule>
  </conditionalFormatting>
  <conditionalFormatting sqref="AB131:AB154">
    <cfRule type="cellIs" dxfId="860" priority="98" operator="equal">
      <formula>"pin in groundstacking hole"</formula>
    </cfRule>
  </conditionalFormatting>
  <dataValidations count="8">
    <dataValidation type="decimal" allowBlank="1" showInputMessage="1" showErrorMessage="1" sqref="B104" xr:uid="{00000000-0002-0000-0600-000000000000}">
      <formula1>-89.9</formula1>
      <formula2>89.9</formula2>
    </dataValidation>
    <dataValidation type="custom" allowBlank="1" showInputMessage="1" showErrorMessage="1" sqref="D110:D121" xr:uid="{00000000-0002-0000-0600-000001000000}">
      <formula1>OR(D110=0,D110=2.5,D110=5)</formula1>
    </dataValidation>
    <dataValidation type="decimal" allowBlank="1" showInputMessage="1" showErrorMessage="1" sqref="D132:D154" xr:uid="{00000000-0002-0000-0600-000002000000}">
      <formula1>0</formula1>
      <formula2>10</formula2>
    </dataValidation>
    <dataValidation type="decimal" allowBlank="1" showInputMessage="1" showErrorMessage="1" sqref="D131" xr:uid="{00000000-0002-0000-0600-000003000000}">
      <formula1>0</formula1>
      <formula2>5</formula2>
    </dataValidation>
    <dataValidation type="whole" allowBlank="1" showInputMessage="1" showErrorMessage="1" errorTitle="Coda Audio" error="YOU HAVE ENTERED A WRONG NUMBER OF CABINETS" promptTitle="Coda Audio" prompt="ENTER THE NUMBER OF CABINETS FROM 1 UP TO 24" sqref="B128" xr:uid="{00000000-0002-0000-0600-000004000000}">
      <formula1>1</formula1>
      <formula2>24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07" xr:uid="{00000000-0002-0000-0600-000005000000}">
      <formula1>0</formula1>
      <formula2>12</formula2>
    </dataValidation>
    <dataValidation type="decimal" allowBlank="1" showInputMessage="1" showErrorMessage="1" sqref="G111:G121 G132:G154 F112:F121 F133:F154" xr:uid="{00000000-0002-0000-0600-000006000000}">
      <formula1>0</formula1>
      <formula2>8</formula2>
    </dataValidation>
    <dataValidation type="decimal" allowBlank="1" showInputMessage="1" showErrorMessage="1" sqref="F110:G110 F131:G131" xr:uid="{00000000-0002-0000-0600-000007000000}">
      <formula1>0</formula1>
      <formula2>4</formula2>
    </dataValidation>
  </dataValidations>
  <pageMargins left="0.75" right="0.75" top="1" bottom="1" header="0.5" footer="0.5"/>
  <pageSetup paperSize="9" orientation="portrait" horizontalDpi="4294967293" r:id="rId1"/>
  <headerFooter alignWithMargins="0"/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4"/>
  </sheetPr>
  <dimension ref="A1:EM226"/>
  <sheetViews>
    <sheetView topLeftCell="A25" zoomScale="50" zoomScaleNormal="50" workbookViewId="0">
      <selection activeCell="B105" sqref="B105"/>
    </sheetView>
  </sheetViews>
  <sheetFormatPr baseColWidth="10" defaultColWidth="8.88671875" defaultRowHeight="17.399999999999999" x14ac:dyDescent="0.3"/>
  <cols>
    <col min="1" max="1" width="1.5546875" customWidth="1"/>
    <col min="2" max="2" width="32.44140625" style="13" customWidth="1"/>
    <col min="3" max="3" width="19.5546875" style="13" hidden="1" customWidth="1"/>
    <col min="4" max="4" width="32.88671875" style="14" bestFit="1" customWidth="1"/>
    <col min="5" max="5" width="25.5546875" style="14" customWidth="1"/>
    <col min="6" max="7" width="20.109375" style="14" hidden="1" customWidth="1"/>
    <col min="8" max="27" width="20.109375" style="62" hidden="1" customWidth="1"/>
    <col min="28" max="28" width="41.6640625" style="62" customWidth="1"/>
    <col min="29" max="29" width="28.6640625" style="62" hidden="1" customWidth="1"/>
    <col min="30" max="31" width="3" style="62" hidden="1" customWidth="1"/>
    <col min="32" max="32" width="84" style="62" hidden="1" customWidth="1"/>
    <col min="33" max="33" width="17.33203125" style="62" hidden="1" customWidth="1"/>
    <col min="34" max="34" width="9.33203125" style="62" hidden="1" customWidth="1"/>
    <col min="35" max="35" width="17.5546875" style="62" hidden="1" customWidth="1"/>
    <col min="36" max="36" width="19.44140625" style="62" hidden="1" customWidth="1"/>
    <col min="37" max="37" width="23.33203125" style="62" hidden="1" customWidth="1"/>
    <col min="38" max="38" width="17.5546875" style="62" hidden="1" customWidth="1"/>
    <col min="39" max="39" width="19.44140625" style="62" hidden="1" customWidth="1"/>
    <col min="40" max="40" width="22.33203125" style="62" hidden="1" customWidth="1"/>
    <col min="41" max="41" width="35.109375" style="62" hidden="1" customWidth="1"/>
    <col min="42" max="42" width="44" style="62" hidden="1" customWidth="1"/>
    <col min="43" max="43" width="69.44140625" style="62" hidden="1" customWidth="1"/>
    <col min="44" max="44" width="19.44140625" style="62" hidden="1" customWidth="1"/>
    <col min="45" max="45" width="20.109375" style="62" hidden="1" customWidth="1"/>
    <col min="46" max="46" width="35.109375" style="62" hidden="1" customWidth="1"/>
    <col min="47" max="47" width="19.44140625" style="62" hidden="1" customWidth="1"/>
    <col min="48" max="49" width="20.109375" style="62" hidden="1" customWidth="1"/>
    <col min="50" max="50" width="11.88671875" style="62" hidden="1" customWidth="1"/>
    <col min="51" max="51" width="11" style="62" hidden="1" customWidth="1"/>
    <col min="52" max="53" width="13.109375" style="62" customWidth="1"/>
    <col min="54" max="54" width="91" hidden="1" customWidth="1"/>
    <col min="55" max="55" width="14.44140625" hidden="1" customWidth="1"/>
    <col min="56" max="57" width="9.33203125" hidden="1" customWidth="1"/>
    <col min="58" max="58" width="4" hidden="1" customWidth="1"/>
    <col min="59" max="59" width="4.88671875" hidden="1" customWidth="1"/>
    <col min="60" max="60" width="9.44140625" hidden="1" customWidth="1"/>
    <col min="61" max="62" width="17" hidden="1" customWidth="1"/>
    <col min="63" max="63" width="9.109375" hidden="1" customWidth="1"/>
    <col min="64" max="64" width="21.44140625" style="1550" hidden="1" customWidth="1"/>
    <col min="65" max="65" width="8.6640625" style="1550" hidden="1" customWidth="1"/>
    <col min="66" max="66" width="24.88671875" style="1550" bestFit="1" customWidth="1"/>
    <col min="67" max="67" width="35.6640625" style="1550" customWidth="1"/>
    <col min="68" max="68" width="43.5546875" style="1550" customWidth="1"/>
    <col min="69" max="105" width="7.109375" style="1550" customWidth="1"/>
    <col min="106" max="106" width="7.6640625" style="1550" customWidth="1"/>
    <col min="107" max="107" width="16" style="1550" customWidth="1"/>
    <col min="108" max="108" width="40.88671875" style="1550" hidden="1" customWidth="1"/>
    <col min="109" max="109" width="41.44140625" customWidth="1"/>
    <col min="110" max="139" width="6.5546875" customWidth="1"/>
    <col min="143" max="143" width="11.44140625" customWidth="1"/>
    <col min="144" max="144" width="9.33203125" customWidth="1"/>
  </cols>
  <sheetData>
    <row r="1" spans="2:108" ht="34.5" hidden="1" customHeight="1" x14ac:dyDescent="0.4">
      <c r="B1" s="1780"/>
      <c r="C1" s="1781"/>
      <c r="D1" s="1782" t="s">
        <v>202</v>
      </c>
      <c r="E1" s="1782" t="s">
        <v>203</v>
      </c>
      <c r="F1" s="1783" t="s">
        <v>204</v>
      </c>
    </row>
    <row r="2" spans="2:108" ht="39" hidden="1" customHeight="1" x14ac:dyDescent="0.4">
      <c r="B2" s="1841" t="s">
        <v>29</v>
      </c>
      <c r="C2" s="1842">
        <v>688</v>
      </c>
      <c r="D2" s="1843">
        <f>+COS(($B$104*-1)*3.14159265358979/180)*C2</f>
        <v>688</v>
      </c>
      <c r="E2" s="1843">
        <f>+COS(($B$104*-1)*3.14159265358979/180)*43</f>
        <v>43</v>
      </c>
      <c r="F2" s="1844">
        <f>+COS((($B$104*-1)+72.969997)*3.14159265358979/180)*162.1867</f>
        <v>47.500013702602963</v>
      </c>
    </row>
    <row r="3" spans="2:108" ht="39" hidden="1" customHeight="1" x14ac:dyDescent="0.4">
      <c r="B3" s="1845" t="s">
        <v>242</v>
      </c>
      <c r="C3" s="1846">
        <f>+C9-47.5</f>
        <v>170.69407832640624</v>
      </c>
      <c r="D3" s="1847">
        <f>+C9-F2</f>
        <v>170.69406462380329</v>
      </c>
      <c r="E3" s="1848"/>
      <c r="F3" s="1849"/>
    </row>
    <row r="4" spans="2:108" ht="39" hidden="1" customHeight="1" x14ac:dyDescent="0.4">
      <c r="B4" s="1850" t="s">
        <v>40</v>
      </c>
      <c r="C4" s="1851">
        <v>1075</v>
      </c>
      <c r="D4" s="1843">
        <f>+COS(($B$104*-1)*3.14159265358979/180)*C4</f>
        <v>1075</v>
      </c>
      <c r="E4" s="1848"/>
      <c r="F4" s="1849"/>
    </row>
    <row r="5" spans="2:108" ht="39" hidden="1" customHeight="1" x14ac:dyDescent="0.4">
      <c r="B5" s="1850" t="s">
        <v>238</v>
      </c>
      <c r="C5" s="1851">
        <f>+C9+425.5</f>
        <v>643.69407832640627</v>
      </c>
      <c r="D5" s="1847">
        <f>+(COS(($B$104*-1)*3.14159265358979/180)*400)+$D$3</f>
        <v>570.69406462380334</v>
      </c>
      <c r="E5" s="1848"/>
      <c r="F5" s="1849"/>
    </row>
    <row r="6" spans="2:108" ht="24.6" hidden="1" x14ac:dyDescent="0.4">
      <c r="B6" s="1852"/>
      <c r="C6" s="1853"/>
      <c r="D6" s="1848"/>
      <c r="E6" s="1848"/>
      <c r="F6" s="1849"/>
      <c r="BL6" s="1551"/>
      <c r="BM6" s="1551"/>
      <c r="BN6" s="1551"/>
      <c r="BO6" s="1551"/>
      <c r="BP6" s="1551"/>
      <c r="BQ6" s="1551"/>
      <c r="BR6" s="1551"/>
      <c r="BS6" s="1551"/>
      <c r="BT6" s="1551"/>
      <c r="BU6" s="1551"/>
      <c r="BV6" s="1551"/>
      <c r="BW6" s="1551"/>
      <c r="BX6" s="1551"/>
      <c r="BY6" s="1551"/>
      <c r="BZ6" s="1551"/>
      <c r="CA6" s="1551"/>
      <c r="CB6" s="1551"/>
      <c r="CC6" s="1551"/>
      <c r="CD6" s="1551"/>
      <c r="CE6" s="1551"/>
      <c r="CF6" s="1551"/>
      <c r="CG6" s="1551"/>
      <c r="CH6" s="1551"/>
      <c r="CI6" s="1551"/>
      <c r="CJ6" s="1551"/>
      <c r="CK6" s="1551"/>
      <c r="CL6" s="1551"/>
      <c r="CM6" s="1551"/>
      <c r="CN6" s="1551"/>
      <c r="CO6" s="1551"/>
      <c r="CP6" s="1551"/>
      <c r="CQ6" s="1551"/>
      <c r="CR6" s="1551"/>
      <c r="CS6" s="1551"/>
      <c r="CT6" s="1551"/>
      <c r="CU6" s="1551"/>
      <c r="CV6" s="1551"/>
      <c r="CW6" s="1551"/>
      <c r="CX6" s="1551"/>
      <c r="CY6" s="1551"/>
      <c r="CZ6" s="1551"/>
      <c r="DA6" s="1551"/>
      <c r="DB6" s="1551"/>
      <c r="DC6" s="1551"/>
      <c r="DD6" s="1551"/>
    </row>
    <row r="7" spans="2:108" ht="24.6" hidden="1" x14ac:dyDescent="0.4">
      <c r="B7" s="1854" t="s">
        <v>18</v>
      </c>
      <c r="C7" s="1855">
        <f>+C11+C14+30+4.5</f>
        <v>194</v>
      </c>
      <c r="D7" s="1848"/>
      <c r="E7" s="1848"/>
      <c r="F7" s="1849"/>
    </row>
    <row r="8" spans="2:108" ht="24.6" hidden="1" x14ac:dyDescent="0.4">
      <c r="B8" s="1854" t="s">
        <v>19</v>
      </c>
      <c r="C8" s="1856">
        <f>+AR110</f>
        <v>746.99500648721551</v>
      </c>
      <c r="D8" s="1848"/>
      <c r="E8" s="1848"/>
      <c r="F8" s="1849"/>
    </row>
    <row r="9" spans="2:108" ht="24.6" hidden="1" x14ac:dyDescent="0.4">
      <c r="B9" s="1854" t="s">
        <v>14</v>
      </c>
      <c r="C9" s="1856">
        <f>+AO110</f>
        <v>218.19407832640624</v>
      </c>
      <c r="D9" s="1848"/>
      <c r="E9" s="1848"/>
      <c r="F9" s="1849"/>
    </row>
    <row r="10" spans="2:108" ht="24.6" hidden="1" x14ac:dyDescent="0.4">
      <c r="B10" s="1852"/>
      <c r="C10" s="1853"/>
      <c r="D10" s="1848"/>
      <c r="E10" s="1848"/>
      <c r="F10" s="1849"/>
    </row>
    <row r="11" spans="2:108" ht="24.6" hidden="1" x14ac:dyDescent="0.4">
      <c r="B11" s="1857" t="s">
        <v>222</v>
      </c>
      <c r="C11" s="1858">
        <f>+B107*72+31</f>
        <v>103</v>
      </c>
      <c r="D11" s="1848"/>
      <c r="E11" s="1848"/>
      <c r="F11" s="1849"/>
      <c r="BL11" s="1551"/>
      <c r="BM11" s="1551"/>
      <c r="BN11" s="1551"/>
      <c r="BO11" s="1551"/>
      <c r="BP11" s="1551"/>
      <c r="BQ11" s="1551"/>
      <c r="BR11" s="1551"/>
      <c r="BS11" s="1551"/>
      <c r="BT11" s="1551"/>
      <c r="BU11" s="1551"/>
      <c r="BV11" s="1551"/>
      <c r="BW11" s="1551"/>
      <c r="BX11" s="1551"/>
      <c r="BY11" s="1551"/>
      <c r="BZ11" s="1551"/>
      <c r="CA11" s="1551"/>
      <c r="CB11" s="1551"/>
      <c r="CC11" s="1551"/>
      <c r="CD11" s="1551"/>
      <c r="CE11" s="1551"/>
      <c r="CF11" s="1551"/>
      <c r="CG11" s="1551"/>
      <c r="CH11" s="1551"/>
      <c r="CI11" s="1551"/>
      <c r="CJ11" s="1551"/>
      <c r="CK11" s="1551"/>
      <c r="CL11" s="1551"/>
      <c r="CM11" s="1551"/>
      <c r="CN11" s="1551"/>
      <c r="CO11" s="1551"/>
      <c r="CP11" s="1551"/>
      <c r="CQ11" s="1551"/>
      <c r="CR11" s="1551"/>
      <c r="CS11" s="1551"/>
      <c r="CT11" s="1551"/>
      <c r="CU11" s="1551"/>
      <c r="CV11" s="1551"/>
      <c r="CW11" s="1551"/>
      <c r="CX11" s="1551"/>
      <c r="CY11" s="1551"/>
      <c r="CZ11" s="1551"/>
      <c r="DA11" s="1551"/>
      <c r="DB11" s="1551"/>
      <c r="DC11" s="1551"/>
      <c r="DD11" s="1551"/>
    </row>
    <row r="12" spans="2:108" ht="24.6" hidden="1" x14ac:dyDescent="0.4">
      <c r="B12" s="1857" t="s">
        <v>244</v>
      </c>
      <c r="C12" s="1859">
        <v>747</v>
      </c>
      <c r="D12" s="1860"/>
      <c r="E12" s="1848"/>
      <c r="F12" s="1849"/>
    </row>
    <row r="13" spans="2:108" ht="24.6" hidden="1" x14ac:dyDescent="0.4">
      <c r="B13" s="1852"/>
      <c r="C13" s="1853"/>
      <c r="D13" s="1860"/>
      <c r="E13" s="1848"/>
      <c r="F13" s="1849"/>
    </row>
    <row r="14" spans="2:108" ht="24.6" hidden="1" x14ac:dyDescent="0.4">
      <c r="B14" s="1861" t="s">
        <v>101</v>
      </c>
      <c r="C14" s="1862">
        <f>(+B128*25.5)+31</f>
        <v>56.5</v>
      </c>
      <c r="D14" s="1860"/>
      <c r="E14" s="1848"/>
      <c r="F14" s="1849"/>
    </row>
    <row r="15" spans="2:108" ht="24.6" hidden="1" x14ac:dyDescent="0.4">
      <c r="B15" s="1861" t="s">
        <v>103</v>
      </c>
      <c r="C15" s="1862">
        <v>326.60000000000002</v>
      </c>
      <c r="D15" s="1860"/>
      <c r="E15" s="1848"/>
      <c r="F15" s="1849"/>
    </row>
    <row r="16" spans="2:108" ht="24.6" hidden="1" x14ac:dyDescent="0.4">
      <c r="B16" s="1863"/>
      <c r="C16" s="1864"/>
      <c r="D16" s="1860"/>
      <c r="E16" s="1848"/>
      <c r="F16" s="1849"/>
    </row>
    <row r="17" spans="2:108" ht="24.6" hidden="1" x14ac:dyDescent="0.4">
      <c r="B17" s="1863"/>
      <c r="C17" s="1864"/>
      <c r="D17" s="1860"/>
      <c r="E17" s="1848"/>
      <c r="F17" s="1865" t="s">
        <v>225</v>
      </c>
    </row>
    <row r="18" spans="2:108" ht="49.2" hidden="1" x14ac:dyDescent="0.4">
      <c r="B18" s="1866" t="s">
        <v>120</v>
      </c>
      <c r="C18" s="1867">
        <v>5800</v>
      </c>
      <c r="D18" s="1867">
        <v>10000</v>
      </c>
      <c r="E18" s="1848"/>
      <c r="F18" s="1865" t="s">
        <v>71</v>
      </c>
    </row>
    <row r="19" spans="2:108" ht="49.2" hidden="1" x14ac:dyDescent="0.4">
      <c r="B19" s="1866" t="s">
        <v>121</v>
      </c>
      <c r="C19" s="1867">
        <v>5800</v>
      </c>
      <c r="D19" s="1867">
        <v>5800</v>
      </c>
      <c r="E19" s="1848"/>
      <c r="F19" s="1865" t="s">
        <v>243</v>
      </c>
    </row>
    <row r="20" spans="2:108" ht="49.2" hidden="1" x14ac:dyDescent="0.4">
      <c r="B20" s="1866" t="s">
        <v>169</v>
      </c>
      <c r="C20" s="1867">
        <v>8000</v>
      </c>
      <c r="D20" s="1867">
        <v>8000</v>
      </c>
      <c r="E20" s="1868">
        <v>8000</v>
      </c>
      <c r="F20" s="1849"/>
    </row>
    <row r="21" spans="2:108" ht="24.6" hidden="1" x14ac:dyDescent="0.4">
      <c r="B21" s="1861"/>
      <c r="C21" s="1867" t="s">
        <v>22</v>
      </c>
      <c r="D21" s="1867" t="s">
        <v>23</v>
      </c>
      <c r="E21" s="1848"/>
      <c r="F21" s="1849"/>
    </row>
    <row r="22" spans="2:108" ht="25.2" hidden="1" thickBot="1" x14ac:dyDescent="0.45">
      <c r="B22" s="1869" t="s">
        <v>102</v>
      </c>
      <c r="C22" s="1870">
        <f>+((C8-C9)/C8)*C7</f>
        <v>137.33342147174412</v>
      </c>
      <c r="D22" s="1870">
        <f>+(C9/C8)*C7</f>
        <v>56.666578528255883</v>
      </c>
      <c r="E22" s="1871"/>
      <c r="F22" s="1872"/>
    </row>
    <row r="23" spans="2:108" hidden="1" x14ac:dyDescent="0.3"/>
    <row r="24" spans="2:108" ht="54" hidden="1" customHeight="1" x14ac:dyDescent="0.95">
      <c r="E24" s="85"/>
      <c r="F24" s="85"/>
      <c r="G24" s="85"/>
      <c r="H24" s="243"/>
      <c r="I24" s="243"/>
      <c r="J24" s="243"/>
      <c r="K24" s="243"/>
      <c r="L24" s="243"/>
      <c r="M24" s="243"/>
      <c r="N24" s="243"/>
      <c r="O24" s="243"/>
      <c r="P24" s="243"/>
      <c r="Q24" s="243"/>
      <c r="R24" s="243"/>
      <c r="S24" s="243"/>
      <c r="AF24" s="243"/>
      <c r="AG24" s="243"/>
      <c r="AH24" s="243"/>
      <c r="AI24" s="243"/>
      <c r="AJ24" s="243"/>
      <c r="AK24" s="243"/>
      <c r="AL24" s="243"/>
      <c r="AM24" s="243"/>
      <c r="AN24" s="243"/>
      <c r="AO24" s="243"/>
      <c r="AP24" s="243"/>
      <c r="AQ24" s="243"/>
      <c r="AR24" s="243"/>
      <c r="AS24" s="243"/>
      <c r="AT24" s="243"/>
      <c r="AU24" s="243"/>
      <c r="AV24" s="243"/>
      <c r="AW24" s="243"/>
      <c r="AX24" s="243"/>
      <c r="AY24" s="243"/>
      <c r="AZ24" s="243"/>
      <c r="BA24" s="243"/>
      <c r="BB24" s="14"/>
      <c r="BF24" s="4"/>
      <c r="BG24" s="4"/>
      <c r="BH24" s="4"/>
      <c r="BI24" s="4"/>
      <c r="BJ24" s="4"/>
      <c r="BN24" s="1814"/>
    </row>
    <row r="25" spans="2:108" ht="36" customHeight="1" thickBot="1" x14ac:dyDescent="0.45">
      <c r="E25" s="85"/>
      <c r="F25" s="85"/>
      <c r="G25" s="85"/>
      <c r="H25" s="243"/>
      <c r="I25" s="243"/>
      <c r="J25" s="243"/>
      <c r="K25" s="243"/>
      <c r="L25" s="243"/>
      <c r="M25" s="243"/>
      <c r="N25" s="243"/>
      <c r="O25" s="243"/>
      <c r="P25" s="243"/>
      <c r="Q25" s="243"/>
      <c r="R25" s="243"/>
      <c r="S25" s="243"/>
      <c r="AF25" s="243"/>
      <c r="AG25" s="243"/>
      <c r="AH25" s="243"/>
      <c r="AI25" s="243"/>
      <c r="AJ25" s="243"/>
      <c r="AK25" s="243"/>
      <c r="AL25" s="243"/>
      <c r="AM25" s="243"/>
      <c r="AN25" s="243"/>
      <c r="AO25" s="243"/>
      <c r="AP25" s="243"/>
      <c r="AQ25" s="243"/>
      <c r="AR25" s="243"/>
      <c r="AS25" s="243"/>
      <c r="AT25" s="243"/>
      <c r="AU25" s="243"/>
      <c r="AV25" s="243"/>
      <c r="AW25" s="243"/>
      <c r="AX25" s="243"/>
      <c r="AY25" s="243"/>
      <c r="AZ25" s="243"/>
      <c r="BA25" s="243"/>
      <c r="BB25" s="14"/>
      <c r="BF25" s="4"/>
      <c r="BG25" s="4"/>
      <c r="BH25" s="4"/>
      <c r="BI25" s="4"/>
      <c r="BJ25" s="4"/>
      <c r="BO25" s="1552"/>
      <c r="BP25" s="1553" t="s">
        <v>28</v>
      </c>
      <c r="BQ25" s="1994">
        <f>+C7</f>
        <v>194</v>
      </c>
      <c r="BR25" s="1994"/>
      <c r="BS25" s="1554" t="s">
        <v>17</v>
      </c>
      <c r="BT25" s="1554"/>
      <c r="BU25" s="1555" t="s">
        <v>251</v>
      </c>
      <c r="BV25" s="1556"/>
      <c r="BW25" s="1556"/>
      <c r="BX25" s="1556"/>
      <c r="BY25" s="1556"/>
      <c r="BZ25" s="1556"/>
      <c r="CA25" s="1556"/>
      <c r="CB25" s="1556"/>
      <c r="CC25" s="1556"/>
      <c r="CD25" s="1556"/>
      <c r="CE25" s="1556"/>
      <c r="CF25" s="1556"/>
      <c r="CG25" s="1556"/>
      <c r="CH25" s="1556"/>
      <c r="CI25" s="1556"/>
      <c r="CJ25" s="1556"/>
      <c r="CK25" s="1556"/>
      <c r="CL25" s="1556"/>
      <c r="CM25" s="1556"/>
      <c r="CN25" s="1556"/>
      <c r="CO25" s="1557"/>
      <c r="CP25" s="1557"/>
      <c r="CQ25" s="1557"/>
      <c r="CR25" s="1557"/>
      <c r="CS25" s="1557"/>
      <c r="CT25" s="1557"/>
      <c r="CU25" s="1557"/>
      <c r="CV25" s="1557"/>
      <c r="CW25" s="1557"/>
      <c r="CX25" s="1557"/>
      <c r="CY25" s="1557"/>
      <c r="CZ25" s="1557"/>
      <c r="DA25" s="1557"/>
      <c r="DB25" s="1557"/>
      <c r="DC25" s="1557"/>
      <c r="DD25" s="1557"/>
    </row>
    <row r="26" spans="2:108" ht="45" customHeight="1" thickBot="1" x14ac:dyDescent="0.45">
      <c r="E26" s="85"/>
      <c r="F26" s="85"/>
      <c r="G26" s="85"/>
      <c r="H26" s="243"/>
      <c r="I26" s="243"/>
      <c r="J26" s="243"/>
      <c r="K26" s="243"/>
      <c r="L26" s="243"/>
      <c r="M26" s="243"/>
      <c r="N26" s="243"/>
      <c r="O26" s="243"/>
      <c r="P26" s="243"/>
      <c r="Q26" s="243"/>
      <c r="R26" s="243"/>
      <c r="S26" s="243"/>
      <c r="T26" s="243"/>
      <c r="U26" s="86"/>
      <c r="V26" s="243"/>
      <c r="W26" s="243"/>
      <c r="X26" s="243"/>
      <c r="Y26" s="243"/>
      <c r="Z26" s="243"/>
      <c r="AA26" s="243"/>
      <c r="AB26" s="86"/>
      <c r="AC26" s="86"/>
      <c r="AD26" s="86"/>
      <c r="AE26" s="86"/>
      <c r="AF26" s="243"/>
      <c r="AG26" s="243"/>
      <c r="AH26" s="243"/>
      <c r="AI26" s="243"/>
      <c r="AJ26" s="243"/>
      <c r="AK26" s="243"/>
      <c r="AL26" s="243"/>
      <c r="AM26" s="243"/>
      <c r="AN26" s="243"/>
      <c r="AO26" s="243"/>
      <c r="AP26" s="243"/>
      <c r="AQ26" s="243"/>
      <c r="AR26" s="243"/>
      <c r="AS26" s="243"/>
      <c r="AT26" s="243"/>
      <c r="AU26" s="243"/>
      <c r="AV26" s="243"/>
      <c r="AW26" s="243"/>
      <c r="AX26" s="243"/>
      <c r="AY26" s="243"/>
      <c r="AZ26" s="243"/>
      <c r="BA26" s="243"/>
      <c r="BB26" s="14"/>
      <c r="BF26" s="4"/>
      <c r="BG26" s="4"/>
      <c r="BH26" s="4"/>
      <c r="BI26" s="4"/>
      <c r="BJ26" s="4"/>
      <c r="BM26" s="1559" t="b">
        <f>AND(BQ27&gt;0,CO27&gt;0)</f>
        <v>1</v>
      </c>
      <c r="BN26" s="1560" t="str">
        <f>IF(BM26=TRUE,"","negative force at the motor")</f>
        <v/>
      </c>
      <c r="BO26" s="1561" t="s">
        <v>227</v>
      </c>
      <c r="BP26" s="1562" t="s">
        <v>30</v>
      </c>
      <c r="BQ26" s="1563" t="s">
        <v>31</v>
      </c>
      <c r="BR26" s="1564"/>
      <c r="BS26" s="1565"/>
      <c r="BT26" s="1565"/>
      <c r="BU26" s="1565"/>
      <c r="BV26" s="1565"/>
      <c r="BW26" s="1565"/>
      <c r="BX26" s="1565"/>
      <c r="BY26" s="1565"/>
      <c r="BZ26" s="1565"/>
      <c r="CA26" s="1565"/>
      <c r="CB26" s="1565"/>
      <c r="CC26" s="1565"/>
      <c r="CD26" s="1565"/>
      <c r="CE26" s="1565"/>
      <c r="CF26" s="1565"/>
      <c r="CG26" s="1565"/>
      <c r="CH26" s="1565"/>
      <c r="CI26" s="1566"/>
      <c r="CJ26" s="1567"/>
      <c r="CK26" s="1568"/>
      <c r="CL26" s="1568"/>
      <c r="CM26" s="1568"/>
      <c r="CN26" s="1568"/>
      <c r="CO26" s="1564"/>
      <c r="CP26" s="1569" t="s">
        <v>32</v>
      </c>
      <c r="CQ26" s="2013"/>
      <c r="CR26" s="2013"/>
      <c r="CS26" s="2013"/>
      <c r="CT26" s="2013"/>
      <c r="CU26" s="2013"/>
      <c r="CV26" s="2013"/>
      <c r="CW26" s="2013"/>
      <c r="CX26" s="2013"/>
      <c r="CY26" s="2013"/>
      <c r="CZ26" s="2013"/>
      <c r="DA26" s="2014"/>
      <c r="DB26" s="1557"/>
      <c r="DC26" s="1557"/>
      <c r="DD26" s="1557"/>
    </row>
    <row r="27" spans="2:108" ht="45" customHeight="1" thickBot="1" x14ac:dyDescent="0.5">
      <c r="E27" s="85"/>
      <c r="F27" s="85"/>
      <c r="G27" s="85"/>
      <c r="H27" s="243"/>
      <c r="I27" s="243"/>
      <c r="J27" s="243"/>
      <c r="K27" s="243"/>
      <c r="L27" s="243"/>
      <c r="M27" s="243"/>
      <c r="N27" s="243"/>
      <c r="O27" s="243"/>
      <c r="P27" s="243"/>
      <c r="Q27" s="243"/>
      <c r="R27" s="243"/>
      <c r="S27" s="265"/>
      <c r="T27" s="244"/>
      <c r="U27" s="244"/>
      <c r="AF27" s="243"/>
      <c r="AG27" s="243"/>
      <c r="AH27" s="243"/>
      <c r="AI27" s="243"/>
      <c r="AJ27" s="243"/>
      <c r="AK27" s="243"/>
      <c r="AL27" s="243"/>
      <c r="AM27" s="243"/>
      <c r="AN27" s="243"/>
      <c r="AO27" s="243"/>
      <c r="AP27" s="243"/>
      <c r="AQ27" s="243"/>
      <c r="AR27" s="243"/>
      <c r="AS27" s="243"/>
      <c r="AT27" s="243"/>
      <c r="AU27" s="243"/>
      <c r="AV27" s="243"/>
      <c r="AW27" s="243"/>
      <c r="AX27" s="243"/>
      <c r="AY27" s="243"/>
      <c r="AZ27" s="243"/>
      <c r="BA27" s="243"/>
      <c r="BB27" s="14"/>
      <c r="BF27" s="4"/>
      <c r="BG27" s="4"/>
      <c r="BH27" s="4"/>
      <c r="BI27" s="4"/>
      <c r="BJ27" s="4"/>
      <c r="BM27" s="1550" t="b">
        <f>AND(BO27&gt;=10,$AZ$110&gt;=10,$BA$110&gt;=10)</f>
        <v>1</v>
      </c>
      <c r="BN27" s="1570" t="str">
        <f>IF(BM27=TRUE,"O K","OVERLOAD")</f>
        <v>O K</v>
      </c>
      <c r="BO27" s="1571">
        <f>+D20/(MAX(BQ27,CO27))</f>
        <v>77.677164798337927</v>
      </c>
      <c r="BP27" s="1572" t="s">
        <v>228</v>
      </c>
      <c r="BQ27" s="2026">
        <f>+((D4-D5)/D4)*C7</f>
        <v>91.009629267890375</v>
      </c>
      <c r="BR27" s="2027"/>
      <c r="BS27" s="1573"/>
      <c r="BT27" s="1573"/>
      <c r="BU27" s="1573"/>
      <c r="BV27" s="1574"/>
      <c r="BW27" s="1574"/>
      <c r="BX27" s="1574"/>
      <c r="BY27" s="1575"/>
      <c r="BZ27" s="1575"/>
      <c r="CA27" s="1575"/>
      <c r="CB27" s="1575"/>
      <c r="CC27" s="1575"/>
      <c r="CD27" s="1575"/>
      <c r="CE27" s="1575"/>
      <c r="CF27" s="1575"/>
      <c r="CG27" s="1575"/>
      <c r="CH27" s="1575"/>
      <c r="CI27" s="1576"/>
      <c r="CJ27" s="1573"/>
      <c r="CK27" s="1573"/>
      <c r="CL27" s="1573"/>
      <c r="CM27" s="1574"/>
      <c r="CN27" s="1574"/>
      <c r="CO27" s="2028">
        <f>+(D5/D4)*C7</f>
        <v>102.99037073210964</v>
      </c>
      <c r="CP27" s="2029"/>
      <c r="CQ27" s="2015"/>
      <c r="CR27" s="2015"/>
      <c r="CS27" s="2015"/>
      <c r="CT27" s="2015"/>
      <c r="CU27" s="2015"/>
      <c r="CV27" s="2015"/>
      <c r="CW27" s="2015"/>
      <c r="CX27" s="2015"/>
      <c r="CY27" s="2015"/>
      <c r="CZ27" s="2015"/>
      <c r="DA27" s="2016"/>
      <c r="DB27" s="1557"/>
      <c r="DC27" s="1557"/>
      <c r="DD27" s="1557"/>
    </row>
    <row r="28" spans="2:108" ht="15" customHeight="1" thickBot="1" x14ac:dyDescent="0.5">
      <c r="E28" s="85"/>
      <c r="F28" s="85"/>
      <c r="G28" s="85"/>
      <c r="H28" s="243"/>
      <c r="I28" s="243"/>
      <c r="J28" s="243"/>
      <c r="K28" s="243"/>
      <c r="L28" s="243"/>
      <c r="M28" s="243"/>
      <c r="N28" s="243"/>
      <c r="O28" s="243"/>
      <c r="P28" s="243"/>
      <c r="Q28" s="243"/>
      <c r="R28" s="243"/>
      <c r="S28" s="265"/>
      <c r="T28" s="266"/>
      <c r="U28" s="244"/>
      <c r="AF28" s="243"/>
      <c r="AG28" s="243"/>
      <c r="AH28" s="243"/>
      <c r="AI28" s="243"/>
      <c r="AJ28" s="243"/>
      <c r="AK28" s="243"/>
      <c r="AL28" s="243"/>
      <c r="AM28" s="243"/>
      <c r="AN28" s="243"/>
      <c r="AO28" s="243"/>
      <c r="AP28" s="243"/>
      <c r="AQ28" s="243"/>
      <c r="AR28" s="243"/>
      <c r="AS28" s="243"/>
      <c r="AT28" s="243"/>
      <c r="AU28" s="243"/>
      <c r="AV28" s="243"/>
      <c r="AW28" s="243"/>
      <c r="AX28" s="243"/>
      <c r="AY28" s="243"/>
      <c r="AZ28" s="243"/>
      <c r="BA28" s="243"/>
      <c r="BB28" s="14"/>
      <c r="BF28" s="4"/>
      <c r="BG28" s="4"/>
      <c r="BH28" s="4"/>
      <c r="BI28" s="4"/>
      <c r="BJ28" s="4"/>
      <c r="BN28" s="1577"/>
      <c r="BO28" s="1578"/>
      <c r="BP28" s="1579"/>
      <c r="BQ28" s="1580"/>
      <c r="BR28" s="1580"/>
      <c r="BS28" s="1579"/>
      <c r="BT28" s="1579"/>
      <c r="BU28" s="1579"/>
      <c r="BV28" s="1579"/>
      <c r="BW28" s="1579"/>
      <c r="BX28" s="1579"/>
      <c r="BY28" s="1579"/>
      <c r="BZ28" s="1579"/>
      <c r="CA28" s="1579"/>
      <c r="CB28" s="1579"/>
      <c r="CC28" s="1579"/>
      <c r="CD28" s="1579"/>
      <c r="CE28" s="1579"/>
      <c r="CF28" s="1579"/>
      <c r="CG28" s="1579"/>
      <c r="CH28" s="1579"/>
      <c r="CI28" s="1581"/>
      <c r="CJ28" s="1582"/>
      <c r="CK28" s="1582"/>
      <c r="CL28" s="1580"/>
      <c r="CM28" s="1583"/>
      <c r="CN28" s="1583"/>
      <c r="CO28" s="1583"/>
      <c r="CP28" s="1583"/>
      <c r="CQ28" s="1583"/>
      <c r="CR28" s="1583"/>
      <c r="CS28" s="1583"/>
      <c r="CT28" s="1583"/>
      <c r="CU28" s="1583"/>
      <c r="CV28" s="1583"/>
      <c r="CW28" s="1583"/>
      <c r="CX28" s="1583"/>
      <c r="CY28" s="1583"/>
      <c r="CZ28" s="1583"/>
      <c r="DA28" s="1583"/>
      <c r="DB28" s="1583"/>
      <c r="DC28" s="1557"/>
      <c r="DD28" s="1557"/>
    </row>
    <row r="29" spans="2:108" ht="45" customHeight="1" thickBot="1" x14ac:dyDescent="0.45">
      <c r="E29" s="85"/>
      <c r="F29" s="85"/>
      <c r="G29" s="85"/>
      <c r="H29" s="243"/>
      <c r="I29" s="243"/>
      <c r="J29" s="243"/>
      <c r="K29" s="243"/>
      <c r="L29" s="243"/>
      <c r="M29" s="243"/>
      <c r="N29" s="243"/>
      <c r="O29" s="243"/>
      <c r="P29" s="243"/>
      <c r="Q29" s="243"/>
      <c r="R29" s="243"/>
      <c r="S29" s="265"/>
      <c r="T29" s="265"/>
      <c r="U29" s="86"/>
      <c r="V29" s="243"/>
      <c r="W29" s="243"/>
      <c r="X29" s="243"/>
      <c r="Y29" s="243"/>
      <c r="Z29" s="243"/>
      <c r="AA29" s="243"/>
      <c r="AB29" s="86"/>
      <c r="AC29" s="86"/>
      <c r="AD29" s="86"/>
      <c r="AE29" s="86"/>
      <c r="AF29" s="243"/>
      <c r="AG29" s="243"/>
      <c r="AH29" s="243"/>
      <c r="AI29" s="243"/>
      <c r="AJ29" s="243"/>
      <c r="AK29" s="243"/>
      <c r="AL29" s="243"/>
      <c r="AM29" s="243"/>
      <c r="AN29" s="243"/>
      <c r="AO29" s="243"/>
      <c r="AP29" s="243"/>
      <c r="AQ29" s="243"/>
      <c r="AR29" s="243"/>
      <c r="AS29" s="243"/>
      <c r="AT29" s="243"/>
      <c r="AU29" s="243"/>
      <c r="AV29" s="243"/>
      <c r="AW29" s="243"/>
      <c r="AX29" s="243"/>
      <c r="AY29" s="243"/>
      <c r="AZ29" s="243"/>
      <c r="BA29" s="243"/>
      <c r="BB29" s="14"/>
      <c r="BF29" s="4"/>
      <c r="BG29" s="4"/>
      <c r="BH29" s="4"/>
      <c r="BI29" s="4"/>
      <c r="BJ29" s="4"/>
      <c r="BM29" s="1559" t="b">
        <f>AND(CB30&gt;0,CZ30&gt;0)</f>
        <v>1</v>
      </c>
      <c r="BN29" s="1560" t="str">
        <f>IF(BM29=TRUE,"","negative force at the motor")</f>
        <v/>
      </c>
      <c r="BO29" s="1561" t="s">
        <v>227</v>
      </c>
      <c r="BP29" s="1584" t="s">
        <v>30</v>
      </c>
      <c r="BQ29" s="2017"/>
      <c r="BR29" s="2013"/>
      <c r="BS29" s="2013"/>
      <c r="BT29" s="2013"/>
      <c r="BU29" s="2013"/>
      <c r="BV29" s="2013"/>
      <c r="BW29" s="2013"/>
      <c r="BX29" s="2013"/>
      <c r="BY29" s="2013"/>
      <c r="BZ29" s="2013"/>
      <c r="CA29" s="2013"/>
      <c r="CB29" s="1585" t="s">
        <v>31</v>
      </c>
      <c r="CC29" s="1586"/>
      <c r="CD29" s="1587"/>
      <c r="CE29" s="1587"/>
      <c r="CF29" s="1587"/>
      <c r="CG29" s="1587"/>
      <c r="CH29" s="1587"/>
      <c r="CI29" s="1587"/>
      <c r="CJ29" s="1587"/>
      <c r="CK29" s="1587"/>
      <c r="CL29" s="1587"/>
      <c r="CM29" s="1587"/>
      <c r="CN29" s="1588"/>
      <c r="CO29" s="1589"/>
      <c r="CP29" s="1589"/>
      <c r="CQ29" s="1589"/>
      <c r="CR29" s="1589"/>
      <c r="CS29" s="1590"/>
      <c r="CT29" s="1590"/>
      <c r="CU29" s="1588"/>
      <c r="CV29" s="1588"/>
      <c r="CW29" s="1588"/>
      <c r="CX29" s="1588"/>
      <c r="CY29" s="1588"/>
      <c r="CZ29" s="1591"/>
      <c r="DA29" s="1592" t="s">
        <v>32</v>
      </c>
      <c r="DB29" s="1593"/>
      <c r="DC29" s="1557"/>
      <c r="DD29" s="1557"/>
    </row>
    <row r="30" spans="2:108" ht="45" customHeight="1" thickBot="1" x14ac:dyDescent="0.5">
      <c r="E30" s="85"/>
      <c r="F30" s="85"/>
      <c r="G30" s="85"/>
      <c r="H30" s="243"/>
      <c r="I30" s="243"/>
      <c r="J30" s="243"/>
      <c r="K30" s="243"/>
      <c r="L30" s="243"/>
      <c r="M30" s="243"/>
      <c r="N30" s="243"/>
      <c r="O30" s="243"/>
      <c r="P30" s="243"/>
      <c r="Q30" s="243"/>
      <c r="R30" s="243"/>
      <c r="U30" s="86"/>
      <c r="V30" s="243"/>
      <c r="W30" s="243"/>
      <c r="X30" s="243"/>
      <c r="Y30" s="243"/>
      <c r="Z30" s="243"/>
      <c r="AA30" s="243"/>
      <c r="AB30" s="86"/>
      <c r="AC30" s="86"/>
      <c r="AD30" s="86"/>
      <c r="AE30" s="86"/>
      <c r="AF30" s="243"/>
      <c r="AG30" s="243"/>
      <c r="AH30" s="243"/>
      <c r="AI30" s="243"/>
      <c r="AJ30" s="243"/>
      <c r="AK30" s="243"/>
      <c r="AL30" s="243"/>
      <c r="AM30" s="243"/>
      <c r="AN30" s="243"/>
      <c r="AO30" s="243"/>
      <c r="AP30" s="243"/>
      <c r="AQ30" s="243"/>
      <c r="AR30" s="243"/>
      <c r="AS30" s="243"/>
      <c r="AT30" s="243"/>
      <c r="AU30" s="243"/>
      <c r="AV30" s="243"/>
      <c r="AW30" s="243"/>
      <c r="AX30" s="243"/>
      <c r="AY30" s="243"/>
      <c r="AZ30" s="243"/>
      <c r="BA30" s="243"/>
      <c r="BB30" s="14"/>
      <c r="BF30" s="4"/>
      <c r="BG30" s="4"/>
      <c r="BH30" s="4"/>
      <c r="BI30" s="4"/>
      <c r="BJ30" s="4"/>
      <c r="BM30" s="1550" t="b">
        <f>AND(BO30&gt;=10,$AZ$110&gt;=10,$BA$110&gt;=10)</f>
        <v>1</v>
      </c>
      <c r="BN30" s="1570" t="str">
        <f>IF(BM30=TRUE,"O K","OVERLOAD")</f>
        <v>O K</v>
      </c>
      <c r="BO30" s="1571">
        <f>+$D$20/(MAX(CB30,CZ30))</f>
        <v>49.020906723093653</v>
      </c>
      <c r="BP30" s="1594" t="s">
        <v>229</v>
      </c>
      <c r="BQ30" s="2018"/>
      <c r="BR30" s="2015"/>
      <c r="BS30" s="2015"/>
      <c r="BT30" s="2015"/>
      <c r="BU30" s="2015"/>
      <c r="BV30" s="2015"/>
      <c r="BW30" s="2015"/>
      <c r="BX30" s="2015"/>
      <c r="BY30" s="2015"/>
      <c r="BZ30" s="2015"/>
      <c r="CA30" s="2015"/>
      <c r="CB30" s="2030">
        <f>+((D4-D3)/D4)*C7</f>
        <v>163.1956757795183</v>
      </c>
      <c r="CC30" s="2031"/>
      <c r="CD30" s="1595"/>
      <c r="CE30" s="1595"/>
      <c r="CF30" s="1595"/>
      <c r="CG30" s="1595"/>
      <c r="CH30" s="1595"/>
      <c r="CI30" s="1595"/>
      <c r="CJ30" s="1595"/>
      <c r="CK30" s="1595"/>
      <c r="CL30" s="1595"/>
      <c r="CM30" s="1595"/>
      <c r="CN30" s="1596"/>
      <c r="CO30" s="1597"/>
      <c r="CP30" s="1597"/>
      <c r="CQ30" s="1597"/>
      <c r="CR30" s="1597"/>
      <c r="CS30" s="1598"/>
      <c r="CT30" s="1598"/>
      <c r="CU30" s="1599"/>
      <c r="CV30" s="1599"/>
      <c r="CW30" s="1599"/>
      <c r="CX30" s="1599"/>
      <c r="CY30" s="1599"/>
      <c r="CZ30" s="2019">
        <f>+(D3/D4)*C7</f>
        <v>30.80432422048171</v>
      </c>
      <c r="DA30" s="2020"/>
      <c r="DB30" s="1600"/>
      <c r="DC30" s="1557"/>
      <c r="DD30" s="1557"/>
    </row>
    <row r="31" spans="2:108" ht="15" customHeight="1" thickBot="1" x14ac:dyDescent="0.45">
      <c r="E31" s="85"/>
      <c r="F31" s="85"/>
      <c r="G31" s="85"/>
      <c r="H31" s="243"/>
      <c r="I31" s="243"/>
      <c r="J31" s="243"/>
      <c r="K31" s="243"/>
      <c r="L31" s="243"/>
      <c r="M31" s="243"/>
      <c r="N31" s="243"/>
      <c r="O31" s="243"/>
      <c r="P31" s="243"/>
      <c r="Q31" s="243"/>
      <c r="R31" s="243"/>
      <c r="U31" s="86"/>
      <c r="V31" s="243"/>
      <c r="W31" s="243"/>
      <c r="X31" s="243"/>
      <c r="Y31" s="243"/>
      <c r="Z31" s="243"/>
      <c r="AA31" s="243"/>
      <c r="AB31" s="86"/>
      <c r="AC31" s="86"/>
      <c r="AD31" s="86"/>
      <c r="AE31" s="86"/>
      <c r="AF31" s="243"/>
      <c r="AG31" s="243"/>
      <c r="AH31" s="243"/>
      <c r="AI31" s="243"/>
      <c r="AJ31" s="243"/>
      <c r="AK31" s="243"/>
      <c r="AL31" s="243"/>
      <c r="AM31" s="243"/>
      <c r="AN31" s="243"/>
      <c r="AO31" s="243"/>
      <c r="AP31" s="243"/>
      <c r="AQ31" s="243"/>
      <c r="AR31" s="243"/>
      <c r="AS31" s="243"/>
      <c r="AT31" s="243"/>
      <c r="AU31" s="243"/>
      <c r="AV31" s="243"/>
      <c r="AW31" s="243"/>
      <c r="AX31" s="243"/>
      <c r="AY31" s="243"/>
      <c r="AZ31" s="243"/>
      <c r="BA31" s="243"/>
      <c r="BB31" s="14"/>
      <c r="BF31" s="4"/>
      <c r="BG31" s="4"/>
      <c r="BH31" s="4"/>
      <c r="BI31" s="4"/>
      <c r="BJ31" s="4"/>
      <c r="BN31" s="1577"/>
      <c r="BO31" s="1601"/>
      <c r="BP31" s="1602"/>
      <c r="BQ31" s="1602"/>
      <c r="BR31" s="1602"/>
      <c r="BS31" s="1602"/>
      <c r="BT31" s="1602"/>
      <c r="BU31" s="1602"/>
      <c r="BV31" s="1602"/>
      <c r="BW31" s="1602"/>
      <c r="BX31" s="1602"/>
      <c r="BY31" s="1603"/>
      <c r="BZ31" s="1603"/>
      <c r="CA31" s="1604"/>
      <c r="CB31" s="1604"/>
      <c r="CC31" s="1604"/>
      <c r="CD31" s="1604"/>
      <c r="CE31" s="1604"/>
      <c r="CF31" s="1604"/>
      <c r="CG31" s="1604"/>
      <c r="CH31" s="1604"/>
      <c r="CI31" s="1604"/>
      <c r="CJ31" s="1604"/>
      <c r="CK31" s="1604"/>
      <c r="CL31" s="1604"/>
      <c r="CM31" s="1604"/>
      <c r="CN31" s="1605"/>
      <c r="CO31" s="1606"/>
      <c r="CP31" s="1606"/>
      <c r="CQ31" s="1606"/>
      <c r="CR31" s="1606"/>
      <c r="CS31" s="1600"/>
      <c r="CT31" s="1600"/>
      <c r="CU31" s="1600"/>
      <c r="CV31" s="1600"/>
      <c r="CW31" s="1600"/>
      <c r="CX31" s="1600"/>
      <c r="CY31" s="1600"/>
      <c r="CZ31" s="1600"/>
      <c r="DA31" s="1600"/>
      <c r="DB31" s="1600"/>
      <c r="DC31" s="1557"/>
      <c r="DD31" s="1557"/>
    </row>
    <row r="32" spans="2:108" ht="45" customHeight="1" thickBot="1" x14ac:dyDescent="0.45">
      <c r="E32" s="85"/>
      <c r="F32" s="85"/>
      <c r="G32" s="85"/>
      <c r="H32" s="243"/>
      <c r="I32" s="243"/>
      <c r="J32" s="243"/>
      <c r="K32" s="243"/>
      <c r="L32" s="243"/>
      <c r="M32" s="243"/>
      <c r="N32" s="243"/>
      <c r="O32" s="243"/>
      <c r="P32" s="243"/>
      <c r="Q32" s="243"/>
      <c r="R32" s="243"/>
      <c r="U32" s="86"/>
      <c r="V32" s="243"/>
      <c r="W32" s="243"/>
      <c r="X32" s="243"/>
      <c r="Y32" s="243"/>
      <c r="Z32" s="243"/>
      <c r="AA32" s="243"/>
      <c r="AB32" s="86"/>
      <c r="AC32" s="86"/>
      <c r="AD32" s="86"/>
      <c r="AE32" s="86"/>
      <c r="AF32" s="243"/>
      <c r="AG32" s="243"/>
      <c r="AH32" s="243"/>
      <c r="AI32" s="243"/>
      <c r="AJ32" s="243"/>
      <c r="AK32" s="243"/>
      <c r="AL32" s="243"/>
      <c r="AM32" s="243"/>
      <c r="AN32" s="243"/>
      <c r="AO32" s="243"/>
      <c r="AP32" s="243"/>
      <c r="AQ32" s="243"/>
      <c r="AR32" s="243"/>
      <c r="AS32" s="243"/>
      <c r="AT32" s="243"/>
      <c r="AU32" s="243"/>
      <c r="AV32" s="243"/>
      <c r="AW32" s="243"/>
      <c r="AX32" s="243"/>
      <c r="AY32" s="243"/>
      <c r="AZ32" s="243"/>
      <c r="BA32" s="243"/>
      <c r="BB32" s="14"/>
      <c r="BF32" s="4"/>
      <c r="BG32" s="4"/>
      <c r="BH32" s="4"/>
      <c r="BI32" s="4"/>
      <c r="BJ32" s="4"/>
      <c r="BM32" s="1559" t="b">
        <f>AND(CB33&gt;0,CQ33&gt;0)</f>
        <v>1</v>
      </c>
      <c r="BN32" s="1560" t="str">
        <f>IF(BM32=TRUE,"","negative force at the motor")</f>
        <v/>
      </c>
      <c r="BO32" s="1561" t="s">
        <v>227</v>
      </c>
      <c r="BP32" s="1607" t="s">
        <v>30</v>
      </c>
      <c r="BQ32" s="2017"/>
      <c r="BR32" s="2013"/>
      <c r="BS32" s="2013"/>
      <c r="BT32" s="2013"/>
      <c r="BU32" s="2013"/>
      <c r="BV32" s="2013"/>
      <c r="BW32" s="2013"/>
      <c r="BX32" s="2013"/>
      <c r="BY32" s="2013"/>
      <c r="BZ32" s="2013"/>
      <c r="CA32" s="2013"/>
      <c r="CB32" s="1608" t="s">
        <v>31</v>
      </c>
      <c r="CC32" s="1609"/>
      <c r="CD32" s="1610"/>
      <c r="CE32" s="1610"/>
      <c r="CF32" s="1610"/>
      <c r="CG32" s="1610"/>
      <c r="CH32" s="1610"/>
      <c r="CI32" s="1611"/>
      <c r="CJ32" s="1612"/>
      <c r="CK32" s="1613"/>
      <c r="CL32" s="1613"/>
      <c r="CM32" s="1614"/>
      <c r="CN32" s="1614"/>
      <c r="CO32" s="1614"/>
      <c r="CP32" s="1614"/>
      <c r="CQ32" s="1609"/>
      <c r="CR32" s="1615" t="s">
        <v>32</v>
      </c>
      <c r="CS32" s="2013"/>
      <c r="CT32" s="2013"/>
      <c r="CU32" s="2013"/>
      <c r="CV32" s="2013"/>
      <c r="CW32" s="2013"/>
      <c r="CX32" s="2013"/>
      <c r="CY32" s="2013"/>
      <c r="CZ32" s="2013"/>
      <c r="DA32" s="2014"/>
      <c r="DB32" s="1583"/>
      <c r="DC32" s="1557"/>
      <c r="DD32" s="1557"/>
    </row>
    <row r="33" spans="2:108" ht="45" customHeight="1" thickBot="1" x14ac:dyDescent="0.5">
      <c r="E33" s="85"/>
      <c r="F33" s="85"/>
      <c r="G33" s="85"/>
      <c r="H33" s="243"/>
      <c r="I33" s="243"/>
      <c r="J33" s="243"/>
      <c r="K33" s="243"/>
      <c r="L33" s="243"/>
      <c r="M33" s="243"/>
      <c r="N33" s="243"/>
      <c r="O33" s="243"/>
      <c r="P33" s="243"/>
      <c r="Q33" s="243"/>
      <c r="R33" s="243"/>
      <c r="S33" s="243"/>
      <c r="T33" s="243"/>
      <c r="U33" s="86"/>
      <c r="V33" s="243"/>
      <c r="W33" s="243"/>
      <c r="X33" s="243"/>
      <c r="Y33" s="243"/>
      <c r="Z33" s="243"/>
      <c r="AA33" s="243"/>
      <c r="AB33" s="86"/>
      <c r="AC33" s="86"/>
      <c r="AD33" s="86"/>
      <c r="AE33" s="86"/>
      <c r="AF33" s="243"/>
      <c r="AG33" s="243"/>
      <c r="AH33" s="243"/>
      <c r="AI33" s="243"/>
      <c r="AJ33" s="243"/>
      <c r="AK33" s="243"/>
      <c r="AL33" s="243"/>
      <c r="AM33" s="243"/>
      <c r="AN33" s="243"/>
      <c r="AO33" s="243"/>
      <c r="AP33" s="243"/>
      <c r="AQ33" s="243"/>
      <c r="AR33" s="243"/>
      <c r="AS33" s="243"/>
      <c r="AT33" s="243"/>
      <c r="AU33" s="243"/>
      <c r="AV33" s="243"/>
      <c r="AW33" s="243"/>
      <c r="AX33" s="243"/>
      <c r="AY33" s="243"/>
      <c r="AZ33" s="243"/>
      <c r="BA33" s="243"/>
      <c r="BB33" s="14"/>
      <c r="BF33" s="4"/>
      <c r="BG33" s="4"/>
      <c r="BH33" s="4"/>
      <c r="BI33" s="4"/>
      <c r="BJ33" s="4"/>
      <c r="BM33" s="1550" t="b">
        <f>AND(BO33&gt;=10,$AZ$110&gt;=10,$BA$110&gt;=10)</f>
        <v>1</v>
      </c>
      <c r="BN33" s="1570" t="str">
        <f>IF(BM33=TRUE,"O K","OVERLOAD")</f>
        <v>O K</v>
      </c>
      <c r="BO33" s="1616">
        <f>+$D$20/(MAX(CB33,CQ33))</f>
        <v>54.844014113208317</v>
      </c>
      <c r="BP33" s="1617" t="s">
        <v>230</v>
      </c>
      <c r="BQ33" s="2018"/>
      <c r="BR33" s="2015"/>
      <c r="BS33" s="2015"/>
      <c r="BT33" s="2015"/>
      <c r="BU33" s="2015"/>
      <c r="BV33" s="2015"/>
      <c r="BW33" s="2015"/>
      <c r="BX33" s="2015"/>
      <c r="BY33" s="2015"/>
      <c r="BZ33" s="2015"/>
      <c r="CA33" s="2015"/>
      <c r="CB33" s="2022">
        <f>+((D2-D3)/D2)*C7</f>
        <v>145.86824340549731</v>
      </c>
      <c r="CC33" s="2023"/>
      <c r="CD33" s="1618"/>
      <c r="CE33" s="1618"/>
      <c r="CF33" s="1618"/>
      <c r="CG33" s="1618"/>
      <c r="CH33" s="1618"/>
      <c r="CI33" s="1619"/>
      <c r="CJ33" s="1620"/>
      <c r="CK33" s="1621"/>
      <c r="CL33" s="1621"/>
      <c r="CM33" s="1622"/>
      <c r="CN33" s="1622"/>
      <c r="CO33" s="1622"/>
      <c r="CP33" s="1622"/>
      <c r="CQ33" s="2024">
        <f>+(D3/D2)*C7</f>
        <v>48.131756594502669</v>
      </c>
      <c r="CR33" s="2025"/>
      <c r="CS33" s="2015"/>
      <c r="CT33" s="2015"/>
      <c r="CU33" s="2015"/>
      <c r="CV33" s="2015"/>
      <c r="CW33" s="2015"/>
      <c r="CX33" s="2015"/>
      <c r="CY33" s="2015"/>
      <c r="CZ33" s="2015"/>
      <c r="DA33" s="2016"/>
      <c r="DB33" s="1583"/>
      <c r="DC33" s="1557"/>
      <c r="DD33" s="1557"/>
    </row>
    <row r="34" spans="2:108" ht="15" customHeight="1" thickBot="1" x14ac:dyDescent="0.45">
      <c r="E34" s="85"/>
      <c r="F34" s="85"/>
      <c r="G34" s="85"/>
      <c r="H34" s="243"/>
      <c r="I34" s="243"/>
      <c r="J34" s="243"/>
      <c r="K34" s="243"/>
      <c r="L34" s="243"/>
      <c r="M34" s="243"/>
      <c r="N34" s="243"/>
      <c r="O34" s="243"/>
      <c r="P34" s="243"/>
      <c r="Q34" s="243"/>
      <c r="R34" s="243"/>
      <c r="S34" s="243"/>
      <c r="T34" s="243"/>
      <c r="U34" s="86"/>
      <c r="V34" s="243"/>
      <c r="W34" s="243"/>
      <c r="X34" s="243"/>
      <c r="Y34" s="243"/>
      <c r="Z34" s="243"/>
      <c r="AA34" s="243"/>
      <c r="AB34" s="86"/>
      <c r="AC34" s="86"/>
      <c r="AD34" s="86"/>
      <c r="AE34" s="86"/>
      <c r="AF34" s="243"/>
      <c r="AG34" s="243"/>
      <c r="AH34" s="243"/>
      <c r="AI34" s="243"/>
      <c r="AJ34" s="243"/>
      <c r="AK34" s="243"/>
      <c r="AL34" s="243"/>
      <c r="AM34" s="243"/>
      <c r="AN34" s="243"/>
      <c r="AO34" s="243"/>
      <c r="AP34" s="243"/>
      <c r="AQ34" s="243"/>
      <c r="AR34" s="243"/>
      <c r="AS34" s="243"/>
      <c r="AT34" s="243"/>
      <c r="AU34" s="243"/>
      <c r="AV34" s="243"/>
      <c r="AW34" s="243"/>
      <c r="AX34" s="243"/>
      <c r="AY34" s="243"/>
      <c r="AZ34" s="243"/>
      <c r="BA34" s="243"/>
      <c r="BB34" s="14"/>
      <c r="BF34" s="4"/>
      <c r="BG34" s="4"/>
      <c r="BH34" s="4"/>
      <c r="BI34" s="4"/>
      <c r="BJ34" s="4"/>
      <c r="BN34" s="1577"/>
      <c r="BO34" s="1601"/>
      <c r="BP34" s="1602"/>
      <c r="BQ34" s="1602"/>
      <c r="BR34" s="1602"/>
      <c r="BS34" s="1602"/>
      <c r="BT34" s="1602"/>
      <c r="BU34" s="1602"/>
      <c r="BV34" s="1602"/>
      <c r="BW34" s="1602"/>
      <c r="BX34" s="1602"/>
      <c r="BY34" s="1603"/>
      <c r="BZ34" s="1603"/>
      <c r="CA34" s="1604"/>
      <c r="CB34" s="1604"/>
      <c r="CC34" s="1604"/>
      <c r="CD34" s="1604"/>
      <c r="CE34" s="1604"/>
      <c r="CF34" s="1604"/>
      <c r="CG34" s="1604"/>
      <c r="CH34" s="1604"/>
      <c r="CI34" s="1604"/>
      <c r="CJ34" s="1604"/>
      <c r="CK34" s="1602"/>
      <c r="CL34" s="1604"/>
      <c r="CM34" s="1604"/>
      <c r="CN34" s="1605"/>
      <c r="CO34" s="1606"/>
      <c r="CP34" s="1606"/>
      <c r="CQ34" s="1606"/>
      <c r="CR34" s="1606"/>
      <c r="CS34" s="1600"/>
      <c r="CT34" s="1600"/>
      <c r="CU34" s="1600"/>
      <c r="CV34" s="1600"/>
      <c r="CW34" s="1600"/>
      <c r="CX34" s="1600"/>
      <c r="CY34" s="1600"/>
      <c r="CZ34" s="1600"/>
      <c r="DA34" s="1600"/>
      <c r="DB34" s="1600"/>
      <c r="DC34" s="1557"/>
      <c r="DD34" s="1557"/>
    </row>
    <row r="35" spans="2:108" ht="20.399999999999999" hidden="1" x14ac:dyDescent="0.35">
      <c r="B35" s="85"/>
      <c r="C35" s="85"/>
      <c r="D35" s="85"/>
      <c r="E35" s="85"/>
      <c r="F35" s="85"/>
      <c r="G35" s="85"/>
      <c r="H35" s="243"/>
      <c r="I35" s="243"/>
      <c r="J35" s="243"/>
      <c r="K35" s="243"/>
      <c r="L35" s="243"/>
      <c r="M35" s="243"/>
      <c r="N35" s="243"/>
      <c r="O35" s="243"/>
      <c r="P35" s="243"/>
      <c r="Q35" s="243"/>
      <c r="R35" s="243"/>
      <c r="S35" s="243"/>
      <c r="T35" s="243"/>
      <c r="U35" s="86"/>
      <c r="V35" s="243"/>
      <c r="W35" s="243"/>
      <c r="X35" s="243"/>
      <c r="Y35" s="243"/>
      <c r="Z35" s="243"/>
      <c r="AA35" s="243"/>
      <c r="AB35" s="86"/>
      <c r="AC35" s="86"/>
      <c r="AD35" s="86"/>
      <c r="AE35" s="86"/>
      <c r="AF35" s="243"/>
      <c r="AG35" s="243"/>
      <c r="AH35" s="243"/>
      <c r="AI35" s="243"/>
      <c r="AJ35" s="243"/>
      <c r="AK35" s="243"/>
      <c r="AL35" s="243"/>
      <c r="AM35" s="243"/>
      <c r="AN35" s="243"/>
      <c r="AO35" s="243"/>
      <c r="AP35" s="243"/>
      <c r="AQ35" s="243"/>
      <c r="AR35" s="243"/>
      <c r="AS35" s="243"/>
      <c r="AT35" s="243"/>
      <c r="AU35" s="243"/>
      <c r="AV35" s="243"/>
      <c r="AW35" s="243"/>
      <c r="AX35" s="243"/>
      <c r="AY35" s="243"/>
      <c r="AZ35" s="243"/>
      <c r="BA35" s="243"/>
      <c r="BB35" s="14"/>
      <c r="BF35" s="4"/>
      <c r="BG35" s="4"/>
      <c r="BH35" s="4"/>
      <c r="BI35" s="4"/>
      <c r="BJ35" s="4"/>
      <c r="BN35" s="1577"/>
      <c r="BP35" s="1557"/>
    </row>
    <row r="36" spans="2:108" ht="20.399999999999999" hidden="1" x14ac:dyDescent="0.35">
      <c r="B36" s="85"/>
      <c r="C36" s="85"/>
      <c r="D36" s="85"/>
      <c r="E36" s="85"/>
      <c r="F36" s="85"/>
      <c r="G36" s="85"/>
      <c r="H36" s="243"/>
      <c r="I36" s="243"/>
      <c r="J36" s="243"/>
      <c r="K36" s="243"/>
      <c r="L36" s="243"/>
      <c r="M36" s="243"/>
      <c r="N36" s="243"/>
      <c r="O36" s="243"/>
      <c r="P36" s="243"/>
      <c r="Q36" s="243"/>
      <c r="R36" s="243"/>
      <c r="S36" s="243"/>
      <c r="T36" s="243"/>
      <c r="U36" s="86"/>
      <c r="V36" s="243"/>
      <c r="W36" s="243"/>
      <c r="X36" s="243"/>
      <c r="Y36" s="243"/>
      <c r="Z36" s="243"/>
      <c r="AA36" s="243"/>
      <c r="AB36" s="86"/>
      <c r="AC36" s="86"/>
      <c r="AD36" s="86"/>
      <c r="AE36" s="86"/>
      <c r="AF36" s="243"/>
      <c r="AG36" s="243"/>
      <c r="AH36" s="243"/>
      <c r="AI36" s="243"/>
      <c r="AJ36" s="243"/>
      <c r="AK36" s="243"/>
      <c r="AL36" s="243"/>
      <c r="AM36" s="243"/>
      <c r="AN36" s="243"/>
      <c r="AO36" s="243"/>
      <c r="AP36" s="243"/>
      <c r="AQ36" s="243"/>
      <c r="AR36" s="243"/>
      <c r="AS36" s="243"/>
      <c r="AT36" s="243"/>
      <c r="AU36" s="243"/>
      <c r="AV36" s="243"/>
      <c r="AW36" s="243"/>
      <c r="AX36" s="243"/>
      <c r="AY36" s="243"/>
      <c r="AZ36" s="243"/>
      <c r="BA36" s="243"/>
      <c r="BB36" s="14"/>
      <c r="BF36" s="4"/>
      <c r="BG36" s="4"/>
      <c r="BH36" s="4"/>
      <c r="BI36" s="4"/>
      <c r="BJ36" s="4"/>
      <c r="BN36" s="1577"/>
      <c r="BP36" s="1557"/>
    </row>
    <row r="37" spans="2:108" ht="22.8" hidden="1" x14ac:dyDescent="0.4">
      <c r="B37" s="85"/>
      <c r="C37" s="85"/>
      <c r="D37" s="85"/>
      <c r="E37" s="85"/>
      <c r="F37" s="85"/>
      <c r="G37" s="85"/>
      <c r="H37" s="243"/>
      <c r="I37" s="243"/>
      <c r="J37" s="243"/>
      <c r="K37" s="243"/>
      <c r="L37" s="243"/>
      <c r="M37" s="243"/>
      <c r="N37" s="243"/>
      <c r="O37" s="243"/>
      <c r="P37" s="243"/>
      <c r="Q37" s="243"/>
      <c r="R37" s="243"/>
      <c r="S37" s="243"/>
      <c r="T37" s="243"/>
      <c r="U37" s="86"/>
      <c r="V37" s="243"/>
      <c r="W37" s="243"/>
      <c r="X37" s="243"/>
      <c r="Y37" s="243"/>
      <c r="Z37" s="243"/>
      <c r="AA37" s="243"/>
      <c r="AB37" s="86"/>
      <c r="AC37" s="86"/>
      <c r="AD37" s="86"/>
      <c r="AE37" s="86"/>
      <c r="AF37" s="243"/>
      <c r="AG37" s="243"/>
      <c r="AH37" s="243"/>
      <c r="AI37" s="243"/>
      <c r="AJ37" s="243"/>
      <c r="AK37" s="243"/>
      <c r="AL37" s="243"/>
      <c r="AM37" s="243"/>
      <c r="AN37" s="243"/>
      <c r="AO37" s="243"/>
      <c r="AP37" s="243"/>
      <c r="AQ37" s="243"/>
      <c r="AR37" s="243"/>
      <c r="AS37" s="243"/>
      <c r="AT37" s="243"/>
      <c r="AU37" s="243"/>
      <c r="AV37" s="243"/>
      <c r="AW37" s="243"/>
      <c r="AX37" s="243"/>
      <c r="AY37" s="243"/>
      <c r="AZ37" s="243"/>
      <c r="BA37" s="243"/>
      <c r="BB37" s="14"/>
      <c r="BF37" s="4"/>
      <c r="BG37" s="4"/>
      <c r="BH37" s="4"/>
      <c r="BI37" s="4"/>
      <c r="BJ37" s="4"/>
      <c r="BN37" s="1577"/>
      <c r="BO37" s="1624"/>
      <c r="BP37" s="1625"/>
      <c r="BQ37" s="1626"/>
      <c r="BR37" s="1626"/>
      <c r="BS37" s="1626"/>
      <c r="BT37" s="1626"/>
      <c r="BU37" s="1626"/>
      <c r="BV37" s="1626"/>
      <c r="BW37" s="1626"/>
      <c r="BX37" s="1626"/>
      <c r="BY37" s="1627"/>
      <c r="BZ37" s="1627"/>
      <c r="CA37" s="1628"/>
      <c r="CB37" s="1628"/>
      <c r="CC37" s="1628"/>
      <c r="CD37" s="1628"/>
      <c r="CE37" s="1628"/>
      <c r="CF37" s="1628"/>
      <c r="CG37" s="1628"/>
      <c r="CH37" s="1628"/>
      <c r="CI37" s="1605"/>
      <c r="CJ37" s="1604"/>
      <c r="CK37" s="1629"/>
      <c r="CL37" s="1629"/>
      <c r="CM37" s="1583"/>
      <c r="CN37" s="1583"/>
      <c r="CO37" s="1583"/>
      <c r="CP37" s="1583"/>
      <c r="CQ37" s="1583"/>
      <c r="CR37" s="1583"/>
      <c r="CS37" s="1583"/>
      <c r="CT37" s="1583"/>
      <c r="CU37" s="1583"/>
      <c r="CV37" s="1583"/>
      <c r="CW37" s="1626"/>
      <c r="CX37" s="1626"/>
      <c r="CY37" s="1626"/>
      <c r="CZ37" s="1626"/>
      <c r="DA37" s="1626"/>
      <c r="DB37" s="1630"/>
      <c r="DC37" s="1626"/>
      <c r="DD37" s="1626"/>
    </row>
    <row r="38" spans="2:108" ht="23.4" hidden="1" thickBot="1" x14ac:dyDescent="0.45">
      <c r="B38" s="85"/>
      <c r="C38" s="85"/>
      <c r="D38" s="85"/>
      <c r="E38" s="85"/>
      <c r="F38" s="85"/>
      <c r="G38" s="85"/>
      <c r="H38" s="243"/>
      <c r="I38" s="243"/>
      <c r="J38" s="243"/>
      <c r="K38" s="243"/>
      <c r="L38" s="243"/>
      <c r="M38" s="243"/>
      <c r="N38" s="243"/>
      <c r="O38" s="243"/>
      <c r="P38" s="243"/>
      <c r="Q38" s="243"/>
      <c r="R38" s="243"/>
      <c r="S38" s="243"/>
      <c r="T38" s="243"/>
      <c r="U38" s="86"/>
      <c r="V38" s="243"/>
      <c r="W38" s="243"/>
      <c r="X38" s="243"/>
      <c r="Y38" s="243"/>
      <c r="Z38" s="243"/>
      <c r="AA38" s="243"/>
      <c r="AB38" s="86"/>
      <c r="AC38" s="86"/>
      <c r="AD38" s="86"/>
      <c r="AE38" s="86"/>
      <c r="AF38" s="243"/>
      <c r="AG38" s="243"/>
      <c r="AH38" s="243"/>
      <c r="AI38" s="243"/>
      <c r="AJ38" s="243"/>
      <c r="AK38" s="243"/>
      <c r="AL38" s="243"/>
      <c r="AM38" s="243"/>
      <c r="AN38" s="243"/>
      <c r="AO38" s="243"/>
      <c r="AP38" s="243"/>
      <c r="AQ38" s="243"/>
      <c r="AR38" s="243"/>
      <c r="AS38" s="243"/>
      <c r="AT38" s="243"/>
      <c r="AU38" s="243"/>
      <c r="AV38" s="243"/>
      <c r="AW38" s="243"/>
      <c r="AX38" s="243"/>
      <c r="AY38" s="243"/>
      <c r="AZ38" s="243"/>
      <c r="BA38" s="243"/>
      <c r="BB38" s="14"/>
      <c r="BF38" s="4"/>
      <c r="BG38" s="4"/>
      <c r="BH38" s="4"/>
      <c r="BI38" s="4"/>
      <c r="BJ38" s="4"/>
      <c r="BN38" s="1577"/>
      <c r="BO38" s="1624"/>
      <c r="BP38" s="1625"/>
      <c r="BQ38" s="1626"/>
      <c r="BR38" s="1626"/>
      <c r="BS38" s="1626"/>
      <c r="BT38" s="1626"/>
      <c r="BU38" s="1626"/>
      <c r="BV38" s="1626"/>
      <c r="BW38" s="1626"/>
      <c r="BX38" s="1626"/>
      <c r="BY38" s="1627"/>
      <c r="BZ38" s="1627"/>
      <c r="CA38" s="1628"/>
      <c r="CB38" s="1628"/>
      <c r="CC38" s="1628"/>
      <c r="CD38" s="1628"/>
      <c r="CE38" s="1628"/>
      <c r="CF38" s="1628"/>
      <c r="CG38" s="1628"/>
      <c r="CH38" s="1628"/>
      <c r="CI38" s="1605"/>
      <c r="CJ38" s="1604"/>
      <c r="CK38" s="1629"/>
      <c r="CL38" s="1629"/>
      <c r="CM38" s="1583"/>
      <c r="CN38" s="1583"/>
      <c r="CO38" s="1583"/>
      <c r="CP38" s="1583"/>
      <c r="CQ38" s="1583"/>
      <c r="CR38" s="1583"/>
      <c r="CS38" s="1583"/>
      <c r="CT38" s="1583"/>
      <c r="CU38" s="1583"/>
      <c r="CV38" s="1583"/>
      <c r="CW38" s="1626"/>
      <c r="CX38" s="1626"/>
      <c r="CY38" s="1626"/>
      <c r="CZ38" s="1626"/>
      <c r="DA38" s="1626"/>
      <c r="DB38" s="1626"/>
      <c r="DC38" s="1626"/>
      <c r="DD38" s="1626"/>
    </row>
    <row r="39" spans="2:108" ht="23.4" hidden="1" thickBot="1" x14ac:dyDescent="0.45">
      <c r="B39" s="85"/>
      <c r="C39" s="85"/>
      <c r="D39" s="85"/>
      <c r="E39" s="85"/>
      <c r="F39" s="85"/>
      <c r="G39" s="85"/>
      <c r="H39" s="243"/>
      <c r="I39" s="243"/>
      <c r="J39" s="243"/>
      <c r="K39" s="243"/>
      <c r="L39" s="243"/>
      <c r="M39" s="243"/>
      <c r="N39" s="243"/>
      <c r="O39" s="243"/>
      <c r="P39" s="243"/>
      <c r="Q39" s="243"/>
      <c r="R39" s="243"/>
      <c r="S39" s="243"/>
      <c r="T39" s="243"/>
      <c r="U39" s="86"/>
      <c r="V39" s="243"/>
      <c r="W39" s="243"/>
      <c r="X39" s="243"/>
      <c r="Y39" s="243"/>
      <c r="Z39" s="243"/>
      <c r="AA39" s="243"/>
      <c r="AB39" s="86"/>
      <c r="AC39" s="86"/>
      <c r="AD39" s="86"/>
      <c r="AE39" s="86"/>
      <c r="AF39" s="243"/>
      <c r="AG39" s="243"/>
      <c r="AH39" s="243"/>
      <c r="AI39" s="243"/>
      <c r="AJ39" s="243"/>
      <c r="AK39" s="243"/>
      <c r="AL39" s="243"/>
      <c r="AM39" s="243"/>
      <c r="AN39" s="243"/>
      <c r="AO39" s="243"/>
      <c r="AP39" s="243"/>
      <c r="AQ39" s="243"/>
      <c r="AR39" s="243"/>
      <c r="AS39" s="243"/>
      <c r="AT39" s="243"/>
      <c r="AU39" s="243"/>
      <c r="AV39" s="243"/>
      <c r="AW39" s="243"/>
      <c r="AX39" s="243"/>
      <c r="AY39" s="243"/>
      <c r="AZ39" s="243"/>
      <c r="BA39" s="243"/>
      <c r="BB39" s="14"/>
      <c r="BF39" s="4"/>
      <c r="BG39" s="4"/>
      <c r="BH39" s="4"/>
      <c r="BI39" s="4"/>
      <c r="BJ39" s="4"/>
      <c r="BN39" s="1577"/>
      <c r="BO39" s="1624"/>
      <c r="BP39" s="1625"/>
      <c r="BQ39" s="1626"/>
      <c r="BR39" s="1626"/>
      <c r="BS39" s="1626"/>
      <c r="BT39" s="1626"/>
      <c r="BU39" s="1626"/>
      <c r="BV39" s="1626"/>
      <c r="BW39" s="1626"/>
      <c r="BX39" s="1626"/>
      <c r="BY39" s="1627"/>
      <c r="BZ39" s="1627"/>
      <c r="CA39" s="1631">
        <v>16</v>
      </c>
      <c r="CB39" s="1628"/>
      <c r="CC39" s="1628"/>
      <c r="CD39" s="1628"/>
      <c r="CE39" s="1628"/>
      <c r="CF39" s="1628"/>
      <c r="CG39" s="1628"/>
      <c r="CH39" s="1628"/>
      <c r="CI39" s="1605"/>
      <c r="CJ39" s="1604"/>
      <c r="CK39" s="1629"/>
      <c r="CL39" s="1629"/>
      <c r="CM39" s="1583"/>
      <c r="CN39" s="1583"/>
      <c r="CO39" s="1583"/>
      <c r="CP39" s="1632" t="b">
        <f>IF(CQ57=27,15)</f>
        <v>0</v>
      </c>
      <c r="CQ39" s="1633"/>
      <c r="CR39" s="1634" t="b">
        <f>IF(CQ57=27,17)</f>
        <v>0</v>
      </c>
      <c r="CS39" s="1583"/>
      <c r="CT39" s="1583"/>
      <c r="CU39" s="1583"/>
      <c r="CV39" s="1583"/>
      <c r="CW39" s="1626"/>
      <c r="CX39" s="1626"/>
      <c r="CY39" s="1626"/>
      <c r="CZ39" s="1626"/>
      <c r="DA39" s="1626"/>
      <c r="DB39" s="1626"/>
      <c r="DC39" s="1626"/>
      <c r="DD39" s="1626"/>
    </row>
    <row r="40" spans="2:108" ht="23.4" hidden="1" thickBot="1" x14ac:dyDescent="0.45">
      <c r="B40" s="85"/>
      <c r="C40" s="85"/>
      <c r="D40" s="85"/>
      <c r="E40" s="85"/>
      <c r="F40" s="85"/>
      <c r="G40" s="85"/>
      <c r="H40" s="243"/>
      <c r="I40" s="243"/>
      <c r="J40" s="243"/>
      <c r="K40" s="243"/>
      <c r="L40" s="243"/>
      <c r="M40" s="243"/>
      <c r="N40" s="243"/>
      <c r="O40" s="243"/>
      <c r="P40" s="243"/>
      <c r="Q40" s="243"/>
      <c r="R40" s="243"/>
      <c r="S40" s="243"/>
      <c r="T40" s="243"/>
      <c r="U40" s="86"/>
      <c r="V40" s="243"/>
      <c r="W40" s="243"/>
      <c r="X40" s="243"/>
      <c r="Y40" s="243"/>
      <c r="Z40" s="243"/>
      <c r="AA40" s="243"/>
      <c r="AB40" s="86"/>
      <c r="AC40" s="86"/>
      <c r="AD40" s="86"/>
      <c r="AE40" s="86"/>
      <c r="AF40" s="243"/>
      <c r="AG40" s="243"/>
      <c r="AH40" s="243"/>
      <c r="AI40" s="243"/>
      <c r="AJ40" s="243"/>
      <c r="AK40" s="243"/>
      <c r="AL40" s="243"/>
      <c r="AM40" s="243"/>
      <c r="AN40" s="243"/>
      <c r="AO40" s="243"/>
      <c r="AP40" s="243"/>
      <c r="AQ40" s="243"/>
      <c r="AR40" s="243"/>
      <c r="AS40" s="243"/>
      <c r="AT40" s="243"/>
      <c r="AU40" s="243"/>
      <c r="AV40" s="243"/>
      <c r="AW40" s="243"/>
      <c r="AX40" s="243"/>
      <c r="AY40" s="243"/>
      <c r="AZ40" s="243"/>
      <c r="BA40" s="243"/>
      <c r="BB40" s="14"/>
      <c r="BF40" s="4"/>
      <c r="BG40" s="4"/>
      <c r="BH40" s="4"/>
      <c r="BI40" s="4"/>
      <c r="BJ40" s="4"/>
      <c r="BN40" s="1577"/>
      <c r="BO40" s="1624"/>
      <c r="BP40" s="1625"/>
      <c r="BQ40" s="1626"/>
      <c r="BR40" s="1626"/>
      <c r="BS40" s="1626"/>
      <c r="BT40" s="1626"/>
      <c r="BU40" s="1626"/>
      <c r="BV40" s="1626"/>
      <c r="BW40" s="1626"/>
      <c r="BX40" s="1626"/>
      <c r="BY40" s="1627"/>
      <c r="BZ40" s="1627"/>
      <c r="CA40" s="1631">
        <v>15</v>
      </c>
      <c r="CB40" s="1628"/>
      <c r="CC40" s="1628"/>
      <c r="CD40" s="1628"/>
      <c r="CE40" s="1628"/>
      <c r="CF40" s="1628"/>
      <c r="CG40" s="1628"/>
      <c r="CH40" s="1628"/>
      <c r="CI40" s="1605"/>
      <c r="CJ40" s="1604"/>
      <c r="CK40" s="1629"/>
      <c r="CL40" s="1629"/>
      <c r="CM40" s="1583"/>
      <c r="CN40" s="1632" t="b">
        <f>IF(CP57=26,13)</f>
        <v>0</v>
      </c>
      <c r="CO40" s="1633"/>
      <c r="CP40" s="1633"/>
      <c r="CQ40" s="1633"/>
      <c r="CR40" s="1634" t="b">
        <f>IF(CP57=26,17)</f>
        <v>0</v>
      </c>
      <c r="CS40" s="1583"/>
      <c r="CT40" s="1583"/>
      <c r="CU40" s="1583"/>
      <c r="CV40" s="1583"/>
      <c r="CW40" s="1626"/>
      <c r="CX40" s="1626"/>
      <c r="CY40" s="1626"/>
      <c r="CZ40" s="1626"/>
      <c r="DA40" s="1626"/>
      <c r="DB40" s="1626"/>
      <c r="DC40" s="1626"/>
      <c r="DD40" s="1626"/>
    </row>
    <row r="41" spans="2:108" ht="23.4" hidden="1" thickBot="1" x14ac:dyDescent="0.45">
      <c r="B41" s="85"/>
      <c r="C41" s="85"/>
      <c r="D41" s="85"/>
      <c r="E41" s="85"/>
      <c r="G41" s="85"/>
      <c r="H41" s="243"/>
      <c r="I41" s="243"/>
      <c r="J41" s="243"/>
      <c r="K41" s="243"/>
      <c r="L41" s="243"/>
      <c r="M41" s="243"/>
      <c r="N41" s="243"/>
      <c r="O41" s="243"/>
      <c r="P41" s="243"/>
      <c r="Q41" s="243"/>
      <c r="R41" s="243"/>
      <c r="S41" s="243"/>
      <c r="T41" s="243"/>
      <c r="U41" s="86"/>
      <c r="V41" s="243"/>
      <c r="W41" s="243"/>
      <c r="X41" s="243"/>
      <c r="Y41" s="243"/>
      <c r="Z41" s="243"/>
      <c r="AA41" s="243"/>
      <c r="AB41" s="86"/>
      <c r="AC41" s="86"/>
      <c r="AD41" s="86"/>
      <c r="AE41" s="86"/>
      <c r="AF41" s="243"/>
      <c r="AG41" s="243"/>
      <c r="AH41" s="243"/>
      <c r="AI41" s="243"/>
      <c r="AJ41" s="243"/>
      <c r="AK41" s="243"/>
      <c r="AL41" s="243"/>
      <c r="AM41" s="243"/>
      <c r="AN41" s="243"/>
      <c r="AO41" s="243"/>
      <c r="AP41" s="243"/>
      <c r="AQ41" s="243"/>
      <c r="AR41" s="243"/>
      <c r="AS41" s="243"/>
      <c r="AT41" s="243"/>
      <c r="AU41" s="243"/>
      <c r="AV41" s="243"/>
      <c r="AW41" s="243"/>
      <c r="AX41" s="243"/>
      <c r="AY41" s="243"/>
      <c r="AZ41" s="243"/>
      <c r="BA41" s="243"/>
      <c r="BB41" s="14"/>
      <c r="BF41" s="4"/>
      <c r="BG41" s="4"/>
      <c r="BH41" s="4"/>
      <c r="BI41" s="4"/>
      <c r="BJ41" s="4"/>
      <c r="BN41" s="1577"/>
      <c r="BO41" s="1624"/>
      <c r="BP41" s="1625"/>
      <c r="BQ41" s="1626"/>
      <c r="BR41" s="1626"/>
      <c r="BS41" s="1626"/>
      <c r="BT41" s="1626"/>
      <c r="BU41" s="1626"/>
      <c r="BV41" s="1626"/>
      <c r="BW41" s="1626"/>
      <c r="BX41" s="1626"/>
      <c r="BY41" s="1627"/>
      <c r="BZ41" s="1627"/>
      <c r="CA41" s="1631">
        <v>14</v>
      </c>
      <c r="CB41" s="1628"/>
      <c r="CC41" s="1628"/>
      <c r="CD41" s="1628"/>
      <c r="CE41" s="1628"/>
      <c r="CF41" s="1628"/>
      <c r="CG41" s="1628"/>
      <c r="CH41" s="1628"/>
      <c r="CI41" s="1605"/>
      <c r="CJ41" s="1604"/>
      <c r="CK41" s="1629"/>
      <c r="CL41" s="1632" t="b">
        <f>IF(CO57=25,11)</f>
        <v>0</v>
      </c>
      <c r="CM41" s="1633"/>
      <c r="CN41" s="1635"/>
      <c r="CO41" s="1635"/>
      <c r="CP41" s="1635"/>
      <c r="CQ41" s="1635"/>
      <c r="CR41" s="1636" t="b">
        <f>IF(CO57=25,17)</f>
        <v>0</v>
      </c>
      <c r="CS41" s="1583"/>
      <c r="CT41" s="1583"/>
      <c r="CU41" s="1583"/>
      <c r="CV41" s="1583"/>
      <c r="CW41" s="1626"/>
      <c r="CX41" s="1626"/>
      <c r="CY41" s="1626"/>
      <c r="CZ41" s="1626"/>
      <c r="DA41" s="1626"/>
      <c r="DB41" s="1626"/>
      <c r="DC41" s="1626"/>
      <c r="DD41" s="1626"/>
    </row>
    <row r="42" spans="2:108" ht="21.6" hidden="1" thickBot="1" x14ac:dyDescent="0.45">
      <c r="B42" s="85"/>
      <c r="C42" s="85"/>
      <c r="D42" s="85"/>
      <c r="E42" s="85"/>
      <c r="F42" s="85"/>
      <c r="G42" s="85"/>
      <c r="H42" s="243"/>
      <c r="I42" s="243"/>
      <c r="J42" s="243"/>
      <c r="K42" s="243"/>
      <c r="L42" s="243"/>
      <c r="M42" s="243"/>
      <c r="N42" s="243"/>
      <c r="O42" s="243"/>
      <c r="P42" s="243"/>
      <c r="Q42" s="243"/>
      <c r="R42" s="243"/>
      <c r="S42" s="243"/>
      <c r="T42" s="243"/>
      <c r="U42" s="86"/>
      <c r="V42" s="243"/>
      <c r="W42" s="243"/>
      <c r="X42" s="243"/>
      <c r="Y42" s="243"/>
      <c r="Z42" s="243"/>
      <c r="AA42" s="243"/>
      <c r="AB42" s="86"/>
      <c r="AC42" s="86"/>
      <c r="AD42" s="86"/>
      <c r="AE42" s="86"/>
      <c r="AF42" s="243"/>
      <c r="AG42" s="243"/>
      <c r="AH42" s="243"/>
      <c r="AI42" s="243"/>
      <c r="AJ42" s="243"/>
      <c r="AK42" s="243"/>
      <c r="AL42" s="243"/>
      <c r="AM42" s="243"/>
      <c r="AN42" s="243"/>
      <c r="AO42" s="243"/>
      <c r="AP42" s="243"/>
      <c r="AQ42" s="243"/>
      <c r="AR42" s="243"/>
      <c r="AS42" s="243"/>
      <c r="AT42" s="243"/>
      <c r="AU42" s="243"/>
      <c r="AV42" s="243"/>
      <c r="AW42" s="243"/>
      <c r="AX42" s="243"/>
      <c r="AY42" s="243"/>
      <c r="AZ42" s="243"/>
      <c r="BA42" s="243"/>
      <c r="BB42" s="14"/>
      <c r="BF42" s="4"/>
      <c r="BG42" s="4"/>
      <c r="BH42" s="4"/>
      <c r="BI42" s="4"/>
      <c r="BJ42" s="4"/>
      <c r="BN42" s="1577"/>
      <c r="BO42" s="1623"/>
      <c r="BP42" s="1625"/>
      <c r="BQ42" s="1626"/>
      <c r="BR42" s="1626"/>
      <c r="BS42" s="1626"/>
      <c r="BT42" s="1626"/>
      <c r="BU42" s="1626"/>
      <c r="BV42" s="1626"/>
      <c r="BW42" s="1626"/>
      <c r="BX42" s="1626"/>
      <c r="CA42" s="1631">
        <v>13</v>
      </c>
      <c r="CB42" s="1626"/>
      <c r="CC42" s="1625"/>
      <c r="CD42" s="1625"/>
      <c r="CE42" s="1625"/>
      <c r="CF42" s="1625"/>
      <c r="CG42" s="1625"/>
      <c r="CH42" s="1625"/>
      <c r="CI42" s="1625"/>
      <c r="CJ42" s="1632" t="b">
        <f>IF(CN57=24,9)</f>
        <v>0</v>
      </c>
      <c r="CK42" s="1637"/>
      <c r="CL42" s="1638"/>
      <c r="CM42" s="1639"/>
      <c r="CN42" s="1638"/>
      <c r="CO42" s="1639"/>
      <c r="CP42" s="1639"/>
      <c r="CQ42" s="1640"/>
      <c r="CR42" s="1636" t="b">
        <f>IF(CN57=24,17)</f>
        <v>0</v>
      </c>
      <c r="CS42" s="1557"/>
      <c r="CT42" s="1557"/>
      <c r="CU42" s="1557"/>
      <c r="CV42" s="1557"/>
      <c r="CW42" s="1557"/>
      <c r="CX42" s="1557"/>
      <c r="CY42" s="1557"/>
      <c r="CZ42" s="1557"/>
      <c r="DA42" s="1557"/>
      <c r="DB42" s="1557"/>
      <c r="DC42" s="1557"/>
      <c r="DD42" s="1557"/>
    </row>
    <row r="43" spans="2:108" ht="24.75" hidden="1" customHeight="1" thickBot="1" x14ac:dyDescent="0.45">
      <c r="B43" s="85"/>
      <c r="C43" s="85"/>
      <c r="D43" s="85"/>
      <c r="E43" s="85"/>
      <c r="G43" s="85"/>
      <c r="H43" s="243"/>
      <c r="I43" s="243"/>
      <c r="J43" s="243"/>
      <c r="K43" s="243"/>
      <c r="L43" s="243"/>
      <c r="M43" s="243"/>
      <c r="N43" s="243"/>
      <c r="O43" s="243"/>
      <c r="P43" s="243"/>
      <c r="Q43" s="243"/>
      <c r="R43" s="243"/>
      <c r="S43" s="243"/>
      <c r="T43" s="243"/>
      <c r="U43" s="86"/>
      <c r="V43" s="243"/>
      <c r="W43" s="243"/>
      <c r="X43" s="243"/>
      <c r="Y43" s="243"/>
      <c r="Z43" s="243"/>
      <c r="AA43" s="243"/>
      <c r="AB43" s="86"/>
      <c r="AC43" s="86"/>
      <c r="AD43" s="86"/>
      <c r="AE43" s="86"/>
      <c r="AF43" s="243"/>
      <c r="AG43" s="243"/>
      <c r="AH43" s="243"/>
      <c r="AI43" s="243"/>
      <c r="AJ43" s="243"/>
      <c r="AK43" s="243"/>
      <c r="AL43" s="243"/>
      <c r="AM43" s="243"/>
      <c r="AN43" s="243"/>
      <c r="AO43" s="243"/>
      <c r="AP43" s="243"/>
      <c r="AQ43" s="243"/>
      <c r="AR43" s="243"/>
      <c r="AS43" s="243"/>
      <c r="AT43" s="243"/>
      <c r="AU43" s="243"/>
      <c r="AV43" s="243"/>
      <c r="AW43" s="243"/>
      <c r="AX43" s="243"/>
      <c r="AY43" s="243"/>
      <c r="AZ43" s="243"/>
      <c r="BA43" s="243"/>
      <c r="BB43" s="14"/>
      <c r="BE43" s="39"/>
      <c r="BF43" s="40"/>
      <c r="BG43" s="40"/>
      <c r="BH43" s="59"/>
      <c r="BI43" s="59"/>
      <c r="BJ43" s="59"/>
      <c r="BN43" s="1577"/>
      <c r="BO43" s="1623"/>
      <c r="BP43" s="1625"/>
      <c r="BQ43" s="1625"/>
      <c r="BR43" s="1626"/>
      <c r="BS43" s="1625"/>
      <c r="BT43" s="1625"/>
      <c r="BU43" s="1625"/>
      <c r="CA43" s="1631">
        <v>12</v>
      </c>
      <c r="CB43" s="1626"/>
      <c r="CC43" s="1625"/>
      <c r="CD43" s="1625"/>
      <c r="CE43" s="1625"/>
      <c r="CF43" s="1625"/>
      <c r="CG43" s="1625"/>
      <c r="CH43" s="1632" t="b">
        <f>IF(CM57=23,7)</f>
        <v>0</v>
      </c>
      <c r="CI43" s="1637"/>
      <c r="CJ43" s="1637"/>
      <c r="CK43" s="1641"/>
      <c r="CL43" s="1637"/>
      <c r="CM43" s="1637"/>
      <c r="CN43" s="1637"/>
      <c r="CO43" s="1641"/>
      <c r="CP43" s="1641"/>
      <c r="CQ43" s="1642"/>
      <c r="CR43" s="1634" t="b">
        <f>IF(CM57=23,17)</f>
        <v>0</v>
      </c>
      <c r="CS43" s="1557"/>
      <c r="CT43" s="1557"/>
      <c r="CU43" s="1557"/>
      <c r="CV43" s="1557"/>
      <c r="CW43" s="1557"/>
      <c r="CX43" s="1557"/>
      <c r="CY43" s="1557"/>
      <c r="CZ43" s="1557"/>
      <c r="DA43" s="1557"/>
      <c r="DB43" s="1557"/>
      <c r="DC43" s="1557"/>
      <c r="DD43" s="1557"/>
    </row>
    <row r="44" spans="2:108" ht="21.6" hidden="1" thickBot="1" x14ac:dyDescent="0.45">
      <c r="B44" s="85"/>
      <c r="C44" s="85"/>
      <c r="D44" s="85"/>
      <c r="E44" s="85"/>
      <c r="G44" s="85"/>
      <c r="H44" s="243"/>
      <c r="I44" s="243"/>
      <c r="J44" s="243"/>
      <c r="K44" s="243"/>
      <c r="L44" s="243"/>
      <c r="M44" s="243"/>
      <c r="N44" s="243"/>
      <c r="O44" s="243"/>
      <c r="P44" s="243"/>
      <c r="Q44" s="243"/>
      <c r="R44" s="243"/>
      <c r="S44" s="243"/>
      <c r="T44" s="243"/>
      <c r="U44" s="86"/>
      <c r="V44" s="243"/>
      <c r="W44" s="243"/>
      <c r="X44" s="243"/>
      <c r="Y44" s="243"/>
      <c r="Z44" s="243"/>
      <c r="AA44" s="243"/>
      <c r="AB44" s="86"/>
      <c r="AC44" s="86"/>
      <c r="AD44" s="86"/>
      <c r="AE44" s="86"/>
      <c r="AF44" s="243"/>
      <c r="AG44" s="243"/>
      <c r="AH44" s="243"/>
      <c r="AI44" s="243"/>
      <c r="AJ44" s="243"/>
      <c r="AK44" s="243"/>
      <c r="AL44" s="243"/>
      <c r="AM44" s="243"/>
      <c r="AN44" s="243"/>
      <c r="AO44" s="243"/>
      <c r="AP44" s="243"/>
      <c r="AQ44" s="243"/>
      <c r="AR44" s="243"/>
      <c r="AS44" s="243"/>
      <c r="AT44" s="243"/>
      <c r="AU44" s="243"/>
      <c r="AV44" s="243"/>
      <c r="AW44" s="243"/>
      <c r="AX44" s="243"/>
      <c r="AY44" s="243"/>
      <c r="AZ44" s="243"/>
      <c r="BA44" s="243"/>
      <c r="BB44" s="14"/>
      <c r="BE44" s="39"/>
      <c r="BF44" s="40"/>
      <c r="BG44" s="40"/>
      <c r="BH44" s="59"/>
      <c r="BI44" s="59"/>
      <c r="BJ44" s="59"/>
      <c r="BN44" s="1577"/>
      <c r="BO44" s="1623"/>
      <c r="BP44" s="1625"/>
      <c r="BQ44" s="1625"/>
      <c r="BR44" s="1626"/>
      <c r="BS44" s="1625"/>
      <c r="BT44" s="1625"/>
      <c r="BU44" s="1625"/>
      <c r="CA44" s="1631">
        <v>11</v>
      </c>
      <c r="CB44" s="1626"/>
      <c r="CC44" s="1625"/>
      <c r="CD44" s="1625"/>
      <c r="CE44" s="1625"/>
      <c r="CF44" s="1632" t="b">
        <f>IF(CL57=22,5)</f>
        <v>0</v>
      </c>
      <c r="CG44" s="1637"/>
      <c r="CH44" s="1637"/>
      <c r="CI44" s="1641"/>
      <c r="CJ44" s="1637"/>
      <c r="CK44" s="1641"/>
      <c r="CL44" s="1637"/>
      <c r="CM44" s="1641"/>
      <c r="CN44" s="1637"/>
      <c r="CO44" s="1641"/>
      <c r="CP44" s="1641"/>
      <c r="CQ44" s="1642"/>
      <c r="CR44" s="1634" t="b">
        <f>IF(CL57=22,17)</f>
        <v>0</v>
      </c>
      <c r="CS44" s="1557"/>
      <c r="CT44" s="1557"/>
      <c r="CU44" s="1557"/>
      <c r="CV44" s="1557"/>
      <c r="CW44" s="1557"/>
      <c r="CX44" s="1557"/>
      <c r="CY44" s="1557"/>
      <c r="CZ44" s="1557"/>
      <c r="DA44" s="1557"/>
      <c r="DB44" s="1557"/>
      <c r="DC44" s="1557"/>
      <c r="DD44" s="1557"/>
    </row>
    <row r="45" spans="2:108" ht="21.6" hidden="1" thickBot="1" x14ac:dyDescent="0.45">
      <c r="B45" s="85"/>
      <c r="C45" s="85"/>
      <c r="D45" s="85"/>
      <c r="E45" s="85"/>
      <c r="F45" s="85"/>
      <c r="G45" s="85"/>
      <c r="H45" s="243"/>
      <c r="I45" s="243"/>
      <c r="J45" s="243"/>
      <c r="K45" s="243"/>
      <c r="L45" s="243"/>
      <c r="M45" s="243"/>
      <c r="N45" s="243"/>
      <c r="O45" s="243"/>
      <c r="P45" s="243"/>
      <c r="Q45" s="243"/>
      <c r="R45" s="243"/>
      <c r="S45" s="243"/>
      <c r="T45" s="243"/>
      <c r="U45" s="86"/>
      <c r="V45" s="243"/>
      <c r="W45" s="243"/>
      <c r="X45" s="243"/>
      <c r="Y45" s="243"/>
      <c r="Z45" s="243"/>
      <c r="AA45" s="243"/>
      <c r="AB45" s="86"/>
      <c r="AC45" s="86"/>
      <c r="AD45" s="86"/>
      <c r="AE45" s="86"/>
      <c r="AF45" s="243"/>
      <c r="AG45" s="243"/>
      <c r="AH45" s="243"/>
      <c r="AI45" s="243"/>
      <c r="AJ45" s="243"/>
      <c r="AK45" s="243"/>
      <c r="AL45" s="243"/>
      <c r="AM45" s="243"/>
      <c r="AN45" s="243"/>
      <c r="AO45" s="243"/>
      <c r="AP45" s="243"/>
      <c r="AQ45" s="243"/>
      <c r="AR45" s="243"/>
      <c r="AS45" s="243"/>
      <c r="AT45" s="243"/>
      <c r="AU45" s="243"/>
      <c r="AV45" s="243"/>
      <c r="AW45" s="243"/>
      <c r="AX45" s="243"/>
      <c r="AY45" s="243"/>
      <c r="AZ45" s="243"/>
      <c r="BA45" s="243"/>
      <c r="BB45" s="14"/>
      <c r="BE45" s="39"/>
      <c r="BF45" s="40"/>
      <c r="BG45" s="40"/>
      <c r="BH45" s="59"/>
      <c r="BI45" s="59"/>
      <c r="BJ45" s="59"/>
      <c r="BN45" s="1577"/>
      <c r="BO45" s="1623"/>
      <c r="BP45" s="1625"/>
      <c r="BQ45" s="1625"/>
      <c r="BR45" s="1626"/>
      <c r="BS45" s="1625"/>
      <c r="BT45" s="1625"/>
      <c r="BU45" s="1625"/>
      <c r="CA45" s="1631">
        <v>10</v>
      </c>
      <c r="CB45" s="1626"/>
      <c r="CC45" s="1625"/>
      <c r="CD45" s="1632" t="b">
        <f>IF(CK57=21,3)</f>
        <v>0</v>
      </c>
      <c r="CE45" s="1637"/>
      <c r="CF45" s="1637"/>
      <c r="CG45" s="1641"/>
      <c r="CH45" s="1641"/>
      <c r="CI45" s="1641"/>
      <c r="CJ45" s="1637"/>
      <c r="CK45" s="1637"/>
      <c r="CL45" s="1637"/>
      <c r="CM45" s="1641"/>
      <c r="CN45" s="1637"/>
      <c r="CO45" s="1641"/>
      <c r="CP45" s="1641"/>
      <c r="CQ45" s="1642"/>
      <c r="CR45" s="1634" t="b">
        <f>IF(CK57=21,17)</f>
        <v>0</v>
      </c>
      <c r="CS45" s="1557"/>
      <c r="CT45" s="1557"/>
      <c r="CU45" s="1557"/>
      <c r="CV45" s="1557"/>
      <c r="CW45" s="1557"/>
      <c r="CX45" s="1557"/>
      <c r="CY45" s="1557"/>
      <c r="CZ45" s="1557"/>
      <c r="DA45" s="1557"/>
      <c r="DB45" s="1557"/>
      <c r="DC45" s="1557"/>
      <c r="DD45" s="1557"/>
    </row>
    <row r="46" spans="2:108" ht="21.6" hidden="1" thickBot="1" x14ac:dyDescent="0.45">
      <c r="B46" s="85"/>
      <c r="C46" s="85"/>
      <c r="D46" s="85"/>
      <c r="E46" s="85"/>
      <c r="F46" s="85"/>
      <c r="G46" s="85"/>
      <c r="H46" s="243"/>
      <c r="I46" s="243"/>
      <c r="J46" s="243"/>
      <c r="K46" s="243"/>
      <c r="L46" s="243"/>
      <c r="M46" s="243"/>
      <c r="N46" s="243"/>
      <c r="O46" s="243"/>
      <c r="P46" s="243"/>
      <c r="Q46" s="243"/>
      <c r="R46" s="243"/>
      <c r="S46" s="243"/>
      <c r="T46" s="243"/>
      <c r="U46" s="86"/>
      <c r="V46" s="243"/>
      <c r="W46" s="243"/>
      <c r="X46" s="243"/>
      <c r="Y46" s="243"/>
      <c r="Z46" s="243"/>
      <c r="AA46" s="243"/>
      <c r="AB46" s="86"/>
      <c r="AC46" s="86"/>
      <c r="AD46" s="86"/>
      <c r="AE46" s="86"/>
      <c r="AF46" s="243"/>
      <c r="AG46" s="243"/>
      <c r="AH46" s="243"/>
      <c r="AI46" s="243"/>
      <c r="AJ46" s="243"/>
      <c r="AK46" s="243"/>
      <c r="AL46" s="243"/>
      <c r="AM46" s="243"/>
      <c r="AN46" s="243"/>
      <c r="AO46" s="243"/>
      <c r="AP46" s="243"/>
      <c r="AQ46" s="243"/>
      <c r="AR46" s="243"/>
      <c r="AS46" s="243"/>
      <c r="AT46" s="243"/>
      <c r="AU46" s="243"/>
      <c r="AV46" s="243"/>
      <c r="AW46" s="243"/>
      <c r="AX46" s="243"/>
      <c r="AY46" s="243"/>
      <c r="AZ46" s="243"/>
      <c r="BA46" s="243"/>
      <c r="BB46" s="14"/>
      <c r="BE46" s="39"/>
      <c r="BF46" s="40"/>
      <c r="BG46" s="40"/>
      <c r="BH46" s="59"/>
      <c r="BI46" s="59"/>
      <c r="BJ46" s="59"/>
      <c r="BN46" s="1577"/>
      <c r="BO46" s="1623"/>
      <c r="BP46" s="1625"/>
      <c r="BQ46" s="1625"/>
      <c r="BR46" s="1626"/>
      <c r="BS46" s="1625"/>
      <c r="BT46" s="1625"/>
      <c r="BU46" s="1625"/>
      <c r="CA46" s="1631">
        <v>9</v>
      </c>
      <c r="CB46" s="1632" t="b">
        <f>IF(CJ57=20,1)</f>
        <v>0</v>
      </c>
      <c r="CC46" s="1637"/>
      <c r="CD46" s="1637"/>
      <c r="CE46" s="1641"/>
      <c r="CF46" s="1637"/>
      <c r="CG46" s="1637"/>
      <c r="CH46" s="1637"/>
      <c r="CI46" s="1637"/>
      <c r="CJ46" s="1637"/>
      <c r="CK46" s="1637"/>
      <c r="CL46" s="1637"/>
      <c r="CM46" s="1637"/>
      <c r="CN46" s="1637"/>
      <c r="CO46" s="1641"/>
      <c r="CP46" s="1641"/>
      <c r="CQ46" s="1642"/>
      <c r="CR46" s="1634" t="b">
        <f>IF(CJ57=20,17)</f>
        <v>0</v>
      </c>
      <c r="CS46" s="1557"/>
      <c r="CT46" s="1557"/>
      <c r="CU46" s="1557"/>
      <c r="CV46" s="1557"/>
      <c r="CW46" s="1557"/>
      <c r="CX46" s="1557"/>
      <c r="CY46" s="1557"/>
      <c r="CZ46" s="1557"/>
      <c r="DA46" s="1557"/>
      <c r="DB46" s="1557"/>
      <c r="DC46" s="1557"/>
      <c r="DD46" s="1557"/>
    </row>
    <row r="47" spans="2:108" ht="21.6" hidden="1" thickBot="1" x14ac:dyDescent="0.45">
      <c r="B47" s="85"/>
      <c r="C47" s="85"/>
      <c r="D47" s="85"/>
      <c r="E47" s="85"/>
      <c r="F47" s="85"/>
      <c r="G47" s="85"/>
      <c r="H47" s="243"/>
      <c r="I47" s="243"/>
      <c r="J47" s="243"/>
      <c r="K47" s="243"/>
      <c r="L47" s="243"/>
      <c r="M47" s="243"/>
      <c r="N47" s="243"/>
      <c r="O47" s="243"/>
      <c r="P47" s="243"/>
      <c r="Q47" s="243"/>
      <c r="R47" s="243"/>
      <c r="S47" s="243"/>
      <c r="T47" s="243"/>
      <c r="U47" s="86"/>
      <c r="V47" s="243"/>
      <c r="W47" s="243"/>
      <c r="X47" s="243"/>
      <c r="Y47" s="243"/>
      <c r="Z47" s="243"/>
      <c r="AA47" s="243"/>
      <c r="AB47" s="86"/>
      <c r="AC47" s="86"/>
      <c r="AD47" s="86"/>
      <c r="AE47" s="86"/>
      <c r="AF47" s="243"/>
      <c r="AG47" s="243"/>
      <c r="AH47" s="243"/>
      <c r="AI47" s="243"/>
      <c r="AJ47" s="243"/>
      <c r="AK47" s="243"/>
      <c r="AL47" s="243"/>
      <c r="AM47" s="243"/>
      <c r="AN47" s="243"/>
      <c r="AO47" s="243"/>
      <c r="AP47" s="243"/>
      <c r="AQ47" s="243"/>
      <c r="AR47" s="243"/>
      <c r="AS47" s="243"/>
      <c r="AT47" s="243"/>
      <c r="AU47" s="243"/>
      <c r="AV47" s="243"/>
      <c r="AW47" s="243"/>
      <c r="AX47" s="243"/>
      <c r="AY47" s="243"/>
      <c r="AZ47" s="243"/>
      <c r="BA47" s="243"/>
      <c r="BB47" s="14"/>
      <c r="BE47" s="39"/>
      <c r="BF47" s="40"/>
      <c r="BG47" s="40"/>
      <c r="BH47" s="59"/>
      <c r="BI47" s="59"/>
      <c r="BJ47" s="59"/>
      <c r="BN47" s="1577"/>
      <c r="BO47" s="1623"/>
      <c r="BP47" s="1625"/>
      <c r="BQ47" s="1625"/>
      <c r="BR47" s="1626"/>
      <c r="BS47" s="1625"/>
      <c r="BT47" s="1625"/>
      <c r="BU47" s="1625"/>
      <c r="CA47" s="1631">
        <v>8</v>
      </c>
      <c r="CB47" s="1643" t="b">
        <f>IF(CI57=19,1)</f>
        <v>0</v>
      </c>
      <c r="CC47" s="1639"/>
      <c r="CD47" s="1638"/>
      <c r="CE47" s="1638"/>
      <c r="CF47" s="1638"/>
      <c r="CG47" s="1638"/>
      <c r="CH47" s="1638"/>
      <c r="CI47" s="1638"/>
      <c r="CJ47" s="1638"/>
      <c r="CK47" s="1638"/>
      <c r="CL47" s="1638"/>
      <c r="CM47" s="1638"/>
      <c r="CN47" s="1638"/>
      <c r="CO47" s="1639"/>
      <c r="CP47" s="1636" t="b">
        <f>IF(CI57=19,15)</f>
        <v>0</v>
      </c>
      <c r="CQ47" s="1557"/>
      <c r="CR47" s="1557"/>
      <c r="CS47" s="1557"/>
      <c r="CT47" s="1557"/>
      <c r="CU47" s="1557"/>
      <c r="CV47" s="1557"/>
      <c r="CW47" s="1557"/>
      <c r="CX47" s="1557"/>
      <c r="CY47" s="1557"/>
      <c r="CZ47" s="1557"/>
      <c r="DA47" s="1557"/>
      <c r="DB47" s="1557"/>
      <c r="DC47" s="1557"/>
      <c r="DD47" s="1557"/>
    </row>
    <row r="48" spans="2:108" ht="21.6" hidden="1" thickBot="1" x14ac:dyDescent="0.45">
      <c r="B48" s="85"/>
      <c r="C48" s="85"/>
      <c r="D48" s="85"/>
      <c r="E48" s="85"/>
      <c r="F48" s="85"/>
      <c r="G48" s="85"/>
      <c r="H48" s="243"/>
      <c r="I48" s="243"/>
      <c r="J48" s="243"/>
      <c r="K48" s="243"/>
      <c r="L48" s="243"/>
      <c r="M48" s="243"/>
      <c r="N48" s="243"/>
      <c r="O48" s="243"/>
      <c r="P48" s="243"/>
      <c r="Q48" s="243"/>
      <c r="R48" s="243"/>
      <c r="S48" s="243"/>
      <c r="T48" s="243"/>
      <c r="U48" s="86"/>
      <c r="V48" s="243"/>
      <c r="W48" s="243"/>
      <c r="X48" s="243"/>
      <c r="Y48" s="243"/>
      <c r="Z48" s="243"/>
      <c r="AA48" s="243"/>
      <c r="AB48" s="86"/>
      <c r="AC48" s="86"/>
      <c r="AD48" s="86"/>
      <c r="AE48" s="86"/>
      <c r="AF48" s="243"/>
      <c r="AG48" s="243"/>
      <c r="AH48" s="243"/>
      <c r="AI48" s="243"/>
      <c r="AJ48" s="243"/>
      <c r="AK48" s="243"/>
      <c r="AL48" s="243"/>
      <c r="AM48" s="243"/>
      <c r="AN48" s="243"/>
      <c r="AO48" s="243"/>
      <c r="AP48" s="243"/>
      <c r="AQ48" s="243"/>
      <c r="AR48" s="243"/>
      <c r="AS48" s="243"/>
      <c r="AT48" s="243"/>
      <c r="AU48" s="243"/>
      <c r="AV48" s="243"/>
      <c r="AW48" s="243"/>
      <c r="AX48" s="243"/>
      <c r="AY48" s="243"/>
      <c r="AZ48" s="243"/>
      <c r="BA48" s="243"/>
      <c r="BB48" s="14"/>
      <c r="BE48" s="39"/>
      <c r="BF48" s="40"/>
      <c r="BG48" s="40"/>
      <c r="BH48" s="59"/>
      <c r="BI48" s="59"/>
      <c r="BJ48" s="59"/>
      <c r="BN48" s="1577"/>
      <c r="BO48" s="1623"/>
      <c r="BP48" s="1625"/>
      <c r="BQ48" s="1625"/>
      <c r="BR48" s="1626"/>
      <c r="BS48" s="1625"/>
      <c r="BT48" s="1625"/>
      <c r="BU48" s="1625"/>
      <c r="CA48" s="1631">
        <v>7</v>
      </c>
      <c r="CB48" s="1643" t="b">
        <f>IF(CH57=18,1)</f>
        <v>0</v>
      </c>
      <c r="CC48" s="1638"/>
      <c r="CD48" s="1638"/>
      <c r="CE48" s="1638"/>
      <c r="CF48" s="1638"/>
      <c r="CG48" s="1638"/>
      <c r="CH48" s="1638"/>
      <c r="CI48" s="1638"/>
      <c r="CJ48" s="1638"/>
      <c r="CK48" s="1638"/>
      <c r="CL48" s="1638"/>
      <c r="CM48" s="1638"/>
      <c r="CN48" s="1636" t="b">
        <f>IF(CH57=18,13)</f>
        <v>0</v>
      </c>
      <c r="CO48" s="1626"/>
      <c r="CQ48" s="1557"/>
      <c r="CR48" s="1557"/>
      <c r="CS48" s="1557"/>
      <c r="CT48" s="1557"/>
      <c r="CU48" s="1557"/>
      <c r="CV48" s="1557"/>
      <c r="CW48" s="1557"/>
      <c r="CX48" s="1557"/>
      <c r="CY48" s="1557"/>
      <c r="CZ48" s="1557"/>
      <c r="DA48" s="1557"/>
      <c r="DB48" s="1557"/>
      <c r="DC48" s="1557"/>
      <c r="DD48" s="1557"/>
    </row>
    <row r="49" spans="2:143" ht="21.6" hidden="1" thickBot="1" x14ac:dyDescent="0.45">
      <c r="B49" s="85"/>
      <c r="C49" s="85"/>
      <c r="D49" s="85"/>
      <c r="E49" s="85"/>
      <c r="F49" s="85"/>
      <c r="G49" s="85"/>
      <c r="H49" s="243"/>
      <c r="I49" s="243"/>
      <c r="J49" s="243"/>
      <c r="K49" s="243"/>
      <c r="L49" s="243"/>
      <c r="M49" s="243"/>
      <c r="N49" s="243"/>
      <c r="O49" s="243"/>
      <c r="P49" s="243"/>
      <c r="Q49" s="243"/>
      <c r="R49" s="243"/>
      <c r="S49" s="243"/>
      <c r="T49" s="243"/>
      <c r="U49" s="86"/>
      <c r="V49" s="243"/>
      <c r="W49" s="243"/>
      <c r="X49" s="243"/>
      <c r="Y49" s="243"/>
      <c r="Z49" s="243"/>
      <c r="AA49" s="243"/>
      <c r="AB49" s="86"/>
      <c r="AC49" s="86"/>
      <c r="AD49" s="86"/>
      <c r="AE49" s="86"/>
      <c r="AF49" s="243"/>
      <c r="AG49" s="243"/>
      <c r="AH49" s="243"/>
      <c r="AI49" s="243"/>
      <c r="AJ49" s="243"/>
      <c r="AK49" s="243"/>
      <c r="AL49" s="243"/>
      <c r="AM49" s="243"/>
      <c r="AN49" s="243"/>
      <c r="AO49" s="243"/>
      <c r="AP49" s="243"/>
      <c r="AQ49" s="243"/>
      <c r="AR49" s="243"/>
      <c r="AS49" s="243"/>
      <c r="AT49" s="243"/>
      <c r="AU49" s="243"/>
      <c r="AV49" s="243"/>
      <c r="AW49" s="243"/>
      <c r="AX49" s="243"/>
      <c r="AY49" s="243"/>
      <c r="AZ49" s="243"/>
      <c r="BA49" s="243"/>
      <c r="BB49" s="14"/>
      <c r="BE49" s="39"/>
      <c r="BF49" s="40"/>
      <c r="BG49" s="40"/>
      <c r="BH49" s="59"/>
      <c r="BI49" s="59"/>
      <c r="BJ49" s="59"/>
      <c r="BN49" s="1577"/>
      <c r="BO49" s="1623"/>
      <c r="BP49" s="1625"/>
      <c r="BQ49" s="1625"/>
      <c r="BR49" s="1626"/>
      <c r="BS49" s="1625"/>
      <c r="BT49" s="1625"/>
      <c r="BU49" s="1625"/>
      <c r="CA49" s="1631">
        <v>6</v>
      </c>
      <c r="CB49" s="1643" t="b">
        <f>IF(CG57=17,1)</f>
        <v>0</v>
      </c>
      <c r="CC49" s="1638"/>
      <c r="CD49" s="1638"/>
      <c r="CE49" s="1638"/>
      <c r="CF49" s="1638"/>
      <c r="CG49" s="1638"/>
      <c r="CH49" s="1638"/>
      <c r="CI49" s="1638"/>
      <c r="CJ49" s="1638"/>
      <c r="CK49" s="1638"/>
      <c r="CL49" s="1636" t="b">
        <f>IF(CG57=17,11)</f>
        <v>0</v>
      </c>
      <c r="CM49" s="1625"/>
      <c r="CN49" s="1625"/>
      <c r="CO49" s="1626"/>
      <c r="CQ49" s="1557"/>
      <c r="CR49" s="1557"/>
      <c r="CS49" s="1557"/>
      <c r="CT49" s="1557"/>
      <c r="CU49" s="1557"/>
      <c r="CV49" s="1557"/>
      <c r="CW49" s="1557"/>
      <c r="CX49" s="1557"/>
      <c r="CY49" s="1557"/>
      <c r="CZ49" s="1557"/>
      <c r="DA49" s="1557"/>
      <c r="DB49" s="1557"/>
      <c r="DC49" s="1557"/>
      <c r="DD49" s="1557"/>
    </row>
    <row r="50" spans="2:143" ht="21.6" hidden="1" thickBot="1" x14ac:dyDescent="0.45">
      <c r="B50" s="85"/>
      <c r="C50" s="85"/>
      <c r="D50" s="85"/>
      <c r="E50" s="85"/>
      <c r="F50" s="85"/>
      <c r="G50" s="85"/>
      <c r="H50" s="243"/>
      <c r="I50" s="243"/>
      <c r="J50" s="243"/>
      <c r="K50" s="243"/>
      <c r="L50" s="243"/>
      <c r="M50" s="243"/>
      <c r="N50" s="243"/>
      <c r="O50" s="243"/>
      <c r="P50" s="243"/>
      <c r="Q50" s="243"/>
      <c r="R50" s="243"/>
      <c r="S50" s="243"/>
      <c r="T50" s="243"/>
      <c r="U50" s="86"/>
      <c r="V50" s="243"/>
      <c r="W50" s="243"/>
      <c r="X50" s="243"/>
      <c r="Y50" s="243"/>
      <c r="Z50" s="243"/>
      <c r="AA50" s="243"/>
      <c r="AB50" s="86"/>
      <c r="AC50" s="86"/>
      <c r="AD50" s="86"/>
      <c r="AE50" s="86"/>
      <c r="AF50" s="243"/>
      <c r="AG50" s="243"/>
      <c r="AH50" s="243"/>
      <c r="AI50" s="243"/>
      <c r="AJ50" s="243"/>
      <c r="AK50" s="243"/>
      <c r="AL50" s="243"/>
      <c r="AM50" s="243"/>
      <c r="AN50" s="243"/>
      <c r="AO50" s="243"/>
      <c r="AP50" s="243"/>
      <c r="AQ50" s="243"/>
      <c r="AR50" s="243"/>
      <c r="AS50" s="243"/>
      <c r="AT50" s="243"/>
      <c r="AU50" s="243"/>
      <c r="AV50" s="243"/>
      <c r="AW50" s="243"/>
      <c r="AX50" s="243"/>
      <c r="AY50" s="243"/>
      <c r="AZ50" s="243"/>
      <c r="BA50" s="243"/>
      <c r="BB50" s="14"/>
      <c r="BE50" s="41"/>
      <c r="BF50" s="40"/>
      <c r="BG50" s="40"/>
      <c r="BH50" s="59"/>
      <c r="BI50" s="59"/>
      <c r="BJ50" s="59"/>
      <c r="BN50" s="1577"/>
      <c r="BO50" s="1623"/>
      <c r="BP50" s="1625"/>
      <c r="BQ50" s="1625"/>
      <c r="BR50" s="1626"/>
      <c r="BS50" s="1625"/>
      <c r="BT50" s="1625"/>
      <c r="BU50" s="1625"/>
      <c r="CA50" s="1631">
        <v>5</v>
      </c>
      <c r="CB50" s="1632">
        <f>IF(CF57=16,1)</f>
        <v>1</v>
      </c>
      <c r="CC50" s="1637"/>
      <c r="CD50" s="1637"/>
      <c r="CE50" s="1641"/>
      <c r="CF50" s="1637"/>
      <c r="CG50" s="1641"/>
      <c r="CH50" s="1637"/>
      <c r="CI50" s="1637"/>
      <c r="CJ50" s="1634">
        <f>IF(CF57=16,9)</f>
        <v>9</v>
      </c>
      <c r="CK50" s="1625"/>
      <c r="CL50" s="1625"/>
      <c r="CM50" s="1625"/>
      <c r="CN50" s="1625"/>
      <c r="CO50" s="1626"/>
      <c r="CQ50" s="1557"/>
      <c r="CR50" s="1557"/>
      <c r="CS50" s="1557"/>
      <c r="CT50" s="1557"/>
      <c r="CU50" s="1557"/>
      <c r="CV50" s="1557"/>
      <c r="CW50" s="1557"/>
      <c r="CX50" s="1557"/>
      <c r="CY50" s="1557"/>
      <c r="CZ50" s="1557"/>
      <c r="DA50" s="1557"/>
      <c r="DB50" s="1557"/>
      <c r="DC50" s="1557"/>
      <c r="DD50" s="1557"/>
    </row>
    <row r="51" spans="2:143" ht="21.6" hidden="1" thickBot="1" x14ac:dyDescent="0.45">
      <c r="B51" s="85"/>
      <c r="C51" s="85"/>
      <c r="D51" s="85"/>
      <c r="E51" s="85"/>
      <c r="F51" s="85"/>
      <c r="G51" s="85"/>
      <c r="H51" s="243"/>
      <c r="I51" s="243"/>
      <c r="J51" s="243"/>
      <c r="K51" s="243"/>
      <c r="L51" s="243"/>
      <c r="M51" s="243"/>
      <c r="N51" s="243"/>
      <c r="O51" s="243"/>
      <c r="P51" s="243"/>
      <c r="Q51" s="243"/>
      <c r="R51" s="243"/>
      <c r="S51" s="243"/>
      <c r="T51" s="243"/>
      <c r="U51" s="86"/>
      <c r="V51" s="243"/>
      <c r="W51" s="243"/>
      <c r="X51" s="243"/>
      <c r="Y51" s="243"/>
      <c r="Z51" s="243"/>
      <c r="AA51" s="243"/>
      <c r="AB51" s="86"/>
      <c r="AC51" s="86"/>
      <c r="AD51" s="86"/>
      <c r="AE51" s="86"/>
      <c r="AF51" s="243"/>
      <c r="AG51" s="243"/>
      <c r="AH51" s="243"/>
      <c r="AI51" s="243"/>
      <c r="AJ51" s="243"/>
      <c r="AK51" s="243"/>
      <c r="AL51" s="243"/>
      <c r="AM51" s="243"/>
      <c r="AN51" s="243"/>
      <c r="AO51" s="243"/>
      <c r="AP51" s="243"/>
      <c r="AQ51" s="243"/>
      <c r="AR51" s="243"/>
      <c r="AS51" s="243"/>
      <c r="AT51" s="243"/>
      <c r="AU51" s="243"/>
      <c r="AV51" s="243"/>
      <c r="AW51" s="243"/>
      <c r="AX51" s="243"/>
      <c r="AY51" s="243"/>
      <c r="AZ51" s="243"/>
      <c r="BA51" s="243"/>
      <c r="BB51" s="14"/>
      <c r="BE51" s="40"/>
      <c r="BF51" s="40"/>
      <c r="BG51" s="40"/>
      <c r="BH51" s="59"/>
      <c r="BI51" s="59"/>
      <c r="BJ51" s="59"/>
      <c r="BN51" s="1577"/>
      <c r="BO51" s="1623"/>
      <c r="BP51" s="1625"/>
      <c r="BQ51" s="1625"/>
      <c r="BR51" s="1626"/>
      <c r="BS51" s="1625"/>
      <c r="BT51" s="1625"/>
      <c r="BU51" s="1625"/>
      <c r="CA51" s="1631">
        <v>4</v>
      </c>
      <c r="CB51" s="1632" t="b">
        <f>IF(CE57=15,1)</f>
        <v>0</v>
      </c>
      <c r="CC51" s="1641"/>
      <c r="CD51" s="1641"/>
      <c r="CE51" s="1637"/>
      <c r="CF51" s="1641"/>
      <c r="CG51" s="1641"/>
      <c r="CH51" s="1634" t="b">
        <f>IF(CE57=15,7)</f>
        <v>0</v>
      </c>
      <c r="CI51" s="1625"/>
      <c r="CJ51" s="1625"/>
      <c r="CK51" s="1625"/>
      <c r="CL51" s="1625"/>
      <c r="CM51" s="1625"/>
      <c r="CN51" s="1625"/>
      <c r="CO51" s="1626"/>
      <c r="CQ51" s="1557"/>
      <c r="CR51" s="1557"/>
      <c r="CS51" s="1557"/>
      <c r="CT51" s="1557"/>
      <c r="CU51" s="1557"/>
      <c r="CV51" s="1557"/>
      <c r="CW51" s="1557"/>
      <c r="CX51" s="1557"/>
      <c r="CY51" s="1557"/>
      <c r="CZ51" s="1557"/>
      <c r="DA51" s="1557"/>
      <c r="DB51" s="1557"/>
      <c r="DC51" s="1557"/>
      <c r="DD51" s="1557"/>
    </row>
    <row r="52" spans="2:143" ht="21.6" hidden="1" thickBot="1" x14ac:dyDescent="0.45">
      <c r="B52" s="85"/>
      <c r="C52" s="85"/>
      <c r="D52" s="85"/>
      <c r="E52" s="85"/>
      <c r="F52" s="85"/>
      <c r="G52" s="85"/>
      <c r="H52" s="243"/>
      <c r="I52" s="243"/>
      <c r="J52" s="243"/>
      <c r="K52" s="243"/>
      <c r="L52" s="243"/>
      <c r="M52" s="243"/>
      <c r="N52" s="243"/>
      <c r="O52" s="243"/>
      <c r="P52" s="243"/>
      <c r="Q52" s="243"/>
      <c r="R52" s="243"/>
      <c r="S52" s="243"/>
      <c r="T52" s="243"/>
      <c r="U52" s="86"/>
      <c r="V52" s="243"/>
      <c r="W52" s="243"/>
      <c r="X52" s="243"/>
      <c r="Y52" s="243"/>
      <c r="Z52" s="243"/>
      <c r="AA52" s="243"/>
      <c r="AB52" s="86"/>
      <c r="AC52" s="86"/>
      <c r="AD52" s="86"/>
      <c r="AE52" s="86"/>
      <c r="AF52" s="243"/>
      <c r="AG52" s="243"/>
      <c r="AH52" s="243"/>
      <c r="AI52" s="243"/>
      <c r="AJ52" s="243"/>
      <c r="AK52" s="243"/>
      <c r="AL52" s="243"/>
      <c r="AM52" s="243"/>
      <c r="AN52" s="243"/>
      <c r="AO52" s="243"/>
      <c r="AP52" s="243"/>
      <c r="AQ52" s="243"/>
      <c r="AR52" s="243"/>
      <c r="AS52" s="243"/>
      <c r="AT52" s="243"/>
      <c r="AU52" s="243"/>
      <c r="AV52" s="243"/>
      <c r="AW52" s="243"/>
      <c r="AX52" s="243"/>
      <c r="AY52" s="243"/>
      <c r="AZ52" s="243"/>
      <c r="BA52" s="243"/>
      <c r="BB52" s="14"/>
      <c r="BE52" s="40"/>
      <c r="BF52" s="40"/>
      <c r="BG52" s="40"/>
      <c r="BH52" s="59"/>
      <c r="BI52" s="59"/>
      <c r="BJ52" s="59"/>
      <c r="BN52" s="1577"/>
      <c r="BO52" s="1623"/>
      <c r="BP52" s="1625"/>
      <c r="BQ52" s="1625"/>
      <c r="BR52" s="1626"/>
      <c r="BS52" s="1625"/>
      <c r="BT52" s="1625"/>
      <c r="BU52" s="1625"/>
      <c r="CA52" s="1631">
        <v>3</v>
      </c>
      <c r="CB52" s="1643" t="b">
        <f>IF(CD57=14,1)</f>
        <v>0</v>
      </c>
      <c r="CC52" s="1638"/>
      <c r="CD52" s="1638"/>
      <c r="CE52" s="1638"/>
      <c r="CF52" s="1636" t="b">
        <f>IF(CD57=14,5)</f>
        <v>0</v>
      </c>
      <c r="CG52" s="1625"/>
      <c r="CH52" s="1625"/>
      <c r="CI52" s="1625"/>
      <c r="CJ52" s="1625"/>
      <c r="CK52" s="1625"/>
      <c r="CL52" s="1625"/>
      <c r="CM52" s="1625"/>
      <c r="CN52" s="1625"/>
      <c r="CO52" s="1626"/>
      <c r="CQ52" s="1557"/>
      <c r="CR52" s="1557"/>
      <c r="CS52" s="1557"/>
      <c r="CT52" s="1557"/>
      <c r="CU52" s="1557"/>
      <c r="CV52" s="1557"/>
      <c r="CW52" s="1557"/>
      <c r="CX52" s="1557"/>
      <c r="CY52" s="1557"/>
      <c r="CZ52" s="1557"/>
      <c r="DA52" s="1557"/>
      <c r="DB52" s="1557"/>
      <c r="DC52" s="1557"/>
      <c r="DD52" s="1557"/>
    </row>
    <row r="53" spans="2:143" ht="21.6" hidden="1" thickBot="1" x14ac:dyDescent="0.45">
      <c r="B53" s="85"/>
      <c r="C53" s="85"/>
      <c r="D53" s="85"/>
      <c r="E53" s="85"/>
      <c r="F53" s="85"/>
      <c r="G53" s="85"/>
      <c r="H53" s="243"/>
      <c r="I53" s="243"/>
      <c r="J53" s="243"/>
      <c r="K53" s="243"/>
      <c r="L53" s="243"/>
      <c r="M53" s="243"/>
      <c r="N53" s="243"/>
      <c r="O53" s="243"/>
      <c r="P53" s="243"/>
      <c r="Q53" s="243"/>
      <c r="R53" s="243"/>
      <c r="S53" s="243"/>
      <c r="T53" s="243"/>
      <c r="U53" s="86"/>
      <c r="V53" s="243"/>
      <c r="W53" s="243"/>
      <c r="X53" s="243"/>
      <c r="Y53" s="243"/>
      <c r="Z53" s="243"/>
      <c r="AA53" s="243"/>
      <c r="AB53" s="86"/>
      <c r="AC53" s="86"/>
      <c r="AD53" s="86"/>
      <c r="AE53" s="86"/>
      <c r="AF53" s="243"/>
      <c r="AG53" s="243"/>
      <c r="AH53" s="243"/>
      <c r="AI53" s="243"/>
      <c r="AJ53" s="243"/>
      <c r="AK53" s="243"/>
      <c r="AL53" s="243"/>
      <c r="AM53" s="243"/>
      <c r="AN53" s="243"/>
      <c r="AO53" s="243"/>
      <c r="AP53" s="243"/>
      <c r="AQ53" s="243"/>
      <c r="AR53" s="243"/>
      <c r="AS53" s="243"/>
      <c r="AT53" s="243"/>
      <c r="AU53" s="243"/>
      <c r="AV53" s="243"/>
      <c r="AW53" s="243"/>
      <c r="AX53" s="243"/>
      <c r="AY53" s="243"/>
      <c r="AZ53" s="243"/>
      <c r="BA53" s="243"/>
      <c r="BB53" s="14"/>
      <c r="BE53" s="40"/>
      <c r="BF53" s="40"/>
      <c r="BG53" s="40"/>
      <c r="BH53" s="59"/>
      <c r="BI53" s="59"/>
      <c r="BJ53" s="59"/>
      <c r="BN53" s="1577"/>
      <c r="BO53" s="1623"/>
      <c r="BP53" s="1625"/>
      <c r="BQ53" s="1625"/>
      <c r="BR53" s="1626"/>
      <c r="BS53" s="1625"/>
      <c r="BT53" s="1625"/>
      <c r="BU53" s="1625"/>
      <c r="CA53" s="1631">
        <v>2</v>
      </c>
      <c r="CB53" s="1643" t="b">
        <f>IF(CC57=13,1)</f>
        <v>0</v>
      </c>
      <c r="CC53" s="1638"/>
      <c r="CD53" s="1636" t="b">
        <f>IF(CC57=13,3)</f>
        <v>0</v>
      </c>
      <c r="CE53" s="1625"/>
      <c r="CF53" s="1625"/>
      <c r="CG53" s="1625"/>
      <c r="CH53" s="1625"/>
      <c r="CI53" s="1625"/>
      <c r="CJ53" s="1625"/>
      <c r="CK53" s="1625"/>
      <c r="CL53" s="1625"/>
      <c r="CM53" s="1625"/>
      <c r="CN53" s="1625"/>
      <c r="CO53" s="1626"/>
      <c r="CQ53" s="1557"/>
      <c r="CR53" s="1557"/>
      <c r="CS53" s="1557"/>
      <c r="CT53" s="1557"/>
      <c r="CU53" s="1557"/>
      <c r="CV53" s="1557"/>
      <c r="CW53" s="1557"/>
      <c r="CX53" s="1557"/>
      <c r="CY53" s="1557"/>
      <c r="CZ53" s="1557"/>
      <c r="DA53" s="1557"/>
      <c r="DB53" s="1557"/>
      <c r="DC53" s="1557"/>
      <c r="DD53" s="1557"/>
    </row>
    <row r="54" spans="2:143" ht="21.6" hidden="1" thickBot="1" x14ac:dyDescent="0.45">
      <c r="B54" s="85"/>
      <c r="C54" s="85"/>
      <c r="D54" s="85"/>
      <c r="E54" s="85"/>
      <c r="F54" s="85"/>
      <c r="G54" s="85"/>
      <c r="H54" s="243"/>
      <c r="I54" s="243"/>
      <c r="J54" s="243"/>
      <c r="K54" s="243"/>
      <c r="L54" s="243"/>
      <c r="M54" s="243"/>
      <c r="N54" s="243"/>
      <c r="O54" s="243"/>
      <c r="P54" s="243"/>
      <c r="Q54" s="243"/>
      <c r="R54" s="243"/>
      <c r="S54" s="243"/>
      <c r="T54" s="243"/>
      <c r="U54" s="86"/>
      <c r="V54" s="243"/>
      <c r="W54" s="243"/>
      <c r="X54" s="243"/>
      <c r="Y54" s="243"/>
      <c r="Z54" s="243"/>
      <c r="AA54" s="243"/>
      <c r="AB54" s="86"/>
      <c r="AC54" s="86"/>
      <c r="AD54" s="86"/>
      <c r="AE54" s="86"/>
      <c r="AF54" s="243"/>
      <c r="AG54" s="243"/>
      <c r="AH54" s="243"/>
      <c r="AI54" s="243"/>
      <c r="AJ54" s="243"/>
      <c r="AK54" s="243"/>
      <c r="AL54" s="243"/>
      <c r="AM54" s="243"/>
      <c r="AN54" s="243"/>
      <c r="AO54" s="243"/>
      <c r="AP54" s="243"/>
      <c r="AQ54" s="243"/>
      <c r="AR54" s="243"/>
      <c r="AS54" s="243"/>
      <c r="AT54" s="243"/>
      <c r="AU54" s="243"/>
      <c r="AV54" s="243"/>
      <c r="AW54" s="243"/>
      <c r="AX54" s="243"/>
      <c r="AY54" s="243"/>
      <c r="AZ54" s="243"/>
      <c r="BA54" s="243"/>
      <c r="BB54" s="14"/>
      <c r="BE54" s="40"/>
      <c r="BF54" s="40"/>
      <c r="BG54" s="40"/>
      <c r="BH54" s="59"/>
      <c r="BI54" s="59"/>
      <c r="BJ54" s="59"/>
      <c r="BN54" s="1577"/>
      <c r="BO54" s="1623"/>
      <c r="BP54" s="1625"/>
      <c r="BQ54" s="1625"/>
      <c r="BR54" s="1626"/>
      <c r="BS54" s="1625"/>
      <c r="BT54" s="1625"/>
      <c r="BU54" s="1625"/>
      <c r="BV54" s="1554"/>
      <c r="BW54" s="1625"/>
      <c r="CA54" s="1625"/>
      <c r="CB54" s="1625"/>
      <c r="CC54" s="1625"/>
      <c r="CD54" s="1625"/>
      <c r="CE54" s="1625"/>
      <c r="CF54" s="1625"/>
      <c r="CG54" s="1625"/>
      <c r="CH54" s="1625"/>
      <c r="CI54" s="1625"/>
      <c r="CJ54" s="1625"/>
      <c r="CK54" s="1625"/>
      <c r="CL54" s="1626"/>
      <c r="CM54" s="1644"/>
      <c r="CN54" s="1644"/>
      <c r="CO54" s="1644"/>
      <c r="CQ54" s="1557"/>
      <c r="CR54" s="1557"/>
      <c r="CS54" s="1557"/>
      <c r="CT54" s="1557"/>
      <c r="CU54" s="1557"/>
      <c r="CV54" s="1557"/>
      <c r="CW54" s="1557"/>
      <c r="CX54" s="1557"/>
      <c r="CY54" s="1557"/>
      <c r="CZ54" s="1557"/>
      <c r="DA54" s="1557"/>
      <c r="DB54" s="1557"/>
      <c r="DC54" s="1557"/>
      <c r="DD54" s="1557"/>
    </row>
    <row r="55" spans="2:143" ht="52.5" customHeight="1" thickBot="1" x14ac:dyDescent="0.45">
      <c r="B55" s="85"/>
      <c r="C55" s="85"/>
      <c r="D55" s="85"/>
      <c r="E55" s="85"/>
      <c r="F55" s="85"/>
      <c r="G55" s="85"/>
      <c r="H55" s="243"/>
      <c r="I55" s="243"/>
      <c r="J55" s="243"/>
      <c r="K55" s="243"/>
      <c r="L55" s="243"/>
      <c r="M55" s="243"/>
      <c r="N55" s="243"/>
      <c r="O55" s="243"/>
      <c r="P55" s="243"/>
      <c r="Q55" s="243"/>
      <c r="R55" s="243"/>
      <c r="S55" s="243"/>
      <c r="T55" s="243"/>
      <c r="U55" s="86"/>
      <c r="V55" s="243"/>
      <c r="W55" s="243"/>
      <c r="X55" s="243"/>
      <c r="Y55" s="243"/>
      <c r="Z55" s="243"/>
      <c r="AA55" s="243"/>
      <c r="AB55" s="86"/>
      <c r="AC55" s="86"/>
      <c r="AD55" s="86"/>
      <c r="AE55" s="86"/>
      <c r="AF55" s="243"/>
      <c r="AG55" s="243"/>
      <c r="AH55" s="243"/>
      <c r="AI55" s="243"/>
      <c r="AJ55" s="243"/>
      <c r="AK55" s="243"/>
      <c r="AL55" s="243"/>
      <c r="AM55" s="243"/>
      <c r="AN55" s="243"/>
      <c r="AO55" s="243"/>
      <c r="AP55" s="243"/>
      <c r="AQ55" s="243"/>
      <c r="AR55" s="243"/>
      <c r="AS55" s="243"/>
      <c r="AT55" s="243"/>
      <c r="AU55" s="243"/>
      <c r="AV55" s="243"/>
      <c r="AW55" s="243"/>
      <c r="AX55" s="243"/>
      <c r="AY55" s="243"/>
      <c r="AZ55" s="243"/>
      <c r="BA55" s="243"/>
      <c r="BB55" s="14"/>
      <c r="BE55" s="40"/>
      <c r="BF55" s="40"/>
      <c r="BG55" s="40"/>
      <c r="BH55" s="59"/>
      <c r="BI55" s="59"/>
      <c r="BJ55" s="59"/>
      <c r="BL55" s="1623"/>
      <c r="BM55" s="1623"/>
      <c r="BN55" s="1645"/>
      <c r="BO55" s="1561" t="s">
        <v>227</v>
      </c>
      <c r="BP55" s="1646" t="s">
        <v>231</v>
      </c>
      <c r="BQ55" s="1647"/>
      <c r="BR55" s="1648"/>
      <c r="BS55" s="1648"/>
      <c r="BT55" s="1648"/>
      <c r="BU55" s="1648"/>
      <c r="BV55" s="1648"/>
      <c r="BW55" s="1648"/>
      <c r="BX55" s="1648"/>
      <c r="BY55" s="1648"/>
      <c r="BZ55" s="1648"/>
      <c r="CA55" s="1648"/>
      <c r="CB55" s="1649">
        <f>SUM(CB39:CB54)</f>
        <v>1</v>
      </c>
      <c r="CC55" s="1650">
        <f t="shared" ref="CC55:CR55" si="0">SUM(CC39:CC54)</f>
        <v>0</v>
      </c>
      <c r="CD55" s="1650">
        <f t="shared" si="0"/>
        <v>0</v>
      </c>
      <c r="CE55" s="1650">
        <f t="shared" si="0"/>
        <v>0</v>
      </c>
      <c r="CF55" s="1650">
        <f t="shared" si="0"/>
        <v>0</v>
      </c>
      <c r="CG55" s="1650">
        <f t="shared" si="0"/>
        <v>0</v>
      </c>
      <c r="CH55" s="1650">
        <f t="shared" si="0"/>
        <v>0</v>
      </c>
      <c r="CI55" s="1650">
        <f t="shared" si="0"/>
        <v>0</v>
      </c>
      <c r="CJ55" s="1650">
        <f t="shared" si="0"/>
        <v>9</v>
      </c>
      <c r="CK55" s="1650">
        <f t="shared" si="0"/>
        <v>0</v>
      </c>
      <c r="CL55" s="1650">
        <f t="shared" si="0"/>
        <v>0</v>
      </c>
      <c r="CM55" s="1650">
        <f t="shared" si="0"/>
        <v>0</v>
      </c>
      <c r="CN55" s="1650">
        <f t="shared" si="0"/>
        <v>0</v>
      </c>
      <c r="CO55" s="1650">
        <f t="shared" si="0"/>
        <v>0</v>
      </c>
      <c r="CP55" s="1650">
        <f t="shared" si="0"/>
        <v>0</v>
      </c>
      <c r="CQ55" s="1650">
        <f t="shared" si="0"/>
        <v>0</v>
      </c>
      <c r="CR55" s="1651">
        <f t="shared" si="0"/>
        <v>0</v>
      </c>
      <c r="CS55" s="1648"/>
      <c r="CT55" s="1648"/>
      <c r="CU55" s="1652"/>
      <c r="CV55" s="1652"/>
      <c r="CW55" s="1652"/>
      <c r="CX55" s="1652"/>
      <c r="CY55" s="1652"/>
      <c r="CZ55" s="1652"/>
      <c r="DA55" s="1653"/>
      <c r="DB55" s="1583"/>
      <c r="DC55" s="1557"/>
      <c r="DD55" s="1557"/>
      <c r="DF55" s="1994"/>
      <c r="DG55" s="1994"/>
      <c r="DH55" s="182"/>
      <c r="DI55" s="182"/>
      <c r="DJ55" s="183"/>
      <c r="DK55" s="184"/>
      <c r="DL55" s="184"/>
      <c r="DM55" s="184"/>
      <c r="DN55" s="184"/>
      <c r="DO55" s="184"/>
      <c r="DP55" s="184"/>
      <c r="DQ55" s="184"/>
      <c r="DR55" s="184"/>
      <c r="DS55" s="184"/>
      <c r="DT55" s="184"/>
      <c r="DU55" s="184"/>
      <c r="DV55" s="184"/>
      <c r="DW55" s="184"/>
      <c r="DX55" s="184"/>
      <c r="DY55" s="184"/>
      <c r="DZ55" s="184"/>
      <c r="EA55" s="184"/>
      <c r="EB55" s="184"/>
      <c r="EC55" s="184"/>
      <c r="ED55" s="185"/>
      <c r="EE55" s="185"/>
      <c r="EF55" s="185"/>
      <c r="EG55" s="185"/>
      <c r="EH55" s="185"/>
      <c r="EI55" s="185"/>
      <c r="EJ55" s="185"/>
      <c r="EK55" s="185"/>
      <c r="EL55" s="143"/>
      <c r="EM55" s="143"/>
    </row>
    <row r="56" spans="2:143" ht="45" customHeight="1" thickBot="1" x14ac:dyDescent="0.45">
      <c r="B56" s="85"/>
      <c r="C56" s="85"/>
      <c r="D56" s="85"/>
      <c r="E56" s="85"/>
      <c r="F56" s="85"/>
      <c r="G56" s="85"/>
      <c r="H56" s="243"/>
      <c r="I56" s="243"/>
      <c r="J56" s="243"/>
      <c r="K56" s="243"/>
      <c r="L56" s="243"/>
      <c r="M56" s="243"/>
      <c r="N56" s="243"/>
      <c r="O56" s="243"/>
      <c r="P56" s="243"/>
      <c r="Q56" s="243"/>
      <c r="R56" s="243"/>
      <c r="S56" s="243"/>
      <c r="T56" s="243"/>
      <c r="U56" s="86"/>
      <c r="V56" s="243"/>
      <c r="W56" s="243"/>
      <c r="X56" s="243"/>
      <c r="Y56" s="243"/>
      <c r="Z56" s="243"/>
      <c r="AA56" s="243"/>
      <c r="AB56" s="86"/>
      <c r="AC56" s="86"/>
      <c r="AD56" s="86"/>
      <c r="AE56" s="86"/>
      <c r="AF56" s="243"/>
      <c r="AG56" s="243"/>
      <c r="AH56" s="243"/>
      <c r="AI56" s="243"/>
      <c r="AJ56" s="243"/>
      <c r="AK56" s="243"/>
      <c r="AL56" s="243"/>
      <c r="AM56" s="243"/>
      <c r="AN56" s="243"/>
      <c r="AO56" s="243"/>
      <c r="AP56" s="243"/>
      <c r="AQ56" s="243"/>
      <c r="AR56" s="243"/>
      <c r="AS56" s="243"/>
      <c r="AT56" s="243"/>
      <c r="AU56" s="243"/>
      <c r="AV56" s="243"/>
      <c r="AW56" s="243"/>
      <c r="AX56" s="243"/>
      <c r="AY56" s="243"/>
      <c r="AZ56" s="243"/>
      <c r="BA56" s="243"/>
      <c r="BB56" s="14"/>
      <c r="BE56" s="40"/>
      <c r="BF56" s="40"/>
      <c r="BG56" s="40"/>
      <c r="BH56" s="59"/>
      <c r="BI56" s="59"/>
      <c r="BJ56" s="59"/>
      <c r="BL56" s="1623"/>
      <c r="BM56" s="1550" t="b">
        <f>AND(BO56&gt;=10,$AZ$110&gt;=10,$BA$110&gt;=10)</f>
        <v>1</v>
      </c>
      <c r="BN56" s="1570" t="str">
        <f>IF(BM56=TRUE,"O K","OVERLOAD")</f>
        <v>O K</v>
      </c>
      <c r="BO56" s="1571">
        <f>+$D$20/(BQ25/2)</f>
        <v>82.474226804123717</v>
      </c>
      <c r="BP56" s="1654"/>
      <c r="BQ56" s="1644"/>
      <c r="BR56" s="1655"/>
      <c r="BS56" s="1644"/>
      <c r="BT56" s="1644"/>
      <c r="BU56" s="1644"/>
      <c r="BV56" s="1655"/>
      <c r="BW56" s="1644"/>
      <c r="BX56" s="1644"/>
      <c r="BY56" s="1644"/>
      <c r="BZ56" s="1644"/>
      <c r="CA56" s="1644"/>
      <c r="CB56" s="1644"/>
      <c r="CC56" s="1644"/>
      <c r="CD56" s="1644"/>
      <c r="CE56" s="1644"/>
      <c r="CF56" s="1644"/>
      <c r="CG56" s="1644"/>
      <c r="CH56" s="1644"/>
      <c r="CI56" s="1644"/>
      <c r="CJ56" s="1644"/>
      <c r="CK56" s="1644"/>
      <c r="CL56" s="1644"/>
      <c r="CM56" s="1644"/>
      <c r="CN56" s="1644"/>
      <c r="CO56" s="1644"/>
      <c r="CP56" s="1644"/>
      <c r="CQ56" s="1644"/>
      <c r="CR56" s="1644"/>
      <c r="CS56" s="1557"/>
      <c r="CT56" s="1557"/>
      <c r="CU56" s="1557"/>
      <c r="CV56" s="1557"/>
      <c r="CW56" s="1557"/>
      <c r="CX56" s="1557"/>
      <c r="CY56" s="1557"/>
      <c r="CZ56" s="1557"/>
      <c r="DA56" s="1557"/>
      <c r="DB56" s="1557"/>
      <c r="DC56" s="1557"/>
      <c r="DD56" s="1557"/>
      <c r="EJ56" s="185"/>
      <c r="EK56" s="185"/>
    </row>
    <row r="57" spans="2:143" ht="21" hidden="1" x14ac:dyDescent="0.4">
      <c r="B57" s="85"/>
      <c r="C57" s="85"/>
      <c r="D57" s="85"/>
      <c r="E57" s="85"/>
      <c r="H57" s="243"/>
      <c r="I57" s="243"/>
      <c r="J57" s="243"/>
      <c r="K57" s="243"/>
      <c r="L57" s="243"/>
      <c r="M57" s="243"/>
      <c r="N57" s="243"/>
      <c r="O57" s="243"/>
      <c r="P57" s="243"/>
      <c r="Q57" s="243"/>
      <c r="R57" s="243"/>
      <c r="S57" s="243"/>
      <c r="T57" s="243"/>
      <c r="U57" s="86"/>
      <c r="V57" s="243"/>
      <c r="W57" s="243"/>
      <c r="X57" s="243"/>
      <c r="Y57" s="243"/>
      <c r="Z57" s="243"/>
      <c r="AA57" s="243"/>
      <c r="AB57" s="86"/>
      <c r="AC57" s="86"/>
      <c r="AD57" s="86"/>
      <c r="AE57" s="86"/>
      <c r="AF57" s="243"/>
      <c r="AG57" s="243"/>
      <c r="AH57" s="243"/>
      <c r="AI57" s="243"/>
      <c r="AJ57" s="243"/>
      <c r="AK57" s="243"/>
      <c r="AL57" s="243"/>
      <c r="AM57" s="243"/>
      <c r="AN57" s="243"/>
      <c r="AO57" s="243"/>
      <c r="AP57" s="243"/>
      <c r="AQ57" s="243"/>
      <c r="AR57" s="243"/>
      <c r="AS57" s="243"/>
      <c r="AT57" s="243"/>
      <c r="AU57" s="243"/>
      <c r="AV57" s="243"/>
      <c r="AW57" s="243"/>
      <c r="AX57" s="243"/>
      <c r="AY57" s="243"/>
      <c r="AZ57" s="243"/>
      <c r="BA57" s="243"/>
      <c r="BB57" s="14"/>
      <c r="BE57" s="40"/>
      <c r="BF57" s="40"/>
      <c r="BG57" s="40"/>
      <c r="BH57" s="59"/>
      <c r="BI57" s="59"/>
      <c r="BJ57" s="59"/>
      <c r="BL57" s="1623"/>
      <c r="BM57" s="1623"/>
      <c r="BN57" s="1645"/>
      <c r="BO57" s="1623"/>
      <c r="BP57" s="1554"/>
      <c r="BQ57" s="1656" t="b">
        <f>+BQ165</f>
        <v>0</v>
      </c>
      <c r="BR57" s="1656" t="b">
        <f>+BQ166</f>
        <v>0</v>
      </c>
      <c r="BS57" s="1656" t="b">
        <f>+BQ167</f>
        <v>0</v>
      </c>
      <c r="BT57" s="1656" t="b">
        <f>+BQ168</f>
        <v>0</v>
      </c>
      <c r="BU57" s="1656" t="b">
        <f>+BQ169</f>
        <v>0</v>
      </c>
      <c r="BV57" s="1656" t="b">
        <f>+BQ170</f>
        <v>0</v>
      </c>
      <c r="BW57" s="1656" t="b">
        <f>+BQ171</f>
        <v>0</v>
      </c>
      <c r="BX57" s="1656" t="b">
        <f>+BQ172</f>
        <v>0</v>
      </c>
      <c r="BY57" s="1656" t="b">
        <f>+BQ173</f>
        <v>0</v>
      </c>
      <c r="BZ57" s="1656" t="b">
        <f>+BQ174</f>
        <v>0</v>
      </c>
      <c r="CA57" s="1656" t="b">
        <f>+BQ175</f>
        <v>0</v>
      </c>
      <c r="CB57" s="1656" t="b">
        <f>+BQ176</f>
        <v>0</v>
      </c>
      <c r="CC57" s="1656" t="b">
        <f>+BQ177</f>
        <v>0</v>
      </c>
      <c r="CD57" s="1656" t="b">
        <f>+BQ178</f>
        <v>0</v>
      </c>
      <c r="CE57" s="1656" t="b">
        <f>+BQ179</f>
        <v>0</v>
      </c>
      <c r="CF57" s="1656">
        <f>+BQ180</f>
        <v>16</v>
      </c>
      <c r="CG57" s="1656" t="b">
        <f>+BQ181</f>
        <v>0</v>
      </c>
      <c r="CH57" s="1656" t="b">
        <f>+BQ182</f>
        <v>0</v>
      </c>
      <c r="CI57" s="1656" t="b">
        <f>+BQ183</f>
        <v>0</v>
      </c>
      <c r="CJ57" s="1656" t="b">
        <f>+BQ184</f>
        <v>0</v>
      </c>
      <c r="CK57" s="1656" t="b">
        <f>+BQ185</f>
        <v>0</v>
      </c>
      <c r="CL57" s="1656" t="b">
        <f>+BQ186</f>
        <v>0</v>
      </c>
      <c r="CM57" s="1656" t="b">
        <f>+BQ187</f>
        <v>0</v>
      </c>
      <c r="CN57" s="1656" t="b">
        <f>+BQ188</f>
        <v>0</v>
      </c>
      <c r="CO57" s="1656" t="b">
        <f>+BQ189</f>
        <v>0</v>
      </c>
      <c r="CP57" s="1656" t="b">
        <f>+BQ190</f>
        <v>0</v>
      </c>
      <c r="CQ57" s="1656" t="b">
        <f>+BQ191</f>
        <v>0</v>
      </c>
      <c r="CR57" s="1656" t="b">
        <f>+BQ192</f>
        <v>0</v>
      </c>
      <c r="CS57" s="1656" t="b">
        <f>+BQ193</f>
        <v>0</v>
      </c>
      <c r="CT57" s="1656" t="b">
        <f>+BQ194</f>
        <v>0</v>
      </c>
      <c r="CU57" s="1656" t="b">
        <f>+BQ195</f>
        <v>0</v>
      </c>
      <c r="CV57" s="1656" t="b">
        <f>+BQ196</f>
        <v>0</v>
      </c>
      <c r="CW57" s="1656" t="b">
        <f>+BQ197</f>
        <v>0</v>
      </c>
      <c r="CX57" s="1656" t="b">
        <f>+BQ198</f>
        <v>0</v>
      </c>
      <c r="CY57" s="1656" t="b">
        <f>+BQ199</f>
        <v>0</v>
      </c>
      <c r="CZ57" s="1656" t="b">
        <f>+BQ200</f>
        <v>0</v>
      </c>
      <c r="DA57" s="1656" t="b">
        <f>+BQ201</f>
        <v>0</v>
      </c>
      <c r="DB57" s="1657"/>
      <c r="DC57" s="1557"/>
      <c r="DD57" s="1557"/>
      <c r="EJ57" s="185"/>
      <c r="EK57" s="185"/>
    </row>
    <row r="58" spans="2:143" ht="21" hidden="1" x14ac:dyDescent="0.4">
      <c r="B58" s="85"/>
      <c r="C58" s="85"/>
      <c r="D58" s="85"/>
      <c r="E58" s="85"/>
      <c r="H58" s="243"/>
      <c r="I58" s="243"/>
      <c r="J58" s="243"/>
      <c r="K58" s="243"/>
      <c r="L58" s="243"/>
      <c r="M58" s="243"/>
      <c r="N58" s="243"/>
      <c r="O58" s="243"/>
      <c r="P58" s="243"/>
      <c r="Q58" s="243"/>
      <c r="R58" s="243"/>
      <c r="S58" s="243"/>
      <c r="T58" s="243"/>
      <c r="U58" s="86"/>
      <c r="V58" s="243"/>
      <c r="W58" s="243"/>
      <c r="X58" s="243"/>
      <c r="Y58" s="243"/>
      <c r="Z58" s="243"/>
      <c r="AA58" s="243"/>
      <c r="AB58" s="86"/>
      <c r="AC58" s="86"/>
      <c r="AD58" s="86"/>
      <c r="AE58" s="86"/>
      <c r="AF58" s="243"/>
      <c r="AG58" s="243"/>
      <c r="AH58" s="243"/>
      <c r="AI58" s="243"/>
      <c r="AJ58" s="243"/>
      <c r="AK58" s="243"/>
      <c r="AL58" s="243"/>
      <c r="AM58" s="243"/>
      <c r="AN58" s="243"/>
      <c r="AO58" s="243"/>
      <c r="AP58" s="243"/>
      <c r="AQ58" s="243"/>
      <c r="AR58" s="243"/>
      <c r="AS58" s="243"/>
      <c r="AT58" s="243"/>
      <c r="AU58" s="243"/>
      <c r="AV58" s="243"/>
      <c r="AW58" s="243"/>
      <c r="AX58" s="243"/>
      <c r="AY58" s="243"/>
      <c r="AZ58" s="243"/>
      <c r="BA58" s="243"/>
      <c r="BB58" s="14"/>
      <c r="BE58" s="40"/>
      <c r="BF58" s="40"/>
      <c r="BG58" s="40"/>
      <c r="BH58" s="59"/>
      <c r="BI58" s="59"/>
      <c r="BJ58" s="59"/>
      <c r="BL58" s="1623"/>
      <c r="BM58" s="1623"/>
      <c r="BN58" s="1645"/>
      <c r="BO58" s="1623"/>
      <c r="BP58" s="1556"/>
      <c r="BQ58" s="1657" t="b">
        <f>+BQ57</f>
        <v>0</v>
      </c>
      <c r="BR58" s="1657" t="b">
        <f t="shared" ref="BR58:CI58" si="1">+BR57</f>
        <v>0</v>
      </c>
      <c r="BS58" s="1657" t="b">
        <f t="shared" si="1"/>
        <v>0</v>
      </c>
      <c r="BT58" s="1657" t="b">
        <f t="shared" si="1"/>
        <v>0</v>
      </c>
      <c r="BU58" s="1657" t="b">
        <f t="shared" si="1"/>
        <v>0</v>
      </c>
      <c r="BV58" s="1657" t="b">
        <f t="shared" si="1"/>
        <v>0</v>
      </c>
      <c r="BW58" s="1657" t="b">
        <f>+BW57</f>
        <v>0</v>
      </c>
      <c r="BX58" s="1657" t="b">
        <f t="shared" si="1"/>
        <v>0</v>
      </c>
      <c r="BY58" s="1657" t="b">
        <f t="shared" si="1"/>
        <v>0</v>
      </c>
      <c r="BZ58" s="1657" t="b">
        <f t="shared" si="1"/>
        <v>0</v>
      </c>
      <c r="CA58" s="1657" t="b">
        <f t="shared" si="1"/>
        <v>0</v>
      </c>
      <c r="CB58" s="1657" t="b">
        <f>+CB57</f>
        <v>0</v>
      </c>
      <c r="CC58" s="1657" t="b">
        <f>+CC57</f>
        <v>0</v>
      </c>
      <c r="CD58" s="1657" t="b">
        <f>+CD57</f>
        <v>0</v>
      </c>
      <c r="CE58" s="1657" t="b">
        <f>+CE57</f>
        <v>0</v>
      </c>
      <c r="CF58" s="1657">
        <f>+CF57</f>
        <v>16</v>
      </c>
      <c r="CG58" s="1657" t="b">
        <f t="shared" si="1"/>
        <v>0</v>
      </c>
      <c r="CH58" s="1657" t="b">
        <f t="shared" si="1"/>
        <v>0</v>
      </c>
      <c r="CI58" s="1657" t="b">
        <f t="shared" si="1"/>
        <v>0</v>
      </c>
      <c r="CJ58" s="1657" t="b">
        <f>+CJ57</f>
        <v>0</v>
      </c>
      <c r="CK58" s="1657" t="b">
        <f>+CK57</f>
        <v>0</v>
      </c>
      <c r="CL58" s="1657" t="b">
        <f t="shared" ref="CL58:DA58" si="2">+CL57</f>
        <v>0</v>
      </c>
      <c r="CM58" s="1657" t="b">
        <f t="shared" si="2"/>
        <v>0</v>
      </c>
      <c r="CN58" s="1657" t="b">
        <f t="shared" si="2"/>
        <v>0</v>
      </c>
      <c r="CO58" s="1657" t="b">
        <f t="shared" si="2"/>
        <v>0</v>
      </c>
      <c r="CP58" s="1657" t="b">
        <f t="shared" si="2"/>
        <v>0</v>
      </c>
      <c r="CQ58" s="1657" t="b">
        <f t="shared" si="2"/>
        <v>0</v>
      </c>
      <c r="CR58" s="1657" t="b">
        <f t="shared" si="2"/>
        <v>0</v>
      </c>
      <c r="CS58" s="1657" t="b">
        <f t="shared" si="2"/>
        <v>0</v>
      </c>
      <c r="CT58" s="1657" t="b">
        <f t="shared" si="2"/>
        <v>0</v>
      </c>
      <c r="CU58" s="1657" t="b">
        <f t="shared" si="2"/>
        <v>0</v>
      </c>
      <c r="CV58" s="1657" t="b">
        <f t="shared" si="2"/>
        <v>0</v>
      </c>
      <c r="CW58" s="1657" t="b">
        <f t="shared" si="2"/>
        <v>0</v>
      </c>
      <c r="CX58" s="1657" t="b">
        <f t="shared" si="2"/>
        <v>0</v>
      </c>
      <c r="CY58" s="1657" t="b">
        <f t="shared" si="2"/>
        <v>0</v>
      </c>
      <c r="CZ58" s="1657" t="b">
        <f t="shared" si="2"/>
        <v>0</v>
      </c>
      <c r="DA58" s="1657" t="b">
        <f t="shared" si="2"/>
        <v>0</v>
      </c>
      <c r="DB58" s="1657"/>
      <c r="DC58" s="1557"/>
      <c r="DD58" s="1557"/>
      <c r="EJ58" s="185"/>
      <c r="EK58" s="185"/>
    </row>
    <row r="59" spans="2:143" ht="15" customHeight="1" thickBot="1" x14ac:dyDescent="0.45">
      <c r="B59" s="85"/>
      <c r="C59" s="85"/>
      <c r="D59" s="85"/>
      <c r="E59" s="85"/>
      <c r="F59" s="85"/>
      <c r="G59" s="85"/>
      <c r="H59" s="243"/>
      <c r="I59" s="243"/>
      <c r="J59" s="243"/>
      <c r="K59" s="243"/>
      <c r="L59" s="243"/>
      <c r="M59" s="243"/>
      <c r="N59" s="243"/>
      <c r="O59" s="243"/>
      <c r="P59" s="243"/>
      <c r="Q59" s="243"/>
      <c r="R59" s="243"/>
      <c r="S59" s="243"/>
      <c r="T59" s="243"/>
      <c r="U59" s="86"/>
      <c r="V59" s="243"/>
      <c r="W59" s="243"/>
      <c r="X59" s="243"/>
      <c r="Y59" s="243"/>
      <c r="Z59" s="243"/>
      <c r="AA59" s="243"/>
      <c r="AB59" s="86"/>
      <c r="AC59" s="86"/>
      <c r="AD59" s="86"/>
      <c r="AE59" s="86"/>
      <c r="AF59" s="243"/>
      <c r="AG59" s="243"/>
      <c r="AH59" s="243"/>
      <c r="AI59" s="243"/>
      <c r="AJ59" s="243"/>
      <c r="AK59" s="243"/>
      <c r="AL59" s="243"/>
      <c r="AM59" s="243"/>
      <c r="AN59" s="243"/>
      <c r="AO59" s="243"/>
      <c r="AP59" s="243"/>
      <c r="AQ59" s="243"/>
      <c r="AR59" s="243"/>
      <c r="AS59" s="243"/>
      <c r="AT59" s="243"/>
      <c r="AU59" s="243"/>
      <c r="AV59" s="243"/>
      <c r="AW59" s="243"/>
      <c r="AX59" s="243"/>
      <c r="AY59" s="243"/>
      <c r="AZ59" s="243"/>
      <c r="BA59" s="243"/>
      <c r="BB59" s="14"/>
      <c r="BE59" s="40"/>
      <c r="BF59" s="40"/>
      <c r="BG59" s="40"/>
      <c r="BH59" s="59"/>
      <c r="BI59" s="59"/>
      <c r="BJ59" s="59"/>
      <c r="BL59" s="1623"/>
      <c r="BM59" s="1623"/>
      <c r="BN59" s="1645"/>
      <c r="BO59" s="1623"/>
      <c r="BP59" s="1556"/>
      <c r="BQ59" s="1657"/>
      <c r="BR59" s="1657"/>
      <c r="BS59" s="1657"/>
      <c r="BT59" s="1657"/>
      <c r="BU59" s="1657"/>
      <c r="BV59" s="1657"/>
      <c r="BW59" s="1657"/>
      <c r="BX59" s="1657"/>
      <c r="BY59" s="1657"/>
      <c r="BZ59" s="1657"/>
      <c r="CA59" s="1657"/>
      <c r="CB59" s="1657"/>
      <c r="CC59" s="1657"/>
      <c r="CD59" s="1657"/>
      <c r="CE59" s="1657"/>
      <c r="CF59" s="1657"/>
      <c r="CG59" s="1657"/>
      <c r="CH59" s="1657"/>
      <c r="CI59" s="1657"/>
      <c r="CJ59" s="1657"/>
      <c r="CK59" s="1657"/>
      <c r="CL59" s="1657"/>
      <c r="CM59" s="1657"/>
      <c r="CN59" s="1657"/>
      <c r="CO59" s="1657"/>
      <c r="CP59" s="1657"/>
      <c r="CQ59" s="1657"/>
      <c r="CR59" s="1657"/>
      <c r="CS59" s="1657"/>
      <c r="CT59" s="1657"/>
      <c r="CU59" s="1657"/>
      <c r="CV59" s="1657"/>
      <c r="CW59" s="1657"/>
      <c r="CX59" s="1657"/>
      <c r="CY59" s="1657"/>
      <c r="CZ59" s="1657"/>
      <c r="DA59" s="1657"/>
      <c r="DB59" s="1657"/>
      <c r="DC59" s="1557"/>
      <c r="DD59" s="1557"/>
      <c r="EJ59" s="185"/>
      <c r="EK59" s="185"/>
    </row>
    <row r="60" spans="2:143" ht="36" customHeight="1" thickBot="1" x14ac:dyDescent="0.45">
      <c r="B60" s="85"/>
      <c r="C60" s="85"/>
      <c r="D60" s="85"/>
      <c r="E60" s="85"/>
      <c r="F60" s="85"/>
      <c r="G60" s="85"/>
      <c r="H60" s="243"/>
      <c r="I60" s="243"/>
      <c r="J60" s="243"/>
      <c r="K60" s="243"/>
      <c r="L60" s="243"/>
      <c r="M60" s="243"/>
      <c r="N60" s="243"/>
      <c r="O60" s="243"/>
      <c r="P60" s="243"/>
      <c r="Q60" s="243"/>
      <c r="R60" s="243"/>
      <c r="S60" s="243"/>
      <c r="T60" s="243"/>
      <c r="U60" s="86"/>
      <c r="V60" s="243"/>
      <c r="W60" s="243"/>
      <c r="X60" s="243"/>
      <c r="Y60" s="243"/>
      <c r="Z60" s="243"/>
      <c r="AA60" s="243"/>
      <c r="AB60" s="86"/>
      <c r="AC60" s="86"/>
      <c r="AD60" s="86"/>
      <c r="AE60" s="86"/>
      <c r="AF60" s="243"/>
      <c r="AG60" s="243"/>
      <c r="AH60" s="243"/>
      <c r="AI60" s="243"/>
      <c r="AJ60" s="243"/>
      <c r="AK60" s="243"/>
      <c r="AL60" s="243"/>
      <c r="AM60" s="243"/>
      <c r="AN60" s="243"/>
      <c r="AO60" s="243"/>
      <c r="AP60" s="243"/>
      <c r="AQ60" s="243"/>
      <c r="AR60" s="243"/>
      <c r="AS60" s="243"/>
      <c r="AT60" s="243"/>
      <c r="AU60" s="243"/>
      <c r="AV60" s="243"/>
      <c r="AW60" s="243"/>
      <c r="AX60" s="243"/>
      <c r="AY60" s="243"/>
      <c r="AZ60" s="243"/>
      <c r="BA60" s="243"/>
      <c r="BB60" s="14"/>
      <c r="BE60" s="40"/>
      <c r="BF60" s="40"/>
      <c r="BG60" s="40"/>
      <c r="BH60" s="59"/>
      <c r="BI60" s="59"/>
      <c r="BJ60" s="59"/>
      <c r="BL60" s="1623"/>
      <c r="BM60" s="1623"/>
      <c r="BN60" s="1645"/>
      <c r="BO60" s="1561" t="s">
        <v>227</v>
      </c>
      <c r="BP60" s="1658" t="s">
        <v>232</v>
      </c>
      <c r="BQ60" s="1659" t="str">
        <f>IF(BQ58=1,"17","")</f>
        <v/>
      </c>
      <c r="BR60" s="1660" t="str">
        <f>IF(BR58=2,"16","")</f>
        <v/>
      </c>
      <c r="BS60" s="1660" t="str">
        <f>IF(BS58=3,"15","")</f>
        <v/>
      </c>
      <c r="BT60" s="1660" t="str">
        <f>IF(BT58=4,"14","")</f>
        <v/>
      </c>
      <c r="BU60" s="1660" t="str">
        <f>IF(BU58=5,"13","")</f>
        <v/>
      </c>
      <c r="BV60" s="1660" t="str">
        <f>IF(BV58=6,"12","")</f>
        <v/>
      </c>
      <c r="BW60" s="1660" t="str">
        <f>IF(BW58=7,"11","")</f>
        <v/>
      </c>
      <c r="BX60" s="1660" t="str">
        <f>IF(BX58=8,"10","")</f>
        <v/>
      </c>
      <c r="BY60" s="1660" t="str">
        <f>IF(BY58=9,"9","")</f>
        <v/>
      </c>
      <c r="BZ60" s="1660" t="str">
        <f>IF(BZ58=10,"8","")</f>
        <v/>
      </c>
      <c r="CA60" s="1660" t="str">
        <f>IF(CA58=11,"7","")</f>
        <v/>
      </c>
      <c r="CB60" s="1661" t="str">
        <f>IF(CB58=12,"1","")</f>
        <v/>
      </c>
      <c r="CC60" s="1662" t="str">
        <f>IF(CC58=13,"2","")</f>
        <v/>
      </c>
      <c r="CD60" s="1662" t="str">
        <f>IF(CD58=14,"3","")</f>
        <v/>
      </c>
      <c r="CE60" s="1662" t="str">
        <f>IF(CE58=15,"4","")</f>
        <v/>
      </c>
      <c r="CF60" s="1662" t="str">
        <f>IF(CF58=16,"5","")</f>
        <v>5</v>
      </c>
      <c r="CG60" s="1662" t="str">
        <f>IF(CG58=17,"6","")</f>
        <v/>
      </c>
      <c r="CH60" s="1662" t="str">
        <f>IF(CH58=18,"7","")</f>
        <v/>
      </c>
      <c r="CI60" s="1662" t="str">
        <f>IF(CI58=19,"8","")</f>
        <v/>
      </c>
      <c r="CJ60" s="1662" t="str">
        <f>IF(CJ58=20,"9","")</f>
        <v/>
      </c>
      <c r="CK60" s="1662" t="str">
        <f>IF(CK58=21,"10","")</f>
        <v/>
      </c>
      <c r="CL60" s="1662" t="str">
        <f>IF(CL58=22,"11","")</f>
        <v/>
      </c>
      <c r="CM60" s="1662" t="str">
        <f>IF(CM58=23,"12","")</f>
        <v/>
      </c>
      <c r="CN60" s="1662" t="str">
        <f>IF(CN58=24,"13","")</f>
        <v/>
      </c>
      <c r="CO60" s="1662" t="str">
        <f>IF(CO58=25,"14","")</f>
        <v/>
      </c>
      <c r="CP60" s="1662" t="str">
        <f>IF(CP58=26,"15","")</f>
        <v/>
      </c>
      <c r="CQ60" s="1662" t="str">
        <f>IF(CQ58=27,"16","")</f>
        <v/>
      </c>
      <c r="CR60" s="1663" t="str">
        <f>IF(CR58=28,"17","")</f>
        <v/>
      </c>
      <c r="CS60" s="1664" t="str">
        <f>IF(CS58=29,"9","")</f>
        <v/>
      </c>
      <c r="CT60" s="1664" t="str">
        <f>IF(CT58=30,"10","")</f>
        <v/>
      </c>
      <c r="CU60" s="1664" t="str">
        <f>IF(CU58=31,"11","")</f>
        <v/>
      </c>
      <c r="CV60" s="1664" t="str">
        <f>IF(CV58=32,"12","")</f>
        <v/>
      </c>
      <c r="CW60" s="1664" t="str">
        <f>IF(CW58=33,"13","")</f>
        <v/>
      </c>
      <c r="CX60" s="1664" t="str">
        <f>IF(CX58=34,"14","")</f>
        <v/>
      </c>
      <c r="CY60" s="1664" t="str">
        <f>IF(CY58=35,"15","")</f>
        <v/>
      </c>
      <c r="CZ60" s="1664" t="str">
        <f>IF(CZ58=36,"16","")</f>
        <v/>
      </c>
      <c r="DA60" s="1665" t="str">
        <f>IF(DA58=37,"17","")</f>
        <v/>
      </c>
      <c r="DB60" s="1666"/>
      <c r="DC60" s="1557"/>
      <c r="DD60" s="1557"/>
      <c r="DF60" s="198"/>
      <c r="DG60" s="198"/>
      <c r="DH60" s="198"/>
      <c r="DI60" s="198"/>
      <c r="DJ60" s="198"/>
      <c r="DK60" s="199"/>
      <c r="DL60" s="198"/>
      <c r="DM60" s="198"/>
      <c r="DN60" s="198"/>
      <c r="DO60" s="198"/>
      <c r="DP60" s="198"/>
      <c r="DQ60" s="198"/>
      <c r="DR60" s="198"/>
      <c r="DS60" s="198"/>
      <c r="DT60" s="198"/>
      <c r="DU60" s="198"/>
      <c r="DV60" s="198"/>
      <c r="DW60" s="198"/>
      <c r="DX60" s="198"/>
      <c r="DY60" s="198"/>
      <c r="DZ60" s="198"/>
      <c r="EA60" s="198"/>
      <c r="EB60" s="198"/>
      <c r="EC60" s="199"/>
      <c r="ED60" s="185"/>
      <c r="EE60" s="185"/>
      <c r="EF60" s="185"/>
      <c r="EG60" s="185"/>
      <c r="EH60" s="185"/>
      <c r="EI60" s="185"/>
      <c r="EJ60" s="185"/>
      <c r="EK60" s="185"/>
    </row>
    <row r="61" spans="2:143" ht="45" customHeight="1" thickBot="1" x14ac:dyDescent="0.45">
      <c r="B61" s="85"/>
      <c r="C61" s="85"/>
      <c r="D61" s="85"/>
      <c r="E61" s="85"/>
      <c r="F61" s="85"/>
      <c r="G61" s="85"/>
      <c r="H61" s="243"/>
      <c r="I61" s="243"/>
      <c r="J61" s="243"/>
      <c r="K61" s="243"/>
      <c r="L61" s="243"/>
      <c r="M61" s="243"/>
      <c r="N61" s="243"/>
      <c r="O61" s="243"/>
      <c r="P61" s="243"/>
      <c r="Q61" s="243"/>
      <c r="R61" s="243"/>
      <c r="S61" s="243"/>
      <c r="T61" s="243"/>
      <c r="U61" s="86"/>
      <c r="V61" s="243"/>
      <c r="W61" s="243"/>
      <c r="X61" s="243"/>
      <c r="Y61" s="243"/>
      <c r="Z61" s="243"/>
      <c r="AA61" s="243"/>
      <c r="AB61" s="86"/>
      <c r="AC61" s="86"/>
      <c r="AD61" s="86"/>
      <c r="AE61" s="86"/>
      <c r="AF61" s="243"/>
      <c r="AG61" s="243"/>
      <c r="AH61" s="243"/>
      <c r="AI61" s="243"/>
      <c r="AJ61" s="243"/>
      <c r="AK61" s="243"/>
      <c r="AL61" s="243"/>
      <c r="AM61" s="243"/>
      <c r="AN61" s="243"/>
      <c r="AO61" s="243"/>
      <c r="AP61" s="243"/>
      <c r="AQ61" s="243"/>
      <c r="AR61" s="243"/>
      <c r="AS61" s="243"/>
      <c r="AT61" s="243"/>
      <c r="AU61" s="243"/>
      <c r="AV61" s="243"/>
      <c r="AW61" s="243"/>
      <c r="AX61" s="243"/>
      <c r="AY61" s="243"/>
      <c r="AZ61" s="243"/>
      <c r="BA61" s="243"/>
      <c r="BB61" s="14"/>
      <c r="BE61" s="40"/>
      <c r="BF61" s="40"/>
      <c r="BG61" s="40"/>
      <c r="BH61" s="59"/>
      <c r="BI61" s="59"/>
      <c r="BJ61" s="59"/>
      <c r="BL61" s="1623"/>
      <c r="BM61" s="1550" t="b">
        <f>AND(BO61&gt;=10,$AZ$110&gt;=10,$BA$110&gt;=10)</f>
        <v>1</v>
      </c>
      <c r="BN61" s="1570" t="str">
        <f>IF(BM61=TRUE,"O K","OVERLOAD")</f>
        <v>O K</v>
      </c>
      <c r="BO61" s="1571">
        <f>+$D$20/(BQ25)</f>
        <v>41.237113402061858</v>
      </c>
      <c r="BP61" s="1667" t="s">
        <v>233</v>
      </c>
      <c r="BQ61" s="1668">
        <v>-10</v>
      </c>
      <c r="BR61" s="1668">
        <v>-9</v>
      </c>
      <c r="BS61" s="1668">
        <v>-8</v>
      </c>
      <c r="BT61" s="1668">
        <v>-7</v>
      </c>
      <c r="BU61" s="1668">
        <v>-6</v>
      </c>
      <c r="BV61" s="1668">
        <v>-5</v>
      </c>
      <c r="BW61" s="1668">
        <v>-4</v>
      </c>
      <c r="BX61" s="1668">
        <v>-3</v>
      </c>
      <c r="BY61" s="1668">
        <v>-2</v>
      </c>
      <c r="BZ61" s="1668">
        <v>-1</v>
      </c>
      <c r="CA61" s="1668">
        <v>0</v>
      </c>
      <c r="CB61" s="1668">
        <v>1</v>
      </c>
      <c r="CC61" s="1668">
        <v>2</v>
      </c>
      <c r="CD61" s="1668">
        <v>3</v>
      </c>
      <c r="CE61" s="1668">
        <v>4</v>
      </c>
      <c r="CF61" s="1668">
        <v>5</v>
      </c>
      <c r="CG61" s="1668">
        <v>6</v>
      </c>
      <c r="CH61" s="1668">
        <v>7</v>
      </c>
      <c r="CI61" s="1668">
        <v>8</v>
      </c>
      <c r="CJ61" s="1668">
        <v>9</v>
      </c>
      <c r="CK61" s="1669">
        <v>10</v>
      </c>
      <c r="CL61" s="1668">
        <v>11</v>
      </c>
      <c r="CM61" s="1668">
        <v>12</v>
      </c>
      <c r="CN61" s="1668">
        <v>13</v>
      </c>
      <c r="CO61" s="1668">
        <v>14</v>
      </c>
      <c r="CP61" s="1668">
        <v>15</v>
      </c>
      <c r="CQ61" s="1668">
        <v>16</v>
      </c>
      <c r="CR61" s="1668">
        <v>17</v>
      </c>
      <c r="CS61" s="1668">
        <v>18</v>
      </c>
      <c r="CT61" s="1668">
        <v>19</v>
      </c>
      <c r="CU61" s="1668">
        <v>20</v>
      </c>
      <c r="CV61" s="1668">
        <v>21</v>
      </c>
      <c r="CW61" s="1668">
        <v>22</v>
      </c>
      <c r="CX61" s="1668">
        <v>23</v>
      </c>
      <c r="CY61" s="1668">
        <v>24</v>
      </c>
      <c r="CZ61" s="1668">
        <v>25</v>
      </c>
      <c r="DA61" s="1670">
        <v>26</v>
      </c>
      <c r="DB61" s="1557"/>
      <c r="DC61" s="1557"/>
      <c r="DD61" s="1557"/>
      <c r="DF61" s="198"/>
      <c r="DG61" s="198"/>
      <c r="DH61" s="198"/>
      <c r="DI61" s="198"/>
      <c r="DJ61" s="198"/>
      <c r="DK61" s="199"/>
      <c r="DL61" s="198"/>
      <c r="DM61" s="198"/>
      <c r="DN61" s="198"/>
      <c r="DO61" s="198"/>
      <c r="DP61" s="198"/>
      <c r="DQ61" s="198"/>
      <c r="DR61" s="198"/>
      <c r="DS61" s="198"/>
      <c r="DT61" s="198"/>
      <c r="DU61" s="198"/>
      <c r="DV61" s="198"/>
      <c r="DW61" s="198"/>
      <c r="DX61" s="198"/>
      <c r="DY61" s="198"/>
      <c r="DZ61" s="198"/>
      <c r="EA61" s="198"/>
      <c r="EB61" s="198"/>
      <c r="EC61" s="199"/>
      <c r="ED61" s="185"/>
      <c r="EE61" s="185"/>
      <c r="EF61" s="185"/>
      <c r="EG61" s="185"/>
      <c r="EH61" s="185"/>
      <c r="EI61" s="185"/>
      <c r="EJ61" s="185"/>
      <c r="EK61" s="185"/>
    </row>
    <row r="62" spans="2:143" ht="21" hidden="1" x14ac:dyDescent="0.4">
      <c r="B62" s="85"/>
      <c r="C62" s="85"/>
      <c r="D62" s="85"/>
      <c r="E62" s="85"/>
      <c r="F62" s="85"/>
      <c r="G62" s="85"/>
      <c r="H62" s="243"/>
      <c r="I62" s="243"/>
      <c r="J62" s="243"/>
      <c r="K62" s="243"/>
      <c r="L62" s="243"/>
      <c r="M62" s="243"/>
      <c r="N62" s="243"/>
      <c r="O62" s="243"/>
      <c r="P62" s="243"/>
      <c r="Q62" s="243"/>
      <c r="R62" s="243"/>
      <c r="S62" s="243"/>
      <c r="T62" s="243"/>
      <c r="U62" s="86"/>
      <c r="V62" s="243"/>
      <c r="W62" s="243"/>
      <c r="X62" s="243"/>
      <c r="Y62" s="243"/>
      <c r="Z62" s="243"/>
      <c r="AA62" s="243"/>
      <c r="AB62" s="86"/>
      <c r="AC62" s="86"/>
      <c r="AD62" s="86"/>
      <c r="AE62" s="86"/>
      <c r="AF62" s="243"/>
      <c r="AG62" s="243"/>
      <c r="AH62" s="243"/>
      <c r="AI62" s="243"/>
      <c r="AJ62" s="243"/>
      <c r="AK62" s="243"/>
      <c r="AL62" s="243"/>
      <c r="AM62" s="243"/>
      <c r="AN62" s="243"/>
      <c r="AO62" s="243"/>
      <c r="AP62" s="243"/>
      <c r="AQ62" s="243"/>
      <c r="AR62" s="243"/>
      <c r="AS62" s="243"/>
      <c r="AT62" s="243"/>
      <c r="AU62" s="243"/>
      <c r="AV62" s="243"/>
      <c r="AW62" s="243"/>
      <c r="AX62" s="243"/>
      <c r="AY62" s="243"/>
      <c r="AZ62" s="243"/>
      <c r="BA62" s="243"/>
      <c r="BB62" s="14"/>
      <c r="BE62" s="40"/>
      <c r="BF62" s="40"/>
      <c r="BH62" s="59"/>
      <c r="BI62" s="59"/>
      <c r="BJ62" s="59"/>
      <c r="BL62" s="1623"/>
      <c r="BM62" s="1623"/>
      <c r="BN62" s="1623"/>
      <c r="BP62" s="1557"/>
      <c r="BQ62" s="1671">
        <v>1</v>
      </c>
      <c r="BR62" s="1671">
        <v>2</v>
      </c>
      <c r="BS62" s="1671">
        <v>3</v>
      </c>
      <c r="BT62" s="1671">
        <v>4</v>
      </c>
      <c r="BU62" s="1671">
        <v>5</v>
      </c>
      <c r="BV62" s="1671">
        <v>6</v>
      </c>
      <c r="BW62" s="1671">
        <v>7</v>
      </c>
      <c r="BX62" s="1671">
        <v>8</v>
      </c>
      <c r="BY62" s="1671">
        <v>9</v>
      </c>
      <c r="BZ62" s="1671">
        <v>10</v>
      </c>
      <c r="CA62" s="1671">
        <v>11</v>
      </c>
      <c r="CB62" s="1671">
        <v>12</v>
      </c>
      <c r="CC62" s="1671">
        <v>13</v>
      </c>
      <c r="CD62" s="1671">
        <v>14</v>
      </c>
      <c r="CE62" s="1671">
        <v>15</v>
      </c>
      <c r="CF62" s="1671">
        <v>16</v>
      </c>
      <c r="CG62" s="1671">
        <v>17</v>
      </c>
      <c r="CH62" s="1671">
        <v>18</v>
      </c>
      <c r="CI62" s="1671">
        <v>19</v>
      </c>
      <c r="CJ62" s="1671">
        <v>20</v>
      </c>
      <c r="CK62" s="1671">
        <v>21</v>
      </c>
      <c r="CL62" s="1671">
        <v>22</v>
      </c>
      <c r="CM62" s="1671">
        <v>23</v>
      </c>
      <c r="CN62" s="1671">
        <v>24</v>
      </c>
      <c r="CO62" s="1671">
        <v>25</v>
      </c>
      <c r="CP62" s="1671">
        <v>26</v>
      </c>
      <c r="CQ62" s="1671">
        <v>27</v>
      </c>
      <c r="CR62" s="1671">
        <v>28</v>
      </c>
      <c r="CS62" s="1671">
        <v>29</v>
      </c>
      <c r="CT62" s="1671">
        <v>30</v>
      </c>
      <c r="CU62" s="1671">
        <v>31</v>
      </c>
      <c r="CV62" s="1671">
        <v>32</v>
      </c>
      <c r="CW62" s="1671">
        <v>33</v>
      </c>
      <c r="CX62" s="1671">
        <v>34</v>
      </c>
      <c r="CY62" s="1671">
        <v>35</v>
      </c>
      <c r="CZ62" s="1671">
        <v>36</v>
      </c>
      <c r="DA62" s="1671">
        <v>37</v>
      </c>
      <c r="DB62" s="1671"/>
      <c r="DC62" s="1557"/>
      <c r="DD62" s="1557"/>
      <c r="EJ62" s="185"/>
      <c r="EK62" s="185"/>
    </row>
    <row r="63" spans="2:143" ht="23.4" hidden="1" thickBot="1" x14ac:dyDescent="0.45">
      <c r="B63" s="85"/>
      <c r="C63" s="85"/>
      <c r="D63" s="85"/>
      <c r="E63" s="85"/>
      <c r="F63" s="85"/>
      <c r="G63" s="85"/>
      <c r="H63" s="243"/>
      <c r="I63" s="243"/>
      <c r="J63" s="243"/>
      <c r="K63" s="243"/>
      <c r="L63" s="243"/>
      <c r="M63" s="243"/>
      <c r="N63" s="243"/>
      <c r="O63" s="243"/>
      <c r="P63" s="243"/>
      <c r="Q63" s="243"/>
      <c r="R63" s="243"/>
      <c r="S63" s="243"/>
      <c r="T63" s="243"/>
      <c r="U63" s="86"/>
      <c r="V63" s="243"/>
      <c r="W63" s="243"/>
      <c r="X63" s="243"/>
      <c r="Y63" s="243"/>
      <c r="Z63" s="243"/>
      <c r="AA63" s="243"/>
      <c r="AB63" s="86"/>
      <c r="AC63" s="86"/>
      <c r="AD63" s="86"/>
      <c r="AE63" s="86"/>
      <c r="AF63" s="243"/>
      <c r="AG63" s="243"/>
      <c r="AH63" s="243"/>
      <c r="AI63" s="243"/>
      <c r="AJ63" s="243"/>
      <c r="AK63" s="243"/>
      <c r="AL63" s="243"/>
      <c r="AM63" s="243"/>
      <c r="AN63" s="243"/>
      <c r="AO63" s="243"/>
      <c r="AP63" s="243"/>
      <c r="AQ63" s="243"/>
      <c r="AR63" s="243"/>
      <c r="AS63" s="243"/>
      <c r="AT63" s="243"/>
      <c r="AU63" s="243"/>
      <c r="AV63" s="243"/>
      <c r="AW63" s="243"/>
      <c r="AX63" s="243"/>
      <c r="AY63" s="243"/>
      <c r="AZ63" s="243"/>
      <c r="BA63" s="243"/>
      <c r="BB63" s="14"/>
      <c r="BE63" s="40"/>
      <c r="BF63" s="40"/>
      <c r="BH63" s="59"/>
      <c r="BI63" s="59"/>
      <c r="BJ63" s="59"/>
      <c r="BN63" s="1577"/>
      <c r="BO63" s="1601"/>
      <c r="BP63" s="1672"/>
      <c r="BQ63" s="1673"/>
      <c r="BR63" s="1673"/>
      <c r="BS63" s="1673"/>
      <c r="BT63" s="1673"/>
      <c r="BU63" s="1673"/>
      <c r="BV63" s="1673"/>
      <c r="BW63" s="1673"/>
      <c r="BX63" s="1673"/>
      <c r="BY63" s="1603"/>
      <c r="BZ63" s="1603"/>
      <c r="CA63" s="1604"/>
      <c r="CB63" s="1604"/>
      <c r="CC63" s="1604"/>
      <c r="CD63" s="1604"/>
      <c r="CE63" s="1604"/>
      <c r="CF63" s="1604"/>
      <c r="CG63" s="1604"/>
      <c r="CH63" s="1604"/>
      <c r="CI63" s="1604"/>
      <c r="CJ63" s="1604"/>
      <c r="CK63" s="1604"/>
      <c r="CL63" s="1604"/>
      <c r="CM63" s="1604"/>
      <c r="CN63" s="1605"/>
      <c r="CO63" s="1606"/>
      <c r="CP63" s="1606"/>
      <c r="CQ63" s="1606"/>
      <c r="CR63" s="1606"/>
      <c r="CS63" s="1600"/>
      <c r="CT63" s="1600"/>
      <c r="CU63" s="1600"/>
      <c r="CV63" s="1600"/>
      <c r="CW63" s="1600"/>
      <c r="CX63" s="1600"/>
      <c r="CY63" s="1600"/>
      <c r="CZ63" s="1600"/>
      <c r="DA63" s="1600"/>
      <c r="DB63" s="1600"/>
      <c r="DC63" s="1624"/>
      <c r="DD63" s="1557"/>
      <c r="EJ63" s="185"/>
      <c r="EK63" s="185"/>
    </row>
    <row r="64" spans="2:143" ht="23.4" hidden="1" thickBot="1" x14ac:dyDescent="0.45">
      <c r="B64" s="85"/>
      <c r="C64" s="85"/>
      <c r="D64" s="85"/>
      <c r="E64" s="85"/>
      <c r="G64" s="85"/>
      <c r="H64" s="243"/>
      <c r="I64" s="243"/>
      <c r="J64" s="243"/>
      <c r="K64" s="243"/>
      <c r="L64" s="243"/>
      <c r="M64" s="243"/>
      <c r="N64" s="243"/>
      <c r="O64" s="243"/>
      <c r="P64" s="243"/>
      <c r="Q64" s="243"/>
      <c r="R64" s="243"/>
      <c r="S64" s="243"/>
      <c r="T64" s="243"/>
      <c r="U64" s="86"/>
      <c r="V64" s="243"/>
      <c r="W64" s="243"/>
      <c r="X64" s="243"/>
      <c r="Y64" s="243"/>
      <c r="Z64" s="243"/>
      <c r="AA64" s="243"/>
      <c r="AB64" s="86"/>
      <c r="AC64" s="86"/>
      <c r="AD64" s="86"/>
      <c r="AE64" s="86"/>
      <c r="AF64" s="243"/>
      <c r="AG64" s="243"/>
      <c r="AH64" s="243"/>
      <c r="AI64" s="243"/>
      <c r="AJ64" s="243"/>
      <c r="AK64" s="243"/>
      <c r="AL64" s="243"/>
      <c r="AM64" s="243"/>
      <c r="AN64" s="243"/>
      <c r="AO64" s="243"/>
      <c r="AP64" s="243"/>
      <c r="AQ64" s="243"/>
      <c r="AR64" s="243"/>
      <c r="AS64" s="243"/>
      <c r="AT64" s="243"/>
      <c r="AU64" s="243"/>
      <c r="AV64" s="243"/>
      <c r="AW64" s="243"/>
      <c r="AX64" s="243"/>
      <c r="AY64" s="243"/>
      <c r="AZ64" s="243"/>
      <c r="BA64" s="243"/>
      <c r="BB64" s="14"/>
      <c r="BE64" s="40"/>
      <c r="BF64" s="40"/>
      <c r="BH64" s="59"/>
      <c r="BI64" s="59"/>
      <c r="BJ64" s="59"/>
      <c r="BN64" s="1577"/>
      <c r="BO64" s="1601"/>
      <c r="BP64" s="1672">
        <v>36</v>
      </c>
      <c r="BQ64" s="1673"/>
      <c r="BR64" s="1673"/>
      <c r="BS64" s="1673"/>
      <c r="BT64" s="1673"/>
      <c r="BU64" s="1673"/>
      <c r="BV64" s="1673"/>
      <c r="BW64" s="1673"/>
      <c r="BX64" s="1673"/>
      <c r="BY64" s="1603"/>
      <c r="BZ64" s="1603"/>
      <c r="CA64" s="1604"/>
      <c r="CB64" s="1604"/>
      <c r="CC64" s="1604"/>
      <c r="CD64" s="1604"/>
      <c r="CE64" s="1604"/>
      <c r="CF64" s="1604"/>
      <c r="CG64" s="1604"/>
      <c r="CH64" s="1674"/>
      <c r="CI64" s="1675"/>
      <c r="CJ64" s="1676"/>
      <c r="CK64" s="1604"/>
      <c r="CL64" s="1604"/>
      <c r="CM64" s="1604"/>
      <c r="CN64" s="1605"/>
      <c r="CO64" s="1606"/>
      <c r="CP64" s="1606"/>
      <c r="CQ64" s="1606"/>
      <c r="CR64" s="1606"/>
      <c r="CS64" s="1600"/>
      <c r="CT64" s="1600"/>
      <c r="CU64" s="1600"/>
      <c r="CV64" s="1600"/>
      <c r="CW64" s="1600"/>
      <c r="CX64" s="1600"/>
      <c r="CY64" s="1677" t="b">
        <f>IF(CZ57=36,35)</f>
        <v>0</v>
      </c>
      <c r="CZ64" s="1678"/>
      <c r="DA64" s="1634" t="b">
        <f>IF(CZ57=36,37)</f>
        <v>0</v>
      </c>
      <c r="DB64" s="1600"/>
      <c r="DC64" s="1624"/>
      <c r="DD64" s="1557"/>
      <c r="EJ64" s="185"/>
      <c r="EK64" s="185"/>
    </row>
    <row r="65" spans="2:141" ht="23.4" hidden="1" thickBot="1" x14ac:dyDescent="0.45">
      <c r="B65" s="85"/>
      <c r="C65" s="85"/>
      <c r="D65" s="85"/>
      <c r="E65" s="85"/>
      <c r="G65" s="85"/>
      <c r="H65" s="243"/>
      <c r="I65" s="243"/>
      <c r="J65" s="243"/>
      <c r="K65" s="243"/>
      <c r="L65" s="243"/>
      <c r="M65" s="243"/>
      <c r="N65" s="243"/>
      <c r="O65" s="243"/>
      <c r="P65" s="243"/>
      <c r="Q65" s="243"/>
      <c r="R65" s="243"/>
      <c r="S65" s="243"/>
      <c r="T65" s="243"/>
      <c r="U65" s="86"/>
      <c r="V65" s="243"/>
      <c r="W65" s="243"/>
      <c r="X65" s="243"/>
      <c r="Y65" s="243"/>
      <c r="Z65" s="243"/>
      <c r="AA65" s="243"/>
      <c r="AB65" s="86"/>
      <c r="AC65" s="86"/>
      <c r="AD65" s="86"/>
      <c r="AE65" s="86"/>
      <c r="AF65" s="243"/>
      <c r="AG65" s="243"/>
      <c r="AH65" s="243"/>
      <c r="AI65" s="243"/>
      <c r="AJ65" s="243"/>
      <c r="AK65" s="243"/>
      <c r="AL65" s="243"/>
      <c r="AM65" s="243"/>
      <c r="AN65" s="243"/>
      <c r="AO65" s="243"/>
      <c r="AP65" s="243"/>
      <c r="AQ65" s="243"/>
      <c r="AR65" s="243"/>
      <c r="AS65" s="243"/>
      <c r="AT65" s="243"/>
      <c r="AU65" s="243"/>
      <c r="AV65" s="243"/>
      <c r="AW65" s="243"/>
      <c r="AX65" s="243"/>
      <c r="AY65" s="243"/>
      <c r="AZ65" s="243"/>
      <c r="BA65" s="243"/>
      <c r="BB65" s="14"/>
      <c r="BE65" s="40"/>
      <c r="BF65" s="40"/>
      <c r="BH65" s="59"/>
      <c r="BI65" s="59"/>
      <c r="BJ65" s="59"/>
      <c r="BN65" s="1577"/>
      <c r="BO65" s="1601"/>
      <c r="BP65" s="1672">
        <v>35</v>
      </c>
      <c r="BQ65" s="1673"/>
      <c r="BR65" s="1673"/>
      <c r="BS65" s="1673"/>
      <c r="BT65" s="1673"/>
      <c r="BU65" s="1673"/>
      <c r="BV65" s="1673"/>
      <c r="BW65" s="1673"/>
      <c r="BX65" s="1673"/>
      <c r="BY65" s="1603"/>
      <c r="BZ65" s="1603"/>
      <c r="CA65" s="1604"/>
      <c r="CB65" s="1604"/>
      <c r="CC65" s="1604"/>
      <c r="CD65" s="1604"/>
      <c r="CE65" s="1604"/>
      <c r="CF65" s="1604"/>
      <c r="CG65" s="1604"/>
      <c r="CH65" s="1679"/>
      <c r="CI65" s="1604"/>
      <c r="CJ65" s="1680"/>
      <c r="CK65" s="1604"/>
      <c r="CL65" s="1604"/>
      <c r="CM65" s="1604"/>
      <c r="CN65" s="1605"/>
      <c r="CO65" s="1606"/>
      <c r="CP65" s="1606"/>
      <c r="CQ65" s="1606"/>
      <c r="CR65" s="1606"/>
      <c r="CS65" s="1600"/>
      <c r="CT65" s="1600"/>
      <c r="CU65" s="1600"/>
      <c r="CV65" s="1600"/>
      <c r="CW65" s="1677" t="b">
        <f>IF(CY57=35,33)</f>
        <v>0</v>
      </c>
      <c r="CX65" s="1678"/>
      <c r="CY65" s="1678"/>
      <c r="CZ65" s="1678"/>
      <c r="DA65" s="1634" t="b">
        <f>IF(CY57=35,37)</f>
        <v>0</v>
      </c>
      <c r="DB65" s="1600"/>
      <c r="DC65" s="1624"/>
      <c r="DD65" s="1557"/>
      <c r="EJ65" s="185"/>
      <c r="EK65" s="185"/>
    </row>
    <row r="66" spans="2:141" ht="23.4" hidden="1" thickBot="1" x14ac:dyDescent="0.45">
      <c r="C66" s="86"/>
      <c r="G66" s="85"/>
      <c r="H66" s="243"/>
      <c r="I66" s="243"/>
      <c r="J66" s="243"/>
      <c r="K66" s="243"/>
      <c r="L66" s="243"/>
      <c r="M66" s="243"/>
      <c r="N66" s="243"/>
      <c r="O66" s="243"/>
      <c r="P66" s="243"/>
      <c r="Q66" s="243"/>
      <c r="R66" s="243"/>
      <c r="S66" s="243"/>
      <c r="T66" s="243"/>
      <c r="U66" s="86"/>
      <c r="V66" s="243"/>
      <c r="W66" s="243"/>
      <c r="X66" s="243"/>
      <c r="Y66" s="243"/>
      <c r="Z66" s="243"/>
      <c r="AA66" s="243"/>
      <c r="AB66" s="86"/>
      <c r="AC66" s="86"/>
      <c r="AD66" s="86"/>
      <c r="AE66" s="86"/>
      <c r="AF66" s="243"/>
      <c r="AG66" s="243"/>
      <c r="AH66" s="243"/>
      <c r="AI66" s="243"/>
      <c r="AJ66" s="243"/>
      <c r="AK66" s="243"/>
      <c r="AL66" s="243"/>
      <c r="AM66" s="243"/>
      <c r="AN66" s="243"/>
      <c r="AO66" s="243"/>
      <c r="AP66" s="243"/>
      <c r="AQ66" s="243"/>
      <c r="AR66" s="243"/>
      <c r="AS66" s="243"/>
      <c r="AT66" s="243"/>
      <c r="AU66" s="243"/>
      <c r="AV66" s="243"/>
      <c r="AW66" s="243"/>
      <c r="AX66" s="243"/>
      <c r="AY66" s="243"/>
      <c r="AZ66" s="243"/>
      <c r="BA66" s="243"/>
      <c r="BB66" s="14"/>
      <c r="BE66" s="40"/>
      <c r="BF66" s="40"/>
      <c r="BH66" s="59"/>
      <c r="BI66" s="59"/>
      <c r="BJ66" s="59"/>
      <c r="BN66" s="1577"/>
      <c r="BO66" s="1601"/>
      <c r="BP66" s="1672">
        <v>34</v>
      </c>
      <c r="BQ66" s="1673"/>
      <c r="BR66" s="1673"/>
      <c r="BS66" s="1673"/>
      <c r="BT66" s="1673"/>
      <c r="BU66" s="1673"/>
      <c r="BV66" s="1673"/>
      <c r="BW66" s="1673"/>
      <c r="BX66" s="1673"/>
      <c r="BY66" s="1603"/>
      <c r="BZ66" s="1603"/>
      <c r="CA66" s="1604"/>
      <c r="CB66" s="1604"/>
      <c r="CC66" s="1604"/>
      <c r="CD66" s="1604"/>
      <c r="CE66" s="1604"/>
      <c r="CF66" s="1604"/>
      <c r="CG66" s="1604"/>
      <c r="CH66" s="1679"/>
      <c r="CI66" s="1604"/>
      <c r="CJ66" s="1680"/>
      <c r="CK66" s="1604"/>
      <c r="CL66" s="1604"/>
      <c r="CM66" s="1604"/>
      <c r="CN66" s="1605"/>
      <c r="CO66" s="1606"/>
      <c r="CP66" s="1606"/>
      <c r="CQ66" s="1606"/>
      <c r="CR66" s="1606"/>
      <c r="CS66" s="1600"/>
      <c r="CT66" s="1600"/>
      <c r="CU66" s="1677" t="b">
        <f>IF(CX57=34,31)</f>
        <v>0</v>
      </c>
      <c r="CV66" s="1678"/>
      <c r="CW66" s="1678"/>
      <c r="CX66" s="1678"/>
      <c r="CY66" s="1678"/>
      <c r="CZ66" s="1678"/>
      <c r="DA66" s="1634" t="b">
        <f>IF(CX57=34,37)</f>
        <v>0</v>
      </c>
      <c r="DB66" s="1600"/>
      <c r="DC66" s="1624"/>
      <c r="DD66" s="1557"/>
      <c r="EJ66" s="185"/>
      <c r="EK66" s="185"/>
    </row>
    <row r="67" spans="2:141" ht="23.4" hidden="1" thickBot="1" x14ac:dyDescent="0.45">
      <c r="B67" s="55"/>
      <c r="C67" s="55"/>
      <c r="D67" s="56"/>
      <c r="E67" s="56"/>
      <c r="F67" s="56"/>
      <c r="G67" s="56"/>
      <c r="BF67" s="4"/>
      <c r="BG67" s="4"/>
      <c r="BH67" s="4"/>
      <c r="BI67" s="4"/>
      <c r="BJ67" s="4"/>
      <c r="BK67" s="4"/>
      <c r="BN67" s="1577"/>
      <c r="BO67" s="1601"/>
      <c r="BP67" s="1672">
        <v>33</v>
      </c>
      <c r="BQ67" s="1673"/>
      <c r="BR67" s="1673"/>
      <c r="BS67" s="1673"/>
      <c r="BT67" s="1673"/>
      <c r="BU67" s="1673"/>
      <c r="BV67" s="1673"/>
      <c r="BW67" s="1673"/>
      <c r="BX67" s="1673"/>
      <c r="BY67" s="1603"/>
      <c r="BZ67" s="1603"/>
      <c r="CA67" s="1604"/>
      <c r="CB67" s="1604"/>
      <c r="CC67" s="1604"/>
      <c r="CD67" s="1604"/>
      <c r="CE67" s="1604"/>
      <c r="CF67" s="1604"/>
      <c r="CG67" s="1604"/>
      <c r="CH67" s="1679"/>
      <c r="CI67" s="1604"/>
      <c r="CJ67" s="1680"/>
      <c r="CK67" s="1604"/>
      <c r="CL67" s="1604"/>
      <c r="CM67" s="1604"/>
      <c r="CN67" s="1605"/>
      <c r="CO67" s="1606"/>
      <c r="CP67" s="1606"/>
      <c r="CQ67" s="1606"/>
      <c r="CR67" s="1606"/>
      <c r="CS67" s="1677" t="b">
        <f>IF(CW57=33,29)</f>
        <v>0</v>
      </c>
      <c r="CT67" s="1678"/>
      <c r="CU67" s="1678"/>
      <c r="CV67" s="1678"/>
      <c r="CW67" s="1678"/>
      <c r="CX67" s="1678"/>
      <c r="CY67" s="1678"/>
      <c r="CZ67" s="1678"/>
      <c r="DA67" s="1634" t="b">
        <f>IF(CW57=33,37)</f>
        <v>0</v>
      </c>
      <c r="DB67" s="1600"/>
      <c r="DC67" s="1624"/>
      <c r="DD67" s="1557"/>
      <c r="EJ67" s="185"/>
      <c r="EK67" s="185"/>
    </row>
    <row r="68" spans="2:141" ht="21.6" hidden="1" thickBot="1" x14ac:dyDescent="0.45">
      <c r="BF68" s="27"/>
      <c r="BG68" s="27"/>
      <c r="BH68" s="27"/>
      <c r="BI68" s="27"/>
      <c r="BJ68" s="27"/>
      <c r="BK68" s="4"/>
      <c r="BN68" s="1577"/>
      <c r="BO68" s="1551"/>
      <c r="BP68" s="1672">
        <v>32</v>
      </c>
      <c r="BQ68" s="1644"/>
      <c r="BR68" s="1644"/>
      <c r="BS68" s="1644"/>
      <c r="BT68" s="1644"/>
      <c r="BU68" s="1644"/>
      <c r="BV68" s="1655"/>
      <c r="BW68" s="1644"/>
      <c r="BX68" s="1644"/>
      <c r="BY68" s="1644"/>
      <c r="BZ68" s="1644"/>
      <c r="CA68" s="1644"/>
      <c r="CB68" s="1644"/>
      <c r="CC68" s="1644"/>
      <c r="CD68" s="1644"/>
      <c r="CE68" s="1644"/>
      <c r="CF68" s="1644"/>
      <c r="CG68" s="1644"/>
      <c r="CH68" s="1681"/>
      <c r="CI68" s="1644"/>
      <c r="CJ68" s="1682"/>
      <c r="CK68" s="1644"/>
      <c r="CL68" s="1644"/>
      <c r="CM68" s="1644"/>
      <c r="CN68" s="1655"/>
      <c r="CO68" s="1557"/>
      <c r="CP68" s="1557"/>
      <c r="CQ68" s="1677" t="b">
        <f>IF(CV57=32,27)</f>
        <v>0</v>
      </c>
      <c r="CR68" s="1642"/>
      <c r="CS68" s="1642"/>
      <c r="CT68" s="1642"/>
      <c r="CU68" s="1642"/>
      <c r="CV68" s="1642"/>
      <c r="CW68" s="1642"/>
      <c r="CX68" s="1642"/>
      <c r="CY68" s="1642"/>
      <c r="CZ68" s="1642"/>
      <c r="DA68" s="1634" t="b">
        <f>IF(CV57=32,37)</f>
        <v>0</v>
      </c>
      <c r="DB68" s="1557"/>
      <c r="DC68" s="1557"/>
      <c r="DD68" s="1557"/>
      <c r="EJ68" s="185"/>
      <c r="EK68" s="185"/>
    </row>
    <row r="69" spans="2:141" ht="21.6" hidden="1" thickBot="1" x14ac:dyDescent="0.45">
      <c r="B69" s="14"/>
      <c r="BF69" s="27"/>
      <c r="BG69" s="27"/>
      <c r="BH69" s="27"/>
      <c r="BI69" s="27"/>
      <c r="BJ69" s="27"/>
      <c r="BK69" s="4"/>
      <c r="BN69" s="1577"/>
      <c r="BO69" s="1551"/>
      <c r="BP69" s="1672">
        <v>31</v>
      </c>
      <c r="BQ69" s="1644"/>
      <c r="BR69" s="1644"/>
      <c r="BS69" s="1644"/>
      <c r="BT69" s="1644"/>
      <c r="BU69" s="1644"/>
      <c r="BV69" s="1655"/>
      <c r="BW69" s="1644"/>
      <c r="BX69" s="1644"/>
      <c r="BY69" s="1644"/>
      <c r="BZ69" s="1644"/>
      <c r="CA69" s="1644"/>
      <c r="CB69" s="1644"/>
      <c r="CC69" s="1644"/>
      <c r="CD69" s="1644"/>
      <c r="CE69" s="1644"/>
      <c r="CF69" s="1644"/>
      <c r="CG69" s="1644"/>
      <c r="CH69" s="1681"/>
      <c r="CI69" s="1644"/>
      <c r="CJ69" s="1682"/>
      <c r="CK69" s="1644"/>
      <c r="CL69" s="1644"/>
      <c r="CM69" s="1644"/>
      <c r="CN69" s="1655"/>
      <c r="CO69" s="1677" t="b">
        <f>IF(CU57=31,25)</f>
        <v>0</v>
      </c>
      <c r="CP69" s="1642"/>
      <c r="CQ69" s="1642"/>
      <c r="CR69" s="1642"/>
      <c r="CS69" s="1642"/>
      <c r="CT69" s="1642"/>
      <c r="CU69" s="1642"/>
      <c r="CV69" s="1642"/>
      <c r="CW69" s="1642"/>
      <c r="CX69" s="1642"/>
      <c r="CY69" s="1642"/>
      <c r="CZ69" s="1642"/>
      <c r="DA69" s="1634" t="b">
        <f>IF(CU57=31,37)</f>
        <v>0</v>
      </c>
      <c r="DB69" s="1557"/>
      <c r="DC69" s="1557"/>
      <c r="DD69" s="1557"/>
      <c r="EJ69" s="185"/>
      <c r="EK69" s="185"/>
    </row>
    <row r="70" spans="2:141" ht="21.6" hidden="1" thickBot="1" x14ac:dyDescent="0.45">
      <c r="B70" s="14"/>
      <c r="BF70" s="27"/>
      <c r="BG70" s="27"/>
      <c r="BH70" s="27"/>
      <c r="BI70" s="27"/>
      <c r="BJ70" s="27"/>
      <c r="BK70" s="4"/>
      <c r="BN70" s="1577"/>
      <c r="BO70" s="1551"/>
      <c r="BP70" s="1672">
        <v>30</v>
      </c>
      <c r="BQ70" s="1644"/>
      <c r="BR70" s="1644"/>
      <c r="BS70" s="1644"/>
      <c r="BT70" s="1644"/>
      <c r="BU70" s="1644"/>
      <c r="BV70" s="1655"/>
      <c r="BW70" s="1644"/>
      <c r="BX70" s="1644"/>
      <c r="BY70" s="1644"/>
      <c r="BZ70" s="1644"/>
      <c r="CA70" s="1644"/>
      <c r="CB70" s="1644"/>
      <c r="CC70" s="1644"/>
      <c r="CD70" s="1644"/>
      <c r="CE70" s="1644"/>
      <c r="CF70" s="1644"/>
      <c r="CG70" s="1644"/>
      <c r="CH70" s="1681"/>
      <c r="CI70" s="1644"/>
      <c r="CJ70" s="1682"/>
      <c r="CK70" s="1644"/>
      <c r="CL70" s="1644"/>
      <c r="CM70" s="1677" t="b">
        <f>IF(CT57=30,23)</f>
        <v>0</v>
      </c>
      <c r="CN70" s="1683"/>
      <c r="CO70" s="1642"/>
      <c r="CP70" s="1642"/>
      <c r="CQ70" s="1642"/>
      <c r="CR70" s="1642"/>
      <c r="CS70" s="1642"/>
      <c r="CT70" s="1642"/>
      <c r="CU70" s="1642"/>
      <c r="CV70" s="1642"/>
      <c r="CW70" s="1642"/>
      <c r="CX70" s="1642"/>
      <c r="CY70" s="1642"/>
      <c r="CZ70" s="1642"/>
      <c r="DA70" s="1634" t="b">
        <f>IF(CT57=30,37)</f>
        <v>0</v>
      </c>
      <c r="DB70" s="1557"/>
      <c r="DC70" s="1557"/>
      <c r="DD70" s="1557"/>
      <c r="EJ70" s="185"/>
      <c r="EK70" s="185"/>
    </row>
    <row r="71" spans="2:141" ht="21.6" hidden="1" thickBot="1" x14ac:dyDescent="0.45">
      <c r="B71" s="14"/>
      <c r="BF71" s="27"/>
      <c r="BG71" s="27"/>
      <c r="BH71" s="27"/>
      <c r="BI71" s="27"/>
      <c r="BJ71" s="27"/>
      <c r="BK71" s="4"/>
      <c r="BN71" s="1577"/>
      <c r="BO71" s="1685"/>
      <c r="BP71" s="1672">
        <v>29</v>
      </c>
      <c r="BQ71" s="1557"/>
      <c r="BR71" s="1557"/>
      <c r="BS71" s="1557"/>
      <c r="BT71" s="1557"/>
      <c r="BU71" s="1557"/>
      <c r="BV71" s="1557"/>
      <c r="BW71" s="1557"/>
      <c r="BX71" s="1557"/>
      <c r="BY71" s="1557"/>
      <c r="BZ71" s="1557"/>
      <c r="CA71" s="1557"/>
      <c r="CB71" s="1557"/>
      <c r="CC71" s="1557"/>
      <c r="CD71" s="1557"/>
      <c r="CE71" s="1557"/>
      <c r="CF71" s="1557"/>
      <c r="CG71" s="1557"/>
      <c r="CH71" s="1686"/>
      <c r="CI71" s="1556"/>
      <c r="CJ71" s="1687"/>
      <c r="CK71" s="1632" t="b">
        <f>IF(CS57=29,21)</f>
        <v>0</v>
      </c>
      <c r="CL71" s="1642"/>
      <c r="CM71" s="1642"/>
      <c r="CN71" s="1642"/>
      <c r="CO71" s="1642"/>
      <c r="CP71" s="1642"/>
      <c r="CQ71" s="1642"/>
      <c r="CR71" s="1641"/>
      <c r="CS71" s="1642"/>
      <c r="CT71" s="1641"/>
      <c r="CU71" s="1688"/>
      <c r="CV71" s="1688"/>
      <c r="CW71" s="1688"/>
      <c r="CX71" s="1688"/>
      <c r="CY71" s="1688"/>
      <c r="CZ71" s="1688"/>
      <c r="DA71" s="1634" t="b">
        <f>IF(CS57=29,37)</f>
        <v>0</v>
      </c>
      <c r="DB71" s="1554"/>
      <c r="DC71" s="1557"/>
      <c r="DD71" s="1557"/>
      <c r="EJ71" s="185"/>
      <c r="EK71" s="185"/>
    </row>
    <row r="72" spans="2:141" ht="21.6" hidden="1" thickBot="1" x14ac:dyDescent="0.45">
      <c r="B72" s="14"/>
      <c r="BF72" s="27"/>
      <c r="BG72" s="27"/>
      <c r="BH72" s="27"/>
      <c r="BI72" s="27"/>
      <c r="BJ72" s="27"/>
      <c r="BK72" s="4"/>
      <c r="BN72" s="1577"/>
      <c r="BO72" s="1685"/>
      <c r="BP72" s="1672">
        <v>28</v>
      </c>
      <c r="BQ72" s="1557"/>
      <c r="BR72" s="1557"/>
      <c r="BS72" s="1557"/>
      <c r="BT72" s="1557"/>
      <c r="BU72" s="1557"/>
      <c r="BV72" s="1557"/>
      <c r="BW72" s="1557"/>
      <c r="BX72" s="1557"/>
      <c r="BY72" s="1557"/>
      <c r="BZ72" s="1557"/>
      <c r="CA72" s="1557"/>
      <c r="CB72" s="1557"/>
      <c r="CC72" s="1557"/>
      <c r="CD72" s="1557"/>
      <c r="CE72" s="1557"/>
      <c r="CF72" s="1557"/>
      <c r="CG72" s="1557"/>
      <c r="CH72" s="1686"/>
      <c r="CI72" s="1556"/>
      <c r="CJ72" s="1687"/>
      <c r="CK72" s="1643" t="b">
        <f>IF(CR57=28,21)</f>
        <v>0</v>
      </c>
      <c r="CL72" s="1640"/>
      <c r="CM72" s="1640"/>
      <c r="CN72" s="1640"/>
      <c r="CO72" s="1640"/>
      <c r="CP72" s="1639"/>
      <c r="CQ72" s="1640"/>
      <c r="CR72" s="1640"/>
      <c r="CS72" s="1640"/>
      <c r="CT72" s="1639"/>
      <c r="CU72" s="1689"/>
      <c r="CV72" s="1689"/>
      <c r="CW72" s="1689"/>
      <c r="CX72" s="1689"/>
      <c r="CY72" s="1636" t="b">
        <f>IF(CR57=28,35)</f>
        <v>0</v>
      </c>
      <c r="CZ72" s="1554"/>
      <c r="DA72" s="1554"/>
      <c r="DB72" s="1554"/>
      <c r="DC72" s="1557"/>
      <c r="DD72" s="1557"/>
      <c r="EJ72" s="185"/>
      <c r="EK72" s="185"/>
    </row>
    <row r="73" spans="2:141" ht="21.6" hidden="1" thickBot="1" x14ac:dyDescent="0.45">
      <c r="B73" s="14"/>
      <c r="BF73" s="27"/>
      <c r="BG73" s="27"/>
      <c r="BH73" s="27"/>
      <c r="BI73" s="27"/>
      <c r="BJ73" s="27"/>
      <c r="BK73" s="4"/>
      <c r="BN73" s="1577"/>
      <c r="BO73" s="1685"/>
      <c r="BP73" s="1672">
        <v>27</v>
      </c>
      <c r="BQ73" s="1557"/>
      <c r="BR73" s="1557"/>
      <c r="BS73" s="1557"/>
      <c r="BT73" s="1557"/>
      <c r="BU73" s="1557"/>
      <c r="BV73" s="1557"/>
      <c r="BW73" s="1557"/>
      <c r="BX73" s="1557"/>
      <c r="BY73" s="1557"/>
      <c r="BZ73" s="1557"/>
      <c r="CA73" s="1557"/>
      <c r="CB73" s="1557"/>
      <c r="CC73" s="1557"/>
      <c r="CD73" s="1557"/>
      <c r="CE73" s="1557"/>
      <c r="CF73" s="1557"/>
      <c r="CG73" s="1557"/>
      <c r="CH73" s="1686"/>
      <c r="CI73" s="1556"/>
      <c r="CJ73" s="1687"/>
      <c r="CK73" s="1643" t="b">
        <f>IF(CQ57=27,21)</f>
        <v>0</v>
      </c>
      <c r="CL73" s="1640"/>
      <c r="CM73" s="1640"/>
      <c r="CN73" s="1639"/>
      <c r="CO73" s="1640"/>
      <c r="CP73" s="1640"/>
      <c r="CQ73" s="1640"/>
      <c r="CR73" s="1640"/>
      <c r="CS73" s="1640"/>
      <c r="CT73" s="1639"/>
      <c r="CU73" s="1689"/>
      <c r="CV73" s="1689"/>
      <c r="CW73" s="1636" t="b">
        <f>IF(CQ57=27,33)</f>
        <v>0</v>
      </c>
      <c r="CX73" s="1554"/>
      <c r="CY73" s="1554"/>
      <c r="CZ73" s="1554"/>
      <c r="DA73" s="1554"/>
      <c r="DB73" s="1554"/>
      <c r="DC73" s="1557"/>
      <c r="DD73" s="1557"/>
      <c r="EJ73" s="185"/>
      <c r="EK73" s="185"/>
    </row>
    <row r="74" spans="2:141" ht="21.6" hidden="1" thickBot="1" x14ac:dyDescent="0.45">
      <c r="B74" s="14"/>
      <c r="BF74" s="27"/>
      <c r="BG74" s="27"/>
      <c r="BH74" s="27"/>
      <c r="BI74" s="27"/>
      <c r="BJ74" s="27"/>
      <c r="BK74" s="4"/>
      <c r="BN74" s="1577"/>
      <c r="BO74" s="1551"/>
      <c r="BP74" s="1672">
        <v>26</v>
      </c>
      <c r="BQ74" s="1557"/>
      <c r="BR74" s="1557"/>
      <c r="BS74" s="1557"/>
      <c r="BT74" s="1557"/>
      <c r="BU74" s="1557"/>
      <c r="BV74" s="1557"/>
      <c r="BW74" s="1557"/>
      <c r="BX74" s="1557"/>
      <c r="BY74" s="1557"/>
      <c r="BZ74" s="1557"/>
      <c r="CA74" s="1557"/>
      <c r="CB74" s="1557"/>
      <c r="CC74" s="1557"/>
      <c r="CD74" s="1557"/>
      <c r="CE74" s="1557"/>
      <c r="CF74" s="1557"/>
      <c r="CG74" s="1557"/>
      <c r="CH74" s="1686"/>
      <c r="CI74" s="1556"/>
      <c r="CJ74" s="1687"/>
      <c r="CK74" s="1643" t="b">
        <f>IF(CP57=26,21)</f>
        <v>0</v>
      </c>
      <c r="CL74" s="1639"/>
      <c r="CM74" s="1640"/>
      <c r="CN74" s="1640"/>
      <c r="CO74" s="1640"/>
      <c r="CP74" s="1640"/>
      <c r="CQ74" s="1640"/>
      <c r="CR74" s="1640"/>
      <c r="CS74" s="1640"/>
      <c r="CT74" s="1639"/>
      <c r="CU74" s="1636" t="b">
        <f>IF(CP57=26,31)</f>
        <v>0</v>
      </c>
      <c r="CV74" s="1554"/>
      <c r="CW74" s="1554"/>
      <c r="CX74" s="1554"/>
      <c r="CY74" s="1554"/>
      <c r="CZ74" s="1554"/>
      <c r="DA74" s="1554"/>
      <c r="DB74" s="1554"/>
      <c r="DC74" s="1557"/>
      <c r="DD74" s="1557"/>
      <c r="EJ74" s="185"/>
      <c r="EK74" s="185"/>
    </row>
    <row r="75" spans="2:141" ht="21.6" hidden="1" thickBot="1" x14ac:dyDescent="0.45">
      <c r="B75" s="14"/>
      <c r="BF75" s="27"/>
      <c r="BG75" s="27"/>
      <c r="BH75" s="27"/>
      <c r="BI75" s="27"/>
      <c r="BJ75" s="27"/>
      <c r="BK75" s="4"/>
      <c r="BN75" s="1577"/>
      <c r="BO75" s="1691"/>
      <c r="BP75" s="1672">
        <v>25</v>
      </c>
      <c r="BQ75" s="1557"/>
      <c r="BR75" s="1557"/>
      <c r="BS75" s="1557"/>
      <c r="BT75" s="1557"/>
      <c r="BU75" s="1557"/>
      <c r="BV75" s="1557"/>
      <c r="BW75" s="1557"/>
      <c r="BX75" s="1557"/>
      <c r="BY75" s="1557"/>
      <c r="BZ75" s="1557"/>
      <c r="CA75" s="1557"/>
      <c r="CC75" s="1557"/>
      <c r="CD75" s="1557"/>
      <c r="CE75" s="1557"/>
      <c r="CF75" s="1557"/>
      <c r="CG75" s="1557"/>
      <c r="CH75" s="1686"/>
      <c r="CI75" s="1556"/>
      <c r="CK75" s="1692" t="b">
        <f>IF(CO57=25,21)</f>
        <v>0</v>
      </c>
      <c r="CL75" s="1640"/>
      <c r="CM75" s="1640"/>
      <c r="CN75" s="1640"/>
      <c r="CO75" s="1640"/>
      <c r="CP75" s="1640"/>
      <c r="CQ75" s="1640"/>
      <c r="CR75" s="1640"/>
      <c r="CS75" s="1636" t="b">
        <f>IF(CO57=25,29)</f>
        <v>0</v>
      </c>
      <c r="CU75" s="1554"/>
      <c r="CV75" s="1554"/>
      <c r="CW75" s="1554"/>
      <c r="CX75" s="1554"/>
      <c r="CY75" s="1554"/>
      <c r="CZ75" s="1554"/>
      <c r="DA75" s="1554"/>
      <c r="DB75" s="1554"/>
      <c r="DC75" s="1557"/>
      <c r="DD75" s="1557"/>
      <c r="EJ75" s="185"/>
      <c r="EK75" s="185"/>
    </row>
    <row r="76" spans="2:141" ht="21.6" hidden="1" thickBot="1" x14ac:dyDescent="0.45">
      <c r="B76" s="14"/>
      <c r="BF76" s="27"/>
      <c r="BG76" s="27"/>
      <c r="BH76" s="27"/>
      <c r="BI76" s="27"/>
      <c r="BJ76" s="27"/>
      <c r="BK76" s="4"/>
      <c r="BN76" s="1577"/>
      <c r="BO76" s="1691"/>
      <c r="BP76" s="1693">
        <v>24</v>
      </c>
      <c r="BQ76" s="1557"/>
      <c r="BR76" s="1557"/>
      <c r="BS76" s="1557"/>
      <c r="BT76" s="1557"/>
      <c r="BU76" s="1557"/>
      <c r="BV76" s="1557"/>
      <c r="BW76" s="1557"/>
      <c r="BX76" s="1557"/>
      <c r="BY76" s="1557"/>
      <c r="BZ76" s="1557"/>
      <c r="CA76" s="1557"/>
      <c r="CB76" s="1632" t="b">
        <f>IF(CN57=24,12)</f>
        <v>0</v>
      </c>
      <c r="CC76" s="1642"/>
      <c r="CD76" s="1642"/>
      <c r="CE76" s="1642"/>
      <c r="CF76" s="1642"/>
      <c r="CG76" s="1642"/>
      <c r="CH76" s="1641"/>
      <c r="CI76" s="1642"/>
      <c r="CJ76" s="1694"/>
      <c r="CK76" s="1642"/>
      <c r="CL76" s="1642"/>
      <c r="CM76" s="1642"/>
      <c r="CN76" s="1642"/>
      <c r="CO76" s="1642"/>
      <c r="CP76" s="1642"/>
      <c r="CQ76" s="1642"/>
      <c r="CR76" s="1642"/>
      <c r="CS76" s="1642"/>
      <c r="CT76" s="1641"/>
      <c r="CU76" s="1688"/>
      <c r="CV76" s="1688"/>
      <c r="CW76" s="1688"/>
      <c r="CX76" s="1688"/>
      <c r="CY76" s="1688"/>
      <c r="CZ76" s="1634" t="b">
        <f>IF(CN57=24,36)</f>
        <v>0</v>
      </c>
      <c r="DA76" s="1554"/>
      <c r="DB76" s="1554"/>
      <c r="DC76" s="1557"/>
      <c r="DD76" s="1557"/>
      <c r="EJ76" s="185"/>
      <c r="EK76" s="185"/>
    </row>
    <row r="77" spans="2:141" ht="21.6" hidden="1" thickBot="1" x14ac:dyDescent="0.45">
      <c r="B77" s="14"/>
      <c r="BF77" s="27"/>
      <c r="BG77" s="27"/>
      <c r="BH77" s="27"/>
      <c r="BI77" s="27"/>
      <c r="BJ77" s="27"/>
      <c r="BK77" s="4"/>
      <c r="BN77" s="1577"/>
      <c r="BO77" s="1691"/>
      <c r="BP77" s="1693">
        <v>23</v>
      </c>
      <c r="BQ77" s="1557"/>
      <c r="BR77" s="1557"/>
      <c r="BS77" s="1557"/>
      <c r="BT77" s="1557"/>
      <c r="BU77" s="1557"/>
      <c r="BV77" s="1557"/>
      <c r="BW77" s="1557"/>
      <c r="BX77" s="1557"/>
      <c r="BY77" s="1557"/>
      <c r="BZ77" s="1557"/>
      <c r="CA77" s="1557"/>
      <c r="CB77" s="1643" t="b">
        <f>IF(CM57=23,12)</f>
        <v>0</v>
      </c>
      <c r="CC77" s="1640"/>
      <c r="CD77" s="1640"/>
      <c r="CE77" s="1640"/>
      <c r="CF77" s="1639"/>
      <c r="CG77" s="1640"/>
      <c r="CH77" s="1695"/>
      <c r="CI77" s="1640"/>
      <c r="CJ77" s="1696"/>
      <c r="CK77" s="1640"/>
      <c r="CL77" s="1640"/>
      <c r="CM77" s="1640"/>
      <c r="CN77" s="1640"/>
      <c r="CO77" s="1640"/>
      <c r="CP77" s="1640"/>
      <c r="CQ77" s="1640"/>
      <c r="CR77" s="1640"/>
      <c r="CS77" s="1640"/>
      <c r="CT77" s="1639"/>
      <c r="CU77" s="1689"/>
      <c r="CV77" s="1689"/>
      <c r="CW77" s="1689"/>
      <c r="CX77" s="1636" t="b">
        <f>IF(CM57=23,34)</f>
        <v>0</v>
      </c>
      <c r="CY77" s="1554"/>
      <c r="CZ77" s="1554"/>
      <c r="DA77" s="1554"/>
      <c r="DB77" s="1554"/>
      <c r="DC77" s="1557"/>
      <c r="DD77" s="1557"/>
      <c r="EJ77" s="185"/>
      <c r="EK77" s="185"/>
    </row>
    <row r="78" spans="2:141" ht="21.6" hidden="1" thickBot="1" x14ac:dyDescent="0.45">
      <c r="B78" s="14"/>
      <c r="BF78" s="27"/>
      <c r="BG78" s="27"/>
      <c r="BH78" s="27"/>
      <c r="BI78" s="27"/>
      <c r="BJ78" s="27"/>
      <c r="BK78" s="4"/>
      <c r="BN78" s="1577"/>
      <c r="BO78" s="1691"/>
      <c r="BP78" s="1693">
        <v>22</v>
      </c>
      <c r="BQ78" s="1554"/>
      <c r="BR78" s="1554"/>
      <c r="BS78" s="1554"/>
      <c r="BT78" s="1554"/>
      <c r="BU78" s="1554"/>
      <c r="BV78" s="1554"/>
      <c r="BW78" s="1554"/>
      <c r="BX78" s="1554"/>
      <c r="BY78" s="1554"/>
      <c r="BZ78" s="1554"/>
      <c r="CA78" s="1554"/>
      <c r="CB78" s="1643" t="b">
        <f>IF(CL57=22,12)</f>
        <v>0</v>
      </c>
      <c r="CC78" s="1689"/>
      <c r="CD78" s="1689"/>
      <c r="CE78" s="1689"/>
      <c r="CF78" s="1639"/>
      <c r="CG78" s="1689"/>
      <c r="CH78" s="1697"/>
      <c r="CI78" s="1689"/>
      <c r="CJ78" s="1698"/>
      <c r="CK78" s="1689"/>
      <c r="CL78" s="1689"/>
      <c r="CM78" s="1689"/>
      <c r="CN78" s="1689"/>
      <c r="CO78" s="1640"/>
      <c r="CP78" s="1640"/>
      <c r="CQ78" s="1639"/>
      <c r="CR78" s="1640"/>
      <c r="CS78" s="1640"/>
      <c r="CT78" s="1640"/>
      <c r="CU78" s="1640"/>
      <c r="CV78" s="1636" t="b">
        <f>IF(CL57=22,32)</f>
        <v>0</v>
      </c>
      <c r="CW78" s="1557"/>
      <c r="CX78" s="1557"/>
      <c r="CY78" s="1557"/>
      <c r="CZ78" s="1557"/>
      <c r="DA78" s="1557"/>
      <c r="DB78" s="1557"/>
      <c r="DC78" s="1557"/>
      <c r="DD78" s="1557"/>
      <c r="EJ78" s="185"/>
      <c r="EK78" s="185"/>
    </row>
    <row r="79" spans="2:141" ht="21.6" hidden="1" thickBot="1" x14ac:dyDescent="0.45">
      <c r="B79" s="14"/>
      <c r="BF79" s="27"/>
      <c r="BG79" s="27"/>
      <c r="BH79" s="27"/>
      <c r="BI79" s="27"/>
      <c r="BJ79" s="27"/>
      <c r="BK79" s="4"/>
      <c r="BN79" s="1577"/>
      <c r="BO79" s="1691"/>
      <c r="BP79" s="1693">
        <v>21</v>
      </c>
      <c r="BQ79" s="1557"/>
      <c r="BR79" s="1557"/>
      <c r="BS79" s="1557"/>
      <c r="BT79" s="1557"/>
      <c r="BU79" s="1557"/>
      <c r="BV79" s="1557"/>
      <c r="BW79" s="1557"/>
      <c r="BX79" s="1557"/>
      <c r="BY79" s="1557"/>
      <c r="BZ79" s="1557"/>
      <c r="CA79" s="1557"/>
      <c r="CB79" s="1643" t="b">
        <f>IF(CK57=21,12)</f>
        <v>0</v>
      </c>
      <c r="CC79" s="1640"/>
      <c r="CD79" s="1640"/>
      <c r="CE79" s="1640"/>
      <c r="CF79" s="1640"/>
      <c r="CG79" s="1640"/>
      <c r="CH79" s="1695"/>
      <c r="CI79" s="1640"/>
      <c r="CJ79" s="1696"/>
      <c r="CK79" s="1640"/>
      <c r="CL79" s="1640"/>
      <c r="CM79" s="1640"/>
      <c r="CN79" s="1640"/>
      <c r="CO79" s="1640"/>
      <c r="CP79" s="1640"/>
      <c r="CQ79" s="1640"/>
      <c r="CR79" s="1640"/>
      <c r="CS79" s="1640"/>
      <c r="CT79" s="1636" t="b">
        <f>IF(CK57=21,30)</f>
        <v>0</v>
      </c>
      <c r="CU79" s="1554"/>
      <c r="CV79" s="1554"/>
      <c r="CW79" s="1554"/>
      <c r="CX79" s="1554"/>
      <c r="CY79" s="1554"/>
      <c r="CZ79" s="1554"/>
      <c r="DA79" s="1554"/>
      <c r="DB79" s="1554"/>
      <c r="DC79" s="1557"/>
      <c r="DD79" s="1557"/>
      <c r="EJ79" s="185"/>
      <c r="EK79" s="185"/>
    </row>
    <row r="80" spans="2:141" ht="21.6" hidden="1" thickBot="1" x14ac:dyDescent="0.45">
      <c r="B80" s="14"/>
      <c r="BF80" s="27"/>
      <c r="BG80" s="27"/>
      <c r="BH80" s="27"/>
      <c r="BI80" s="27"/>
      <c r="BJ80" s="27"/>
      <c r="BK80" s="4"/>
      <c r="BN80" s="1577"/>
      <c r="BO80" s="1699"/>
      <c r="BP80" s="1693">
        <v>20</v>
      </c>
      <c r="BQ80" s="1557"/>
      <c r="BR80" s="1557"/>
      <c r="BS80" s="1557"/>
      <c r="BT80" s="1557"/>
      <c r="BU80" s="1557"/>
      <c r="BV80" s="1557"/>
      <c r="BW80" s="1557"/>
      <c r="BX80" s="1557"/>
      <c r="CA80" s="1700"/>
      <c r="CB80" s="1632" t="b">
        <f>IF(CJ57=20,12)</f>
        <v>0</v>
      </c>
      <c r="CC80" s="1642"/>
      <c r="CD80" s="1642"/>
      <c r="CE80" s="1642"/>
      <c r="CF80" s="1642"/>
      <c r="CG80" s="1642"/>
      <c r="CH80" s="1701"/>
      <c r="CI80" s="1642"/>
      <c r="CJ80" s="1694"/>
      <c r="CK80" s="1642"/>
      <c r="CL80" s="1642"/>
      <c r="CM80" s="1642"/>
      <c r="CN80" s="1642"/>
      <c r="CO80" s="1642"/>
      <c r="CP80" s="1642"/>
      <c r="CQ80" s="1642"/>
      <c r="CR80" s="1634" t="b">
        <f>IF(CJ57=20,28)</f>
        <v>0</v>
      </c>
      <c r="CS80" s="1700"/>
      <c r="CU80" s="1554"/>
      <c r="CV80" s="1554"/>
      <c r="CW80" s="1554"/>
      <c r="CX80" s="1554"/>
      <c r="CY80" s="1554"/>
      <c r="CZ80" s="1554"/>
      <c r="DA80" s="1554"/>
      <c r="DB80" s="1554"/>
      <c r="DC80" s="1557"/>
      <c r="DD80" s="1557"/>
      <c r="EJ80" s="185"/>
      <c r="EK80" s="185"/>
    </row>
    <row r="81" spans="2:141" ht="21.6" hidden="1" thickBot="1" x14ac:dyDescent="0.45">
      <c r="B81" s="14"/>
      <c r="BF81" s="27"/>
      <c r="BG81" s="27"/>
      <c r="BH81" s="27"/>
      <c r="BI81" s="27"/>
      <c r="BJ81" s="27"/>
      <c r="BK81" s="4"/>
      <c r="BN81" s="1577"/>
      <c r="BO81" s="1699"/>
      <c r="BP81" s="1693">
        <v>19</v>
      </c>
      <c r="BQ81" s="1557"/>
      <c r="BR81" s="1557"/>
      <c r="BS81" s="1557"/>
      <c r="BT81" s="1557"/>
      <c r="BU81" s="1557"/>
      <c r="BV81" s="1557"/>
      <c r="BW81" s="1557"/>
      <c r="BX81" s="1557"/>
      <c r="BZ81" s="1702"/>
      <c r="CA81" s="1702"/>
      <c r="CB81" s="1632" t="b">
        <f>IF(CI57=19,12)</f>
        <v>0</v>
      </c>
      <c r="CC81" s="1688"/>
      <c r="CD81" s="1688"/>
      <c r="CE81" s="1641"/>
      <c r="CF81" s="1688"/>
      <c r="CG81" s="1688"/>
      <c r="CH81" s="1703"/>
      <c r="CI81" s="1688"/>
      <c r="CJ81" s="1704"/>
      <c r="CK81" s="1641"/>
      <c r="CL81" s="1688"/>
      <c r="CM81" s="1688"/>
      <c r="CN81" s="1688"/>
      <c r="CO81" s="1642"/>
      <c r="CP81" s="1634" t="b">
        <f>IF(CI57=19,26)</f>
        <v>0</v>
      </c>
      <c r="CQ81" s="1705"/>
      <c r="CR81" s="1700"/>
      <c r="CT81" s="1557"/>
      <c r="CU81" s="1557"/>
      <c r="CV81" s="1557"/>
      <c r="CW81" s="1557"/>
      <c r="CX81" s="1557"/>
      <c r="CY81" s="1557"/>
      <c r="CZ81" s="1557"/>
      <c r="DA81" s="1557"/>
      <c r="DB81" s="1557"/>
      <c r="DC81" s="1557"/>
      <c r="DD81" s="1557"/>
      <c r="EJ81" s="185"/>
      <c r="EK81" s="185"/>
    </row>
    <row r="82" spans="2:141" ht="21.6" hidden="1" thickBot="1" x14ac:dyDescent="0.45">
      <c r="B82" s="14"/>
      <c r="BF82" s="27"/>
      <c r="BG82" s="27"/>
      <c r="BH82" s="27"/>
      <c r="BI82" s="27"/>
      <c r="BJ82" s="27"/>
      <c r="BK82" s="4"/>
      <c r="BN82" s="1577"/>
      <c r="BO82" s="1699"/>
      <c r="BP82" s="1693">
        <v>18</v>
      </c>
      <c r="BQ82" s="1554"/>
      <c r="BR82" s="1554"/>
      <c r="BS82" s="1554"/>
      <c r="BT82" s="1554"/>
      <c r="BU82" s="1554"/>
      <c r="BV82" s="1554"/>
      <c r="BW82" s="1554"/>
      <c r="BX82" s="1554"/>
      <c r="BZ82" s="1632" t="b">
        <f>IF(CH57=18,10)</f>
        <v>0</v>
      </c>
      <c r="CA82" s="1688"/>
      <c r="CB82" s="1688"/>
      <c r="CC82" s="1688"/>
      <c r="CD82" s="1688"/>
      <c r="CE82" s="1641"/>
      <c r="CF82" s="1688"/>
      <c r="CG82" s="1688"/>
      <c r="CH82" s="1703"/>
      <c r="CI82" s="1688"/>
      <c r="CJ82" s="1704"/>
      <c r="CK82" s="1641"/>
      <c r="CL82" s="1688"/>
      <c r="CM82" s="1688"/>
      <c r="CN82" s="1688"/>
      <c r="CO82" s="1642"/>
      <c r="CP82" s="1634" t="b">
        <f>IF(CH57=18,26)</f>
        <v>0</v>
      </c>
      <c r="CR82" s="1557"/>
      <c r="CS82" s="1557"/>
      <c r="CT82" s="1557"/>
      <c r="CU82" s="1557"/>
      <c r="CV82" s="1557"/>
      <c r="CW82" s="1557"/>
      <c r="CX82" s="1557"/>
      <c r="CY82" s="1557"/>
      <c r="CZ82" s="1557"/>
      <c r="DA82" s="1557"/>
      <c r="DB82" s="1557"/>
      <c r="DC82" s="1557"/>
      <c r="DD82" s="1557"/>
      <c r="EJ82" s="185"/>
      <c r="EK82" s="185"/>
    </row>
    <row r="83" spans="2:141" ht="21.6" hidden="1" thickBot="1" x14ac:dyDescent="0.45">
      <c r="B83" s="14"/>
      <c r="BF83" s="27"/>
      <c r="BG83" s="27"/>
      <c r="BH83" s="27"/>
      <c r="BI83" s="27"/>
      <c r="BJ83" s="27"/>
      <c r="BK83" s="4"/>
      <c r="BN83" s="1577"/>
      <c r="BO83" s="1699"/>
      <c r="BP83" s="1706">
        <v>17</v>
      </c>
      <c r="BQ83" s="1554"/>
      <c r="BR83" s="1554"/>
      <c r="BS83" s="1554"/>
      <c r="BT83" s="1554"/>
      <c r="BU83" s="1554"/>
      <c r="BV83" s="1554"/>
      <c r="BW83" s="1554"/>
      <c r="BX83" s="1632" t="b">
        <f>IF(CG57=17,8)</f>
        <v>0</v>
      </c>
      <c r="BY83" s="1641"/>
      <c r="BZ83" s="1641"/>
      <c r="CA83" s="1688"/>
      <c r="CB83" s="1688"/>
      <c r="CC83" s="1688"/>
      <c r="CD83" s="1688"/>
      <c r="CE83" s="1688"/>
      <c r="CF83" s="1688"/>
      <c r="CG83" s="1688"/>
      <c r="CH83" s="1703"/>
      <c r="CI83" s="1688"/>
      <c r="CJ83" s="1704"/>
      <c r="CK83" s="1688"/>
      <c r="CL83" s="1688"/>
      <c r="CM83" s="1688"/>
      <c r="CN83" s="1641"/>
      <c r="CO83" s="1641"/>
      <c r="CP83" s="1634" t="b">
        <f>IF(CG57=17,26)</f>
        <v>0</v>
      </c>
      <c r="CQ83" s="1557"/>
      <c r="CR83" s="1557"/>
      <c r="CS83" s="1557"/>
      <c r="CT83" s="1557"/>
      <c r="CU83" s="1557"/>
      <c r="CV83" s="1557"/>
      <c r="CW83" s="1557"/>
      <c r="CX83" s="1557"/>
      <c r="CY83" s="1557"/>
      <c r="CZ83" s="1557"/>
      <c r="DA83" s="1557"/>
      <c r="DB83" s="1557"/>
      <c r="DC83" s="1557"/>
      <c r="DD83" s="1557"/>
      <c r="EJ83" s="185"/>
      <c r="EK83" s="185"/>
    </row>
    <row r="84" spans="2:141" ht="21.6" hidden="1" thickBot="1" x14ac:dyDescent="0.45">
      <c r="B84" s="14"/>
      <c r="BF84" s="27"/>
      <c r="BG84" s="27"/>
      <c r="BH84" s="27"/>
      <c r="BI84" s="27"/>
      <c r="BJ84" s="27"/>
      <c r="BK84" s="4"/>
      <c r="BN84" s="1577"/>
      <c r="BO84" s="1699"/>
      <c r="BP84" s="1706">
        <v>16</v>
      </c>
      <c r="BQ84" s="1554"/>
      <c r="BR84" s="1554"/>
      <c r="BS84" s="1554"/>
      <c r="BT84" s="1554"/>
      <c r="BU84" s="1554"/>
      <c r="BV84" s="1707">
        <f>IF(CF57=16,6)</f>
        <v>6</v>
      </c>
      <c r="BW84" s="1708"/>
      <c r="BX84" s="1709"/>
      <c r="BY84" s="1709"/>
      <c r="BZ84" s="1708"/>
      <c r="CA84" s="1708"/>
      <c r="CB84" s="1708"/>
      <c r="CC84" s="1708"/>
      <c r="CD84" s="1708"/>
      <c r="CE84" s="1708"/>
      <c r="CF84" s="1708"/>
      <c r="CG84" s="1708"/>
      <c r="CH84" s="1710"/>
      <c r="CI84" s="1708"/>
      <c r="CJ84" s="1711"/>
      <c r="CK84" s="1708"/>
      <c r="CL84" s="1708"/>
      <c r="CM84" s="1709"/>
      <c r="CN84" s="1709"/>
      <c r="CO84" s="1712"/>
      <c r="CP84" s="1713">
        <f>IF(CF57=16,26)</f>
        <v>26</v>
      </c>
      <c r="CQ84" s="1557"/>
      <c r="CR84" s="1557"/>
      <c r="CS84" s="1557"/>
      <c r="CT84" s="1557"/>
      <c r="CU84" s="1557"/>
      <c r="CV84" s="1557"/>
      <c r="CW84" s="1557"/>
      <c r="CX84" s="1557"/>
      <c r="CY84" s="1557"/>
      <c r="CZ84" s="1557"/>
      <c r="DA84" s="1557"/>
      <c r="DB84" s="1557"/>
      <c r="DC84" s="1557"/>
      <c r="DD84" s="1557"/>
      <c r="EJ84" s="185"/>
      <c r="EK84" s="185"/>
    </row>
    <row r="85" spans="2:141" ht="21.6" hidden="1" thickBot="1" x14ac:dyDescent="0.45">
      <c r="B85" s="14"/>
      <c r="BF85" s="27"/>
      <c r="BG85" s="27"/>
      <c r="BH85" s="27"/>
      <c r="BI85" s="27"/>
      <c r="BJ85" s="27"/>
      <c r="BK85" s="4"/>
      <c r="BN85" s="1577"/>
      <c r="BO85" s="1699"/>
      <c r="BP85" s="1693">
        <v>15</v>
      </c>
      <c r="BQ85" s="1554"/>
      <c r="BR85" s="1554"/>
      <c r="BS85" s="1554"/>
      <c r="BT85" s="1632" t="b">
        <f>IF(CE57=15,4)</f>
        <v>0</v>
      </c>
      <c r="BU85" s="1688"/>
      <c r="BV85" s="1688"/>
      <c r="BW85" s="1688"/>
      <c r="BX85" s="1641"/>
      <c r="BY85" s="1688"/>
      <c r="BZ85" s="1688"/>
      <c r="CA85" s="1641"/>
      <c r="CB85" s="1688"/>
      <c r="CC85" s="1688"/>
      <c r="CD85" s="1688"/>
      <c r="CE85" s="1688"/>
      <c r="CF85" s="1688"/>
      <c r="CG85" s="1688"/>
      <c r="CH85" s="1703"/>
      <c r="CI85" s="1641"/>
      <c r="CJ85" s="1704"/>
      <c r="CK85" s="1688"/>
      <c r="CL85" s="1641"/>
      <c r="CM85" s="1688"/>
      <c r="CN85" s="1688"/>
      <c r="CO85" s="1642"/>
      <c r="CP85" s="1634" t="b">
        <f>IF(CE57=15,26)</f>
        <v>0</v>
      </c>
      <c r="CQ85" s="1557"/>
      <c r="CR85" s="1557"/>
      <c r="CS85" s="1557"/>
      <c r="CT85" s="1557"/>
      <c r="CU85" s="1557"/>
      <c r="CV85" s="1557"/>
      <c r="CW85" s="1557"/>
      <c r="CX85" s="1557"/>
      <c r="CY85" s="1557"/>
      <c r="CZ85" s="1557"/>
      <c r="DA85" s="1557"/>
      <c r="DB85" s="1557"/>
      <c r="DC85" s="1557"/>
      <c r="DD85" s="1557"/>
      <c r="EJ85" s="185"/>
      <c r="EK85" s="185"/>
    </row>
    <row r="86" spans="2:141" ht="21.6" hidden="1" thickBot="1" x14ac:dyDescent="0.45">
      <c r="B86" s="14"/>
      <c r="BF86" s="27"/>
      <c r="BG86" s="27"/>
      <c r="BH86" s="27"/>
      <c r="BI86" s="27"/>
      <c r="BJ86" s="27"/>
      <c r="BK86" s="4"/>
      <c r="BN86" s="1577"/>
      <c r="BO86" s="1699"/>
      <c r="BP86" s="1693">
        <v>14</v>
      </c>
      <c r="BQ86" s="1554"/>
      <c r="BR86" s="1632" t="b">
        <f>IF(CD57=14,2)</f>
        <v>0</v>
      </c>
      <c r="BS86" s="1688"/>
      <c r="BT86" s="1688"/>
      <c r="BU86" s="1688"/>
      <c r="BV86" s="1641"/>
      <c r="BW86" s="1688"/>
      <c r="BX86" s="1688"/>
      <c r="BY86" s="1641"/>
      <c r="BZ86" s="1688"/>
      <c r="CA86" s="1688"/>
      <c r="CB86" s="1688"/>
      <c r="CC86" s="1688"/>
      <c r="CD86" s="1688"/>
      <c r="CE86" s="1688"/>
      <c r="CF86" s="1688"/>
      <c r="CG86" s="1688"/>
      <c r="CH86" s="1703"/>
      <c r="CI86" s="1641"/>
      <c r="CJ86" s="1704"/>
      <c r="CK86" s="1688"/>
      <c r="CL86" s="1641"/>
      <c r="CM86" s="1688"/>
      <c r="CN86" s="1688"/>
      <c r="CO86" s="1642"/>
      <c r="CP86" s="1634" t="b">
        <f>IF(CD57=14,26)</f>
        <v>0</v>
      </c>
      <c r="CQ86" s="1557"/>
      <c r="CR86" s="1557"/>
      <c r="CS86" s="1557"/>
      <c r="CT86" s="1557"/>
      <c r="CU86" s="1557"/>
      <c r="CV86" s="1557"/>
      <c r="CW86" s="1557"/>
      <c r="CX86" s="1557"/>
      <c r="CY86" s="1557"/>
      <c r="CZ86" s="1557"/>
      <c r="DA86" s="1557"/>
      <c r="DB86" s="1557"/>
      <c r="DC86" s="1557"/>
      <c r="DD86" s="1557"/>
      <c r="EJ86" s="185"/>
      <c r="EK86" s="185"/>
    </row>
    <row r="87" spans="2:141" ht="21.6" hidden="1" thickBot="1" x14ac:dyDescent="0.45">
      <c r="B87" s="14"/>
      <c r="BF87" s="27"/>
      <c r="BG87" s="27"/>
      <c r="BH87" s="27"/>
      <c r="BI87" s="27"/>
      <c r="BJ87" s="27"/>
      <c r="BK87" s="4"/>
      <c r="BN87" s="1577"/>
      <c r="BO87" s="1699"/>
      <c r="BP87" s="1693">
        <v>13</v>
      </c>
      <c r="BQ87" s="1554"/>
      <c r="BR87" s="1554"/>
      <c r="BS87" s="1554"/>
      <c r="BU87" s="1714"/>
      <c r="BV87" s="1714"/>
      <c r="BW87" s="1715"/>
      <c r="BX87" s="1714"/>
      <c r="BY87" s="1643" t="b">
        <f>IF(CC57=13,9)</f>
        <v>0</v>
      </c>
      <c r="BZ87" s="1689"/>
      <c r="CA87" s="1689"/>
      <c r="CB87" s="1689"/>
      <c r="CC87" s="1689"/>
      <c r="CD87" s="1689"/>
      <c r="CE87" s="1689"/>
      <c r="CF87" s="1689"/>
      <c r="CG87" s="1636" t="b">
        <f>IF(CC57=13,17)</f>
        <v>0</v>
      </c>
      <c r="CH87" s="1716"/>
      <c r="CI87" s="1715"/>
      <c r="CJ87" s="1717"/>
      <c r="CK87" s="1714"/>
      <c r="CM87" s="1554"/>
      <c r="CN87" s="1554"/>
      <c r="CO87" s="1557"/>
      <c r="CP87" s="1557"/>
      <c r="CQ87" s="1557"/>
      <c r="CR87" s="1557"/>
      <c r="CS87" s="1557"/>
      <c r="CT87" s="1557"/>
      <c r="CU87" s="1557"/>
      <c r="CV87" s="1557"/>
      <c r="CW87" s="1557"/>
      <c r="CX87" s="1557"/>
      <c r="CY87" s="1557"/>
      <c r="CZ87" s="1557"/>
      <c r="DA87" s="1557"/>
      <c r="DB87" s="1557"/>
      <c r="DC87" s="1557"/>
      <c r="DD87" s="1557"/>
      <c r="EJ87" s="185"/>
      <c r="EK87" s="185"/>
    </row>
    <row r="88" spans="2:141" ht="21.6" hidden="1" thickBot="1" x14ac:dyDescent="0.45">
      <c r="B88" s="14"/>
      <c r="BF88" s="27"/>
      <c r="BG88" s="27"/>
      <c r="BH88" s="27"/>
      <c r="BI88" s="27"/>
      <c r="BJ88" s="27"/>
      <c r="BK88" s="4"/>
      <c r="BN88" s="1577"/>
      <c r="BO88" s="1699"/>
      <c r="BP88" s="1693">
        <v>12</v>
      </c>
      <c r="BQ88" s="1554"/>
      <c r="BS88" s="1702"/>
      <c r="BT88" s="1702"/>
      <c r="BU88" s="1705"/>
      <c r="BV88" s="1702"/>
      <c r="BW88" s="1632" t="b">
        <f>IF(CB57=12,7)</f>
        <v>0</v>
      </c>
      <c r="BX88" s="1688"/>
      <c r="BY88" s="1688"/>
      <c r="BZ88" s="1688"/>
      <c r="CA88" s="1688"/>
      <c r="CB88" s="1688"/>
      <c r="CC88" s="1688"/>
      <c r="CD88" s="1688"/>
      <c r="CE88" s="1688"/>
      <c r="CF88" s="1688"/>
      <c r="CG88" s="1634" t="b">
        <f>IF(CB57=12,17)</f>
        <v>0</v>
      </c>
      <c r="CH88" s="1718"/>
      <c r="CI88" s="1705"/>
      <c r="CJ88" s="1719"/>
      <c r="CK88" s="1702"/>
      <c r="CM88" s="1554"/>
      <c r="CN88" s="1554"/>
      <c r="CO88" s="1557"/>
      <c r="CP88" s="1557"/>
      <c r="CQ88" s="1557"/>
      <c r="CR88" s="1557"/>
      <c r="CS88" s="1557"/>
      <c r="CT88" s="1557"/>
      <c r="CU88" s="1557"/>
      <c r="CV88" s="1557"/>
      <c r="CW88" s="1557"/>
      <c r="CX88" s="1557"/>
      <c r="CY88" s="1557"/>
      <c r="CZ88" s="1557"/>
      <c r="DA88" s="1557"/>
      <c r="DB88" s="1557"/>
      <c r="DC88" s="1557"/>
      <c r="DD88" s="1557"/>
      <c r="EJ88" s="185"/>
      <c r="EK88" s="185"/>
    </row>
    <row r="89" spans="2:141" ht="21.6" hidden="1" thickBot="1" x14ac:dyDescent="0.45">
      <c r="B89" s="14"/>
      <c r="BF89" s="27"/>
      <c r="BG89" s="27"/>
      <c r="BH89" s="27"/>
      <c r="BI89" s="27"/>
      <c r="BJ89" s="27"/>
      <c r="BK89" s="4"/>
      <c r="BN89" s="1577"/>
      <c r="BO89" s="1699"/>
      <c r="BP89" s="1693">
        <v>11</v>
      </c>
      <c r="BR89" s="1714"/>
      <c r="BS89" s="1715"/>
      <c r="BT89" s="1714"/>
      <c r="BU89" s="1632" t="b">
        <f>IF(CA57=11,5)</f>
        <v>0</v>
      </c>
      <c r="BV89" s="1688"/>
      <c r="BW89" s="1688"/>
      <c r="BX89" s="1688"/>
      <c r="BY89" s="1688"/>
      <c r="BZ89" s="1688"/>
      <c r="CA89" s="1688"/>
      <c r="CB89" s="1688"/>
      <c r="CC89" s="1688"/>
      <c r="CD89" s="1688"/>
      <c r="CE89" s="1688"/>
      <c r="CF89" s="1688"/>
      <c r="CG89" s="1634" t="b">
        <f>IF(CA57=11,17)</f>
        <v>0</v>
      </c>
      <c r="CH89" s="1716"/>
      <c r="CI89" s="1715"/>
      <c r="CJ89" s="1717"/>
      <c r="CL89" s="1554"/>
      <c r="CM89" s="1554"/>
      <c r="CN89" s="1554"/>
      <c r="CO89" s="1557"/>
      <c r="CP89" s="1557"/>
      <c r="CQ89" s="1557"/>
      <c r="CR89" s="1557"/>
      <c r="CS89" s="1557"/>
      <c r="CT89" s="1557"/>
      <c r="CU89" s="1557"/>
      <c r="CV89" s="1557"/>
      <c r="CW89" s="1557"/>
      <c r="CX89" s="1557"/>
      <c r="CY89" s="1557"/>
      <c r="CZ89" s="1557"/>
      <c r="DA89" s="1557"/>
      <c r="DB89" s="1557"/>
      <c r="DC89" s="1557"/>
      <c r="DD89" s="1557"/>
      <c r="EJ89" s="185"/>
      <c r="EK89" s="185"/>
    </row>
    <row r="90" spans="2:141" ht="21.6" hidden="1" thickBot="1" x14ac:dyDescent="0.45">
      <c r="B90" s="14"/>
      <c r="BF90" s="27"/>
      <c r="BG90" s="27"/>
      <c r="BH90" s="27"/>
      <c r="BI90" s="27"/>
      <c r="BJ90" s="27"/>
      <c r="BK90" s="4"/>
      <c r="BN90" s="1577"/>
      <c r="BO90" s="1699"/>
      <c r="BP90" s="1693">
        <v>10</v>
      </c>
      <c r="BR90" s="1714"/>
      <c r="BS90" s="1632" t="b">
        <f>IF(BZ57=10,3)</f>
        <v>0</v>
      </c>
      <c r="BT90" s="1688"/>
      <c r="BU90" s="1688"/>
      <c r="BV90" s="1688"/>
      <c r="BW90" s="1688"/>
      <c r="BX90" s="1688"/>
      <c r="BY90" s="1688"/>
      <c r="BZ90" s="1688"/>
      <c r="CA90" s="1688"/>
      <c r="CB90" s="1688"/>
      <c r="CC90" s="1688"/>
      <c r="CD90" s="1688"/>
      <c r="CE90" s="1688"/>
      <c r="CF90" s="1688"/>
      <c r="CG90" s="1634" t="b">
        <f>IF(BZ57=10,17)</f>
        <v>0</v>
      </c>
      <c r="CH90" s="1716"/>
      <c r="CJ90" s="1720"/>
      <c r="CK90" s="1554"/>
      <c r="CL90" s="1554"/>
      <c r="CM90" s="1554"/>
      <c r="CN90" s="1554"/>
      <c r="CO90" s="1557"/>
      <c r="CP90" s="1557"/>
      <c r="CQ90" s="1557"/>
      <c r="CR90" s="1557"/>
      <c r="CS90" s="1557"/>
      <c r="CT90" s="1557"/>
      <c r="CU90" s="1557"/>
      <c r="CV90" s="1557"/>
      <c r="CW90" s="1557"/>
      <c r="CX90" s="1557"/>
      <c r="CY90" s="1557"/>
      <c r="CZ90" s="1557"/>
      <c r="DA90" s="1557"/>
      <c r="DB90" s="1557"/>
      <c r="DC90" s="1557"/>
      <c r="DD90" s="1557"/>
      <c r="EJ90" s="185"/>
      <c r="EK90" s="185"/>
    </row>
    <row r="91" spans="2:141" ht="21.6" hidden="1" thickBot="1" x14ac:dyDescent="0.45">
      <c r="B91" s="14"/>
      <c r="BF91" s="27"/>
      <c r="BG91" s="27"/>
      <c r="BH91" s="27"/>
      <c r="BI91" s="27"/>
      <c r="BJ91" s="27"/>
      <c r="BK91" s="4"/>
      <c r="BN91" s="1577"/>
      <c r="BO91" s="1699"/>
      <c r="BP91" s="1693">
        <v>9</v>
      </c>
      <c r="BQ91" s="1632" t="b">
        <f>IF(BY57=9,1)</f>
        <v>0</v>
      </c>
      <c r="BR91" s="1688"/>
      <c r="BS91" s="1688"/>
      <c r="BT91" s="1688"/>
      <c r="BU91" s="1688"/>
      <c r="BV91" s="1688"/>
      <c r="BW91" s="1688"/>
      <c r="BX91" s="1688"/>
      <c r="BY91" s="1688"/>
      <c r="BZ91" s="1688"/>
      <c r="CA91" s="1688"/>
      <c r="CB91" s="1688"/>
      <c r="CC91" s="1688"/>
      <c r="CD91" s="1688"/>
      <c r="CE91" s="1688"/>
      <c r="CF91" s="1688"/>
      <c r="CG91" s="1634" t="b">
        <f>IF(BY57=9,17)</f>
        <v>0</v>
      </c>
      <c r="CH91" s="1554"/>
      <c r="CI91" s="1554"/>
      <c r="CJ91" s="1720"/>
      <c r="CK91" s="1554"/>
      <c r="CL91" s="1554"/>
      <c r="CM91" s="1554"/>
      <c r="CN91" s="1554"/>
      <c r="CO91" s="1557"/>
      <c r="CP91" s="1557"/>
      <c r="CQ91" s="1557"/>
      <c r="CR91" s="1557"/>
      <c r="CS91" s="1557"/>
      <c r="CT91" s="1557"/>
      <c r="CU91" s="1557"/>
      <c r="CV91" s="1557"/>
      <c r="CW91" s="1557"/>
      <c r="CX91" s="1557"/>
      <c r="CY91" s="1557"/>
      <c r="CZ91" s="1557"/>
      <c r="DA91" s="1557"/>
      <c r="DB91" s="1557"/>
      <c r="DC91" s="1557"/>
      <c r="DD91" s="1557"/>
      <c r="EJ91" s="185"/>
      <c r="EK91" s="185"/>
    </row>
    <row r="92" spans="2:141" ht="21.6" hidden="1" thickBot="1" x14ac:dyDescent="0.45">
      <c r="B92" s="14"/>
      <c r="BF92" s="27"/>
      <c r="BG92" s="27"/>
      <c r="BH92" s="27"/>
      <c r="BI92" s="27"/>
      <c r="BJ92" s="27"/>
      <c r="BK92" s="4"/>
      <c r="BN92" s="1577"/>
      <c r="BO92" s="1699"/>
      <c r="BP92" s="1693">
        <v>8</v>
      </c>
      <c r="BQ92" s="1632" t="b">
        <f>IF(BX57=8,1)</f>
        <v>0</v>
      </c>
      <c r="BR92" s="1688"/>
      <c r="BS92" s="1641"/>
      <c r="BT92" s="1688"/>
      <c r="BU92" s="1688"/>
      <c r="BV92" s="1688"/>
      <c r="BW92" s="1688"/>
      <c r="BX92" s="1688"/>
      <c r="BY92" s="1688"/>
      <c r="BZ92" s="1688"/>
      <c r="CA92" s="1688"/>
      <c r="CB92" s="1688"/>
      <c r="CC92" s="1641"/>
      <c r="CD92" s="1688"/>
      <c r="CE92" s="1634" t="b">
        <f>IF(BX57=8,15)</f>
        <v>0</v>
      </c>
      <c r="CF92" s="1554"/>
      <c r="CG92" s="1554"/>
      <c r="CH92" s="1721"/>
      <c r="CI92" s="1554"/>
      <c r="CJ92" s="1720"/>
      <c r="CK92" s="1554"/>
      <c r="CL92" s="1554"/>
      <c r="CM92" s="1554"/>
      <c r="CN92" s="1554"/>
      <c r="CO92" s="1557"/>
      <c r="CP92" s="1557"/>
      <c r="CQ92" s="1557"/>
      <c r="CR92" s="1557"/>
      <c r="CS92" s="1557"/>
      <c r="CT92" s="1557"/>
      <c r="CU92" s="1557"/>
      <c r="CV92" s="1557"/>
      <c r="CW92" s="1557"/>
      <c r="CX92" s="1557"/>
      <c r="CY92" s="1557"/>
      <c r="CZ92" s="1557"/>
      <c r="DA92" s="1557"/>
      <c r="DB92" s="1557"/>
      <c r="DC92" s="1557"/>
      <c r="DD92" s="1557"/>
      <c r="EJ92" s="185"/>
      <c r="EK92" s="185"/>
    </row>
    <row r="93" spans="2:141" ht="21.6" hidden="1" thickBot="1" x14ac:dyDescent="0.45">
      <c r="B93" s="14"/>
      <c r="BF93" s="27"/>
      <c r="BG93" s="27"/>
      <c r="BH93" s="27"/>
      <c r="BI93" s="27"/>
      <c r="BJ93" s="27"/>
      <c r="BK93" s="4"/>
      <c r="BN93" s="1577"/>
      <c r="BO93" s="1699"/>
      <c r="BP93" s="1693">
        <v>7</v>
      </c>
      <c r="BQ93" s="1632" t="b">
        <f>IF(BW57=7,1)</f>
        <v>0</v>
      </c>
      <c r="BR93" s="1641"/>
      <c r="BS93" s="1688"/>
      <c r="BT93" s="1688"/>
      <c r="BU93" s="1688"/>
      <c r="BV93" s="1688"/>
      <c r="BW93" s="1688"/>
      <c r="BX93" s="1688"/>
      <c r="BY93" s="1688"/>
      <c r="BZ93" s="1688"/>
      <c r="CA93" s="1641"/>
      <c r="CB93" s="1641"/>
      <c r="CC93" s="1634" t="b">
        <f>IF(BW57=7,13)</f>
        <v>0</v>
      </c>
      <c r="CD93" s="1554"/>
      <c r="CE93" s="1554"/>
      <c r="CF93" s="1554"/>
      <c r="CG93" s="1554"/>
      <c r="CH93" s="1721"/>
      <c r="CI93" s="1554"/>
      <c r="CJ93" s="1720"/>
      <c r="CK93" s="1554"/>
      <c r="CL93" s="1554"/>
      <c r="CM93" s="1554"/>
      <c r="CN93" s="1554"/>
      <c r="CO93" s="1557"/>
      <c r="CP93" s="1557"/>
      <c r="CQ93" s="1557"/>
      <c r="CR93" s="1557"/>
      <c r="CS93" s="1557"/>
      <c r="CT93" s="1557"/>
      <c r="CU93" s="1557"/>
      <c r="CV93" s="1557"/>
      <c r="CW93" s="1557"/>
      <c r="CX93" s="1557"/>
      <c r="CY93" s="1557"/>
      <c r="CZ93" s="1557"/>
      <c r="DA93" s="1557"/>
      <c r="DB93" s="1557"/>
      <c r="DC93" s="1557"/>
      <c r="DD93" s="1557"/>
      <c r="EJ93" s="185"/>
      <c r="EK93" s="185"/>
    </row>
    <row r="94" spans="2:141" ht="21.6" hidden="1" thickBot="1" x14ac:dyDescent="0.45">
      <c r="B94" s="55"/>
      <c r="C94" s="55"/>
      <c r="D94" s="56"/>
      <c r="E94" s="56"/>
      <c r="F94" s="56"/>
      <c r="G94" s="56"/>
      <c r="BF94" s="27"/>
      <c r="BG94" s="27"/>
      <c r="BH94" s="27"/>
      <c r="BI94" s="27"/>
      <c r="BJ94" s="27"/>
      <c r="BK94" s="4"/>
      <c r="BN94" s="1577"/>
      <c r="BO94" s="1699"/>
      <c r="BP94" s="1693">
        <v>6</v>
      </c>
      <c r="BQ94" s="1643" t="b">
        <f>IF(BV57=6,1)</f>
        <v>0</v>
      </c>
      <c r="BR94" s="1689"/>
      <c r="BS94" s="1689"/>
      <c r="BT94" s="1689"/>
      <c r="BU94" s="1689"/>
      <c r="BV94" s="1689"/>
      <c r="BW94" s="1689"/>
      <c r="BX94" s="1689"/>
      <c r="BY94" s="1689"/>
      <c r="BZ94" s="1689"/>
      <c r="CA94" s="1636" t="b">
        <f>IF(BV57=6,11)</f>
        <v>0</v>
      </c>
      <c r="CB94" s="1554"/>
      <c r="CC94" s="1554"/>
      <c r="CD94" s="1554"/>
      <c r="CE94" s="1554"/>
      <c r="CF94" s="1554"/>
      <c r="CG94" s="1554"/>
      <c r="CH94" s="1721"/>
      <c r="CI94" s="1554"/>
      <c r="CJ94" s="1720"/>
      <c r="CK94" s="1554"/>
      <c r="CL94" s="1554"/>
      <c r="CM94" s="1554"/>
      <c r="CN94" s="1554"/>
      <c r="CO94" s="1557"/>
      <c r="CP94" s="1557"/>
      <c r="CQ94" s="1557"/>
      <c r="CR94" s="1557"/>
      <c r="CS94" s="1557"/>
      <c r="CT94" s="1557"/>
      <c r="CU94" s="1557"/>
      <c r="CV94" s="1557"/>
      <c r="CW94" s="1557"/>
      <c r="CX94" s="1557"/>
      <c r="CY94" s="1557"/>
      <c r="CZ94" s="1557"/>
      <c r="DA94" s="1557"/>
      <c r="DB94" s="1557"/>
      <c r="DC94" s="1557"/>
      <c r="DD94" s="1557"/>
      <c r="EJ94" s="185"/>
      <c r="EK94" s="185"/>
    </row>
    <row r="95" spans="2:141" ht="21.6" hidden="1" thickBot="1" x14ac:dyDescent="0.45">
      <c r="B95" s="55"/>
      <c r="C95" s="55"/>
      <c r="D95" s="56"/>
      <c r="E95" s="56"/>
      <c r="F95" s="56"/>
      <c r="G95" s="56"/>
      <c r="BF95" s="27"/>
      <c r="BG95" s="27"/>
      <c r="BH95" s="27"/>
      <c r="BI95" s="27"/>
      <c r="BJ95" s="27"/>
      <c r="BK95" s="4"/>
      <c r="BN95" s="1577"/>
      <c r="BO95" s="1699"/>
      <c r="BP95" s="1693">
        <v>5</v>
      </c>
      <c r="BQ95" s="1643" t="b">
        <f>IF(BU57=5,1)</f>
        <v>0</v>
      </c>
      <c r="BR95" s="1639"/>
      <c r="BS95" s="1689"/>
      <c r="BT95" s="1689"/>
      <c r="BU95" s="1689"/>
      <c r="BV95" s="1689"/>
      <c r="BW95" s="1689"/>
      <c r="BX95" s="1639"/>
      <c r="BY95" s="1636" t="b">
        <f>IF(BU57=5,9)</f>
        <v>0</v>
      </c>
      <c r="BZ95" s="1554"/>
      <c r="CA95" s="1554"/>
      <c r="CB95" s="1554"/>
      <c r="CC95" s="1554"/>
      <c r="CD95" s="1554"/>
      <c r="CE95" s="1554"/>
      <c r="CF95" s="1554"/>
      <c r="CG95" s="1554"/>
      <c r="CH95" s="1721"/>
      <c r="CI95" s="1554"/>
      <c r="CJ95" s="1720"/>
      <c r="CK95" s="1554"/>
      <c r="CL95" s="1554"/>
      <c r="CM95" s="1554"/>
      <c r="CN95" s="1554"/>
      <c r="CO95" s="1557"/>
      <c r="CP95" s="1557"/>
      <c r="CQ95" s="1557"/>
      <c r="CR95" s="1557"/>
      <c r="CS95" s="1557"/>
      <c r="CT95" s="1557"/>
      <c r="CU95" s="1557"/>
      <c r="CV95" s="1557"/>
      <c r="CW95" s="1557"/>
      <c r="CX95" s="1557"/>
      <c r="CY95" s="1557"/>
      <c r="CZ95" s="1557"/>
      <c r="DA95" s="1557"/>
      <c r="DB95" s="1557"/>
      <c r="DC95" s="1557"/>
      <c r="DD95" s="1557"/>
      <c r="EJ95" s="185"/>
      <c r="EK95" s="185"/>
    </row>
    <row r="96" spans="2:141" ht="21.6" hidden="1" thickBot="1" x14ac:dyDescent="0.45">
      <c r="B96" s="55"/>
      <c r="C96" s="55"/>
      <c r="D96" s="56"/>
      <c r="E96" s="56"/>
      <c r="F96" s="56"/>
      <c r="G96" s="56"/>
      <c r="BF96" s="27"/>
      <c r="BG96" s="27"/>
      <c r="BH96" s="27"/>
      <c r="BI96" s="27"/>
      <c r="BJ96" s="27"/>
      <c r="BK96" s="4"/>
      <c r="BN96" s="1577"/>
      <c r="BO96" s="1699"/>
      <c r="BP96" s="1693">
        <v>4</v>
      </c>
      <c r="BQ96" s="1643" t="b">
        <f>IF(BT57=4,1)</f>
        <v>0</v>
      </c>
      <c r="BR96" s="1689"/>
      <c r="BS96" s="1689"/>
      <c r="BT96" s="1689"/>
      <c r="BU96" s="1689"/>
      <c r="BV96" s="1689"/>
      <c r="BW96" s="1636" t="b">
        <f>IF(BT57=4,7)</f>
        <v>0</v>
      </c>
      <c r="BX96" s="1554"/>
      <c r="BY96" s="1722"/>
      <c r="BZ96" s="1722"/>
      <c r="CA96" s="1554"/>
      <c r="CB96" s="1722"/>
      <c r="CC96" s="1554"/>
      <c r="CD96" s="1554"/>
      <c r="CE96" s="1554"/>
      <c r="CF96" s="1554"/>
      <c r="CG96" s="1554"/>
      <c r="CH96" s="1721"/>
      <c r="CI96" s="1554"/>
      <c r="CJ96" s="1720"/>
      <c r="CK96" s="1554"/>
      <c r="CL96" s="1554"/>
      <c r="CM96" s="1554"/>
      <c r="CN96" s="1554"/>
      <c r="CO96" s="1557"/>
      <c r="CP96" s="1557"/>
      <c r="CQ96" s="1557"/>
      <c r="CR96" s="1557"/>
      <c r="CS96" s="1557"/>
      <c r="CT96" s="1557"/>
      <c r="CU96" s="1557"/>
      <c r="CV96" s="1557"/>
      <c r="CW96" s="1557"/>
      <c r="CX96" s="1557"/>
      <c r="CY96" s="1557"/>
      <c r="CZ96" s="1557"/>
      <c r="DA96" s="1557"/>
      <c r="DB96" s="1557"/>
      <c r="DC96" s="1557"/>
      <c r="DD96" s="1557"/>
      <c r="EJ96" s="185"/>
      <c r="EK96" s="185"/>
    </row>
    <row r="97" spans="2:141" ht="21.6" hidden="1" thickBot="1" x14ac:dyDescent="0.45">
      <c r="B97" s="55"/>
      <c r="C97" s="55"/>
      <c r="D97" s="56"/>
      <c r="E97" s="56"/>
      <c r="F97" s="56"/>
      <c r="G97" s="56"/>
      <c r="BF97" s="27"/>
      <c r="BG97" s="27"/>
      <c r="BH97" s="27"/>
      <c r="BI97" s="27"/>
      <c r="BJ97" s="27"/>
      <c r="BK97" s="4"/>
      <c r="BN97" s="1577"/>
      <c r="BO97" s="1699"/>
      <c r="BP97" s="1693">
        <v>3</v>
      </c>
      <c r="BQ97" s="1643" t="b">
        <f>IF(BS57=3,1)</f>
        <v>0</v>
      </c>
      <c r="BR97" s="1689"/>
      <c r="BS97" s="1689"/>
      <c r="BT97" s="1689"/>
      <c r="BU97" s="1636" t="b">
        <f>IF(BS57=3,5)</f>
        <v>0</v>
      </c>
      <c r="BV97" s="1554"/>
      <c r="BW97" s="1554"/>
      <c r="BX97" s="1554"/>
      <c r="BY97" s="1554"/>
      <c r="BZ97" s="1554"/>
      <c r="CA97" s="1554"/>
      <c r="CB97" s="1554"/>
      <c r="CC97" s="1554"/>
      <c r="CD97" s="1554"/>
      <c r="CE97" s="1554"/>
      <c r="CF97" s="1554"/>
      <c r="CG97" s="1554"/>
      <c r="CH97" s="1721"/>
      <c r="CI97" s="1554"/>
      <c r="CJ97" s="1720"/>
      <c r="CK97" s="1554"/>
      <c r="CL97" s="1554"/>
      <c r="CM97" s="1554"/>
      <c r="CN97" s="1554"/>
      <c r="CO97" s="1557"/>
      <c r="CP97" s="1557"/>
      <c r="CQ97" s="1557"/>
      <c r="CR97" s="1557"/>
      <c r="CS97" s="1557"/>
      <c r="CT97" s="1557"/>
      <c r="CU97" s="1557"/>
      <c r="CV97" s="1557"/>
      <c r="CW97" s="1557"/>
      <c r="CX97" s="1557"/>
      <c r="CY97" s="1557"/>
      <c r="CZ97" s="1557"/>
      <c r="DA97" s="1557"/>
      <c r="DB97" s="1557"/>
      <c r="DC97" s="1557"/>
      <c r="DD97" s="1557"/>
      <c r="EJ97" s="185"/>
      <c r="EK97" s="185"/>
    </row>
    <row r="98" spans="2:141" ht="21" hidden="1" x14ac:dyDescent="0.4">
      <c r="B98" s="55"/>
      <c r="C98" s="55"/>
      <c r="D98" s="56"/>
      <c r="E98" s="56"/>
      <c r="F98" s="56"/>
      <c r="G98" s="56"/>
      <c r="BF98" s="27"/>
      <c r="BK98" s="4"/>
      <c r="BN98" s="1577"/>
      <c r="BO98" s="1699"/>
      <c r="BP98" s="1693">
        <v>2</v>
      </c>
      <c r="BQ98" s="1723" t="b">
        <f>IF(BR57=2,1)</f>
        <v>0</v>
      </c>
      <c r="BR98" s="1724"/>
      <c r="BS98" s="1725" t="b">
        <f>IF(BR57=2,3)</f>
        <v>0</v>
      </c>
      <c r="BT98" s="1554"/>
      <c r="BU98" s="1554"/>
      <c r="BV98" s="1554"/>
      <c r="BW98" s="1554"/>
      <c r="BX98" s="1554"/>
      <c r="BY98" s="1554"/>
      <c r="BZ98" s="1554"/>
      <c r="CA98" s="1554"/>
      <c r="CB98" s="1554"/>
      <c r="CC98" s="1554"/>
      <c r="CD98" s="1554"/>
      <c r="CE98" s="1554"/>
      <c r="CF98" s="1554"/>
      <c r="CG98" s="1554"/>
      <c r="CH98" s="1721"/>
      <c r="CI98" s="1554"/>
      <c r="CJ98" s="1720"/>
      <c r="CK98" s="1554"/>
      <c r="CL98" s="1554"/>
      <c r="CM98" s="1554"/>
      <c r="CN98" s="1554"/>
      <c r="CO98" s="1557"/>
      <c r="CP98" s="1557"/>
      <c r="CQ98" s="1557"/>
      <c r="CR98" s="1557"/>
      <c r="CS98" s="1557"/>
      <c r="CT98" s="1557"/>
      <c r="CU98" s="1557"/>
      <c r="CV98" s="1557"/>
      <c r="CW98" s="1557"/>
      <c r="CX98" s="1557"/>
      <c r="CY98" s="1557"/>
      <c r="CZ98" s="1557"/>
      <c r="DA98" s="1557"/>
      <c r="DB98" s="1557"/>
      <c r="DC98" s="1557"/>
      <c r="DD98" s="1557"/>
      <c r="EJ98" s="185"/>
      <c r="EK98" s="185"/>
    </row>
    <row r="99" spans="2:141" ht="21.6" hidden="1" thickBot="1" x14ac:dyDescent="0.45">
      <c r="B99" s="55"/>
      <c r="C99" s="55"/>
      <c r="D99" s="56"/>
      <c r="E99" s="56"/>
      <c r="F99" s="56"/>
      <c r="G99" s="56"/>
      <c r="BF99" s="27"/>
      <c r="BK99" s="4"/>
      <c r="BN99" s="1577"/>
      <c r="BO99" s="1699"/>
      <c r="BP99" s="1726"/>
      <c r="BQ99" s="1727">
        <f t="shared" ref="BQ99:CG99" si="3">SUM(BQ64:BQ98)</f>
        <v>0</v>
      </c>
      <c r="BR99" s="1727">
        <f t="shared" si="3"/>
        <v>0</v>
      </c>
      <c r="BS99" s="1727">
        <f t="shared" si="3"/>
        <v>0</v>
      </c>
      <c r="BT99" s="1727">
        <f t="shared" si="3"/>
        <v>0</v>
      </c>
      <c r="BU99" s="1727">
        <f t="shared" si="3"/>
        <v>0</v>
      </c>
      <c r="BV99" s="1727">
        <f t="shared" si="3"/>
        <v>6</v>
      </c>
      <c r="BW99" s="1727">
        <f t="shared" si="3"/>
        <v>0</v>
      </c>
      <c r="BX99" s="1727">
        <f t="shared" si="3"/>
        <v>0</v>
      </c>
      <c r="BY99" s="1727">
        <f t="shared" si="3"/>
        <v>0</v>
      </c>
      <c r="BZ99" s="1727">
        <f t="shared" si="3"/>
        <v>0</v>
      </c>
      <c r="CA99" s="1727">
        <f t="shared" si="3"/>
        <v>0</v>
      </c>
      <c r="CB99" s="1727">
        <f t="shared" si="3"/>
        <v>0</v>
      </c>
      <c r="CC99" s="1727">
        <f t="shared" si="3"/>
        <v>0</v>
      </c>
      <c r="CD99" s="1727">
        <f t="shared" si="3"/>
        <v>0</v>
      </c>
      <c r="CE99" s="1727">
        <f t="shared" si="3"/>
        <v>0</v>
      </c>
      <c r="CF99" s="1727">
        <f t="shared" si="3"/>
        <v>0</v>
      </c>
      <c r="CG99" s="1728">
        <f t="shared" si="3"/>
        <v>0</v>
      </c>
      <c r="CH99" s="1729"/>
      <c r="CI99" s="1730"/>
      <c r="CJ99" s="1731"/>
      <c r="CK99" s="1732">
        <f t="shared" ref="CK99:DA99" si="4">SUM(CK64:CK98)</f>
        <v>0</v>
      </c>
      <c r="CL99" s="1727">
        <f t="shared" si="4"/>
        <v>0</v>
      </c>
      <c r="CM99" s="1727">
        <f t="shared" si="4"/>
        <v>0</v>
      </c>
      <c r="CN99" s="1727">
        <f t="shared" si="4"/>
        <v>0</v>
      </c>
      <c r="CO99" s="1727">
        <f t="shared" si="4"/>
        <v>0</v>
      </c>
      <c r="CP99" s="1727">
        <f t="shared" si="4"/>
        <v>26</v>
      </c>
      <c r="CQ99" s="1727">
        <f t="shared" si="4"/>
        <v>0</v>
      </c>
      <c r="CR99" s="1727">
        <f t="shared" si="4"/>
        <v>0</v>
      </c>
      <c r="CS99" s="1727">
        <f t="shared" si="4"/>
        <v>0</v>
      </c>
      <c r="CT99" s="1727">
        <f t="shared" si="4"/>
        <v>0</v>
      </c>
      <c r="CU99" s="1727">
        <f t="shared" si="4"/>
        <v>0</v>
      </c>
      <c r="CV99" s="1727">
        <f t="shared" si="4"/>
        <v>0</v>
      </c>
      <c r="CW99" s="1727">
        <f t="shared" si="4"/>
        <v>0</v>
      </c>
      <c r="CX99" s="1727">
        <f t="shared" si="4"/>
        <v>0</v>
      </c>
      <c r="CY99" s="1727">
        <f t="shared" si="4"/>
        <v>0</v>
      </c>
      <c r="CZ99" s="1727">
        <f t="shared" si="4"/>
        <v>0</v>
      </c>
      <c r="DA99" s="1727">
        <f t="shared" si="4"/>
        <v>0</v>
      </c>
      <c r="DB99" s="1557"/>
      <c r="DC99" s="1557"/>
      <c r="DD99" s="1557"/>
      <c r="EJ99" s="185"/>
      <c r="EK99" s="185"/>
    </row>
    <row r="100" spans="2:141" ht="147" customHeight="1" thickBot="1" x14ac:dyDescent="0.45">
      <c r="B100" s="25"/>
      <c r="E100" s="114"/>
      <c r="F100" s="114"/>
      <c r="G100" s="114"/>
      <c r="H100" s="244"/>
      <c r="I100" s="244"/>
      <c r="J100" s="244"/>
      <c r="K100" s="244"/>
      <c r="L100" s="244"/>
      <c r="M100" s="244"/>
      <c r="N100" s="244"/>
      <c r="O100" s="244"/>
      <c r="P100" s="244"/>
      <c r="Q100" s="244"/>
      <c r="R100" s="244"/>
      <c r="S100" s="244"/>
      <c r="T100" s="244"/>
      <c r="V100" s="244"/>
      <c r="W100" s="244"/>
      <c r="X100" s="244"/>
      <c r="Y100" s="244"/>
      <c r="Z100" s="244"/>
      <c r="AA100" s="244"/>
      <c r="AF100" s="244"/>
      <c r="AG100" s="244"/>
      <c r="AH100" s="244"/>
      <c r="AI100" s="244"/>
      <c r="AJ100" s="244"/>
      <c r="AK100" s="244"/>
      <c r="AL100" s="244"/>
      <c r="AM100" s="244"/>
      <c r="AN100" s="244"/>
      <c r="AO100" s="244"/>
      <c r="AP100" s="244"/>
      <c r="AQ100" s="244"/>
      <c r="AR100" s="244"/>
      <c r="AS100" s="244"/>
      <c r="AT100" s="244"/>
      <c r="AU100" s="244"/>
      <c r="AV100" s="244"/>
      <c r="AW100" s="244"/>
      <c r="AX100" s="244"/>
      <c r="AY100" s="244"/>
      <c r="AZ100" s="244"/>
      <c r="BA100" s="244"/>
      <c r="BB100" s="7"/>
      <c r="BF100" s="27"/>
      <c r="BK100" s="27"/>
      <c r="BN100" s="1577"/>
      <c r="BO100" s="1699"/>
      <c r="BP100" s="1726"/>
      <c r="BQ100" s="1733"/>
      <c r="BR100" s="1733"/>
      <c r="BS100" s="1733"/>
      <c r="BT100" s="1733"/>
      <c r="BU100" s="1733"/>
      <c r="BV100" s="1733"/>
      <c r="BW100" s="1733"/>
      <c r="BX100" s="1733"/>
      <c r="BY100" s="1733"/>
      <c r="BZ100" s="1733"/>
      <c r="CA100" s="1733"/>
      <c r="CB100" s="1733"/>
      <c r="CC100" s="1733"/>
      <c r="CD100" s="1733"/>
      <c r="CE100" s="1733"/>
      <c r="CF100" s="1733"/>
      <c r="CG100" s="1733"/>
      <c r="CH100" s="1733"/>
      <c r="CI100" s="1733"/>
      <c r="CJ100" s="1733"/>
      <c r="CK100" s="1733"/>
      <c r="CL100" s="1733"/>
      <c r="CM100" s="1733"/>
      <c r="CN100" s="1733"/>
      <c r="CO100" s="1733"/>
      <c r="CP100" s="1733"/>
      <c r="CQ100" s="1733"/>
      <c r="CR100" s="1733"/>
      <c r="CS100" s="1733"/>
      <c r="CT100" s="1733"/>
      <c r="CU100" s="1733"/>
      <c r="CV100" s="1733"/>
      <c r="CW100" s="1733"/>
      <c r="CX100" s="1733"/>
      <c r="CY100" s="1733"/>
      <c r="CZ100" s="1733"/>
      <c r="DA100" s="1733"/>
      <c r="DB100" s="1557"/>
      <c r="DC100" s="1557"/>
      <c r="DD100" s="1557"/>
      <c r="EJ100" s="185"/>
      <c r="EK100" s="185"/>
    </row>
    <row r="101" spans="2:141" ht="50.25" customHeight="1" thickBot="1" x14ac:dyDescent="0.45">
      <c r="B101" s="25"/>
      <c r="D101" s="416" t="str">
        <f>IF(BL108&gt;0," ","change the angle of frame or of cabinets")</f>
        <v xml:space="preserve"> </v>
      </c>
      <c r="E101" s="114"/>
      <c r="F101" s="114"/>
      <c r="G101" s="114"/>
      <c r="H101" s="244"/>
      <c r="I101" s="244"/>
      <c r="J101" s="244"/>
      <c r="K101" s="244"/>
      <c r="L101" s="244"/>
      <c r="M101" s="244"/>
      <c r="N101" s="244"/>
      <c r="O101" s="244"/>
      <c r="P101" s="244"/>
      <c r="Q101" s="244"/>
      <c r="R101" s="244"/>
      <c r="S101" s="244"/>
      <c r="T101" s="244"/>
      <c r="V101" s="244"/>
      <c r="W101" s="244"/>
      <c r="X101" s="244"/>
      <c r="Y101" s="244"/>
      <c r="Z101" s="244"/>
      <c r="AA101" s="244"/>
      <c r="AF101" s="244"/>
      <c r="AG101" s="244"/>
      <c r="AH101" s="244"/>
      <c r="AI101" s="244"/>
      <c r="AJ101" s="244"/>
      <c r="AK101" s="244"/>
      <c r="AL101" s="244"/>
      <c r="AM101" s="244"/>
      <c r="AN101" s="244"/>
      <c r="AO101" s="244"/>
      <c r="AP101" s="244"/>
      <c r="AQ101" s="244"/>
      <c r="AR101" s="244"/>
      <c r="AS101" s="244"/>
      <c r="AT101" s="244"/>
      <c r="AU101" s="244"/>
      <c r="AV101" s="244"/>
      <c r="AW101" s="244"/>
      <c r="AX101" s="244"/>
      <c r="AY101" s="244"/>
      <c r="AZ101" s="244"/>
      <c r="BA101" s="244"/>
      <c r="BB101" s="7"/>
      <c r="BF101" s="27"/>
      <c r="BK101" s="27"/>
      <c r="BN101" s="1577"/>
      <c r="BO101" s="1699"/>
      <c r="BP101" s="1726"/>
      <c r="BQ101" s="1733"/>
      <c r="BR101" s="1733"/>
      <c r="BS101" s="1733"/>
      <c r="BT101" s="1733"/>
      <c r="BU101" s="1733"/>
      <c r="BV101" s="1733"/>
      <c r="BW101" s="1733"/>
      <c r="BX101" s="1733"/>
      <c r="BY101" s="1733"/>
      <c r="BZ101" s="1733"/>
      <c r="CA101" s="1733"/>
      <c r="CB101" s="1733"/>
      <c r="CC101" s="1733"/>
      <c r="CD101" s="1733"/>
      <c r="CE101" s="1733"/>
      <c r="CF101" s="1733"/>
      <c r="CG101" s="1733"/>
      <c r="CH101" s="1733"/>
      <c r="CI101" s="1733"/>
      <c r="CJ101" s="1733"/>
      <c r="CK101" s="1733"/>
      <c r="CL101" s="1733"/>
      <c r="CM101" s="1733"/>
      <c r="CN101" s="1733"/>
      <c r="CO101" s="1733"/>
      <c r="CP101" s="1733"/>
      <c r="CQ101" s="1733"/>
      <c r="CR101" s="1733"/>
      <c r="CS101" s="1733"/>
      <c r="CT101" s="1733"/>
      <c r="CU101" s="1733"/>
      <c r="CV101" s="1733"/>
      <c r="CW101" s="1733"/>
      <c r="CX101" s="1733"/>
      <c r="CY101" s="1733"/>
      <c r="CZ101" s="1733"/>
      <c r="DA101" s="1733"/>
      <c r="DB101" s="1557"/>
      <c r="DC101" s="1557"/>
      <c r="DD101" s="1557"/>
      <c r="EJ101" s="185"/>
      <c r="EK101" s="185"/>
    </row>
    <row r="102" spans="2:141" ht="47.25" customHeight="1" thickBot="1" x14ac:dyDescent="0.45">
      <c r="B102" s="2043" t="s">
        <v>226</v>
      </c>
      <c r="D102" s="416" t="str">
        <f>IF(DD108&lt;0," ","change the angle of frame or of cabinets")</f>
        <v xml:space="preserve"> </v>
      </c>
      <c r="E102" s="114"/>
      <c r="F102" s="114"/>
      <c r="G102" s="114"/>
      <c r="H102" s="244"/>
      <c r="I102" s="244"/>
      <c r="J102" s="244"/>
      <c r="K102" s="244"/>
      <c r="L102" s="244"/>
      <c r="M102" s="244"/>
      <c r="N102" s="244"/>
      <c r="O102" s="244"/>
      <c r="P102" s="244"/>
      <c r="Q102" s="244"/>
      <c r="R102" s="244"/>
      <c r="S102" s="244"/>
      <c r="T102" s="244"/>
      <c r="V102" s="313"/>
      <c r="W102" s="313"/>
      <c r="X102" s="313"/>
      <c r="Y102" s="313"/>
      <c r="Z102" s="313"/>
      <c r="AA102" s="313"/>
      <c r="AF102" s="266"/>
      <c r="AG102" s="266"/>
      <c r="AH102" s="266"/>
      <c r="AI102" s="266"/>
      <c r="AJ102" s="266"/>
      <c r="AK102" s="266"/>
      <c r="AL102" s="266"/>
      <c r="AM102" s="266"/>
      <c r="AN102" s="266"/>
      <c r="AO102" s="266"/>
      <c r="AP102" s="266"/>
      <c r="AQ102" s="266"/>
      <c r="AR102" s="266"/>
      <c r="AS102" s="266"/>
      <c r="AT102" s="266"/>
      <c r="AU102" s="266"/>
      <c r="AV102" s="266"/>
      <c r="AW102" s="266"/>
      <c r="AX102" s="266"/>
      <c r="AY102" s="266"/>
      <c r="AZ102" s="266"/>
      <c r="BA102" s="266"/>
      <c r="BB102" s="32"/>
      <c r="BF102" s="27"/>
      <c r="BH102" s="1550"/>
      <c r="BI102" s="1550"/>
      <c r="BJ102" s="1550"/>
      <c r="BK102" s="27"/>
      <c r="BN102" s="1577"/>
      <c r="BO102" s="1561" t="s">
        <v>227</v>
      </c>
      <c r="BP102" s="1734" t="s">
        <v>234</v>
      </c>
      <c r="BQ102" s="1735" t="str">
        <f>IF(BQ99=1,"17","")</f>
        <v/>
      </c>
      <c r="BR102" s="1736" t="str">
        <f>IF(BR99=2,"16","")</f>
        <v/>
      </c>
      <c r="BS102" s="1736" t="str">
        <f>IF(BS99=3,"15","")</f>
        <v/>
      </c>
      <c r="BT102" s="1736" t="str">
        <f>IF(BT99=4,"14","")</f>
        <v/>
      </c>
      <c r="BU102" s="1736" t="str">
        <f>IF(BU99=5,"13","")</f>
        <v/>
      </c>
      <c r="BV102" s="1736" t="str">
        <f>IF(BV99=6,"12","")</f>
        <v>12</v>
      </c>
      <c r="BW102" s="1736" t="str">
        <f>IF(BW99=7,"11","")</f>
        <v/>
      </c>
      <c r="BX102" s="1736" t="str">
        <f>IF(BX99=8,"10","")</f>
        <v/>
      </c>
      <c r="BY102" s="1736" t="str">
        <f>IF(BY99=9,"9","")</f>
        <v/>
      </c>
      <c r="BZ102" s="1736" t="str">
        <f>IF(BZ99=10,"8","")</f>
        <v/>
      </c>
      <c r="CA102" s="1736" t="str">
        <f>IF(CA99=11,"7","")</f>
        <v/>
      </c>
      <c r="CB102" s="1737" t="str">
        <f>IF(CB99=12,"6  ADS ","")</f>
        <v/>
      </c>
      <c r="CC102" s="1736" t="str">
        <f>IF(CC99=13,"5","")</f>
        <v/>
      </c>
      <c r="CD102" s="1736" t="str">
        <f>IF(CD99=14,"4","")</f>
        <v/>
      </c>
      <c r="CE102" s="1736" t="str">
        <f>IF(CE99=15,"3","")</f>
        <v/>
      </c>
      <c r="CF102" s="1736" t="str">
        <f>IF(CF99=16,"2","")</f>
        <v/>
      </c>
      <c r="CG102" s="1736" t="str">
        <f>IF(CG99=17,"1","")</f>
        <v/>
      </c>
      <c r="CH102" s="1738"/>
      <c r="CI102" s="1739"/>
      <c r="CJ102" s="1740"/>
      <c r="CK102" s="1741" t="str">
        <f>IF(CK99=21,"1 ","")</f>
        <v/>
      </c>
      <c r="CL102" s="1742" t="str">
        <f>IF(CL99=22,"2 ","")</f>
        <v/>
      </c>
      <c r="CM102" s="1742" t="str">
        <f>IF(CM99=23,"3 ","")</f>
        <v/>
      </c>
      <c r="CN102" s="1742" t="str">
        <f>IF(CN99=24,"4 ","")</f>
        <v/>
      </c>
      <c r="CO102" s="1742" t="str">
        <f>IF(CO99=25,"5 ","")</f>
        <v/>
      </c>
      <c r="CP102" s="1743" t="str">
        <f>IF(CP99=26,"6  ADS ","")</f>
        <v xml:space="preserve">6  ADS </v>
      </c>
      <c r="CQ102" s="1742" t="str">
        <f>IF(CQ99=27,"7 ","")</f>
        <v/>
      </c>
      <c r="CR102" s="1742" t="str">
        <f>IF(CR99=28,"8 ","")</f>
        <v/>
      </c>
      <c r="CS102" s="1742" t="str">
        <f>IF(CS99=29,"9 ","")</f>
        <v/>
      </c>
      <c r="CT102" s="1742" t="str">
        <f>IF(CT99=30,"10 ","")</f>
        <v/>
      </c>
      <c r="CU102" s="1742" t="str">
        <f>IF(CU99=31,"11 ","")</f>
        <v/>
      </c>
      <c r="CV102" s="1742" t="str">
        <f>IF(CV99=32,"12 ","")</f>
        <v/>
      </c>
      <c r="CW102" s="1742" t="str">
        <f>IF(CW99=33,"13 ","")</f>
        <v/>
      </c>
      <c r="CX102" s="1742" t="str">
        <f>IF(CX99=34,"14 ","")</f>
        <v/>
      </c>
      <c r="CY102" s="1742" t="str">
        <f>IF(CY99=35,"15 ","")</f>
        <v/>
      </c>
      <c r="CZ102" s="1742" t="str">
        <f>IF(CZ99=36,"16 ","")</f>
        <v/>
      </c>
      <c r="DA102" s="1744" t="str">
        <f>IF(DA99=37,"17 ","")</f>
        <v/>
      </c>
      <c r="DB102" s="1745"/>
      <c r="DC102" s="1557"/>
      <c r="DD102" s="1557"/>
      <c r="EJ102" s="185"/>
      <c r="EK102" s="185"/>
    </row>
    <row r="103" spans="2:141" ht="47.25" customHeight="1" thickBot="1" x14ac:dyDescent="0.5">
      <c r="B103" s="2044"/>
      <c r="C103" s="749"/>
      <c r="D103" s="1775" t="str">
        <f>IF(BL108&gt;(+COS(($B$104*-1)*3.14159265358979/180)*451.5)," ","USE EXBAR AR AT THE FRONT")</f>
        <v xml:space="preserve"> </v>
      </c>
      <c r="E103" s="114"/>
      <c r="F103" s="114"/>
      <c r="G103" s="114"/>
      <c r="H103" s="244"/>
      <c r="I103" s="244"/>
      <c r="J103" s="244"/>
      <c r="K103" s="244"/>
      <c r="L103" s="244"/>
      <c r="M103" s="244"/>
      <c r="N103" s="244"/>
      <c r="O103" s="244"/>
      <c r="P103" s="244"/>
      <c r="Q103" s="244"/>
      <c r="R103" s="244"/>
      <c r="S103" s="244"/>
      <c r="T103" s="244"/>
      <c r="AF103" s="244"/>
      <c r="AG103" s="244"/>
      <c r="AH103" s="244"/>
      <c r="AI103" s="244"/>
      <c r="AJ103" s="244"/>
      <c r="AK103" s="244"/>
      <c r="AL103" s="244"/>
      <c r="AM103" s="244"/>
      <c r="AN103" s="244"/>
      <c r="AO103" s="244"/>
      <c r="AP103" s="244"/>
      <c r="AQ103" s="244"/>
      <c r="AR103" s="244"/>
      <c r="AS103" s="244"/>
      <c r="AT103" s="244"/>
      <c r="AU103" s="244"/>
      <c r="AV103" s="244"/>
      <c r="AW103" s="244"/>
      <c r="AX103" s="244"/>
      <c r="AY103" s="244"/>
      <c r="AZ103" s="244"/>
      <c r="BA103" s="244"/>
      <c r="BB103" s="7"/>
      <c r="BF103" s="27"/>
      <c r="BH103" s="1550"/>
      <c r="BI103" s="1550"/>
      <c r="BJ103" s="1550"/>
      <c r="BK103" s="27"/>
      <c r="BM103" s="1550" t="b">
        <f>AND(BO103&gt;=10,$AZ$110&gt;=10,$BA$110&gt;=10)</f>
        <v>1</v>
      </c>
      <c r="BN103" s="1570" t="str">
        <f>IF(BM103=TRUE,"O K","OVERLOAD")</f>
        <v>O K</v>
      </c>
      <c r="BO103" s="1571">
        <f>+$D$20/(BQ25/2)</f>
        <v>82.474226804123717</v>
      </c>
      <c r="BP103" s="1667" t="s">
        <v>233</v>
      </c>
      <c r="BQ103" s="1668">
        <v>-10</v>
      </c>
      <c r="BR103" s="1668">
        <v>-9</v>
      </c>
      <c r="BS103" s="1668">
        <v>-8</v>
      </c>
      <c r="BT103" s="1668">
        <v>-7</v>
      </c>
      <c r="BU103" s="1668">
        <v>-6</v>
      </c>
      <c r="BV103" s="1668">
        <v>-5</v>
      </c>
      <c r="BW103" s="1668">
        <v>-4</v>
      </c>
      <c r="BX103" s="1668">
        <v>-3</v>
      </c>
      <c r="BY103" s="1668">
        <v>-2</v>
      </c>
      <c r="BZ103" s="1668">
        <v>-1</v>
      </c>
      <c r="CA103" s="1668">
        <v>0</v>
      </c>
      <c r="CB103" s="1668">
        <v>1</v>
      </c>
      <c r="CC103" s="1668">
        <v>2</v>
      </c>
      <c r="CD103" s="1668">
        <v>3</v>
      </c>
      <c r="CE103" s="1668">
        <v>4</v>
      </c>
      <c r="CF103" s="1668">
        <v>5</v>
      </c>
      <c r="CG103" s="1668">
        <v>6</v>
      </c>
      <c r="CH103" s="1668">
        <v>7</v>
      </c>
      <c r="CI103" s="1668">
        <v>8</v>
      </c>
      <c r="CJ103" s="1668">
        <v>9</v>
      </c>
      <c r="CK103" s="1668">
        <v>10</v>
      </c>
      <c r="CL103" s="1668">
        <v>11</v>
      </c>
      <c r="CM103" s="1668">
        <v>12</v>
      </c>
      <c r="CN103" s="1668">
        <v>13</v>
      </c>
      <c r="CO103" s="1668">
        <v>14</v>
      </c>
      <c r="CP103" s="1668">
        <v>15</v>
      </c>
      <c r="CQ103" s="1668">
        <v>16</v>
      </c>
      <c r="CR103" s="1668">
        <v>17</v>
      </c>
      <c r="CS103" s="1668">
        <v>18</v>
      </c>
      <c r="CT103" s="1668">
        <v>19</v>
      </c>
      <c r="CU103" s="1668">
        <v>20</v>
      </c>
      <c r="CV103" s="1668">
        <v>21</v>
      </c>
      <c r="CW103" s="1668">
        <v>22</v>
      </c>
      <c r="CX103" s="1668">
        <v>23</v>
      </c>
      <c r="CY103" s="1668">
        <v>24</v>
      </c>
      <c r="CZ103" s="1668">
        <v>25</v>
      </c>
      <c r="DA103" s="1670">
        <v>26</v>
      </c>
      <c r="DB103" s="1557"/>
      <c r="DC103" s="1557"/>
      <c r="DD103" s="1557"/>
      <c r="EJ103" s="185"/>
      <c r="EK103" s="185"/>
    </row>
    <row r="104" spans="2:141" ht="47.25" customHeight="1" thickBot="1" x14ac:dyDescent="0.45">
      <c r="B104" s="741">
        <v>0</v>
      </c>
      <c r="C104" s="749"/>
      <c r="D104" s="1776" t="str">
        <f>IF(DD108&lt;-(+COS(($B$104*-1)*3.14159265358979/180)*365.5)," ","USE EXBAR AR AT THE BACK")</f>
        <v xml:space="preserve"> </v>
      </c>
      <c r="E104" s="114"/>
      <c r="F104" s="114"/>
      <c r="G104" s="114"/>
      <c r="AF104" s="244"/>
      <c r="AG104" s="244"/>
      <c r="AH104" s="244"/>
      <c r="AI104" s="244"/>
      <c r="AJ104" s="244"/>
      <c r="AK104" s="244"/>
      <c r="AL104" s="244"/>
      <c r="AM104" s="244"/>
      <c r="AN104" s="244"/>
      <c r="AO104" s="244"/>
      <c r="AP104" s="244"/>
      <c r="AQ104" s="244"/>
      <c r="AR104" s="244"/>
      <c r="AS104" s="244"/>
      <c r="AT104" s="244"/>
      <c r="AU104" s="244"/>
      <c r="AV104" s="244"/>
      <c r="AW104" s="244"/>
      <c r="AX104" s="244"/>
      <c r="AY104" s="244"/>
      <c r="AZ104" s="244"/>
      <c r="BA104" s="244"/>
      <c r="BB104" s="7"/>
      <c r="BF104" s="27"/>
      <c r="BH104" s="1550"/>
      <c r="BI104" s="1550"/>
      <c r="BJ104" s="1550"/>
      <c r="BK104" s="27"/>
      <c r="BL104" s="1623"/>
      <c r="BM104" s="1623"/>
      <c r="BN104" s="1623"/>
      <c r="BO104" s="1623"/>
      <c r="BP104" s="1557"/>
      <c r="BQ104" s="1671"/>
      <c r="BR104" s="1671"/>
      <c r="BS104" s="1671"/>
      <c r="BT104" s="1671"/>
      <c r="BU104" s="1671"/>
      <c r="BV104" s="1671"/>
      <c r="BW104" s="1671"/>
      <c r="BX104" s="1671"/>
      <c r="BY104" s="1671"/>
      <c r="BZ104" s="1671"/>
      <c r="CA104" s="1671"/>
      <c r="CB104" s="1746"/>
      <c r="CC104" s="1671"/>
      <c r="CD104" s="1671"/>
      <c r="CE104" s="1671"/>
      <c r="CF104" s="1671"/>
      <c r="CG104" s="1671"/>
      <c r="CH104" s="1671"/>
      <c r="CI104" s="1671"/>
      <c r="CJ104" s="1671"/>
      <c r="CK104" s="1671"/>
      <c r="CL104" s="1671"/>
      <c r="CM104" s="1671"/>
      <c r="CN104" s="1671"/>
      <c r="CO104" s="1671"/>
      <c r="CP104" s="1671"/>
      <c r="CQ104" s="1671"/>
      <c r="CR104" s="1671"/>
      <c r="CS104" s="1671"/>
      <c r="CT104" s="1671"/>
      <c r="CU104" s="1671"/>
      <c r="CV104" s="1671"/>
      <c r="CW104" s="1671"/>
      <c r="CX104" s="1671"/>
      <c r="CY104" s="1671"/>
      <c r="CZ104" s="1671"/>
      <c r="DA104" s="1671"/>
      <c r="DB104" s="1671"/>
      <c r="EJ104" s="185"/>
      <c r="EK104" s="185"/>
    </row>
    <row r="105" spans="2:141" ht="21.6" thickBot="1" x14ac:dyDescent="0.45">
      <c r="AF105" s="244"/>
      <c r="AG105" s="244"/>
      <c r="AH105" s="244"/>
      <c r="AI105" s="244"/>
      <c r="AJ105" s="244"/>
      <c r="AK105" s="244"/>
      <c r="AL105" s="244"/>
      <c r="AM105" s="244"/>
      <c r="AN105" s="244"/>
      <c r="AO105" s="244"/>
      <c r="AP105" s="244"/>
      <c r="AQ105" s="244"/>
      <c r="AR105" s="244"/>
      <c r="AS105" s="244"/>
      <c r="AT105" s="244"/>
      <c r="AU105" s="244"/>
      <c r="AV105" s="244"/>
      <c r="AW105" s="244"/>
      <c r="AX105" s="244"/>
      <c r="AY105" s="244"/>
      <c r="AZ105" s="244"/>
      <c r="BA105" s="244"/>
      <c r="BB105" s="7"/>
      <c r="BF105" s="27"/>
      <c r="BH105" s="1550"/>
      <c r="BI105" s="1550"/>
      <c r="BJ105" s="1550"/>
      <c r="BK105" s="27"/>
      <c r="BL105" s="1623"/>
      <c r="BM105" s="1623"/>
      <c r="BN105" s="1623"/>
      <c r="BO105" s="1623"/>
      <c r="BP105" s="1554"/>
      <c r="BQ105" s="1554"/>
      <c r="BR105" s="1554"/>
      <c r="BS105" s="1554"/>
      <c r="BT105" s="1554"/>
      <c r="BU105" s="1554"/>
      <c r="BV105" s="1747"/>
      <c r="BW105" s="1747"/>
      <c r="BX105" s="1747"/>
      <c r="BY105" s="1747"/>
      <c r="BZ105" s="1747"/>
      <c r="CA105" s="1747"/>
      <c r="CB105" s="1747"/>
      <c r="CC105" s="1747"/>
      <c r="CD105" s="1747"/>
      <c r="CE105" s="1747"/>
      <c r="CF105" s="1747"/>
      <c r="CG105" s="1747"/>
      <c r="CH105" s="1747"/>
      <c r="CI105" s="1747"/>
      <c r="CJ105" s="1556"/>
      <c r="CK105" s="1557"/>
      <c r="CL105" s="1557"/>
      <c r="CM105" s="1557"/>
      <c r="CN105" s="1557"/>
      <c r="CO105" s="1557"/>
      <c r="CP105" s="1557"/>
      <c r="CQ105" s="1557"/>
      <c r="CR105" s="1557"/>
      <c r="CS105" s="1557"/>
      <c r="CT105" s="1557"/>
      <c r="CU105" s="1557"/>
      <c r="CV105" s="1557"/>
      <c r="CW105" s="1557"/>
      <c r="CX105" s="1557"/>
      <c r="CY105" s="1557"/>
      <c r="CZ105" s="1557"/>
      <c r="DA105" s="1557"/>
      <c r="DB105" s="1557"/>
      <c r="DC105" s="1557"/>
      <c r="DD105" s="1557"/>
      <c r="EJ105" s="185"/>
      <c r="EK105" s="185"/>
    </row>
    <row r="106" spans="2:141" ht="63.75" customHeight="1" thickTop="1" thickBot="1" x14ac:dyDescent="0.4">
      <c r="B106" s="702" t="s">
        <v>253</v>
      </c>
      <c r="C106" s="136"/>
      <c r="D106" s="19"/>
      <c r="E106" s="19"/>
      <c r="F106" s="19"/>
      <c r="G106" s="19"/>
      <c r="T106" s="245"/>
      <c r="U106" s="244"/>
      <c r="V106" s="244"/>
      <c r="W106" s="244"/>
      <c r="X106" s="244"/>
      <c r="Y106" s="244"/>
      <c r="Z106" s="244"/>
      <c r="AA106" s="244"/>
      <c r="AB106" s="244"/>
      <c r="AC106" s="244"/>
      <c r="AD106" s="244"/>
      <c r="AE106" s="244"/>
      <c r="AF106" s="244"/>
      <c r="AG106" s="244"/>
      <c r="AH106" s="244"/>
      <c r="AI106" s="244"/>
      <c r="AJ106" s="244"/>
      <c r="AK106" s="244"/>
      <c r="AL106" s="244"/>
      <c r="AM106" s="244"/>
      <c r="AN106" s="244"/>
      <c r="AO106" s="244"/>
      <c r="AP106" s="244"/>
      <c r="AQ106" s="244"/>
      <c r="AR106" s="244"/>
      <c r="AS106" s="244"/>
      <c r="AT106" s="244"/>
      <c r="AU106" s="244"/>
      <c r="AV106" s="244"/>
      <c r="AW106" s="244"/>
      <c r="AX106" s="244"/>
      <c r="AY106" s="244"/>
      <c r="AZ106" s="244"/>
      <c r="BA106" s="244"/>
      <c r="BB106" s="7"/>
      <c r="BC106" s="7"/>
      <c r="BH106" s="1550"/>
      <c r="BI106" s="1550"/>
      <c r="BJ106" s="1550"/>
      <c r="BK106" s="27"/>
      <c r="BL106" s="1623"/>
      <c r="BM106" s="1623"/>
      <c r="BN106" s="1623"/>
      <c r="BO106" s="1623"/>
      <c r="BP106" s="1748"/>
      <c r="BQ106" s="1748"/>
      <c r="BR106" s="1748"/>
      <c r="BS106" s="1748"/>
      <c r="BT106" s="1748"/>
      <c r="BU106" s="1748"/>
      <c r="BV106" s="1749"/>
      <c r="BW106" s="1749"/>
      <c r="BX106" s="1749"/>
      <c r="BY106" s="1749"/>
      <c r="BZ106" s="1749"/>
      <c r="CA106" s="1749"/>
      <c r="CB106" s="1749"/>
      <c r="CC106" s="1749"/>
      <c r="CD106" s="1749"/>
      <c r="CE106" s="1749"/>
      <c r="CF106" s="1749"/>
      <c r="CG106" s="1749"/>
      <c r="CH106" s="1749"/>
      <c r="CI106" s="1749"/>
      <c r="CJ106" s="1750"/>
      <c r="EJ106" s="185"/>
      <c r="EK106" s="185"/>
    </row>
    <row r="107" spans="2:141" ht="27" thickTop="1" thickBot="1" x14ac:dyDescent="0.45">
      <c r="B107" s="742">
        <v>1</v>
      </c>
      <c r="C107" s="671"/>
      <c r="D107" s="706" t="s">
        <v>255</v>
      </c>
      <c r="E107" s="445"/>
      <c r="F107" s="445"/>
      <c r="G107" s="445"/>
      <c r="H107" s="1498" t="s">
        <v>172</v>
      </c>
      <c r="I107" s="1498" t="s">
        <v>173</v>
      </c>
      <c r="J107" s="1498" t="s">
        <v>174</v>
      </c>
      <c r="K107"/>
      <c r="L107"/>
      <c r="M107"/>
      <c r="N107"/>
      <c r="O107"/>
      <c r="P107" s="1498" t="s">
        <v>175</v>
      </c>
      <c r="Q107" s="1498" t="s">
        <v>176</v>
      </c>
      <c r="R107" s="445"/>
      <c r="S107" s="1498" t="s">
        <v>177</v>
      </c>
      <c r="T107" s="307"/>
      <c r="W107" s="2047" t="s">
        <v>178</v>
      </c>
      <c r="X107" s="2047"/>
      <c r="Y107" s="2047"/>
      <c r="Z107" s="2047"/>
      <c r="AA107" s="2047"/>
      <c r="AF107" s="244"/>
      <c r="AG107" s="244"/>
      <c r="AH107" s="244"/>
      <c r="AI107" s="244"/>
      <c r="AJ107" s="244"/>
      <c r="AK107" s="244"/>
      <c r="AL107" s="244"/>
      <c r="AM107" s="244"/>
      <c r="AN107" s="244"/>
      <c r="AO107" s="244"/>
      <c r="AP107" s="244"/>
      <c r="AQ107" s="244"/>
      <c r="AR107" s="244"/>
      <c r="AS107" s="244"/>
      <c r="AT107" s="244"/>
      <c r="AU107" s="244"/>
      <c r="AV107" s="244"/>
      <c r="AW107" s="244"/>
      <c r="AX107" s="244"/>
      <c r="AY107" s="272"/>
      <c r="AZ107" s="2045" t="s">
        <v>68</v>
      </c>
      <c r="BA107" s="2046"/>
      <c r="BB107" s="7"/>
      <c r="BC107" s="7"/>
      <c r="BF107" s="27"/>
      <c r="BH107" s="1550"/>
      <c r="BI107" s="1550"/>
      <c r="BJ107" s="1550"/>
      <c r="BK107" s="27"/>
      <c r="BL107" s="1751" t="s">
        <v>95</v>
      </c>
      <c r="BM107" s="1623"/>
      <c r="BN107" s="1752"/>
      <c r="BO107" s="1623"/>
      <c r="BP107" s="1552"/>
      <c r="BS107" s="1748"/>
      <c r="BT107" s="1748"/>
      <c r="BU107" s="1748"/>
      <c r="BV107" s="1749"/>
      <c r="BW107" s="1749"/>
      <c r="BX107" s="1749"/>
      <c r="BY107" s="1749"/>
      <c r="BZ107" s="1749"/>
      <c r="CA107" s="1749"/>
      <c r="CB107" s="1749"/>
      <c r="CC107" s="1749"/>
      <c r="CD107" s="1749"/>
      <c r="CE107" s="1749"/>
      <c r="CF107" s="1749"/>
      <c r="CG107" s="1749"/>
      <c r="CH107" s="1749"/>
      <c r="CI107" s="1749"/>
      <c r="CJ107" s="1750"/>
      <c r="CR107" s="1552"/>
      <c r="DD107" s="1751" t="s">
        <v>94</v>
      </c>
      <c r="EJ107" s="185"/>
      <c r="EK107" s="185"/>
    </row>
    <row r="108" spans="2:141" ht="36.6" hidden="1" thickTop="1" thickBot="1" x14ac:dyDescent="0.4">
      <c r="B108" s="358"/>
      <c r="C108" s="76"/>
      <c r="D108" s="705" t="s">
        <v>13</v>
      </c>
      <c r="E108" s="15"/>
      <c r="F108" s="15"/>
      <c r="G108" s="15"/>
      <c r="H108" s="309" t="s">
        <v>4</v>
      </c>
      <c r="I108" s="309" t="s">
        <v>1</v>
      </c>
      <c r="J108" s="334" t="s">
        <v>119</v>
      </c>
      <c r="K108" s="305" t="s">
        <v>2</v>
      </c>
      <c r="L108" s="305" t="s">
        <v>3</v>
      </c>
      <c r="M108" s="305" t="s">
        <v>8</v>
      </c>
      <c r="N108" s="305" t="s">
        <v>5</v>
      </c>
      <c r="O108" s="305" t="s">
        <v>6</v>
      </c>
      <c r="P108" s="305" t="s">
        <v>7</v>
      </c>
      <c r="Q108" s="305" t="s">
        <v>9</v>
      </c>
      <c r="R108" s="309" t="s">
        <v>10</v>
      </c>
      <c r="S108" s="305" t="s">
        <v>11</v>
      </c>
      <c r="T108" s="306" t="s">
        <v>12</v>
      </c>
      <c r="W108" s="1022" t="s">
        <v>216</v>
      </c>
      <c r="X108" s="447" t="s">
        <v>179</v>
      </c>
      <c r="Y108" s="1022" t="s">
        <v>215</v>
      </c>
      <c r="Z108" s="448" t="s">
        <v>180</v>
      </c>
      <c r="AA108" s="448" t="s">
        <v>181</v>
      </c>
      <c r="AC108" s="305" t="s">
        <v>184</v>
      </c>
      <c r="AD108" s="305"/>
      <c r="AE108" s="305"/>
      <c r="AF108" s="273"/>
      <c r="AG108" s="273"/>
      <c r="AH108" s="273"/>
      <c r="AI108" s="273" t="s">
        <v>245</v>
      </c>
      <c r="AJ108" s="273"/>
      <c r="AK108" s="273" t="s">
        <v>245</v>
      </c>
      <c r="AL108" s="273" t="s">
        <v>245</v>
      </c>
      <c r="AM108" s="273"/>
      <c r="AN108" s="273" t="s">
        <v>245</v>
      </c>
      <c r="AO108" s="273" t="s">
        <v>220</v>
      </c>
      <c r="AP108" s="273" t="s">
        <v>245</v>
      </c>
      <c r="AQ108" s="273" t="s">
        <v>220</v>
      </c>
      <c r="AR108" s="273"/>
      <c r="AS108" s="273"/>
      <c r="AT108" s="273" t="s">
        <v>220</v>
      </c>
      <c r="AU108" s="273"/>
      <c r="AV108" s="273"/>
      <c r="AW108" s="273"/>
      <c r="AX108" s="272"/>
      <c r="AY108" s="272"/>
      <c r="AZ108" s="273"/>
      <c r="BA108" s="273"/>
      <c r="BB108" s="6"/>
      <c r="BH108" s="1550"/>
      <c r="BI108" s="1550"/>
      <c r="BJ108" s="1550"/>
      <c r="BK108" s="27"/>
      <c r="BL108" s="1751">
        <f>-+BN165</f>
        <v>643.69406462380334</v>
      </c>
      <c r="BM108" s="1623"/>
      <c r="BN108" s="1752"/>
      <c r="BO108" s="1623"/>
      <c r="BP108" s="1552"/>
      <c r="BS108" s="1748"/>
      <c r="BT108" s="1748"/>
      <c r="BU108" s="1748"/>
      <c r="BV108" s="1749"/>
      <c r="BW108" s="1749"/>
      <c r="BX108" s="1749"/>
      <c r="BY108" s="1749"/>
      <c r="BZ108" s="1749"/>
      <c r="CA108" s="1749"/>
      <c r="CB108" s="1749"/>
      <c r="CC108" s="1749"/>
      <c r="CD108" s="1749"/>
      <c r="CE108" s="1749"/>
      <c r="CF108" s="1749"/>
      <c r="CG108" s="1749"/>
      <c r="CH108" s="1749"/>
      <c r="CI108" s="1749"/>
      <c r="CJ108" s="1750"/>
      <c r="CP108" s="1753"/>
      <c r="CR108" s="1552"/>
      <c r="DD108" s="1751">
        <f>+-BN201</f>
        <v>-904.30593537619666</v>
      </c>
      <c r="EJ108" s="185"/>
      <c r="EK108" s="185"/>
    </row>
    <row r="109" spans="2:141" ht="44.25" customHeight="1" thickTop="1" thickBot="1" x14ac:dyDescent="0.45">
      <c r="B109" s="90"/>
      <c r="C109" s="139"/>
      <c r="D109" s="670" t="s">
        <v>24</v>
      </c>
      <c r="E109" s="445"/>
      <c r="F109" s="445"/>
      <c r="G109" s="50"/>
      <c r="H109" s="309"/>
      <c r="I109" s="309"/>
      <c r="J109" s="334"/>
      <c r="K109" s="305"/>
      <c r="L109" s="305"/>
      <c r="M109" s="305"/>
      <c r="N109" s="305"/>
      <c r="O109" s="305"/>
      <c r="P109" s="305"/>
      <c r="Q109" s="305"/>
      <c r="R109" s="309"/>
      <c r="S109" s="305"/>
      <c r="T109" s="306"/>
      <c r="U109" s="265"/>
      <c r="V109" s="273"/>
      <c r="W109" s="273"/>
      <c r="X109" s="273"/>
      <c r="Y109" s="273"/>
      <c r="Z109" s="273"/>
      <c r="AA109" s="273"/>
      <c r="AB109" s="273"/>
      <c r="AC109" s="452">
        <f>SUM(AC110:AC121)</f>
        <v>334.49993130661176</v>
      </c>
      <c r="AD109" s="453"/>
      <c r="AE109" s="453"/>
      <c r="AF109" s="273" t="s">
        <v>51</v>
      </c>
      <c r="AG109" s="274" t="s">
        <v>44</v>
      </c>
      <c r="AH109" s="274"/>
      <c r="AI109" s="1062" t="s">
        <v>211</v>
      </c>
      <c r="AJ109" s="275" t="s">
        <v>45</v>
      </c>
      <c r="AK109" s="310" t="s">
        <v>46</v>
      </c>
      <c r="AL109" s="1059" t="s">
        <v>210</v>
      </c>
      <c r="AM109" s="276" t="s">
        <v>47</v>
      </c>
      <c r="AN109" s="310" t="s">
        <v>48</v>
      </c>
      <c r="AO109" s="277" t="s">
        <v>61</v>
      </c>
      <c r="AP109" s="310" t="s">
        <v>246</v>
      </c>
      <c r="AQ109" s="277" t="s">
        <v>62</v>
      </c>
      <c r="AR109" s="278" t="s">
        <v>59</v>
      </c>
      <c r="AS109" s="278" t="s">
        <v>52</v>
      </c>
      <c r="AT109" s="277" t="s">
        <v>64</v>
      </c>
      <c r="AU109" s="278" t="s">
        <v>63</v>
      </c>
      <c r="AV109" s="279" t="s">
        <v>54</v>
      </c>
      <c r="AW109" s="279" t="s">
        <v>55</v>
      </c>
      <c r="AX109" s="280" t="s">
        <v>25</v>
      </c>
      <c r="AY109" s="280" t="s">
        <v>26</v>
      </c>
      <c r="AZ109" s="281" t="s">
        <v>25</v>
      </c>
      <c r="BA109" s="281" t="s">
        <v>26</v>
      </c>
      <c r="BB109" s="7"/>
      <c r="BC109" s="12"/>
      <c r="BH109" s="1550"/>
      <c r="BI109" s="1550"/>
      <c r="BJ109" s="1550"/>
      <c r="BK109" s="27"/>
      <c r="EJ109" s="185"/>
      <c r="EK109" s="185"/>
    </row>
    <row r="110" spans="2:141" ht="21" thickBot="1" x14ac:dyDescent="0.4">
      <c r="B110" s="87">
        <v>1</v>
      </c>
      <c r="C110" s="668">
        <f>+(B104*-1)+D110</f>
        <v>0</v>
      </c>
      <c r="D110" s="738">
        <v>0</v>
      </c>
      <c r="E110" s="703" t="s">
        <v>126</v>
      </c>
      <c r="F110" s="117"/>
      <c r="G110" s="117"/>
      <c r="H110" s="1498">
        <v>414.62658399999998</v>
      </c>
      <c r="I110" s="1498">
        <v>36.220413100000002</v>
      </c>
      <c r="J110" s="1498">
        <f>+I110-C110</f>
        <v>36.220413100000002</v>
      </c>
      <c r="K110" s="117"/>
      <c r="L110" s="117"/>
      <c r="M110" s="117"/>
      <c r="N110" s="117"/>
      <c r="O110" s="117"/>
      <c r="P110" s="1498">
        <f>COS(J110*3.14159265358979/180)</f>
        <v>0.80674984242354264</v>
      </c>
      <c r="Q110" s="1498">
        <f>+P110*H110</f>
        <v>334.49993130661176</v>
      </c>
      <c r="R110" s="446">
        <v>334.5</v>
      </c>
      <c r="S110" s="1498">
        <f>+Q110</f>
        <v>334.49993130661176</v>
      </c>
      <c r="T110" s="117">
        <f t="shared" ref="T110:T121" si="5">+S110</f>
        <v>334.49993130661176</v>
      </c>
      <c r="U110" s="117"/>
      <c r="V110" s="117">
        <f>IF(B110&lt;($B$107+1),T110,0)</f>
        <v>334.49993130661176</v>
      </c>
      <c r="W110" s="1246">
        <v>36.220415500000001</v>
      </c>
      <c r="X110" s="117">
        <f>+W110+AH122</f>
        <v>36.220415500000001</v>
      </c>
      <c r="Y110" s="1246">
        <v>414.6266</v>
      </c>
      <c r="Z110" s="449">
        <f>+COS(X110*3.14159265358979/180)*Y110</f>
        <v>334.49993395207258</v>
      </c>
      <c r="AA110" s="450">
        <f>+AC109-Z110</f>
        <v>-2.6454608246240241E-6</v>
      </c>
      <c r="AB110" s="117"/>
      <c r="AC110" s="454">
        <f>IF(AD110=1,AF110)</f>
        <v>334.49993130661176</v>
      </c>
      <c r="AD110" s="454">
        <f>MAX(AE$110:AE$121)</f>
        <v>1</v>
      </c>
      <c r="AE110" s="454">
        <f>IF(V110=0,0,1)</f>
        <v>1</v>
      </c>
      <c r="AF110" s="282">
        <f>SUM(V110:V121)/($B$107)</f>
        <v>334.49993130661176</v>
      </c>
      <c r="AG110" s="283">
        <f>+D110+C110</f>
        <v>0</v>
      </c>
      <c r="AH110" s="411">
        <f>IF(B110&lt;($B$107+1),AG110)</f>
        <v>0</v>
      </c>
      <c r="AI110" s="1238">
        <f>53.779595+AH110</f>
        <v>53.779595</v>
      </c>
      <c r="AJ110" s="284">
        <f>SIN(AI110*3.14159265358979/180)</f>
        <v>0.8067499259590819</v>
      </c>
      <c r="AK110" s="1238">
        <f>+AJ110*414.6266</f>
        <v>334.49997885066585</v>
      </c>
      <c r="AL110" s="1238">
        <f>59.2910885-AH110</f>
        <v>59.291088500000001</v>
      </c>
      <c r="AM110" s="285">
        <f>SIN(AL110*3.14159265358979/180)</f>
        <v>0.85977285389573432</v>
      </c>
      <c r="AN110" s="1238">
        <f>+AM110*479.7721</f>
        <v>412.49502763654965</v>
      </c>
      <c r="AO110" s="287">
        <f>+((AF110*AP110)+($AP$131*($AF$131+$AA$110)))/AQ110</f>
        <v>218.19407832640624</v>
      </c>
      <c r="AP110" s="312">
        <f>72*B107</f>
        <v>72</v>
      </c>
      <c r="AQ110" s="287">
        <f>+AP110+$AP$131+30</f>
        <v>127.5</v>
      </c>
      <c r="AR110" s="288">
        <f>+AN110+AK110</f>
        <v>746.99500648721551</v>
      </c>
      <c r="AS110" s="289">
        <f>+V110-AN110</f>
        <v>-77.995096329937894</v>
      </c>
      <c r="AT110" s="290">
        <f>+AO110-AS110</f>
        <v>296.18917465634411</v>
      </c>
      <c r="AU110" s="289">
        <f>+AF110-AS110</f>
        <v>412.49502763654965</v>
      </c>
      <c r="AV110" s="291">
        <f>+((AR110-AT110)/AR110)*AQ110</f>
        <v>76.945284853681031</v>
      </c>
      <c r="AW110" s="291">
        <f>+(AT110/AR110)*AQ110</f>
        <v>50.554715146318969</v>
      </c>
      <c r="AX110" s="292">
        <f t="shared" ref="AX110:AX121" si="6">2*$C$19/AV110</f>
        <v>150.7564761383174</v>
      </c>
      <c r="AY110" s="292">
        <f t="shared" ref="AY110:AY121" si="7">2*$D$19/AW110</f>
        <v>229.45436378044013</v>
      </c>
      <c r="AZ110" s="293">
        <f>ABS(AX110)</f>
        <v>150.7564761383174</v>
      </c>
      <c r="BA110" s="293">
        <f>ABS(AY110)</f>
        <v>229.45436378044013</v>
      </c>
      <c r="BB110" s="2"/>
      <c r="BC110" s="12"/>
      <c r="BH110" s="1550"/>
      <c r="BI110" s="1550"/>
      <c r="BJ110" s="1550"/>
      <c r="BK110" s="27"/>
      <c r="EJ110" s="185"/>
      <c r="EK110" s="185"/>
    </row>
    <row r="111" spans="2:141" ht="21" customHeight="1" thickBot="1" x14ac:dyDescent="0.4">
      <c r="B111" s="88">
        <v>2</v>
      </c>
      <c r="C111" s="20"/>
      <c r="D111" s="738">
        <v>0</v>
      </c>
      <c r="E111" s="333" t="s">
        <v>126</v>
      </c>
      <c r="F111" s="81"/>
      <c r="G111" s="81"/>
      <c r="H111" s="81">
        <v>479.77208100000001</v>
      </c>
      <c r="I111" s="81">
        <v>61.416098300000002</v>
      </c>
      <c r="J111" s="81">
        <f>+I111+D111</f>
        <v>61.416098300000002</v>
      </c>
      <c r="K111" s="81">
        <f t="shared" ref="K111:K121" si="8">+J111/2</f>
        <v>30.708049150000001</v>
      </c>
      <c r="L111" s="81">
        <f t="shared" ref="L111:L121" si="9">SIN(K111*3.14159265358979/180)</f>
        <v>0.51066370850547771</v>
      </c>
      <c r="M111" s="81">
        <f t="shared" ref="M111:M121" si="10">+L111*H111</f>
        <v>245.00219012085046</v>
      </c>
      <c r="N111" s="81">
        <f t="shared" ref="N111:N121" si="11">+M111*2</f>
        <v>490.00438024170091</v>
      </c>
      <c r="O111" s="81">
        <f>+C110+(D111/2)</f>
        <v>0</v>
      </c>
      <c r="P111" s="81">
        <f t="shared" ref="P111:P121" si="12">SIN(O111*3.14159265358979/180)</f>
        <v>0</v>
      </c>
      <c r="Q111" s="81">
        <f t="shared" ref="Q111:Q121" si="13">+P111*N111</f>
        <v>0</v>
      </c>
      <c r="R111" s="81">
        <f t="shared" ref="R111:R121" si="14">+T110</f>
        <v>334.49993130661176</v>
      </c>
      <c r="S111" s="81">
        <f>+R111+Q111</f>
        <v>334.49993130661176</v>
      </c>
      <c r="T111" s="81">
        <f t="shared" si="5"/>
        <v>334.49993130661176</v>
      </c>
      <c r="U111" s="81"/>
      <c r="V111" s="81">
        <f t="shared" ref="V111:V121" si="15">IF(B111&lt;($B$107+1),T111,0)</f>
        <v>0</v>
      </c>
      <c r="W111" s="81"/>
      <c r="X111" s="81"/>
      <c r="Y111" s="81"/>
      <c r="Z111" s="81"/>
      <c r="AA111" s="81"/>
      <c r="AB111" s="81"/>
      <c r="AC111" s="454" t="b">
        <f>IF(AD111=2,AF111)</f>
        <v>0</v>
      </c>
      <c r="AD111" s="454">
        <f t="shared" ref="AD111:AD121" si="16">MAX(AE$110:AE$121)</f>
        <v>1</v>
      </c>
      <c r="AE111" s="454">
        <f>IF(V111=0,0,2)</f>
        <v>0</v>
      </c>
      <c r="AF111" s="282" t="e">
        <f>SUM(V111:V121)/($B$107-B110)</f>
        <v>#DIV/0!</v>
      </c>
      <c r="AG111" s="301">
        <f>SUM(D111)+$C$110</f>
        <v>0</v>
      </c>
      <c r="AH111" s="411" t="b">
        <f t="shared" ref="AH111:AH121" si="17">IF(B111&lt;($B$107+1),AG111)</f>
        <v>0</v>
      </c>
      <c r="AI111" s="1238">
        <f t="shared" ref="AI111:AI121" si="18">53.779595+AH111</f>
        <v>53.779595</v>
      </c>
      <c r="AJ111" s="284">
        <f>SIN(AI111*3.14159265358979/180)</f>
        <v>0.8067499259590819</v>
      </c>
      <c r="AK111" s="1238">
        <f t="shared" ref="AK111:AK121" si="19">+AJ111*414.6266</f>
        <v>334.49997885066585</v>
      </c>
      <c r="AL111" s="1238">
        <f t="shared" ref="AL111:AL121" si="20">59.2910885-AH111</f>
        <v>59.291088500000001</v>
      </c>
      <c r="AM111" s="285">
        <f t="shared" ref="AM111:AM121" si="21">SIN(AL111*3.14159265358979/180)</f>
        <v>0.85977285389573432</v>
      </c>
      <c r="AN111" s="1238">
        <f t="shared" ref="AN111:AN121" si="22">+AM111*479.7721</f>
        <v>412.49502763654965</v>
      </c>
      <c r="AO111" s="287" t="e">
        <f t="shared" ref="AO111:AO121" si="23">+((AF111*AP111)+($AP$131*($AF$131+$AA$110)))/AQ111</f>
        <v>#DIV/0!</v>
      </c>
      <c r="AP111" s="312">
        <f>72*($B$107-B110)</f>
        <v>0</v>
      </c>
      <c r="AQ111" s="287">
        <f t="shared" ref="AQ111:AQ121" si="24">+AP111+$AP$131+30</f>
        <v>55.5</v>
      </c>
      <c r="AR111" s="288">
        <f t="shared" ref="AR111:AR121" si="25">+AN111+AK111</f>
        <v>746.99500648721551</v>
      </c>
      <c r="AS111" s="289">
        <f>+V111-AN111</f>
        <v>-412.49502763654965</v>
      </c>
      <c r="AT111" s="290" t="e">
        <f t="shared" ref="AT111:AT121" si="26">+AO111-AS111</f>
        <v>#DIV/0!</v>
      </c>
      <c r="AU111" s="289" t="e">
        <f>+AF111-AS111</f>
        <v>#DIV/0!</v>
      </c>
      <c r="AV111" s="291" t="e">
        <f t="shared" ref="AV111:AV121" si="27">+((AR111-AT111)/AR111)*AQ111</f>
        <v>#DIV/0!</v>
      </c>
      <c r="AW111" s="291" t="e">
        <f t="shared" ref="AW111:AW121" si="28">+(AT111/AR111)*AQ111</f>
        <v>#DIV/0!</v>
      </c>
      <c r="AX111" s="292" t="e">
        <f t="shared" si="6"/>
        <v>#DIV/0!</v>
      </c>
      <c r="AY111" s="292" t="e">
        <f t="shared" si="7"/>
        <v>#DIV/0!</v>
      </c>
      <c r="AZ111" s="294" t="e">
        <f t="shared" ref="AZ111:BA121" si="29">ABS(AX111)</f>
        <v>#DIV/0!</v>
      </c>
      <c r="BA111" s="294" t="e">
        <f t="shared" si="29"/>
        <v>#DIV/0!</v>
      </c>
      <c r="BC111" s="12"/>
      <c r="BH111" s="1550"/>
      <c r="BI111" s="1550"/>
      <c r="BJ111" s="1550"/>
      <c r="BK111" s="27"/>
      <c r="EJ111" s="185"/>
      <c r="EK111" s="185"/>
    </row>
    <row r="112" spans="2:141" ht="21" customHeight="1" thickBot="1" x14ac:dyDescent="0.4">
      <c r="B112" s="88">
        <v>3</v>
      </c>
      <c r="C112" s="20"/>
      <c r="D112" s="738">
        <v>0</v>
      </c>
      <c r="E112" s="333" t="s">
        <v>126</v>
      </c>
      <c r="F112" s="81"/>
      <c r="G112" s="81"/>
      <c r="H112" s="81">
        <v>479.77208100000001</v>
      </c>
      <c r="I112" s="81">
        <v>61.416098300000002</v>
      </c>
      <c r="J112" s="81">
        <f t="shared" ref="J112:J121" si="30">+I112+D112</f>
        <v>61.416098300000002</v>
      </c>
      <c r="K112" s="81">
        <f t="shared" si="8"/>
        <v>30.708049150000001</v>
      </c>
      <c r="L112" s="81">
        <f t="shared" si="9"/>
        <v>0.51066370850547771</v>
      </c>
      <c r="M112" s="81">
        <f t="shared" si="10"/>
        <v>245.00219012085046</v>
      </c>
      <c r="N112" s="81">
        <f t="shared" si="11"/>
        <v>490.00438024170091</v>
      </c>
      <c r="O112" s="81">
        <f>+C110+D111+(D112/2)</f>
        <v>0</v>
      </c>
      <c r="P112" s="81">
        <f t="shared" si="12"/>
        <v>0</v>
      </c>
      <c r="Q112" s="81">
        <f t="shared" si="13"/>
        <v>0</v>
      </c>
      <c r="R112" s="81">
        <f t="shared" si="14"/>
        <v>334.49993130661176</v>
      </c>
      <c r="S112" s="81">
        <f t="shared" ref="S112:S121" si="31">+S111+Q112</f>
        <v>334.49993130661176</v>
      </c>
      <c r="T112" s="81">
        <f t="shared" si="5"/>
        <v>334.49993130661176</v>
      </c>
      <c r="U112" s="81"/>
      <c r="V112" s="81">
        <f t="shared" si="15"/>
        <v>0</v>
      </c>
      <c r="W112" s="81"/>
      <c r="X112" s="81"/>
      <c r="Y112" s="81"/>
      <c r="Z112" s="81"/>
      <c r="AA112" s="81"/>
      <c r="AB112" s="81"/>
      <c r="AC112" s="454" t="b">
        <f>IF(AD112=3,AF112)</f>
        <v>0</v>
      </c>
      <c r="AD112" s="454">
        <f t="shared" si="16"/>
        <v>1</v>
      </c>
      <c r="AE112" s="454">
        <f>IF(V112=0,0,3)</f>
        <v>0</v>
      </c>
      <c r="AF112" s="282">
        <f>SUM(V112:V121)/($B$107-B111)</f>
        <v>0</v>
      </c>
      <c r="AG112" s="301">
        <f>SUM(D111:D112)+$C$110</f>
        <v>0</v>
      </c>
      <c r="AH112" s="411" t="b">
        <f t="shared" si="17"/>
        <v>0</v>
      </c>
      <c r="AI112" s="1238">
        <f t="shared" si="18"/>
        <v>53.779595</v>
      </c>
      <c r="AJ112" s="284">
        <f t="shared" ref="AJ112:AJ121" si="32">SIN(AI112*3.14159265358979/180)</f>
        <v>0.8067499259590819</v>
      </c>
      <c r="AK112" s="1238">
        <f t="shared" si="19"/>
        <v>334.49997885066585</v>
      </c>
      <c r="AL112" s="1238">
        <f t="shared" si="20"/>
        <v>59.291088500000001</v>
      </c>
      <c r="AM112" s="285">
        <f t="shared" si="21"/>
        <v>0.85977285389573432</v>
      </c>
      <c r="AN112" s="1238">
        <f t="shared" si="22"/>
        <v>412.49502763654965</v>
      </c>
      <c r="AO112" s="287">
        <f t="shared" si="23"/>
        <v>-226.40908682065145</v>
      </c>
      <c r="AP112" s="312">
        <f t="shared" ref="AP112:AP121" si="33">72*($B$107-B111)</f>
        <v>-72</v>
      </c>
      <c r="AQ112" s="287">
        <f t="shared" si="24"/>
        <v>-16.5</v>
      </c>
      <c r="AR112" s="288">
        <f t="shared" si="25"/>
        <v>746.99500648721551</v>
      </c>
      <c r="AS112" s="289">
        <f>+V112-AN112</f>
        <v>-412.49502763654965</v>
      </c>
      <c r="AT112" s="290">
        <f t="shared" si="26"/>
        <v>186.0859408158982</v>
      </c>
      <c r="AU112" s="289">
        <f>+AF112-AS112</f>
        <v>412.49502763654965</v>
      </c>
      <c r="AV112" s="291">
        <f t="shared" si="27"/>
        <v>-12.389640497195387</v>
      </c>
      <c r="AW112" s="291">
        <f t="shared" si="28"/>
        <v>-4.1103595028046138</v>
      </c>
      <c r="AX112" s="292">
        <f t="shared" si="6"/>
        <v>-936.26606862611254</v>
      </c>
      <c r="AY112" s="292">
        <f t="shared" si="7"/>
        <v>-2822.1375750916663</v>
      </c>
      <c r="AZ112" s="294">
        <f t="shared" si="29"/>
        <v>936.26606862611254</v>
      </c>
      <c r="BA112" s="294">
        <f t="shared" si="29"/>
        <v>2822.1375750916663</v>
      </c>
      <c r="BC112" s="12"/>
      <c r="BH112" s="1550"/>
      <c r="BI112" s="1550"/>
      <c r="BJ112" s="1550"/>
      <c r="BK112" s="27"/>
      <c r="EJ112" s="185"/>
      <c r="EK112" s="185"/>
    </row>
    <row r="113" spans="2:141" ht="21" customHeight="1" thickBot="1" x14ac:dyDescent="0.4">
      <c r="B113" s="88">
        <v>4</v>
      </c>
      <c r="C113" s="20"/>
      <c r="D113" s="738">
        <v>0</v>
      </c>
      <c r="E113" s="333" t="s">
        <v>126</v>
      </c>
      <c r="F113" s="81"/>
      <c r="G113" s="81"/>
      <c r="H113" s="81">
        <v>479.77208100000001</v>
      </c>
      <c r="I113" s="81">
        <v>61.416098300000002</v>
      </c>
      <c r="J113" s="81">
        <f t="shared" si="30"/>
        <v>61.416098300000002</v>
      </c>
      <c r="K113" s="81">
        <f t="shared" si="8"/>
        <v>30.708049150000001</v>
      </c>
      <c r="L113" s="81">
        <f t="shared" si="9"/>
        <v>0.51066370850547771</v>
      </c>
      <c r="M113" s="81">
        <f t="shared" si="10"/>
        <v>245.00219012085046</v>
      </c>
      <c r="N113" s="81">
        <f t="shared" si="11"/>
        <v>490.00438024170091</v>
      </c>
      <c r="O113" s="81">
        <f>+C110+D111+D112+(D113/2)</f>
        <v>0</v>
      </c>
      <c r="P113" s="81">
        <f t="shared" si="12"/>
        <v>0</v>
      </c>
      <c r="Q113" s="81">
        <f t="shared" si="13"/>
        <v>0</v>
      </c>
      <c r="R113" s="81">
        <f t="shared" si="14"/>
        <v>334.49993130661176</v>
      </c>
      <c r="S113" s="81">
        <f t="shared" si="31"/>
        <v>334.49993130661176</v>
      </c>
      <c r="T113" s="81">
        <f t="shared" si="5"/>
        <v>334.49993130661176</v>
      </c>
      <c r="U113" s="81"/>
      <c r="V113" s="81">
        <f t="shared" si="15"/>
        <v>0</v>
      </c>
      <c r="W113" s="81"/>
      <c r="X113" s="81"/>
      <c r="Y113" s="81"/>
      <c r="Z113" s="81"/>
      <c r="AA113" s="81"/>
      <c r="AB113" s="81"/>
      <c r="AC113" s="454" t="b">
        <f>IF(AD113=4,AF113)</f>
        <v>0</v>
      </c>
      <c r="AD113" s="454">
        <f t="shared" si="16"/>
        <v>1</v>
      </c>
      <c r="AE113" s="454">
        <f>IF(V113=0,0,4)</f>
        <v>0</v>
      </c>
      <c r="AF113" s="282">
        <f>SUM(V113:V121)/($B$107-B112)</f>
        <v>0</v>
      </c>
      <c r="AG113" s="301">
        <f>SUM(D111:D113)+$C$110</f>
        <v>0</v>
      </c>
      <c r="AH113" s="411" t="b">
        <f t="shared" si="17"/>
        <v>0</v>
      </c>
      <c r="AI113" s="1238">
        <f t="shared" si="18"/>
        <v>53.779595</v>
      </c>
      <c r="AJ113" s="284">
        <f t="shared" si="32"/>
        <v>0.8067499259590819</v>
      </c>
      <c r="AK113" s="1238">
        <f t="shared" si="19"/>
        <v>334.49997885066585</v>
      </c>
      <c r="AL113" s="1238">
        <f t="shared" si="20"/>
        <v>59.291088500000001</v>
      </c>
      <c r="AM113" s="285">
        <f t="shared" si="21"/>
        <v>0.85977285389573432</v>
      </c>
      <c r="AN113" s="1238">
        <f t="shared" si="22"/>
        <v>412.49502763654965</v>
      </c>
      <c r="AO113" s="287">
        <f t="shared" si="23"/>
        <v>-42.211863644528236</v>
      </c>
      <c r="AP113" s="312">
        <f t="shared" si="33"/>
        <v>-144</v>
      </c>
      <c r="AQ113" s="287">
        <f t="shared" si="24"/>
        <v>-88.5</v>
      </c>
      <c r="AR113" s="288">
        <f t="shared" si="25"/>
        <v>746.99500648721551</v>
      </c>
      <c r="AS113" s="289">
        <f>+V113-AN113</f>
        <v>-412.49502763654965</v>
      </c>
      <c r="AT113" s="290">
        <f t="shared" si="26"/>
        <v>370.2831639920214</v>
      </c>
      <c r="AU113" s="289">
        <f t="shared" ref="AU113:AU121" si="34">+AF113-AS113</f>
        <v>412.49502763654965</v>
      </c>
      <c r="AV113" s="291">
        <f t="shared" si="27"/>
        <v>-44.630817838532984</v>
      </c>
      <c r="AW113" s="291">
        <f t="shared" si="28"/>
        <v>-43.869182161467023</v>
      </c>
      <c r="AX113" s="292">
        <f t="shared" si="6"/>
        <v>-259.91009266213553</v>
      </c>
      <c r="AY113" s="292">
        <f t="shared" si="7"/>
        <v>-264.42252689609035</v>
      </c>
      <c r="AZ113" s="294">
        <f t="shared" si="29"/>
        <v>259.91009266213553</v>
      </c>
      <c r="BA113" s="294">
        <f t="shared" si="29"/>
        <v>264.42252689609035</v>
      </c>
      <c r="BC113" s="12"/>
      <c r="BH113" s="1550"/>
      <c r="BI113" s="1550"/>
      <c r="BJ113" s="1550"/>
      <c r="BK113" s="27"/>
      <c r="EJ113" s="185"/>
      <c r="EK113" s="185"/>
    </row>
    <row r="114" spans="2:141" ht="21" customHeight="1" thickBot="1" x14ac:dyDescent="0.4">
      <c r="B114" s="88">
        <v>5</v>
      </c>
      <c r="C114" s="20"/>
      <c r="D114" s="738">
        <v>0</v>
      </c>
      <c r="E114" s="333" t="s">
        <v>126</v>
      </c>
      <c r="F114" s="81"/>
      <c r="G114" s="81"/>
      <c r="H114" s="81">
        <v>479.77208100000001</v>
      </c>
      <c r="I114" s="81">
        <v>61.416098300000002</v>
      </c>
      <c r="J114" s="81">
        <f t="shared" si="30"/>
        <v>61.416098300000002</v>
      </c>
      <c r="K114" s="81">
        <f t="shared" si="8"/>
        <v>30.708049150000001</v>
      </c>
      <c r="L114" s="81">
        <f t="shared" si="9"/>
        <v>0.51066370850547771</v>
      </c>
      <c r="M114" s="81">
        <f t="shared" si="10"/>
        <v>245.00219012085046</v>
      </c>
      <c r="N114" s="81">
        <f t="shared" si="11"/>
        <v>490.00438024170091</v>
      </c>
      <c r="O114" s="81">
        <f>+C110+D111+D112+D113+(D114/2)</f>
        <v>0</v>
      </c>
      <c r="P114" s="81">
        <f t="shared" si="12"/>
        <v>0</v>
      </c>
      <c r="Q114" s="81">
        <f t="shared" si="13"/>
        <v>0</v>
      </c>
      <c r="R114" s="81">
        <f t="shared" si="14"/>
        <v>334.49993130661176</v>
      </c>
      <c r="S114" s="81">
        <f t="shared" si="31"/>
        <v>334.49993130661176</v>
      </c>
      <c r="T114" s="81">
        <f t="shared" si="5"/>
        <v>334.49993130661176</v>
      </c>
      <c r="U114" s="81"/>
      <c r="V114" s="81">
        <f t="shared" si="15"/>
        <v>0</v>
      </c>
      <c r="W114" s="81"/>
      <c r="X114" s="81"/>
      <c r="Y114" s="81"/>
      <c r="Z114" s="81"/>
      <c r="AA114" s="81"/>
      <c r="AB114" s="81"/>
      <c r="AC114" s="454" t="b">
        <f>IF(AD114=5,AF114)</f>
        <v>0</v>
      </c>
      <c r="AD114" s="454">
        <f t="shared" si="16"/>
        <v>1</v>
      </c>
      <c r="AE114" s="454">
        <f>IF(V114=0,0,5)</f>
        <v>0</v>
      </c>
      <c r="AF114" s="282">
        <f>SUM(V114:V121)/($B$107-B113)</f>
        <v>0</v>
      </c>
      <c r="AG114" s="301">
        <f>SUM(D111:D114)+$C$110</f>
        <v>0</v>
      </c>
      <c r="AH114" s="411" t="b">
        <f t="shared" si="17"/>
        <v>0</v>
      </c>
      <c r="AI114" s="1238">
        <f t="shared" si="18"/>
        <v>53.779595</v>
      </c>
      <c r="AJ114" s="284">
        <f t="shared" si="32"/>
        <v>0.8067499259590819</v>
      </c>
      <c r="AK114" s="1238">
        <f t="shared" si="19"/>
        <v>334.49997885066585</v>
      </c>
      <c r="AL114" s="1238">
        <f t="shared" si="20"/>
        <v>59.291088500000001</v>
      </c>
      <c r="AM114" s="285">
        <f t="shared" si="21"/>
        <v>0.85977285389573432</v>
      </c>
      <c r="AN114" s="1238">
        <f t="shared" si="22"/>
        <v>412.49502763654965</v>
      </c>
      <c r="AO114" s="287">
        <f t="shared" si="23"/>
        <v>-23.275700514272579</v>
      </c>
      <c r="AP114" s="312">
        <f t="shared" si="33"/>
        <v>-216</v>
      </c>
      <c r="AQ114" s="287">
        <f t="shared" si="24"/>
        <v>-160.5</v>
      </c>
      <c r="AR114" s="288">
        <f t="shared" si="25"/>
        <v>746.99500648721551</v>
      </c>
      <c r="AS114" s="289">
        <f t="shared" ref="AS114:AS121" si="35">+V114-AN114</f>
        <v>-412.49502763654965</v>
      </c>
      <c r="AT114" s="290">
        <f t="shared" si="26"/>
        <v>389.21932712227709</v>
      </c>
      <c r="AU114" s="289">
        <f t="shared" si="34"/>
        <v>412.49502763654965</v>
      </c>
      <c r="AV114" s="291">
        <f t="shared" si="27"/>
        <v>-76.871995179870567</v>
      </c>
      <c r="AW114" s="291">
        <f t="shared" si="28"/>
        <v>-83.628004820129433</v>
      </c>
      <c r="AX114" s="292">
        <f t="shared" si="6"/>
        <v>-150.90020719323721</v>
      </c>
      <c r="AY114" s="292">
        <f t="shared" si="7"/>
        <v>-138.70951513132184</v>
      </c>
      <c r="AZ114" s="294">
        <f t="shared" si="29"/>
        <v>150.90020719323721</v>
      </c>
      <c r="BA114" s="294">
        <f t="shared" si="29"/>
        <v>138.70951513132184</v>
      </c>
      <c r="BC114" s="12"/>
      <c r="BH114" s="1550"/>
      <c r="BI114" s="1550"/>
      <c r="BJ114" s="1550"/>
      <c r="BK114" s="27"/>
      <c r="EJ114" s="185"/>
      <c r="EK114" s="185"/>
    </row>
    <row r="115" spans="2:141" ht="21" customHeight="1" thickBot="1" x14ac:dyDescent="0.4">
      <c r="B115" s="88">
        <v>6</v>
      </c>
      <c r="C115" s="20"/>
      <c r="D115" s="738">
        <v>0</v>
      </c>
      <c r="E115" s="333" t="s">
        <v>126</v>
      </c>
      <c r="F115" s="81"/>
      <c r="G115" s="81"/>
      <c r="H115" s="81">
        <v>479.77208100000001</v>
      </c>
      <c r="I115" s="81">
        <v>61.416098300000002</v>
      </c>
      <c r="J115" s="81">
        <f t="shared" si="30"/>
        <v>61.416098300000002</v>
      </c>
      <c r="K115" s="81">
        <f t="shared" si="8"/>
        <v>30.708049150000001</v>
      </c>
      <c r="L115" s="81">
        <f t="shared" si="9"/>
        <v>0.51066370850547771</v>
      </c>
      <c r="M115" s="81">
        <f t="shared" si="10"/>
        <v>245.00219012085046</v>
      </c>
      <c r="N115" s="81">
        <f t="shared" si="11"/>
        <v>490.00438024170091</v>
      </c>
      <c r="O115" s="81">
        <f>+C110+D111+D112+D113+D114+(D115/2)</f>
        <v>0</v>
      </c>
      <c r="P115" s="81">
        <f t="shared" si="12"/>
        <v>0</v>
      </c>
      <c r="Q115" s="81">
        <f t="shared" si="13"/>
        <v>0</v>
      </c>
      <c r="R115" s="81">
        <f t="shared" si="14"/>
        <v>334.49993130661176</v>
      </c>
      <c r="S115" s="81">
        <f t="shared" si="31"/>
        <v>334.49993130661176</v>
      </c>
      <c r="T115" s="81">
        <f t="shared" si="5"/>
        <v>334.49993130661176</v>
      </c>
      <c r="U115" s="81"/>
      <c r="V115" s="81">
        <f t="shared" si="15"/>
        <v>0</v>
      </c>
      <c r="W115" s="81"/>
      <c r="X115" s="81"/>
      <c r="Y115" s="81"/>
      <c r="Z115" s="81"/>
      <c r="AA115" s="81"/>
      <c r="AB115" s="81"/>
      <c r="AC115" s="454" t="b">
        <f>IF(AD115=6,AF115)</f>
        <v>0</v>
      </c>
      <c r="AD115" s="454">
        <f t="shared" si="16"/>
        <v>1</v>
      </c>
      <c r="AE115" s="454">
        <f>IF(V115=0,0,6)</f>
        <v>0</v>
      </c>
      <c r="AF115" s="282">
        <f>SUM(V115:V121)/($B$107-B114)</f>
        <v>0</v>
      </c>
      <c r="AG115" s="301">
        <f>SUM(D111:D115)+$C$110</f>
        <v>0</v>
      </c>
      <c r="AH115" s="411" t="b">
        <f t="shared" si="17"/>
        <v>0</v>
      </c>
      <c r="AI115" s="1238">
        <f t="shared" si="18"/>
        <v>53.779595</v>
      </c>
      <c r="AJ115" s="284">
        <f t="shared" si="32"/>
        <v>0.8067499259590819</v>
      </c>
      <c r="AK115" s="1238">
        <f t="shared" si="19"/>
        <v>334.49997885066585</v>
      </c>
      <c r="AL115" s="1238">
        <f t="shared" si="20"/>
        <v>59.291088500000001</v>
      </c>
      <c r="AM115" s="285">
        <f t="shared" si="21"/>
        <v>0.85977285389573432</v>
      </c>
      <c r="AN115" s="1238">
        <f t="shared" si="22"/>
        <v>412.49502763654965</v>
      </c>
      <c r="AO115" s="287">
        <f t="shared" si="23"/>
        <v>-16.067741645336554</v>
      </c>
      <c r="AP115" s="312">
        <f t="shared" si="33"/>
        <v>-288</v>
      </c>
      <c r="AQ115" s="287">
        <f t="shared" si="24"/>
        <v>-232.5</v>
      </c>
      <c r="AR115" s="288">
        <f t="shared" si="25"/>
        <v>746.99500648721551</v>
      </c>
      <c r="AS115" s="289">
        <f t="shared" si="35"/>
        <v>-412.49502763654965</v>
      </c>
      <c r="AT115" s="290">
        <f t="shared" si="26"/>
        <v>396.42728599121313</v>
      </c>
      <c r="AU115" s="289">
        <f t="shared" si="34"/>
        <v>412.49502763654965</v>
      </c>
      <c r="AV115" s="291">
        <f t="shared" si="27"/>
        <v>-109.11317252120816</v>
      </c>
      <c r="AW115" s="291">
        <f t="shared" si="28"/>
        <v>-123.38682747879183</v>
      </c>
      <c r="AX115" s="292">
        <f t="shared" si="6"/>
        <v>-106.3116371008764</v>
      </c>
      <c r="AY115" s="292">
        <f t="shared" si="7"/>
        <v>-94.013277081735893</v>
      </c>
      <c r="AZ115" s="294">
        <f t="shared" si="29"/>
        <v>106.3116371008764</v>
      </c>
      <c r="BA115" s="294">
        <f t="shared" si="29"/>
        <v>94.013277081735893</v>
      </c>
      <c r="BC115" s="12"/>
      <c r="BH115" s="1550"/>
      <c r="BI115" s="1550"/>
      <c r="BJ115" s="1550"/>
      <c r="BK115" s="27"/>
      <c r="EJ115" s="185"/>
      <c r="EK115" s="185"/>
    </row>
    <row r="116" spans="2:141" ht="21" customHeight="1" thickBot="1" x14ac:dyDescent="0.4">
      <c r="B116" s="88">
        <v>7</v>
      </c>
      <c r="C116" s="20"/>
      <c r="D116" s="738">
        <v>0</v>
      </c>
      <c r="E116" s="333" t="s">
        <v>126</v>
      </c>
      <c r="F116" s="81"/>
      <c r="G116" s="81"/>
      <c r="H116" s="81">
        <v>479.77208100000001</v>
      </c>
      <c r="I116" s="81">
        <v>61.416098300000002</v>
      </c>
      <c r="J116" s="81">
        <f t="shared" si="30"/>
        <v>61.416098300000002</v>
      </c>
      <c r="K116" s="81">
        <f t="shared" si="8"/>
        <v>30.708049150000001</v>
      </c>
      <c r="L116" s="81">
        <f t="shared" si="9"/>
        <v>0.51066370850547771</v>
      </c>
      <c r="M116" s="81">
        <f t="shared" si="10"/>
        <v>245.00219012085046</v>
      </c>
      <c r="N116" s="81">
        <f t="shared" si="11"/>
        <v>490.00438024170091</v>
      </c>
      <c r="O116" s="81">
        <f>+C110+D111+D112+D113+D114+D115+(D116/2)</f>
        <v>0</v>
      </c>
      <c r="P116" s="81">
        <f t="shared" si="12"/>
        <v>0</v>
      </c>
      <c r="Q116" s="81">
        <f t="shared" si="13"/>
        <v>0</v>
      </c>
      <c r="R116" s="81">
        <f t="shared" si="14"/>
        <v>334.49993130661176</v>
      </c>
      <c r="S116" s="81">
        <f t="shared" si="31"/>
        <v>334.49993130661176</v>
      </c>
      <c r="T116" s="81">
        <f t="shared" si="5"/>
        <v>334.49993130661176</v>
      </c>
      <c r="U116" s="81"/>
      <c r="V116" s="81">
        <f t="shared" si="15"/>
        <v>0</v>
      </c>
      <c r="W116" s="81"/>
      <c r="X116" s="81"/>
      <c r="Y116" s="81"/>
      <c r="Z116" s="81"/>
      <c r="AA116" s="81"/>
      <c r="AB116" s="81"/>
      <c r="AC116" s="454" t="b">
        <f>IF(AD116=7,AF116)</f>
        <v>0</v>
      </c>
      <c r="AD116" s="454">
        <f t="shared" si="16"/>
        <v>1</v>
      </c>
      <c r="AE116" s="454">
        <f>IF(V116=0,0,7)</f>
        <v>0</v>
      </c>
      <c r="AF116" s="282">
        <f>SUM(V116:V121)/($B$107-B115)</f>
        <v>0</v>
      </c>
      <c r="AG116" s="301">
        <f>SUM(D111:D116)+$C$110</f>
        <v>0</v>
      </c>
      <c r="AH116" s="411" t="b">
        <f t="shared" si="17"/>
        <v>0</v>
      </c>
      <c r="AI116" s="1238">
        <f t="shared" si="18"/>
        <v>53.779595</v>
      </c>
      <c r="AJ116" s="284">
        <f t="shared" si="32"/>
        <v>0.8067499259590819</v>
      </c>
      <c r="AK116" s="1238">
        <f t="shared" si="19"/>
        <v>334.49997885066585</v>
      </c>
      <c r="AL116" s="1238">
        <f t="shared" si="20"/>
        <v>59.291088500000001</v>
      </c>
      <c r="AM116" s="285">
        <f t="shared" si="21"/>
        <v>0.85977285389573432</v>
      </c>
      <c r="AN116" s="1238">
        <f t="shared" si="22"/>
        <v>412.49502763654965</v>
      </c>
      <c r="AO116" s="287">
        <f t="shared" si="23"/>
        <v>-12.268472684862886</v>
      </c>
      <c r="AP116" s="312">
        <f t="shared" si="33"/>
        <v>-360</v>
      </c>
      <c r="AQ116" s="287">
        <f t="shared" si="24"/>
        <v>-304.5</v>
      </c>
      <c r="AR116" s="288">
        <f t="shared" si="25"/>
        <v>746.99500648721551</v>
      </c>
      <c r="AS116" s="289">
        <f t="shared" si="35"/>
        <v>-412.49502763654965</v>
      </c>
      <c r="AT116" s="290">
        <f t="shared" si="26"/>
        <v>400.22655495168675</v>
      </c>
      <c r="AU116" s="289">
        <f t="shared" si="34"/>
        <v>412.49502763654965</v>
      </c>
      <c r="AV116" s="291">
        <f t="shared" si="27"/>
        <v>-141.35434986254577</v>
      </c>
      <c r="AW116" s="291">
        <f t="shared" si="28"/>
        <v>-163.14565013745423</v>
      </c>
      <c r="AX116" s="292">
        <f t="shared" si="6"/>
        <v>-82.063268737608311</v>
      </c>
      <c r="AY116" s="292">
        <f t="shared" si="7"/>
        <v>-71.102110232339726</v>
      </c>
      <c r="AZ116" s="294">
        <f t="shared" si="29"/>
        <v>82.063268737608311</v>
      </c>
      <c r="BA116" s="294">
        <f t="shared" si="29"/>
        <v>71.102110232339726</v>
      </c>
      <c r="BC116" s="12"/>
      <c r="BH116" s="1550"/>
      <c r="BI116" s="1550"/>
      <c r="BJ116" s="1550"/>
      <c r="BK116" s="27"/>
      <c r="EJ116" s="185"/>
      <c r="EK116" s="185"/>
    </row>
    <row r="117" spans="2:141" ht="21" customHeight="1" thickBot="1" x14ac:dyDescent="0.4">
      <c r="B117" s="88">
        <v>8</v>
      </c>
      <c r="C117" s="20"/>
      <c r="D117" s="738">
        <v>0</v>
      </c>
      <c r="E117" s="333" t="s">
        <v>126</v>
      </c>
      <c r="F117" s="81"/>
      <c r="G117" s="81"/>
      <c r="H117" s="81">
        <v>479.77208100000001</v>
      </c>
      <c r="I117" s="81">
        <v>61.416098300000002</v>
      </c>
      <c r="J117" s="81">
        <f t="shared" si="30"/>
        <v>61.416098300000002</v>
      </c>
      <c r="K117" s="81">
        <f t="shared" si="8"/>
        <v>30.708049150000001</v>
      </c>
      <c r="L117" s="81">
        <f t="shared" si="9"/>
        <v>0.51066370850547771</v>
      </c>
      <c r="M117" s="81">
        <f t="shared" si="10"/>
        <v>245.00219012085046</v>
      </c>
      <c r="N117" s="81">
        <f t="shared" si="11"/>
        <v>490.00438024170091</v>
      </c>
      <c r="O117" s="81">
        <f>+C110+D111+D112+D113+D114+D115+D116+(D117/2)</f>
        <v>0</v>
      </c>
      <c r="P117" s="81">
        <f t="shared" si="12"/>
        <v>0</v>
      </c>
      <c r="Q117" s="81">
        <f t="shared" si="13"/>
        <v>0</v>
      </c>
      <c r="R117" s="81">
        <f t="shared" si="14"/>
        <v>334.49993130661176</v>
      </c>
      <c r="S117" s="81">
        <f t="shared" si="31"/>
        <v>334.49993130661176</v>
      </c>
      <c r="T117" s="81">
        <f t="shared" si="5"/>
        <v>334.49993130661176</v>
      </c>
      <c r="U117" s="81"/>
      <c r="V117" s="81">
        <f t="shared" si="15"/>
        <v>0</v>
      </c>
      <c r="W117" s="81"/>
      <c r="X117" s="81"/>
      <c r="Y117" s="81"/>
      <c r="Z117" s="81"/>
      <c r="AA117" s="81"/>
      <c r="AB117" s="81"/>
      <c r="AC117" s="454" t="b">
        <f>IF(AD117=8,AF117)</f>
        <v>0</v>
      </c>
      <c r="AD117" s="454">
        <f t="shared" si="16"/>
        <v>1</v>
      </c>
      <c r="AE117" s="454">
        <f>IF(V117=0,0,8)</f>
        <v>0</v>
      </c>
      <c r="AF117" s="282">
        <f>SUM(V117:V121)/($B$107-B116)</f>
        <v>0</v>
      </c>
      <c r="AG117" s="301">
        <f>SUM(D111:D117)+$C$110</f>
        <v>0</v>
      </c>
      <c r="AH117" s="411" t="b">
        <f t="shared" si="17"/>
        <v>0</v>
      </c>
      <c r="AI117" s="1238">
        <f t="shared" si="18"/>
        <v>53.779595</v>
      </c>
      <c r="AJ117" s="284">
        <f t="shared" si="32"/>
        <v>0.8067499259590819</v>
      </c>
      <c r="AK117" s="1238">
        <f t="shared" si="19"/>
        <v>334.49997885066585</v>
      </c>
      <c r="AL117" s="1238">
        <f t="shared" si="20"/>
        <v>59.291088500000001</v>
      </c>
      <c r="AM117" s="285">
        <f t="shared" si="21"/>
        <v>0.85977285389573432</v>
      </c>
      <c r="AN117" s="1238">
        <f t="shared" si="22"/>
        <v>412.49502763654965</v>
      </c>
      <c r="AO117" s="287">
        <f t="shared" si="23"/>
        <v>-9.9223105777974734</v>
      </c>
      <c r="AP117" s="312">
        <f t="shared" si="33"/>
        <v>-432</v>
      </c>
      <c r="AQ117" s="287">
        <f t="shared" si="24"/>
        <v>-376.5</v>
      </c>
      <c r="AR117" s="288">
        <f t="shared" si="25"/>
        <v>746.99500648721551</v>
      </c>
      <c r="AS117" s="289">
        <f t="shared" si="35"/>
        <v>-412.49502763654965</v>
      </c>
      <c r="AT117" s="290">
        <f t="shared" si="26"/>
        <v>402.57271705875218</v>
      </c>
      <c r="AU117" s="289">
        <f t="shared" si="34"/>
        <v>412.49502763654965</v>
      </c>
      <c r="AV117" s="291">
        <f t="shared" si="27"/>
        <v>-173.59552720388336</v>
      </c>
      <c r="AW117" s="291">
        <f t="shared" si="28"/>
        <v>-202.90447279611664</v>
      </c>
      <c r="AX117" s="292">
        <f t="shared" si="6"/>
        <v>-66.821998163444079</v>
      </c>
      <c r="AY117" s="292">
        <f t="shared" si="7"/>
        <v>-57.169759937504992</v>
      </c>
      <c r="AZ117" s="294">
        <f t="shared" si="29"/>
        <v>66.821998163444079</v>
      </c>
      <c r="BA117" s="294">
        <f t="shared" si="29"/>
        <v>57.169759937504992</v>
      </c>
      <c r="BC117" s="12"/>
      <c r="BH117" s="1550"/>
      <c r="BI117" s="1550"/>
      <c r="BJ117" s="1550"/>
      <c r="BK117" s="27"/>
      <c r="EJ117" s="185"/>
      <c r="EK117" s="185"/>
    </row>
    <row r="118" spans="2:141" ht="21" customHeight="1" thickBot="1" x14ac:dyDescent="0.4">
      <c r="B118" s="88">
        <v>9</v>
      </c>
      <c r="C118" s="20"/>
      <c r="D118" s="738">
        <v>0</v>
      </c>
      <c r="E118" s="333" t="s">
        <v>126</v>
      </c>
      <c r="F118" s="81"/>
      <c r="G118" s="81"/>
      <c r="H118" s="81">
        <v>479.77208100000001</v>
      </c>
      <c r="I118" s="81">
        <v>61.416098300000002</v>
      </c>
      <c r="J118" s="81">
        <f t="shared" si="30"/>
        <v>61.416098300000002</v>
      </c>
      <c r="K118" s="81">
        <f t="shared" si="8"/>
        <v>30.708049150000001</v>
      </c>
      <c r="L118" s="81">
        <f t="shared" si="9"/>
        <v>0.51066370850547771</v>
      </c>
      <c r="M118" s="81">
        <f t="shared" si="10"/>
        <v>245.00219012085046</v>
      </c>
      <c r="N118" s="81">
        <f t="shared" si="11"/>
        <v>490.00438024170091</v>
      </c>
      <c r="O118" s="81">
        <f>+C110+D111+D112+D113+D114+D115+D116+D117+(D118/2)</f>
        <v>0</v>
      </c>
      <c r="P118" s="81">
        <f t="shared" si="12"/>
        <v>0</v>
      </c>
      <c r="Q118" s="81">
        <f t="shared" si="13"/>
        <v>0</v>
      </c>
      <c r="R118" s="81">
        <f t="shared" si="14"/>
        <v>334.49993130661176</v>
      </c>
      <c r="S118" s="81">
        <f t="shared" si="31"/>
        <v>334.49993130661176</v>
      </c>
      <c r="T118" s="81">
        <f t="shared" si="5"/>
        <v>334.49993130661176</v>
      </c>
      <c r="U118" s="81"/>
      <c r="V118" s="81">
        <f t="shared" si="15"/>
        <v>0</v>
      </c>
      <c r="W118" s="81"/>
      <c r="X118" s="81"/>
      <c r="Y118" s="81"/>
      <c r="Z118" s="81"/>
      <c r="AA118" s="81"/>
      <c r="AB118" s="81"/>
      <c r="AC118" s="454" t="b">
        <f>IF(AD118=9,AF118)</f>
        <v>0</v>
      </c>
      <c r="AD118" s="454">
        <f t="shared" si="16"/>
        <v>1</v>
      </c>
      <c r="AE118" s="454">
        <f>IF(V118=0,0,9)</f>
        <v>0</v>
      </c>
      <c r="AF118" s="282">
        <f>SUM(V118:V121)/($B$107-B117)</f>
        <v>0</v>
      </c>
      <c r="AG118" s="301">
        <f>SUM(D111:D118)+$C$110</f>
        <v>0</v>
      </c>
      <c r="AH118" s="411" t="b">
        <f t="shared" si="17"/>
        <v>0</v>
      </c>
      <c r="AI118" s="1238">
        <f t="shared" si="18"/>
        <v>53.779595</v>
      </c>
      <c r="AJ118" s="284">
        <f t="shared" si="32"/>
        <v>0.8067499259590819</v>
      </c>
      <c r="AK118" s="1238">
        <f t="shared" si="19"/>
        <v>334.49997885066585</v>
      </c>
      <c r="AL118" s="1238">
        <f t="shared" si="20"/>
        <v>59.291088500000001</v>
      </c>
      <c r="AM118" s="285">
        <f t="shared" si="21"/>
        <v>0.85977285389573432</v>
      </c>
      <c r="AN118" s="1238">
        <f t="shared" si="22"/>
        <v>412.49502763654965</v>
      </c>
      <c r="AO118" s="287">
        <f t="shared" si="23"/>
        <v>-8.3294312877162735</v>
      </c>
      <c r="AP118" s="312">
        <f t="shared" si="33"/>
        <v>-504</v>
      </c>
      <c r="AQ118" s="287">
        <f t="shared" si="24"/>
        <v>-448.5</v>
      </c>
      <c r="AR118" s="288">
        <f t="shared" si="25"/>
        <v>746.99500648721551</v>
      </c>
      <c r="AS118" s="289">
        <f t="shared" si="35"/>
        <v>-412.49502763654965</v>
      </c>
      <c r="AT118" s="290">
        <f t="shared" si="26"/>
        <v>404.16559634883339</v>
      </c>
      <c r="AU118" s="289">
        <f t="shared" si="34"/>
        <v>412.49502763654965</v>
      </c>
      <c r="AV118" s="291">
        <f t="shared" si="27"/>
        <v>-205.83670454522095</v>
      </c>
      <c r="AW118" s="291">
        <f t="shared" si="28"/>
        <v>-242.66329545477907</v>
      </c>
      <c r="AX118" s="292">
        <f t="shared" si="6"/>
        <v>-56.355352295545316</v>
      </c>
      <c r="AY118" s="292">
        <f t="shared" si="7"/>
        <v>-47.802861896605577</v>
      </c>
      <c r="AZ118" s="294">
        <f t="shared" si="29"/>
        <v>56.355352295545316</v>
      </c>
      <c r="BA118" s="294">
        <f t="shared" si="29"/>
        <v>47.802861896605577</v>
      </c>
      <c r="BC118" s="12"/>
      <c r="BH118" s="1550"/>
      <c r="BI118" s="1550"/>
      <c r="BJ118" s="1550"/>
      <c r="BK118" s="27"/>
      <c r="EJ118" s="185"/>
      <c r="EK118" s="185"/>
    </row>
    <row r="119" spans="2:141" ht="21" customHeight="1" thickBot="1" x14ac:dyDescent="0.4">
      <c r="B119" s="88">
        <v>10</v>
      </c>
      <c r="C119" s="20"/>
      <c r="D119" s="738">
        <v>0</v>
      </c>
      <c r="E119" s="333" t="s">
        <v>126</v>
      </c>
      <c r="F119" s="81"/>
      <c r="G119" s="81"/>
      <c r="H119" s="81">
        <v>479.77208100000001</v>
      </c>
      <c r="I119" s="81">
        <v>61.416098300000002</v>
      </c>
      <c r="J119" s="81">
        <f t="shared" si="30"/>
        <v>61.416098300000002</v>
      </c>
      <c r="K119" s="81">
        <f t="shared" si="8"/>
        <v>30.708049150000001</v>
      </c>
      <c r="L119" s="81">
        <f t="shared" si="9"/>
        <v>0.51066370850547771</v>
      </c>
      <c r="M119" s="81">
        <f t="shared" si="10"/>
        <v>245.00219012085046</v>
      </c>
      <c r="N119" s="81">
        <f t="shared" si="11"/>
        <v>490.00438024170091</v>
      </c>
      <c r="O119" s="81">
        <f>+C110+D111+D112+D113+D114+D115+D116+D117+D118+(D119/2)</f>
        <v>0</v>
      </c>
      <c r="P119" s="81">
        <f t="shared" si="12"/>
        <v>0</v>
      </c>
      <c r="Q119" s="81">
        <f t="shared" si="13"/>
        <v>0</v>
      </c>
      <c r="R119" s="81">
        <f t="shared" si="14"/>
        <v>334.49993130661176</v>
      </c>
      <c r="S119" s="81">
        <f t="shared" si="31"/>
        <v>334.49993130661176</v>
      </c>
      <c r="T119" s="81">
        <f t="shared" si="5"/>
        <v>334.49993130661176</v>
      </c>
      <c r="U119" s="81"/>
      <c r="V119" s="81">
        <f t="shared" si="15"/>
        <v>0</v>
      </c>
      <c r="W119" s="81"/>
      <c r="X119" s="81"/>
      <c r="Y119" s="81"/>
      <c r="Z119" s="81"/>
      <c r="AA119" s="81"/>
      <c r="AB119" s="81"/>
      <c r="AC119" s="454" t="b">
        <f>IF(AD119=10,AF119)</f>
        <v>0</v>
      </c>
      <c r="AD119" s="454">
        <f t="shared" si="16"/>
        <v>1</v>
      </c>
      <c r="AE119" s="454">
        <f>IF(V119=0,0,10)</f>
        <v>0</v>
      </c>
      <c r="AF119" s="282">
        <f>SUM(V119:V121)/($B$107-B118)</f>
        <v>0</v>
      </c>
      <c r="AG119" s="301">
        <f>SUM(D111:D119)+$C$110</f>
        <v>0</v>
      </c>
      <c r="AH119" s="411" t="b">
        <f t="shared" si="17"/>
        <v>0</v>
      </c>
      <c r="AI119" s="1238">
        <f t="shared" si="18"/>
        <v>53.779595</v>
      </c>
      <c r="AJ119" s="284">
        <f t="shared" si="32"/>
        <v>0.8067499259590819</v>
      </c>
      <c r="AK119" s="1238">
        <f t="shared" si="19"/>
        <v>334.49997885066585</v>
      </c>
      <c r="AL119" s="1238">
        <f t="shared" si="20"/>
        <v>59.291088500000001</v>
      </c>
      <c r="AM119" s="285">
        <f t="shared" si="21"/>
        <v>0.85977285389573432</v>
      </c>
      <c r="AN119" s="1238">
        <f t="shared" si="22"/>
        <v>412.49502763654965</v>
      </c>
      <c r="AO119" s="287">
        <f t="shared" si="23"/>
        <v>-7.1772332997901032</v>
      </c>
      <c r="AP119" s="312">
        <f t="shared" si="33"/>
        <v>-576</v>
      </c>
      <c r="AQ119" s="287">
        <f t="shared" si="24"/>
        <v>-520.5</v>
      </c>
      <c r="AR119" s="288">
        <f t="shared" si="25"/>
        <v>746.99500648721551</v>
      </c>
      <c r="AS119" s="289">
        <f t="shared" si="35"/>
        <v>-412.49502763654965</v>
      </c>
      <c r="AT119" s="290">
        <f t="shared" si="26"/>
        <v>405.31779433675956</v>
      </c>
      <c r="AU119" s="289">
        <f t="shared" si="34"/>
        <v>412.49502763654965</v>
      </c>
      <c r="AV119" s="291">
        <f t="shared" si="27"/>
        <v>-238.07788188655854</v>
      </c>
      <c r="AW119" s="291">
        <f t="shared" si="28"/>
        <v>-282.42211811344151</v>
      </c>
      <c r="AX119" s="292">
        <f t="shared" si="6"/>
        <v>-48.723551755753903</v>
      </c>
      <c r="AY119" s="292">
        <f t="shared" si="7"/>
        <v>-41.073270314262658</v>
      </c>
      <c r="AZ119" s="294">
        <f t="shared" si="29"/>
        <v>48.723551755753903</v>
      </c>
      <c r="BA119" s="294">
        <f t="shared" si="29"/>
        <v>41.073270314262658</v>
      </c>
      <c r="BC119" s="12"/>
      <c r="BH119" s="1550"/>
      <c r="BI119" s="1550"/>
      <c r="BJ119" s="1550"/>
      <c r="BK119" s="27"/>
      <c r="EJ119" s="185"/>
      <c r="EK119" s="185"/>
    </row>
    <row r="120" spans="2:141" ht="21" hidden="1" customHeight="1" thickBot="1" x14ac:dyDescent="0.4">
      <c r="B120" s="88">
        <v>11</v>
      </c>
      <c r="C120" s="20"/>
      <c r="D120" s="738">
        <v>0</v>
      </c>
      <c r="E120" s="333" t="s">
        <v>126</v>
      </c>
      <c r="F120" s="81"/>
      <c r="G120" s="81"/>
      <c r="H120" s="81">
        <v>479.77208100000001</v>
      </c>
      <c r="I120" s="81">
        <v>61.416098300000002</v>
      </c>
      <c r="J120" s="81">
        <f t="shared" si="30"/>
        <v>61.416098300000002</v>
      </c>
      <c r="K120" s="81">
        <f t="shared" si="8"/>
        <v>30.708049150000001</v>
      </c>
      <c r="L120" s="81">
        <f t="shared" si="9"/>
        <v>0.51066370850547771</v>
      </c>
      <c r="M120" s="81">
        <f t="shared" si="10"/>
        <v>245.00219012085046</v>
      </c>
      <c r="N120" s="81">
        <f t="shared" si="11"/>
        <v>490.00438024170091</v>
      </c>
      <c r="O120" s="81">
        <f>+C110+D111+D112+D113+D114+D115+D116+D117+D118+D119+(D120/2)</f>
        <v>0</v>
      </c>
      <c r="P120" s="81">
        <f t="shared" si="12"/>
        <v>0</v>
      </c>
      <c r="Q120" s="81">
        <f t="shared" si="13"/>
        <v>0</v>
      </c>
      <c r="R120" s="81">
        <f t="shared" si="14"/>
        <v>334.49993130661176</v>
      </c>
      <c r="S120" s="81">
        <f t="shared" si="31"/>
        <v>334.49993130661176</v>
      </c>
      <c r="T120" s="81">
        <f t="shared" si="5"/>
        <v>334.49993130661176</v>
      </c>
      <c r="U120" s="81"/>
      <c r="V120" s="81">
        <f t="shared" si="15"/>
        <v>0</v>
      </c>
      <c r="W120" s="81"/>
      <c r="X120" s="81"/>
      <c r="Y120" s="81"/>
      <c r="Z120" s="81"/>
      <c r="AA120" s="81"/>
      <c r="AB120" s="81"/>
      <c r="AC120" s="454" t="b">
        <f>IF(AD120=11,AF120)</f>
        <v>0</v>
      </c>
      <c r="AD120" s="454">
        <f t="shared" si="16"/>
        <v>1</v>
      </c>
      <c r="AE120" s="454">
        <f>IF(V120=0,0,11)</f>
        <v>0</v>
      </c>
      <c r="AF120" s="282">
        <f>SUM(V120:V121)/($B$107-B119)</f>
        <v>0</v>
      </c>
      <c r="AG120" s="301">
        <f>SUM(D111:D120)+$C$110</f>
        <v>0</v>
      </c>
      <c r="AH120" s="411" t="b">
        <f t="shared" si="17"/>
        <v>0</v>
      </c>
      <c r="AI120" s="1238">
        <f t="shared" si="18"/>
        <v>53.779595</v>
      </c>
      <c r="AJ120" s="284">
        <f t="shared" si="32"/>
        <v>0.8067499259590819</v>
      </c>
      <c r="AK120" s="1238">
        <f t="shared" si="19"/>
        <v>334.49997885066585</v>
      </c>
      <c r="AL120" s="1238">
        <f t="shared" si="20"/>
        <v>59.291088500000001</v>
      </c>
      <c r="AM120" s="285">
        <f t="shared" si="21"/>
        <v>0.85977285389573432</v>
      </c>
      <c r="AN120" s="1238">
        <f t="shared" si="22"/>
        <v>412.49502763654965</v>
      </c>
      <c r="AO120" s="287">
        <f t="shared" si="23"/>
        <v>-6.305063177283964</v>
      </c>
      <c r="AP120" s="312">
        <f t="shared" si="33"/>
        <v>-648</v>
      </c>
      <c r="AQ120" s="287">
        <f t="shared" si="24"/>
        <v>-592.5</v>
      </c>
      <c r="AR120" s="288">
        <f t="shared" si="25"/>
        <v>746.99500648721551</v>
      </c>
      <c r="AS120" s="289">
        <f t="shared" si="35"/>
        <v>-412.49502763654965</v>
      </c>
      <c r="AT120" s="290">
        <f t="shared" si="26"/>
        <v>406.1899644592657</v>
      </c>
      <c r="AU120" s="289">
        <f t="shared" si="34"/>
        <v>412.49502763654965</v>
      </c>
      <c r="AV120" s="291">
        <f t="shared" si="27"/>
        <v>-270.3190592278961</v>
      </c>
      <c r="AW120" s="291">
        <f t="shared" si="28"/>
        <v>-322.1809407721039</v>
      </c>
      <c r="AX120" s="292">
        <f t="shared" si="6"/>
        <v>-42.912253516761702</v>
      </c>
      <c r="AY120" s="292">
        <f t="shared" si="7"/>
        <v>-36.004612725385613</v>
      </c>
      <c r="AZ120" s="294">
        <f t="shared" si="29"/>
        <v>42.912253516761702</v>
      </c>
      <c r="BA120" s="294">
        <f t="shared" si="29"/>
        <v>36.004612725385613</v>
      </c>
      <c r="BC120" s="12"/>
      <c r="BH120" s="1550"/>
      <c r="BI120" s="1550"/>
      <c r="BJ120" s="1550"/>
      <c r="BK120" s="27"/>
      <c r="EJ120" s="185"/>
      <c r="EK120" s="185"/>
    </row>
    <row r="121" spans="2:141" ht="21" hidden="1" customHeight="1" thickBot="1" x14ac:dyDescent="0.4">
      <c r="B121" s="88">
        <v>12</v>
      </c>
      <c r="C121" s="20"/>
      <c r="D121" s="738">
        <v>0</v>
      </c>
      <c r="E121" s="333" t="s">
        <v>126</v>
      </c>
      <c r="F121" s="81"/>
      <c r="G121" s="81"/>
      <c r="H121" s="81">
        <v>479.77208100000001</v>
      </c>
      <c r="I121" s="81">
        <v>61.416098300000002</v>
      </c>
      <c r="J121" s="81">
        <f t="shared" si="30"/>
        <v>61.416098300000002</v>
      </c>
      <c r="K121" s="81">
        <f t="shared" si="8"/>
        <v>30.708049150000001</v>
      </c>
      <c r="L121" s="81">
        <f t="shared" si="9"/>
        <v>0.51066370850547771</v>
      </c>
      <c r="M121" s="81">
        <f t="shared" si="10"/>
        <v>245.00219012085046</v>
      </c>
      <c r="N121" s="81">
        <f t="shared" si="11"/>
        <v>490.00438024170091</v>
      </c>
      <c r="O121" s="81">
        <f>+C110+D111+D112+D113+D114+D115+D116+D117+D118+D119+D120+(D121/2)</f>
        <v>0</v>
      </c>
      <c r="P121" s="81">
        <f t="shared" si="12"/>
        <v>0</v>
      </c>
      <c r="Q121" s="81">
        <f t="shared" si="13"/>
        <v>0</v>
      </c>
      <c r="R121" s="81">
        <f t="shared" si="14"/>
        <v>334.49993130661176</v>
      </c>
      <c r="S121" s="81">
        <f t="shared" si="31"/>
        <v>334.49993130661176</v>
      </c>
      <c r="T121" s="81">
        <f t="shared" si="5"/>
        <v>334.49993130661176</v>
      </c>
      <c r="U121" s="81"/>
      <c r="V121" s="81">
        <f t="shared" si="15"/>
        <v>0</v>
      </c>
      <c r="W121" s="81"/>
      <c r="X121" s="81"/>
      <c r="Y121" s="81"/>
      <c r="Z121" s="81"/>
      <c r="AA121" s="81"/>
      <c r="AB121" s="81"/>
      <c r="AC121" s="454" t="b">
        <f>IF(AD121=12,AF121)</f>
        <v>0</v>
      </c>
      <c r="AD121" s="454">
        <f t="shared" si="16"/>
        <v>1</v>
      </c>
      <c r="AE121" s="454">
        <f>IF(V121=0,0,12)</f>
        <v>0</v>
      </c>
      <c r="AF121" s="282">
        <f>SUM(V121)/($B$107-B120)</f>
        <v>0</v>
      </c>
      <c r="AG121" s="301">
        <f>SUM(D111:D121)+$C$110</f>
        <v>0</v>
      </c>
      <c r="AH121" s="411" t="b">
        <f t="shared" si="17"/>
        <v>0</v>
      </c>
      <c r="AI121" s="1238">
        <f t="shared" si="18"/>
        <v>53.779595</v>
      </c>
      <c r="AJ121" s="284">
        <f t="shared" si="32"/>
        <v>0.8067499259590819</v>
      </c>
      <c r="AK121" s="1238">
        <f t="shared" si="19"/>
        <v>334.49997885066585</v>
      </c>
      <c r="AL121" s="1238">
        <f t="shared" si="20"/>
        <v>59.291088500000001</v>
      </c>
      <c r="AM121" s="285">
        <f t="shared" si="21"/>
        <v>0.85977285389573432</v>
      </c>
      <c r="AN121" s="1238">
        <f t="shared" si="22"/>
        <v>412.49502763654965</v>
      </c>
      <c r="AO121" s="287">
        <f t="shared" si="23"/>
        <v>-5.6218960610094042</v>
      </c>
      <c r="AP121" s="312">
        <f t="shared" si="33"/>
        <v>-720</v>
      </c>
      <c r="AQ121" s="287">
        <f t="shared" si="24"/>
        <v>-664.5</v>
      </c>
      <c r="AR121" s="288">
        <f t="shared" si="25"/>
        <v>746.99500648721551</v>
      </c>
      <c r="AS121" s="289">
        <f t="shared" si="35"/>
        <v>-412.49502763654965</v>
      </c>
      <c r="AT121" s="290">
        <f t="shared" si="26"/>
        <v>406.87313157554024</v>
      </c>
      <c r="AU121" s="289">
        <f t="shared" si="34"/>
        <v>412.49502763654965</v>
      </c>
      <c r="AV121" s="291">
        <f t="shared" si="27"/>
        <v>-302.56023656923372</v>
      </c>
      <c r="AW121" s="291">
        <f t="shared" si="28"/>
        <v>-361.93976343076628</v>
      </c>
      <c r="AX121" s="292">
        <f t="shared" si="6"/>
        <v>-38.339472931188084</v>
      </c>
      <c r="AY121" s="292">
        <f t="shared" si="7"/>
        <v>-32.049531916707757</v>
      </c>
      <c r="AZ121" s="294">
        <f t="shared" si="29"/>
        <v>38.339472931188084</v>
      </c>
      <c r="BA121" s="294">
        <f t="shared" si="29"/>
        <v>32.049531916707757</v>
      </c>
      <c r="BC121" s="12"/>
      <c r="BH121" s="1550"/>
      <c r="BI121" s="1550"/>
      <c r="BJ121" s="1550"/>
      <c r="BK121" s="27"/>
      <c r="EJ121" s="185"/>
      <c r="EK121" s="185"/>
    </row>
    <row r="122" spans="2:141" ht="21" thickBot="1" x14ac:dyDescent="0.4">
      <c r="B122" s="24"/>
      <c r="C122" s="24"/>
      <c r="D122" s="15"/>
      <c r="E122" s="15"/>
      <c r="F122" s="15"/>
      <c r="G122" s="15"/>
      <c r="H122" s="244"/>
      <c r="I122" s="244"/>
      <c r="J122" s="244"/>
      <c r="K122" s="244"/>
      <c r="L122" s="244"/>
      <c r="M122" s="244"/>
      <c r="N122" s="244"/>
      <c r="O122" s="244"/>
      <c r="P122" s="244"/>
      <c r="Q122" s="244"/>
      <c r="R122" s="244"/>
      <c r="S122" s="244"/>
      <c r="T122" s="244"/>
      <c r="U122" s="12"/>
      <c r="V122" s="244"/>
      <c r="W122" s="244"/>
      <c r="X122" s="244"/>
      <c r="Y122" s="244"/>
      <c r="Z122" s="244"/>
      <c r="AA122" s="244"/>
      <c r="AB122" s="244"/>
      <c r="AC122" s="244"/>
      <c r="AD122" s="244"/>
      <c r="AE122" s="244"/>
      <c r="AF122" s="244"/>
      <c r="AG122" s="410" t="s">
        <v>125</v>
      </c>
      <c r="AH122" s="412">
        <f>MAX(AH110:AH121)</f>
        <v>0</v>
      </c>
      <c r="AI122" s="244"/>
      <c r="AJ122" s="244"/>
      <c r="AK122" s="244"/>
      <c r="AL122" s="244"/>
      <c r="AM122" s="244"/>
      <c r="AN122" s="244"/>
      <c r="AO122" s="244"/>
      <c r="AP122" s="244"/>
      <c r="AQ122" s="244"/>
      <c r="AR122" s="244"/>
      <c r="AS122" s="244"/>
      <c r="AT122" s="244"/>
      <c r="AU122" s="244"/>
      <c r="AV122" s="244"/>
      <c r="AW122" s="244"/>
      <c r="AX122" s="244"/>
      <c r="AY122" s="244"/>
      <c r="AZ122" s="244"/>
      <c r="BA122" s="244"/>
      <c r="BB122" s="7"/>
      <c r="BC122" s="12"/>
      <c r="BH122" s="1550"/>
      <c r="BI122" s="1550"/>
      <c r="BJ122" s="1550"/>
      <c r="BK122" s="27"/>
      <c r="EJ122" s="185"/>
      <c r="EK122" s="185"/>
    </row>
    <row r="123" spans="2:141" ht="18" hidden="1" x14ac:dyDescent="0.35">
      <c r="B123" s="125"/>
      <c r="C123" s="24"/>
      <c r="D123" s="15"/>
      <c r="E123" s="15"/>
      <c r="F123" s="15"/>
      <c r="G123" s="15"/>
      <c r="H123" s="244"/>
      <c r="I123" s="244"/>
      <c r="J123" s="244"/>
      <c r="K123" s="244"/>
      <c r="L123" s="244"/>
      <c r="M123" s="244"/>
      <c r="N123" s="244"/>
      <c r="O123" s="244"/>
      <c r="P123" s="244"/>
      <c r="Q123" s="244"/>
      <c r="R123" s="244"/>
      <c r="S123" s="244"/>
      <c r="T123" s="244"/>
      <c r="U123" s="12"/>
      <c r="V123" s="244"/>
      <c r="W123" s="244"/>
      <c r="X123" s="244"/>
      <c r="Y123" s="244"/>
      <c r="Z123" s="244"/>
      <c r="AA123" s="244"/>
      <c r="AB123" s="244"/>
      <c r="AC123" s="244"/>
      <c r="AD123" s="244"/>
      <c r="AE123" s="244"/>
      <c r="AF123" s="244"/>
      <c r="AG123" s="244"/>
      <c r="AH123" s="244"/>
      <c r="AI123" s="244"/>
      <c r="AJ123" s="244"/>
      <c r="AK123" s="244"/>
      <c r="AL123" s="244"/>
      <c r="AM123" s="244"/>
      <c r="AN123" s="244"/>
      <c r="AO123" s="244"/>
      <c r="AP123" s="244"/>
      <c r="AQ123" s="244"/>
      <c r="AR123" s="244"/>
      <c r="AS123" s="244"/>
      <c r="AT123" s="244"/>
      <c r="AU123" s="244"/>
      <c r="AV123" s="244"/>
      <c r="AW123" s="244"/>
      <c r="AX123" s="244"/>
      <c r="AY123" s="244"/>
      <c r="AZ123" s="244"/>
      <c r="BA123" s="244"/>
      <c r="BB123" s="7"/>
      <c r="BC123" s="12"/>
      <c r="BH123" s="1550"/>
      <c r="BI123" s="1550"/>
      <c r="BJ123" s="1550"/>
    </row>
    <row r="124" spans="2:141" hidden="1" x14ac:dyDescent="0.3">
      <c r="B124" s="125"/>
      <c r="AB124" s="272"/>
      <c r="AC124" s="272"/>
      <c r="AD124" s="272"/>
      <c r="AE124" s="272"/>
      <c r="BF124" s="27"/>
      <c r="BH124" s="1550"/>
      <c r="BI124" s="1550"/>
      <c r="BJ124" s="1550"/>
    </row>
    <row r="125" spans="2:141" hidden="1" x14ac:dyDescent="0.3">
      <c r="V125" s="245"/>
      <c r="W125" s="245"/>
      <c r="X125" s="245"/>
      <c r="Y125" s="245"/>
      <c r="Z125" s="245"/>
      <c r="AA125" s="245"/>
      <c r="AB125" s="245"/>
      <c r="AC125" s="245"/>
      <c r="AD125" s="245"/>
      <c r="AE125" s="245"/>
      <c r="AF125" s="245"/>
      <c r="AG125" s="245"/>
      <c r="AH125" s="245"/>
      <c r="AI125" s="245"/>
      <c r="AJ125" s="245"/>
      <c r="AK125" s="245"/>
      <c r="AL125" s="245"/>
      <c r="AM125" s="245"/>
      <c r="AN125" s="245"/>
      <c r="AO125" s="245"/>
      <c r="AP125" s="245"/>
      <c r="AQ125" s="245"/>
      <c r="AR125" s="245"/>
      <c r="AS125" s="245"/>
      <c r="AT125" s="245"/>
      <c r="AU125" s="245"/>
      <c r="AV125" s="245"/>
      <c r="AW125" s="245"/>
      <c r="AX125" s="245"/>
      <c r="AY125" s="245"/>
      <c r="AZ125" s="245"/>
      <c r="BA125" s="245"/>
      <c r="BB125" s="4"/>
      <c r="BH125" s="1550"/>
      <c r="BI125" s="1550"/>
      <c r="BJ125" s="1550"/>
    </row>
    <row r="126" spans="2:141" ht="18" hidden="1" thickBot="1" x14ac:dyDescent="0.35">
      <c r="U126" s="243"/>
      <c r="V126" s="245"/>
      <c r="W126" s="245"/>
      <c r="X126" s="245"/>
      <c r="Y126" s="245"/>
      <c r="Z126" s="245"/>
      <c r="AA126" s="245"/>
      <c r="AB126" s="245"/>
      <c r="AC126" s="245"/>
      <c r="AD126" s="245"/>
      <c r="AE126" s="245"/>
      <c r="AF126" s="245"/>
      <c r="AG126" s="245"/>
      <c r="AH126" s="245"/>
      <c r="AI126" s="245"/>
      <c r="AJ126" s="245"/>
      <c r="AK126" s="245"/>
      <c r="AL126" s="245"/>
      <c r="AM126" s="245"/>
      <c r="AN126" s="245"/>
      <c r="AO126" s="245"/>
      <c r="AP126" s="245"/>
      <c r="AQ126" s="245"/>
      <c r="AR126" s="245"/>
      <c r="AS126" s="245"/>
      <c r="AT126" s="245"/>
      <c r="AU126" s="245"/>
      <c r="AV126" s="245"/>
      <c r="AW126" s="245"/>
      <c r="AX126" s="245"/>
      <c r="AY126" s="245"/>
      <c r="AZ126" s="245"/>
      <c r="BA126" s="245"/>
      <c r="BB126" s="4"/>
      <c r="BC126" s="14"/>
      <c r="BF126" s="27"/>
      <c r="BH126" s="1550"/>
      <c r="BI126" s="1550"/>
      <c r="BJ126" s="1550"/>
    </row>
    <row r="127" spans="2:141" ht="63.75" customHeight="1" thickTop="1" thickBot="1" x14ac:dyDescent="0.45">
      <c r="B127" s="695" t="s">
        <v>42</v>
      </c>
      <c r="C127" s="707"/>
      <c r="D127" s="708"/>
      <c r="E127" s="74"/>
      <c r="F127" s="74"/>
      <c r="G127" s="74"/>
      <c r="H127" s="248"/>
      <c r="I127" s="248"/>
      <c r="J127" s="248"/>
      <c r="K127" s="248"/>
      <c r="L127" s="248"/>
      <c r="M127" s="248"/>
      <c r="N127" s="248"/>
      <c r="O127" s="248"/>
      <c r="P127" s="248"/>
      <c r="Q127" s="248"/>
      <c r="R127" s="248"/>
      <c r="S127" s="255" t="s">
        <v>105</v>
      </c>
      <c r="T127" s="255">
        <f>SUM(V131:V154)/B128</f>
        <v>146.5</v>
      </c>
      <c r="U127" s="295"/>
      <c r="V127" s="245"/>
      <c r="W127" s="245"/>
      <c r="X127" s="245"/>
      <c r="Y127" s="245"/>
      <c r="Z127" s="245"/>
      <c r="AA127" s="245"/>
      <c r="AB127" s="245"/>
      <c r="AC127" s="245"/>
      <c r="AD127" s="245"/>
      <c r="AE127" s="245"/>
      <c r="AF127" s="245"/>
      <c r="AG127" s="245"/>
      <c r="AH127" s="245"/>
      <c r="AI127" s="245"/>
      <c r="AJ127" s="245"/>
      <c r="AK127" s="245"/>
      <c r="AL127" s="245"/>
      <c r="AM127" s="245"/>
      <c r="AN127" s="245"/>
      <c r="AO127" s="245"/>
      <c r="AP127" s="245"/>
      <c r="AQ127" s="245"/>
      <c r="AR127" s="245"/>
      <c r="AS127" s="245"/>
      <c r="AT127" s="245"/>
      <c r="AU127" s="245"/>
      <c r="AV127" s="245"/>
      <c r="AW127" s="245"/>
      <c r="AX127" s="245"/>
      <c r="AY127" s="245"/>
      <c r="AZ127" s="245"/>
      <c r="BA127" s="245"/>
      <c r="BB127" s="4"/>
      <c r="BC127" s="36"/>
      <c r="BD127" s="36"/>
      <c r="BE127" s="36"/>
      <c r="BF127" s="27"/>
      <c r="BH127" s="1550"/>
      <c r="BI127" s="1550"/>
      <c r="BJ127" s="1550"/>
    </row>
    <row r="128" spans="2:141" ht="37.5" customHeight="1" thickTop="1" thickBot="1" x14ac:dyDescent="0.45">
      <c r="B128" s="743">
        <v>1</v>
      </c>
      <c r="C128" s="671"/>
      <c r="D128" s="706" t="s">
        <v>71</v>
      </c>
      <c r="E128" s="445"/>
      <c r="F128" s="445"/>
      <c r="G128" s="445"/>
      <c r="H128" s="246"/>
      <c r="I128" s="247"/>
      <c r="J128" s="247"/>
      <c r="K128" s="247"/>
      <c r="L128" s="247"/>
      <c r="M128" s="247"/>
      <c r="N128" s="247"/>
      <c r="O128" s="247"/>
      <c r="P128" s="247"/>
      <c r="Q128" s="247"/>
      <c r="R128" s="247"/>
      <c r="S128" s="303"/>
      <c r="T128" s="304"/>
      <c r="U128" s="266"/>
      <c r="V128" s="296"/>
      <c r="W128" s="296"/>
      <c r="X128" s="296"/>
      <c r="Y128" s="296"/>
      <c r="Z128" s="296"/>
      <c r="AA128" s="296"/>
      <c r="AB128" s="296"/>
      <c r="AC128" s="296"/>
      <c r="AD128" s="296"/>
      <c r="AE128" s="296"/>
      <c r="AF128" s="296"/>
      <c r="AG128" s="296"/>
      <c r="AH128" s="296"/>
      <c r="AI128" s="296"/>
      <c r="AJ128" s="296"/>
      <c r="AK128" s="296"/>
      <c r="AL128" s="296"/>
      <c r="AM128" s="296"/>
      <c r="AN128" s="296"/>
      <c r="AO128" s="296"/>
      <c r="AP128" s="296"/>
      <c r="AQ128" s="296"/>
      <c r="AR128" s="296"/>
      <c r="AS128" s="296"/>
      <c r="AT128" s="296"/>
      <c r="AU128" s="296"/>
      <c r="AV128" s="296"/>
      <c r="AW128" s="296"/>
      <c r="AX128" s="296"/>
      <c r="AY128" s="296"/>
      <c r="AZ128" s="2045" t="s">
        <v>68</v>
      </c>
      <c r="BA128" s="2046"/>
      <c r="BB128" s="5"/>
      <c r="BC128" s="33"/>
      <c r="BD128" s="33"/>
      <c r="BE128" s="33"/>
      <c r="BF128" s="27"/>
      <c r="BH128" s="1550"/>
      <c r="BI128" s="1550"/>
      <c r="BJ128" s="1550"/>
    </row>
    <row r="129" spans="1:105" ht="36" hidden="1" thickTop="1" thickBot="1" x14ac:dyDescent="0.35">
      <c r="B129" s="358"/>
      <c r="C129" s="76"/>
      <c r="D129" s="698" t="s">
        <v>13</v>
      </c>
      <c r="E129" s="15"/>
      <c r="F129" s="15"/>
      <c r="G129" s="15"/>
      <c r="H129" s="297" t="s">
        <v>4</v>
      </c>
      <c r="I129" s="297" t="s">
        <v>1</v>
      </c>
      <c r="J129" s="248" t="s">
        <v>0</v>
      </c>
      <c r="K129" s="248" t="s">
        <v>2</v>
      </c>
      <c r="L129" s="248" t="s">
        <v>3</v>
      </c>
      <c r="M129" s="248" t="s">
        <v>8</v>
      </c>
      <c r="N129" s="248" t="s">
        <v>5</v>
      </c>
      <c r="O129" s="248" t="s">
        <v>6</v>
      </c>
      <c r="P129" s="248" t="s">
        <v>7</v>
      </c>
      <c r="Q129" s="248" t="s">
        <v>9</v>
      </c>
      <c r="R129" s="316" t="s">
        <v>10</v>
      </c>
      <c r="S129" s="248" t="s">
        <v>11</v>
      </c>
      <c r="T129" s="249" t="s">
        <v>12</v>
      </c>
      <c r="U129" s="265"/>
      <c r="V129" s="273"/>
      <c r="W129" s="273"/>
      <c r="X129" s="273"/>
      <c r="Y129" s="273"/>
      <c r="Z129" s="273"/>
      <c r="AA129" s="273"/>
      <c r="AB129" s="273"/>
      <c r="AC129" s="273"/>
      <c r="AD129" s="273"/>
      <c r="AE129" s="273"/>
      <c r="AF129" s="273"/>
      <c r="AG129" s="273"/>
      <c r="AH129" s="273"/>
      <c r="AI129" s="273"/>
      <c r="AJ129" s="273"/>
      <c r="AK129" s="273"/>
      <c r="AL129" s="273"/>
      <c r="AM129" s="273"/>
      <c r="AN129" s="273"/>
      <c r="AO129" s="273"/>
      <c r="AP129" s="273"/>
      <c r="AQ129" s="273"/>
      <c r="AR129" s="273"/>
      <c r="AS129" s="273"/>
      <c r="AT129" s="273"/>
      <c r="AU129" s="273"/>
      <c r="AV129" s="273"/>
      <c r="AW129" s="273"/>
      <c r="AX129" s="272"/>
      <c r="AY129" s="273"/>
      <c r="AZ129" s="273"/>
      <c r="BA129" s="273"/>
      <c r="BB129" s="6"/>
      <c r="BC129" s="16"/>
      <c r="BD129" s="7"/>
      <c r="BE129" s="7"/>
      <c r="BF129" s="27"/>
      <c r="BH129" s="1550"/>
      <c r="BI129" s="1550"/>
      <c r="BJ129" s="1550"/>
    </row>
    <row r="130" spans="1:105" ht="44.25" customHeight="1" thickTop="1" thickBot="1" x14ac:dyDescent="0.45">
      <c r="B130" s="90"/>
      <c r="C130" s="139"/>
      <c r="D130" s="670" t="s">
        <v>24</v>
      </c>
      <c r="E130" s="445"/>
      <c r="F130" s="30" t="s">
        <v>58</v>
      </c>
      <c r="G130" s="50"/>
      <c r="H130" s="298"/>
      <c r="I130" s="317"/>
      <c r="J130" s="244"/>
      <c r="K130" s="244"/>
      <c r="L130" s="244"/>
      <c r="M130" s="244"/>
      <c r="N130" s="244"/>
      <c r="O130" s="244"/>
      <c r="P130" s="244"/>
      <c r="Q130" s="244"/>
      <c r="R130" s="316"/>
      <c r="S130" s="244"/>
      <c r="T130" s="250"/>
      <c r="U130" s="265"/>
      <c r="V130" s="273"/>
      <c r="W130" s="273"/>
      <c r="X130" s="273"/>
      <c r="Y130" s="273"/>
      <c r="Z130" s="273"/>
      <c r="AA130" s="273"/>
      <c r="AB130" s="273"/>
      <c r="AC130" s="273"/>
      <c r="AD130" s="273"/>
      <c r="AE130" s="273"/>
      <c r="AF130" s="273" t="s">
        <v>51</v>
      </c>
      <c r="AG130" s="274" t="s">
        <v>44</v>
      </c>
      <c r="AH130" s="274"/>
      <c r="AI130" s="175" t="s">
        <v>96</v>
      </c>
      <c r="AJ130" s="275" t="s">
        <v>45</v>
      </c>
      <c r="AK130" s="172" t="s">
        <v>46</v>
      </c>
      <c r="AL130" s="175" t="s">
        <v>97</v>
      </c>
      <c r="AM130" s="276" t="s">
        <v>47</v>
      </c>
      <c r="AN130" s="172" t="s">
        <v>48</v>
      </c>
      <c r="AO130" s="276"/>
      <c r="AP130" s="179" t="s">
        <v>49</v>
      </c>
      <c r="AQ130" s="278"/>
      <c r="AR130" s="278" t="s">
        <v>50</v>
      </c>
      <c r="AS130" s="278" t="s">
        <v>52</v>
      </c>
      <c r="AT130" s="278"/>
      <c r="AU130" s="278" t="s">
        <v>53</v>
      </c>
      <c r="AV130" s="279" t="s">
        <v>54</v>
      </c>
      <c r="AW130" s="279" t="s">
        <v>55</v>
      </c>
      <c r="AX130" s="280" t="s">
        <v>25</v>
      </c>
      <c r="AY130" s="280" t="s">
        <v>26</v>
      </c>
      <c r="AZ130" s="281" t="s">
        <v>25</v>
      </c>
      <c r="BA130" s="281" t="s">
        <v>26</v>
      </c>
      <c r="BB130" s="7"/>
      <c r="BC130" s="16"/>
      <c r="BD130" s="7"/>
      <c r="BE130" s="7"/>
      <c r="BF130" s="27"/>
      <c r="BH130" s="1550"/>
      <c r="BI130" s="1550"/>
      <c r="BJ130" s="1550"/>
    </row>
    <row r="131" spans="1:105" ht="21" customHeight="1" thickBot="1" x14ac:dyDescent="0.35">
      <c r="B131" s="87">
        <v>1</v>
      </c>
      <c r="C131" s="668">
        <f>+AH122+D131</f>
        <v>0</v>
      </c>
      <c r="D131" s="738">
        <v>0</v>
      </c>
      <c r="E131" s="333" t="s">
        <v>73</v>
      </c>
      <c r="F131" s="81">
        <f>+G131</f>
        <v>0</v>
      </c>
      <c r="G131" s="81">
        <f>+D131</f>
        <v>0</v>
      </c>
      <c r="H131" s="299">
        <v>190.76</v>
      </c>
      <c r="I131" s="318">
        <v>79.651040199999997</v>
      </c>
      <c r="J131" s="251">
        <f>+I131-C131</f>
        <v>79.651040199999997</v>
      </c>
      <c r="K131" s="251">
        <f>+J131/2</f>
        <v>39.825520099999999</v>
      </c>
      <c r="L131" s="251">
        <f t="shared" ref="L131:L154" si="36">SIN(K131*3.14159265358979/180)</f>
        <v>0.64045183696587837</v>
      </c>
      <c r="M131" s="251">
        <f t="shared" ref="M131:M154" si="37">+L131*H131</f>
        <v>122.17259241961095</v>
      </c>
      <c r="N131" s="251">
        <f t="shared" ref="N131:N154" si="38">+M131*2</f>
        <v>244.3451848392219</v>
      </c>
      <c r="O131" s="251">
        <f>+C131/2</f>
        <v>0</v>
      </c>
      <c r="P131" s="251">
        <f t="shared" ref="P131:P154" si="39">SIN(O131*3.14159265358979/180)</f>
        <v>0</v>
      </c>
      <c r="Q131" s="251">
        <f t="shared" ref="Q131:Q154" si="40">+P131*N131</f>
        <v>0</v>
      </c>
      <c r="R131" s="319">
        <v>146.5</v>
      </c>
      <c r="S131" s="251">
        <f>+R131+Q131</f>
        <v>146.5</v>
      </c>
      <c r="T131" s="252">
        <f t="shared" ref="T131:T154" si="41">+S131</f>
        <v>146.5</v>
      </c>
      <c r="V131" s="282">
        <f t="shared" ref="V131:V154" si="42">IF(B131&lt;($B$128+1),T131,0)</f>
        <v>146.5</v>
      </c>
      <c r="W131" s="282"/>
      <c r="X131" s="282"/>
      <c r="Y131" s="282"/>
      <c r="Z131" s="282"/>
      <c r="AA131" s="282"/>
      <c r="AB131" s="300" t="str">
        <f>IF(AY131&lt;0,"pin in groundstacking hole"," ")</f>
        <v xml:space="preserve"> </v>
      </c>
      <c r="AC131" s="451"/>
      <c r="AD131" s="451"/>
      <c r="AE131" s="451"/>
      <c r="AF131" s="282">
        <f>SUM(V131:V154)/($B$128)</f>
        <v>146.5</v>
      </c>
      <c r="AG131" s="301">
        <f>C131</f>
        <v>0</v>
      </c>
      <c r="AH131" s="301"/>
      <c r="AI131" s="173">
        <f>69.3447148-AG131</f>
        <v>69.344714800000006</v>
      </c>
      <c r="AJ131" s="284">
        <f t="shared" ref="AJ131:AJ154" si="43">SIN(AI131*3.14159265358979/180)</f>
        <v>0.93571960494171247</v>
      </c>
      <c r="AK131" s="174">
        <f>+AJ131*192.42</f>
        <v>180.0511663828843</v>
      </c>
      <c r="AL131" s="173">
        <f>50.1744799+AG131</f>
        <v>50.174479900000001</v>
      </c>
      <c r="AM131" s="285">
        <f>SIN(AL131*3.14159265358979/180)</f>
        <v>0.76799833627881664</v>
      </c>
      <c r="AN131" s="174">
        <f>+AM131*190.76</f>
        <v>146.50336262854705</v>
      </c>
      <c r="AO131" s="286"/>
      <c r="AP131" s="174">
        <f>25.5*B128</f>
        <v>25.5</v>
      </c>
      <c r="AQ131" s="288"/>
      <c r="AR131" s="288">
        <f>+AN131+AK131</f>
        <v>326.55452901143133</v>
      </c>
      <c r="AS131" s="289">
        <f>+V131-AN131</f>
        <v>-3.3626285470518269E-3</v>
      </c>
      <c r="AT131" s="289"/>
      <c r="AU131" s="289">
        <f>+AF131-AS131</f>
        <v>146.50336262854705</v>
      </c>
      <c r="AV131" s="291">
        <f>+((AR131-AU131)/AR131)*AP131</f>
        <v>14.059840960291279</v>
      </c>
      <c r="AW131" s="291">
        <f>+(AU131/AR131)*AP131</f>
        <v>11.440159039708721</v>
      </c>
      <c r="AX131" s="292">
        <f>2*$C$18/AV131</f>
        <v>825.04489437408847</v>
      </c>
      <c r="AY131" s="292">
        <f>$D$18/AW131</f>
        <v>874.11372213358766</v>
      </c>
      <c r="AZ131" s="294">
        <f>ABS(AX131)</f>
        <v>825.04489437408847</v>
      </c>
      <c r="BA131" s="294">
        <f>ABS(AY131)</f>
        <v>874.11372213358766</v>
      </c>
      <c r="BB131" s="2" t="s">
        <v>56</v>
      </c>
      <c r="BC131" s="11"/>
      <c r="BF131" s="27"/>
      <c r="BH131" s="1550"/>
      <c r="BI131" s="1550"/>
      <c r="BJ131" s="1550"/>
    </row>
    <row r="132" spans="1:105" ht="21" customHeight="1" thickBot="1" x14ac:dyDescent="0.35">
      <c r="B132" s="88">
        <v>2</v>
      </c>
      <c r="C132" s="20"/>
      <c r="D132" s="738">
        <v>0</v>
      </c>
      <c r="E132" s="333" t="s">
        <v>72</v>
      </c>
      <c r="F132" s="81" t="e">
        <f t="shared" ref="F132:F154" si="44">+G132</f>
        <v>#DIV/0!</v>
      </c>
      <c r="G132" s="81" t="e">
        <f t="shared" ref="G132:G154" si="45">+D132+BB132</f>
        <v>#DIV/0!</v>
      </c>
      <c r="H132" s="299">
        <v>190.76</v>
      </c>
      <c r="I132" s="318">
        <v>79.651040199999997</v>
      </c>
      <c r="J132" s="251">
        <f t="shared" ref="J132:J154" si="46">+I132-D132</f>
        <v>79.651040199999997</v>
      </c>
      <c r="K132" s="251">
        <f t="shared" ref="K132:K154" si="47">+J132/2</f>
        <v>39.825520099999999</v>
      </c>
      <c r="L132" s="251">
        <f t="shared" si="36"/>
        <v>0.64045183696587837</v>
      </c>
      <c r="M132" s="251">
        <f t="shared" si="37"/>
        <v>122.17259241961095</v>
      </c>
      <c r="N132" s="251">
        <f t="shared" si="38"/>
        <v>244.3451848392219</v>
      </c>
      <c r="O132" s="251">
        <f>+C131+(D132/2)</f>
        <v>0</v>
      </c>
      <c r="P132" s="251">
        <f t="shared" si="39"/>
        <v>0</v>
      </c>
      <c r="Q132" s="251">
        <f t="shared" si="40"/>
        <v>0</v>
      </c>
      <c r="R132" s="251">
        <f t="shared" ref="R132:R154" si="48">+T131</f>
        <v>146.5</v>
      </c>
      <c r="S132" s="251">
        <f>+R132+Q132</f>
        <v>146.5</v>
      </c>
      <c r="T132" s="252">
        <f t="shared" si="41"/>
        <v>146.5</v>
      </c>
      <c r="V132" s="282">
        <f t="shared" si="42"/>
        <v>0</v>
      </c>
      <c r="W132" s="282"/>
      <c r="X132" s="282"/>
      <c r="Y132" s="282"/>
      <c r="Z132" s="282"/>
      <c r="AA132" s="282"/>
      <c r="AB132" s="300" t="e">
        <f t="shared" ref="AB132:AB154" si="49">IF(AY132&lt;0,"pin in groundstacking hole"," ")</f>
        <v>#DIV/0!</v>
      </c>
      <c r="AC132" s="451"/>
      <c r="AD132" s="451"/>
      <c r="AE132" s="451"/>
      <c r="AF132" s="282" t="e">
        <f>SUM(V132:V155)/($B$128-B131)</f>
        <v>#DIV/0!</v>
      </c>
      <c r="AG132" s="301">
        <f>SUM(D132)+$C$131</f>
        <v>0</v>
      </c>
      <c r="AH132" s="301"/>
      <c r="AI132" s="173">
        <f t="shared" ref="AI132:AI154" si="50">69.3447148-AG132</f>
        <v>69.344714800000006</v>
      </c>
      <c r="AJ132" s="284">
        <f t="shared" si="43"/>
        <v>0.93571960494171247</v>
      </c>
      <c r="AK132" s="174">
        <f t="shared" ref="AK132:AK154" si="51">+AJ132*192.42</f>
        <v>180.0511663828843</v>
      </c>
      <c r="AL132" s="173">
        <f t="shared" ref="AL132:AL154" si="52">50.1744799+AG132</f>
        <v>50.174479900000001</v>
      </c>
      <c r="AM132" s="285">
        <f t="shared" ref="AM132:AM154" si="53">SIN(AL132*3.14159265358979/180)</f>
        <v>0.76799833627881664</v>
      </c>
      <c r="AN132" s="174">
        <f t="shared" ref="AN132:AN154" si="54">+AM132*190.76</f>
        <v>146.50336262854705</v>
      </c>
      <c r="AO132" s="286"/>
      <c r="AP132" s="174">
        <f>25.5*($B$128-B131)</f>
        <v>0</v>
      </c>
      <c r="AQ132" s="288"/>
      <c r="AR132" s="288">
        <f t="shared" ref="AR132:AR154" si="55">+AN132+AK132</f>
        <v>326.55452901143133</v>
      </c>
      <c r="AS132" s="289">
        <f>+V132-AN132</f>
        <v>-146.50336262854705</v>
      </c>
      <c r="AT132" s="289"/>
      <c r="AU132" s="289" t="e">
        <f>+AF132-AS132</f>
        <v>#DIV/0!</v>
      </c>
      <c r="AV132" s="291" t="e">
        <f t="shared" ref="AV132:AV154" si="56">+((AR132-AU132)/AR132)*AP132</f>
        <v>#DIV/0!</v>
      </c>
      <c r="AW132" s="291" t="e">
        <f t="shared" ref="AW132:AW154" si="57">+(AU132/AR132)*AP132</f>
        <v>#DIV/0!</v>
      </c>
      <c r="AX132" s="292" t="e">
        <f t="shared" ref="AX132:AX154" si="58">2*$C$18/AV132</f>
        <v>#DIV/0!</v>
      </c>
      <c r="AY132" s="292" t="e">
        <f t="shared" ref="AY132:AY154" si="59">$D$18/AW132</f>
        <v>#DIV/0!</v>
      </c>
      <c r="AZ132" s="294" t="e">
        <f t="shared" ref="AZ132:BA154" si="60">ABS(AX132)</f>
        <v>#DIV/0!</v>
      </c>
      <c r="BA132" s="294" t="e">
        <f t="shared" si="60"/>
        <v>#DIV/0!</v>
      </c>
      <c r="BB132" t="e">
        <f t="shared" ref="BB132:BB154" si="61">IF(AY132&lt;0,0.3,0)</f>
        <v>#DIV/0!</v>
      </c>
      <c r="BF132" s="27"/>
      <c r="BH132" s="1550"/>
      <c r="BI132" s="1550"/>
      <c r="BJ132" s="1550"/>
    </row>
    <row r="133" spans="1:105" ht="21" customHeight="1" thickBot="1" x14ac:dyDescent="0.35">
      <c r="B133" s="88">
        <v>3</v>
      </c>
      <c r="C133" s="20"/>
      <c r="D133" s="738">
        <v>0</v>
      </c>
      <c r="E133" s="333" t="s">
        <v>72</v>
      </c>
      <c r="F133" s="81">
        <f t="shared" si="44"/>
        <v>0.3</v>
      </c>
      <c r="G133" s="81">
        <f t="shared" si="45"/>
        <v>0.3</v>
      </c>
      <c r="H133" s="299">
        <v>190.76</v>
      </c>
      <c r="I133" s="318">
        <v>79.651040199999997</v>
      </c>
      <c r="J133" s="251">
        <f t="shared" si="46"/>
        <v>79.651040199999997</v>
      </c>
      <c r="K133" s="251">
        <f t="shared" si="47"/>
        <v>39.825520099999999</v>
      </c>
      <c r="L133" s="251">
        <f t="shared" si="36"/>
        <v>0.64045183696587837</v>
      </c>
      <c r="M133" s="251">
        <f t="shared" si="37"/>
        <v>122.17259241961095</v>
      </c>
      <c r="N133" s="251">
        <f t="shared" si="38"/>
        <v>244.3451848392219</v>
      </c>
      <c r="O133" s="251">
        <f>+C131+D132+(D133/2)</f>
        <v>0</v>
      </c>
      <c r="P133" s="251">
        <f t="shared" si="39"/>
        <v>0</v>
      </c>
      <c r="Q133" s="251">
        <f t="shared" si="40"/>
        <v>0</v>
      </c>
      <c r="R133" s="251">
        <f t="shared" si="48"/>
        <v>146.5</v>
      </c>
      <c r="S133" s="251">
        <f t="shared" ref="S133:S154" si="62">+S132+Q133</f>
        <v>146.5</v>
      </c>
      <c r="T133" s="252">
        <f t="shared" si="41"/>
        <v>146.5</v>
      </c>
      <c r="V133" s="282">
        <f t="shared" si="42"/>
        <v>0</v>
      </c>
      <c r="W133" s="282"/>
      <c r="X133" s="282"/>
      <c r="Y133" s="282"/>
      <c r="Z133" s="282"/>
      <c r="AA133" s="282"/>
      <c r="AB133" s="300" t="str">
        <f t="shared" si="49"/>
        <v>pin in groundstacking hole</v>
      </c>
      <c r="AC133" s="451"/>
      <c r="AD133" s="451"/>
      <c r="AE133" s="451"/>
      <c r="AF133" s="282">
        <f t="shared" ref="AF133:AF154" si="63">SUM(V133:V156)/($B$128-B132)</f>
        <v>0</v>
      </c>
      <c r="AG133" s="301">
        <f>SUM(D132:D133)+$C$131</f>
        <v>0</v>
      </c>
      <c r="AH133" s="301"/>
      <c r="AI133" s="173">
        <f t="shared" si="50"/>
        <v>69.344714800000006</v>
      </c>
      <c r="AJ133" s="284">
        <f t="shared" si="43"/>
        <v>0.93571960494171247</v>
      </c>
      <c r="AK133" s="174">
        <f t="shared" si="51"/>
        <v>180.0511663828843</v>
      </c>
      <c r="AL133" s="173">
        <f t="shared" si="52"/>
        <v>50.174479900000001</v>
      </c>
      <c r="AM133" s="285">
        <f t="shared" si="53"/>
        <v>0.76799833627881664</v>
      </c>
      <c r="AN133" s="174">
        <f t="shared" si="54"/>
        <v>146.50336262854705</v>
      </c>
      <c r="AO133" s="286"/>
      <c r="AP133" s="174">
        <f t="shared" ref="AP133:AP154" si="64">25.5*($B$128-B132)</f>
        <v>-25.5</v>
      </c>
      <c r="AQ133" s="288"/>
      <c r="AR133" s="288">
        <f t="shared" si="55"/>
        <v>326.55452901143133</v>
      </c>
      <c r="AS133" s="289">
        <f>+V133-AN133</f>
        <v>-146.50336262854705</v>
      </c>
      <c r="AT133" s="289"/>
      <c r="AU133" s="289">
        <f>+AF133-AS133</f>
        <v>146.50336262854705</v>
      </c>
      <c r="AV133" s="291">
        <f t="shared" si="56"/>
        <v>-14.059840960291279</v>
      </c>
      <c r="AW133" s="291">
        <f t="shared" si="57"/>
        <v>-11.440159039708721</v>
      </c>
      <c r="AX133" s="292">
        <f t="shared" si="58"/>
        <v>-825.04489437408847</v>
      </c>
      <c r="AY133" s="292">
        <f t="shared" si="59"/>
        <v>-874.11372213358766</v>
      </c>
      <c r="AZ133" s="294">
        <f t="shared" si="60"/>
        <v>825.04489437408847</v>
      </c>
      <c r="BA133" s="294">
        <f t="shared" si="60"/>
        <v>874.11372213358766</v>
      </c>
      <c r="BB133">
        <f t="shared" si="61"/>
        <v>0.3</v>
      </c>
      <c r="BF133" s="27"/>
      <c r="BG133" s="27"/>
      <c r="BH133" s="27"/>
      <c r="BI133" s="27"/>
      <c r="BJ133" s="27"/>
    </row>
    <row r="134" spans="1:105" ht="21" customHeight="1" thickBot="1" x14ac:dyDescent="0.35">
      <c r="B134" s="88">
        <v>4</v>
      </c>
      <c r="C134" s="20"/>
      <c r="D134" s="738">
        <v>0</v>
      </c>
      <c r="E134" s="333" t="s">
        <v>72</v>
      </c>
      <c r="F134" s="81">
        <f t="shared" si="44"/>
        <v>0.3</v>
      </c>
      <c r="G134" s="81">
        <f t="shared" si="45"/>
        <v>0.3</v>
      </c>
      <c r="H134" s="299">
        <v>190.76</v>
      </c>
      <c r="I134" s="318">
        <v>79.651040199999997</v>
      </c>
      <c r="J134" s="251">
        <f t="shared" si="46"/>
        <v>79.651040199999997</v>
      </c>
      <c r="K134" s="251">
        <f t="shared" si="47"/>
        <v>39.825520099999999</v>
      </c>
      <c r="L134" s="251">
        <f t="shared" si="36"/>
        <v>0.64045183696587837</v>
      </c>
      <c r="M134" s="251">
        <f t="shared" si="37"/>
        <v>122.17259241961095</v>
      </c>
      <c r="N134" s="251">
        <f t="shared" si="38"/>
        <v>244.3451848392219</v>
      </c>
      <c r="O134" s="251">
        <f>+C131+D132+D133+(D134/2)</f>
        <v>0</v>
      </c>
      <c r="P134" s="251">
        <f t="shared" si="39"/>
        <v>0</v>
      </c>
      <c r="Q134" s="251">
        <f t="shared" si="40"/>
        <v>0</v>
      </c>
      <c r="R134" s="251">
        <f t="shared" si="48"/>
        <v>146.5</v>
      </c>
      <c r="S134" s="251">
        <f t="shared" si="62"/>
        <v>146.5</v>
      </c>
      <c r="T134" s="252">
        <f t="shared" si="41"/>
        <v>146.5</v>
      </c>
      <c r="V134" s="282">
        <f t="shared" si="42"/>
        <v>0</v>
      </c>
      <c r="W134" s="282"/>
      <c r="X134" s="282"/>
      <c r="Y134" s="282"/>
      <c r="Z134" s="282"/>
      <c r="AA134" s="282"/>
      <c r="AB134" s="300" t="str">
        <f t="shared" si="49"/>
        <v>pin in groundstacking hole</v>
      </c>
      <c r="AC134" s="451"/>
      <c r="AD134" s="451"/>
      <c r="AE134" s="451"/>
      <c r="AF134" s="282">
        <f t="shared" si="63"/>
        <v>0</v>
      </c>
      <c r="AG134" s="301">
        <f>SUM(D132:D134)+$C$131</f>
        <v>0</v>
      </c>
      <c r="AH134" s="301"/>
      <c r="AI134" s="173">
        <f t="shared" si="50"/>
        <v>69.344714800000006</v>
      </c>
      <c r="AJ134" s="284">
        <f t="shared" si="43"/>
        <v>0.93571960494171247</v>
      </c>
      <c r="AK134" s="174">
        <f t="shared" si="51"/>
        <v>180.0511663828843</v>
      </c>
      <c r="AL134" s="173">
        <f t="shared" si="52"/>
        <v>50.174479900000001</v>
      </c>
      <c r="AM134" s="285">
        <f t="shared" si="53"/>
        <v>0.76799833627881664</v>
      </c>
      <c r="AN134" s="174">
        <f t="shared" si="54"/>
        <v>146.50336262854705</v>
      </c>
      <c r="AO134" s="286"/>
      <c r="AP134" s="174">
        <f t="shared" si="64"/>
        <v>-51</v>
      </c>
      <c r="AQ134" s="288"/>
      <c r="AR134" s="288">
        <f t="shared" si="55"/>
        <v>326.55452901143133</v>
      </c>
      <c r="AS134" s="289">
        <f>+V134-AN134</f>
        <v>-146.50336262854705</v>
      </c>
      <c r="AT134" s="289"/>
      <c r="AU134" s="289">
        <f t="shared" ref="AU134:AU154" si="65">+AF134-AS134</f>
        <v>146.50336262854705</v>
      </c>
      <c r="AV134" s="291">
        <f t="shared" si="56"/>
        <v>-28.119681920582558</v>
      </c>
      <c r="AW134" s="291">
        <f t="shared" si="57"/>
        <v>-22.880318079417442</v>
      </c>
      <c r="AX134" s="292">
        <f t="shared" si="58"/>
        <v>-412.52244718704424</v>
      </c>
      <c r="AY134" s="292">
        <f t="shared" si="59"/>
        <v>-437.05686106679383</v>
      </c>
      <c r="AZ134" s="294">
        <f t="shared" si="60"/>
        <v>412.52244718704424</v>
      </c>
      <c r="BA134" s="294">
        <f t="shared" si="60"/>
        <v>437.05686106679383</v>
      </c>
      <c r="BB134">
        <f t="shared" si="61"/>
        <v>0.3</v>
      </c>
      <c r="BF134" s="27"/>
      <c r="BG134" s="27"/>
      <c r="BH134" s="27"/>
      <c r="BI134" s="27"/>
      <c r="BJ134" s="27"/>
    </row>
    <row r="135" spans="1:105" ht="21" customHeight="1" thickBot="1" x14ac:dyDescent="0.35">
      <c r="B135" s="88">
        <v>5</v>
      </c>
      <c r="C135" s="20"/>
      <c r="D135" s="738">
        <v>0</v>
      </c>
      <c r="E135" s="333" t="s">
        <v>72</v>
      </c>
      <c r="F135" s="81">
        <f t="shared" si="44"/>
        <v>0.3</v>
      </c>
      <c r="G135" s="81">
        <f t="shared" si="45"/>
        <v>0.3</v>
      </c>
      <c r="H135" s="299">
        <v>190.76</v>
      </c>
      <c r="I135" s="318">
        <v>79.651040199999997</v>
      </c>
      <c r="J135" s="251">
        <f t="shared" si="46"/>
        <v>79.651040199999997</v>
      </c>
      <c r="K135" s="251">
        <f t="shared" si="47"/>
        <v>39.825520099999999</v>
      </c>
      <c r="L135" s="251">
        <f t="shared" si="36"/>
        <v>0.64045183696587837</v>
      </c>
      <c r="M135" s="251">
        <f t="shared" si="37"/>
        <v>122.17259241961095</v>
      </c>
      <c r="N135" s="251">
        <f t="shared" si="38"/>
        <v>244.3451848392219</v>
      </c>
      <c r="O135" s="251">
        <f>+C131+D132+D133+D134+(D135/2)</f>
        <v>0</v>
      </c>
      <c r="P135" s="251">
        <f t="shared" si="39"/>
        <v>0</v>
      </c>
      <c r="Q135" s="251">
        <f t="shared" si="40"/>
        <v>0</v>
      </c>
      <c r="R135" s="251">
        <f t="shared" si="48"/>
        <v>146.5</v>
      </c>
      <c r="S135" s="251">
        <f t="shared" si="62"/>
        <v>146.5</v>
      </c>
      <c r="T135" s="252">
        <f t="shared" si="41"/>
        <v>146.5</v>
      </c>
      <c r="V135" s="282">
        <f t="shared" si="42"/>
        <v>0</v>
      </c>
      <c r="W135" s="282"/>
      <c r="X135" s="282"/>
      <c r="Y135" s="282"/>
      <c r="Z135" s="282"/>
      <c r="AA135" s="282"/>
      <c r="AB135" s="300" t="str">
        <f t="shared" si="49"/>
        <v>pin in groundstacking hole</v>
      </c>
      <c r="AC135" s="451"/>
      <c r="AD135" s="451"/>
      <c r="AE135" s="451"/>
      <c r="AF135" s="282">
        <f t="shared" si="63"/>
        <v>0</v>
      </c>
      <c r="AG135" s="301">
        <f>SUM(D132:D135)+$C$131</f>
        <v>0</v>
      </c>
      <c r="AH135" s="301"/>
      <c r="AI135" s="173">
        <f t="shared" si="50"/>
        <v>69.344714800000006</v>
      </c>
      <c r="AJ135" s="284">
        <f t="shared" si="43"/>
        <v>0.93571960494171247</v>
      </c>
      <c r="AK135" s="174">
        <f t="shared" si="51"/>
        <v>180.0511663828843</v>
      </c>
      <c r="AL135" s="173">
        <f t="shared" si="52"/>
        <v>50.174479900000001</v>
      </c>
      <c r="AM135" s="285">
        <f t="shared" si="53"/>
        <v>0.76799833627881664</v>
      </c>
      <c r="AN135" s="174">
        <f t="shared" si="54"/>
        <v>146.50336262854705</v>
      </c>
      <c r="AO135" s="286"/>
      <c r="AP135" s="174">
        <f t="shared" si="64"/>
        <v>-76.5</v>
      </c>
      <c r="AQ135" s="288"/>
      <c r="AR135" s="288">
        <f t="shared" si="55"/>
        <v>326.55452901143133</v>
      </c>
      <c r="AS135" s="289">
        <f t="shared" ref="AS135:AS154" si="66">+V135-AN135</f>
        <v>-146.50336262854705</v>
      </c>
      <c r="AT135" s="289"/>
      <c r="AU135" s="289">
        <f t="shared" si="65"/>
        <v>146.50336262854705</v>
      </c>
      <c r="AV135" s="291">
        <f t="shared" si="56"/>
        <v>-42.17952288087384</v>
      </c>
      <c r="AW135" s="291">
        <f t="shared" si="57"/>
        <v>-34.32047711912616</v>
      </c>
      <c r="AX135" s="292">
        <f t="shared" si="58"/>
        <v>-275.01496479136279</v>
      </c>
      <c r="AY135" s="292">
        <f t="shared" si="59"/>
        <v>-291.37124071119592</v>
      </c>
      <c r="AZ135" s="294">
        <f t="shared" si="60"/>
        <v>275.01496479136279</v>
      </c>
      <c r="BA135" s="294">
        <f t="shared" si="60"/>
        <v>291.37124071119592</v>
      </c>
      <c r="BB135">
        <f t="shared" si="61"/>
        <v>0.3</v>
      </c>
      <c r="BC135" s="10"/>
      <c r="BD135" s="10"/>
      <c r="BE135" s="10"/>
      <c r="BF135" s="27"/>
      <c r="BG135" s="27"/>
      <c r="BH135" s="27"/>
      <c r="BI135" s="27"/>
      <c r="BJ135" s="27"/>
    </row>
    <row r="136" spans="1:105" ht="21" customHeight="1" thickBot="1" x14ac:dyDescent="0.35">
      <c r="B136" s="88">
        <v>6</v>
      </c>
      <c r="C136" s="20"/>
      <c r="D136" s="738">
        <v>0</v>
      </c>
      <c r="E136" s="333" t="s">
        <v>72</v>
      </c>
      <c r="F136" s="81">
        <f t="shared" si="44"/>
        <v>0.3</v>
      </c>
      <c r="G136" s="81">
        <f t="shared" si="45"/>
        <v>0.3</v>
      </c>
      <c r="H136" s="299">
        <v>190.76</v>
      </c>
      <c r="I136" s="318">
        <v>79.651040199999997</v>
      </c>
      <c r="J136" s="251">
        <f t="shared" si="46"/>
        <v>79.651040199999997</v>
      </c>
      <c r="K136" s="251">
        <f t="shared" si="47"/>
        <v>39.825520099999999</v>
      </c>
      <c r="L136" s="251">
        <f t="shared" si="36"/>
        <v>0.64045183696587837</v>
      </c>
      <c r="M136" s="251">
        <f t="shared" si="37"/>
        <v>122.17259241961095</v>
      </c>
      <c r="N136" s="251">
        <f t="shared" si="38"/>
        <v>244.3451848392219</v>
      </c>
      <c r="O136" s="251">
        <f>+C131+D132+D133+D134+D135+(D136/2)</f>
        <v>0</v>
      </c>
      <c r="P136" s="251">
        <f t="shared" si="39"/>
        <v>0</v>
      </c>
      <c r="Q136" s="251">
        <f t="shared" si="40"/>
        <v>0</v>
      </c>
      <c r="R136" s="251">
        <f t="shared" si="48"/>
        <v>146.5</v>
      </c>
      <c r="S136" s="251">
        <f t="shared" si="62"/>
        <v>146.5</v>
      </c>
      <c r="T136" s="252">
        <f t="shared" si="41"/>
        <v>146.5</v>
      </c>
      <c r="V136" s="282">
        <f t="shared" si="42"/>
        <v>0</v>
      </c>
      <c r="W136" s="282"/>
      <c r="X136" s="282"/>
      <c r="Y136" s="282"/>
      <c r="Z136" s="282"/>
      <c r="AA136" s="282"/>
      <c r="AB136" s="300" t="str">
        <f t="shared" si="49"/>
        <v>pin in groundstacking hole</v>
      </c>
      <c r="AC136" s="451"/>
      <c r="AD136" s="451"/>
      <c r="AE136" s="451"/>
      <c r="AF136" s="282">
        <f t="shared" si="63"/>
        <v>0</v>
      </c>
      <c r="AG136" s="301">
        <f>SUM(D132:D136)+$C$131</f>
        <v>0</v>
      </c>
      <c r="AH136" s="301"/>
      <c r="AI136" s="173">
        <f t="shared" si="50"/>
        <v>69.344714800000006</v>
      </c>
      <c r="AJ136" s="284">
        <f t="shared" si="43"/>
        <v>0.93571960494171247</v>
      </c>
      <c r="AK136" s="174">
        <f t="shared" si="51"/>
        <v>180.0511663828843</v>
      </c>
      <c r="AL136" s="173">
        <f t="shared" si="52"/>
        <v>50.174479900000001</v>
      </c>
      <c r="AM136" s="285">
        <f t="shared" si="53"/>
        <v>0.76799833627881664</v>
      </c>
      <c r="AN136" s="174">
        <f t="shared" si="54"/>
        <v>146.50336262854705</v>
      </c>
      <c r="AO136" s="286"/>
      <c r="AP136" s="174">
        <f t="shared" si="64"/>
        <v>-102</v>
      </c>
      <c r="AQ136" s="288"/>
      <c r="AR136" s="288">
        <f t="shared" si="55"/>
        <v>326.55452901143133</v>
      </c>
      <c r="AS136" s="289">
        <f t="shared" si="66"/>
        <v>-146.50336262854705</v>
      </c>
      <c r="AT136" s="289"/>
      <c r="AU136" s="289">
        <f t="shared" si="65"/>
        <v>146.50336262854705</v>
      </c>
      <c r="AV136" s="291">
        <f t="shared" si="56"/>
        <v>-56.239363841165115</v>
      </c>
      <c r="AW136" s="291">
        <f t="shared" si="57"/>
        <v>-45.760636158834885</v>
      </c>
      <c r="AX136" s="292">
        <f t="shared" si="58"/>
        <v>-206.26122359352212</v>
      </c>
      <c r="AY136" s="292">
        <f t="shared" si="59"/>
        <v>-218.52843053339691</v>
      </c>
      <c r="AZ136" s="294">
        <f t="shared" si="60"/>
        <v>206.26122359352212</v>
      </c>
      <c r="BA136" s="294">
        <f t="shared" si="60"/>
        <v>218.52843053339691</v>
      </c>
      <c r="BB136">
        <f t="shared" si="61"/>
        <v>0.3</v>
      </c>
      <c r="BC136" s="10"/>
      <c r="BD136" s="10"/>
      <c r="BE136" s="10"/>
      <c r="BF136" s="27"/>
      <c r="BG136" s="27"/>
      <c r="BH136" s="27"/>
      <c r="BI136" s="27"/>
      <c r="BJ136" s="27"/>
      <c r="BM136" s="1623"/>
      <c r="BN136" s="1623"/>
      <c r="BO136" s="1623"/>
      <c r="BP136" s="1748"/>
      <c r="BQ136" s="1748"/>
      <c r="BR136" s="1748"/>
      <c r="BS136" s="1748"/>
      <c r="BT136" s="1748"/>
      <c r="BU136" s="1748"/>
      <c r="BV136" s="1749"/>
      <c r="BW136" s="1749"/>
      <c r="BX136" s="1749"/>
      <c r="BY136" s="1749"/>
      <c r="BZ136" s="1749"/>
      <c r="CA136" s="1749"/>
      <c r="CB136" s="1749"/>
      <c r="CC136" s="1749"/>
      <c r="CD136" s="1749"/>
      <c r="CE136" s="1749"/>
      <c r="CF136" s="1749"/>
      <c r="CG136" s="1749"/>
      <c r="CH136" s="1749"/>
      <c r="CI136" s="1749"/>
      <c r="CJ136" s="1750"/>
    </row>
    <row r="137" spans="1:105" ht="21" customHeight="1" thickBot="1" x14ac:dyDescent="0.5">
      <c r="B137" s="88">
        <v>7</v>
      </c>
      <c r="C137" s="20"/>
      <c r="D137" s="738">
        <v>0</v>
      </c>
      <c r="E137" s="333" t="s">
        <v>72</v>
      </c>
      <c r="F137" s="81">
        <f t="shared" si="44"/>
        <v>0.3</v>
      </c>
      <c r="G137" s="81">
        <f t="shared" si="45"/>
        <v>0.3</v>
      </c>
      <c r="H137" s="299">
        <v>190.76</v>
      </c>
      <c r="I137" s="318">
        <v>79.651040199999997</v>
      </c>
      <c r="J137" s="251">
        <f t="shared" si="46"/>
        <v>79.651040199999997</v>
      </c>
      <c r="K137" s="251">
        <f t="shared" si="47"/>
        <v>39.825520099999999</v>
      </c>
      <c r="L137" s="251">
        <f t="shared" si="36"/>
        <v>0.64045183696587837</v>
      </c>
      <c r="M137" s="251">
        <f t="shared" si="37"/>
        <v>122.17259241961095</v>
      </c>
      <c r="N137" s="251">
        <f t="shared" si="38"/>
        <v>244.3451848392219</v>
      </c>
      <c r="O137" s="251">
        <f>+C131+D132+D133+D134+D135+D136+(D137/2)</f>
        <v>0</v>
      </c>
      <c r="P137" s="251">
        <f t="shared" si="39"/>
        <v>0</v>
      </c>
      <c r="Q137" s="251">
        <f t="shared" si="40"/>
        <v>0</v>
      </c>
      <c r="R137" s="251">
        <f t="shared" si="48"/>
        <v>146.5</v>
      </c>
      <c r="S137" s="251">
        <f t="shared" si="62"/>
        <v>146.5</v>
      </c>
      <c r="T137" s="252">
        <f t="shared" si="41"/>
        <v>146.5</v>
      </c>
      <c r="V137" s="282">
        <f t="shared" si="42"/>
        <v>0</v>
      </c>
      <c r="W137" s="282"/>
      <c r="X137" s="282"/>
      <c r="Y137" s="282"/>
      <c r="Z137" s="282"/>
      <c r="AA137" s="282"/>
      <c r="AB137" s="300" t="str">
        <f t="shared" si="49"/>
        <v>pin in groundstacking hole</v>
      </c>
      <c r="AC137" s="451"/>
      <c r="AD137" s="451"/>
      <c r="AE137" s="451"/>
      <c r="AF137" s="282">
        <f t="shared" si="63"/>
        <v>0</v>
      </c>
      <c r="AG137" s="301">
        <f>SUM(D132:D137)+$C$131</f>
        <v>0</v>
      </c>
      <c r="AH137" s="301"/>
      <c r="AI137" s="173">
        <f t="shared" si="50"/>
        <v>69.344714800000006</v>
      </c>
      <c r="AJ137" s="284">
        <f t="shared" si="43"/>
        <v>0.93571960494171247</v>
      </c>
      <c r="AK137" s="174">
        <f t="shared" si="51"/>
        <v>180.0511663828843</v>
      </c>
      <c r="AL137" s="173">
        <f t="shared" si="52"/>
        <v>50.174479900000001</v>
      </c>
      <c r="AM137" s="285">
        <f t="shared" si="53"/>
        <v>0.76799833627881664</v>
      </c>
      <c r="AN137" s="174">
        <f t="shared" si="54"/>
        <v>146.50336262854705</v>
      </c>
      <c r="AO137" s="286"/>
      <c r="AP137" s="174">
        <f t="shared" si="64"/>
        <v>-127.5</v>
      </c>
      <c r="AQ137" s="288"/>
      <c r="AR137" s="288">
        <f t="shared" si="55"/>
        <v>326.55452901143133</v>
      </c>
      <c r="AS137" s="289">
        <f t="shared" si="66"/>
        <v>-146.50336262854705</v>
      </c>
      <c r="AT137" s="289"/>
      <c r="AU137" s="289">
        <f t="shared" si="65"/>
        <v>146.50336262854705</v>
      </c>
      <c r="AV137" s="291">
        <f t="shared" si="56"/>
        <v>-70.299204801456398</v>
      </c>
      <c r="AW137" s="291">
        <f t="shared" si="57"/>
        <v>-57.200795198543602</v>
      </c>
      <c r="AX137" s="292">
        <f t="shared" si="58"/>
        <v>-165.00897887481767</v>
      </c>
      <c r="AY137" s="292">
        <f t="shared" si="59"/>
        <v>-174.82274442671755</v>
      </c>
      <c r="AZ137" s="294">
        <f t="shared" si="60"/>
        <v>165.00897887481767</v>
      </c>
      <c r="BA137" s="294">
        <f t="shared" si="60"/>
        <v>174.82274442671755</v>
      </c>
      <c r="BB137">
        <f t="shared" si="61"/>
        <v>0.3</v>
      </c>
      <c r="BF137" s="27"/>
      <c r="BG137" s="27"/>
      <c r="BH137" s="27"/>
      <c r="BI137" s="27"/>
      <c r="BJ137" s="27"/>
      <c r="BM137" s="1754"/>
      <c r="BN137" s="1754"/>
      <c r="BO137" s="1754"/>
      <c r="BP137" s="1748"/>
      <c r="BQ137" s="1748"/>
      <c r="BR137" s="1748"/>
      <c r="BS137" s="1748"/>
      <c r="BT137" s="1748"/>
      <c r="BU137" s="1748"/>
      <c r="BV137" s="1749"/>
      <c r="BW137" s="1749"/>
      <c r="BX137" s="1749"/>
      <c r="BY137" s="1749"/>
      <c r="BZ137" s="1749"/>
      <c r="CA137" s="1749"/>
      <c r="CB137" s="1749"/>
      <c r="CC137" s="1749"/>
      <c r="CD137" s="1749"/>
      <c r="CE137" s="1749"/>
      <c r="CF137" s="1749"/>
      <c r="CG137" s="1749"/>
      <c r="CH137" s="1749"/>
      <c r="CI137" s="1749"/>
      <c r="CJ137" s="1750"/>
    </row>
    <row r="138" spans="1:105" ht="21" customHeight="1" thickBot="1" x14ac:dyDescent="0.5">
      <c r="B138" s="88">
        <v>8</v>
      </c>
      <c r="C138" s="20"/>
      <c r="D138" s="738">
        <v>0</v>
      </c>
      <c r="E138" s="333" t="s">
        <v>72</v>
      </c>
      <c r="F138" s="81">
        <f t="shared" si="44"/>
        <v>0.3</v>
      </c>
      <c r="G138" s="81">
        <f t="shared" si="45"/>
        <v>0.3</v>
      </c>
      <c r="H138" s="299">
        <v>190.76</v>
      </c>
      <c r="I138" s="318">
        <v>79.651040199999997</v>
      </c>
      <c r="J138" s="251">
        <f t="shared" si="46"/>
        <v>79.651040199999997</v>
      </c>
      <c r="K138" s="251">
        <f t="shared" si="47"/>
        <v>39.825520099999999</v>
      </c>
      <c r="L138" s="251">
        <f t="shared" si="36"/>
        <v>0.64045183696587837</v>
      </c>
      <c r="M138" s="251">
        <f t="shared" si="37"/>
        <v>122.17259241961095</v>
      </c>
      <c r="N138" s="251">
        <f t="shared" si="38"/>
        <v>244.3451848392219</v>
      </c>
      <c r="O138" s="251">
        <f>+C131+D132+D133+D134+D135+D136+D137+(D138/2)</f>
        <v>0</v>
      </c>
      <c r="P138" s="251">
        <f t="shared" si="39"/>
        <v>0</v>
      </c>
      <c r="Q138" s="251">
        <f t="shared" si="40"/>
        <v>0</v>
      </c>
      <c r="R138" s="251">
        <f t="shared" si="48"/>
        <v>146.5</v>
      </c>
      <c r="S138" s="251">
        <f t="shared" si="62"/>
        <v>146.5</v>
      </c>
      <c r="T138" s="252">
        <f t="shared" si="41"/>
        <v>146.5</v>
      </c>
      <c r="V138" s="282">
        <f t="shared" si="42"/>
        <v>0</v>
      </c>
      <c r="W138" s="282"/>
      <c r="X138" s="282"/>
      <c r="Y138" s="282"/>
      <c r="Z138" s="282"/>
      <c r="AA138" s="282"/>
      <c r="AB138" s="300" t="str">
        <f>IF(AY138&lt;0,"pin in groundstacking hole"," ")</f>
        <v>pin in groundstacking hole</v>
      </c>
      <c r="AC138" s="451"/>
      <c r="AD138" s="451"/>
      <c r="AE138" s="451"/>
      <c r="AF138" s="282">
        <f t="shared" si="63"/>
        <v>0</v>
      </c>
      <c r="AG138" s="301">
        <f>SUM(D132:D138)+$C$131</f>
        <v>0</v>
      </c>
      <c r="AH138" s="301"/>
      <c r="AI138" s="173">
        <f t="shared" si="50"/>
        <v>69.344714800000006</v>
      </c>
      <c r="AJ138" s="284">
        <f t="shared" si="43"/>
        <v>0.93571960494171247</v>
      </c>
      <c r="AK138" s="174">
        <f t="shared" si="51"/>
        <v>180.0511663828843</v>
      </c>
      <c r="AL138" s="173">
        <f t="shared" si="52"/>
        <v>50.174479900000001</v>
      </c>
      <c r="AM138" s="285">
        <f t="shared" si="53"/>
        <v>0.76799833627881664</v>
      </c>
      <c r="AN138" s="174">
        <f t="shared" si="54"/>
        <v>146.50336262854705</v>
      </c>
      <c r="AO138" s="286"/>
      <c r="AP138" s="174">
        <f t="shared" si="64"/>
        <v>-153</v>
      </c>
      <c r="AQ138" s="288"/>
      <c r="AR138" s="288">
        <f t="shared" si="55"/>
        <v>326.55452901143133</v>
      </c>
      <c r="AS138" s="289">
        <f t="shared" si="66"/>
        <v>-146.50336262854705</v>
      </c>
      <c r="AT138" s="289"/>
      <c r="AU138" s="289">
        <f t="shared" si="65"/>
        <v>146.50336262854705</v>
      </c>
      <c r="AV138" s="291">
        <f t="shared" si="56"/>
        <v>-84.35904576174768</v>
      </c>
      <c r="AW138" s="291">
        <f t="shared" si="57"/>
        <v>-68.64095423825232</v>
      </c>
      <c r="AX138" s="292">
        <f t="shared" si="58"/>
        <v>-137.50748239568139</v>
      </c>
      <c r="AY138" s="292">
        <f t="shared" si="59"/>
        <v>-145.68562035559796</v>
      </c>
      <c r="AZ138" s="294">
        <f t="shared" si="60"/>
        <v>137.50748239568139</v>
      </c>
      <c r="BA138" s="294">
        <f t="shared" si="60"/>
        <v>145.68562035559796</v>
      </c>
      <c r="BB138">
        <f t="shared" si="61"/>
        <v>0.3</v>
      </c>
      <c r="BF138" s="27"/>
      <c r="BG138" s="27"/>
      <c r="BH138" s="27"/>
      <c r="BI138" s="27"/>
      <c r="BJ138" s="27"/>
      <c r="BM138" s="1754"/>
      <c r="BN138" s="1754"/>
      <c r="BO138" s="1754"/>
      <c r="BP138" s="1748"/>
      <c r="BQ138" s="1748"/>
      <c r="BR138" s="1748"/>
      <c r="BS138" s="1748"/>
      <c r="BT138" s="1748"/>
      <c r="BU138" s="1748"/>
      <c r="BV138" s="1749"/>
      <c r="BW138" s="1749"/>
      <c r="BX138" s="1749"/>
      <c r="BY138" s="1749"/>
      <c r="BZ138" s="1749"/>
      <c r="CA138" s="1749"/>
      <c r="CB138" s="1749"/>
      <c r="CC138" s="1749"/>
      <c r="CD138" s="1749"/>
      <c r="CE138" s="1749"/>
      <c r="CF138" s="1749"/>
      <c r="CG138" s="1749"/>
      <c r="CH138" s="1749"/>
      <c r="CI138" s="1749"/>
      <c r="CJ138" s="1750"/>
    </row>
    <row r="139" spans="1:105" ht="21" customHeight="1" thickBot="1" x14ac:dyDescent="0.5">
      <c r="B139" s="88">
        <v>9</v>
      </c>
      <c r="C139" s="20"/>
      <c r="D139" s="738">
        <v>0</v>
      </c>
      <c r="E139" s="333" t="s">
        <v>72</v>
      </c>
      <c r="F139" s="81">
        <f t="shared" si="44"/>
        <v>0.3</v>
      </c>
      <c r="G139" s="81">
        <f t="shared" si="45"/>
        <v>0.3</v>
      </c>
      <c r="H139" s="299">
        <v>190.76</v>
      </c>
      <c r="I139" s="318">
        <v>79.651040199999997</v>
      </c>
      <c r="J139" s="251">
        <f t="shared" si="46"/>
        <v>79.651040199999997</v>
      </c>
      <c r="K139" s="251">
        <f t="shared" si="47"/>
        <v>39.825520099999999</v>
      </c>
      <c r="L139" s="251">
        <f t="shared" si="36"/>
        <v>0.64045183696587837</v>
      </c>
      <c r="M139" s="251">
        <f t="shared" si="37"/>
        <v>122.17259241961095</v>
      </c>
      <c r="N139" s="251">
        <f t="shared" si="38"/>
        <v>244.3451848392219</v>
      </c>
      <c r="O139" s="251">
        <f>+C131+D132+D133+D134+D135+D136+D137+D138+(D139/2)</f>
        <v>0</v>
      </c>
      <c r="P139" s="251">
        <f t="shared" si="39"/>
        <v>0</v>
      </c>
      <c r="Q139" s="251">
        <f t="shared" si="40"/>
        <v>0</v>
      </c>
      <c r="R139" s="251">
        <f t="shared" si="48"/>
        <v>146.5</v>
      </c>
      <c r="S139" s="251">
        <f t="shared" si="62"/>
        <v>146.5</v>
      </c>
      <c r="T139" s="252">
        <f t="shared" si="41"/>
        <v>146.5</v>
      </c>
      <c r="V139" s="282">
        <f t="shared" si="42"/>
        <v>0</v>
      </c>
      <c r="W139" s="282"/>
      <c r="X139" s="282"/>
      <c r="Y139" s="282"/>
      <c r="Z139" s="282"/>
      <c r="AA139" s="282"/>
      <c r="AB139" s="300" t="str">
        <f t="shared" si="49"/>
        <v>pin in groundstacking hole</v>
      </c>
      <c r="AC139" s="451"/>
      <c r="AD139" s="451"/>
      <c r="AE139" s="451"/>
      <c r="AF139" s="282">
        <f t="shared" si="63"/>
        <v>0</v>
      </c>
      <c r="AG139" s="301">
        <f>SUM(D132:D139)+$C$131</f>
        <v>0</v>
      </c>
      <c r="AH139" s="301"/>
      <c r="AI139" s="173">
        <f t="shared" si="50"/>
        <v>69.344714800000006</v>
      </c>
      <c r="AJ139" s="284">
        <f t="shared" si="43"/>
        <v>0.93571960494171247</v>
      </c>
      <c r="AK139" s="174">
        <f t="shared" si="51"/>
        <v>180.0511663828843</v>
      </c>
      <c r="AL139" s="173">
        <f t="shared" si="52"/>
        <v>50.174479900000001</v>
      </c>
      <c r="AM139" s="285">
        <f t="shared" si="53"/>
        <v>0.76799833627881664</v>
      </c>
      <c r="AN139" s="174">
        <f t="shared" si="54"/>
        <v>146.50336262854705</v>
      </c>
      <c r="AO139" s="286"/>
      <c r="AP139" s="174">
        <f t="shared" si="64"/>
        <v>-178.5</v>
      </c>
      <c r="AQ139" s="288"/>
      <c r="AR139" s="288">
        <f t="shared" si="55"/>
        <v>326.55452901143133</v>
      </c>
      <c r="AS139" s="289">
        <f t="shared" si="66"/>
        <v>-146.50336262854705</v>
      </c>
      <c r="AT139" s="289"/>
      <c r="AU139" s="289">
        <f t="shared" si="65"/>
        <v>146.50336262854705</v>
      </c>
      <c r="AV139" s="291">
        <f t="shared" si="56"/>
        <v>-98.418886722038962</v>
      </c>
      <c r="AW139" s="291">
        <f t="shared" si="57"/>
        <v>-80.081113277961038</v>
      </c>
      <c r="AX139" s="292">
        <f t="shared" si="58"/>
        <v>-117.86355633915548</v>
      </c>
      <c r="AY139" s="292">
        <f t="shared" si="59"/>
        <v>-124.87338887622683</v>
      </c>
      <c r="AZ139" s="294">
        <f t="shared" si="60"/>
        <v>117.86355633915548</v>
      </c>
      <c r="BA139" s="294">
        <f t="shared" si="60"/>
        <v>124.87338887622683</v>
      </c>
      <c r="BB139">
        <f t="shared" si="61"/>
        <v>0.3</v>
      </c>
      <c r="BF139" s="27"/>
      <c r="BG139" s="27"/>
      <c r="BH139" s="27"/>
      <c r="BI139" s="27"/>
      <c r="BJ139" s="27"/>
      <c r="BM139" s="1754"/>
      <c r="BN139" s="1754"/>
      <c r="BO139" s="1754"/>
      <c r="BP139" s="1748"/>
      <c r="BY139" s="1748"/>
      <c r="BZ139" s="1748"/>
      <c r="CA139" s="1748"/>
      <c r="CB139" s="1748"/>
      <c r="CC139" s="1748"/>
      <c r="CD139" s="1748"/>
      <c r="CE139" s="1748"/>
      <c r="CF139" s="1748"/>
      <c r="CG139" s="1748"/>
      <c r="CH139" s="1748"/>
      <c r="CI139" s="1748"/>
      <c r="CJ139" s="1748"/>
      <c r="CK139" s="1748"/>
      <c r="CL139" s="1748"/>
      <c r="CM139" s="1748"/>
      <c r="CN139" s="1748"/>
      <c r="CO139" s="1748"/>
      <c r="CP139" s="1748"/>
      <c r="CQ139" s="1748"/>
      <c r="CR139" s="1748"/>
      <c r="CS139" s="1748"/>
      <c r="CT139" s="1748"/>
      <c r="CU139" s="1748"/>
      <c r="CV139" s="1748"/>
      <c r="CW139" s="1748"/>
      <c r="CX139" s="1748"/>
      <c r="CY139" s="1748"/>
      <c r="CZ139" s="1748"/>
      <c r="DA139" s="1748"/>
    </row>
    <row r="140" spans="1:105" ht="21" customHeight="1" thickBot="1" x14ac:dyDescent="0.5">
      <c r="B140" s="88">
        <v>10</v>
      </c>
      <c r="C140" s="20"/>
      <c r="D140" s="738">
        <v>0</v>
      </c>
      <c r="E140" s="333" t="s">
        <v>72</v>
      </c>
      <c r="F140" s="81">
        <f t="shared" si="44"/>
        <v>0.3</v>
      </c>
      <c r="G140" s="81">
        <f t="shared" si="45"/>
        <v>0.3</v>
      </c>
      <c r="H140" s="299">
        <v>190.76</v>
      </c>
      <c r="I140" s="318">
        <v>79.651040199999997</v>
      </c>
      <c r="J140" s="251">
        <f t="shared" si="46"/>
        <v>79.651040199999997</v>
      </c>
      <c r="K140" s="251">
        <f t="shared" si="47"/>
        <v>39.825520099999999</v>
      </c>
      <c r="L140" s="251">
        <f t="shared" si="36"/>
        <v>0.64045183696587837</v>
      </c>
      <c r="M140" s="251">
        <f t="shared" si="37"/>
        <v>122.17259241961095</v>
      </c>
      <c r="N140" s="251">
        <f t="shared" si="38"/>
        <v>244.3451848392219</v>
      </c>
      <c r="O140" s="251">
        <f>+C131+D132+D133+D134+D135+D136+D137+D138+D139+(D140/2)</f>
        <v>0</v>
      </c>
      <c r="P140" s="251">
        <f t="shared" si="39"/>
        <v>0</v>
      </c>
      <c r="Q140" s="251">
        <f t="shared" si="40"/>
        <v>0</v>
      </c>
      <c r="R140" s="251">
        <f t="shared" si="48"/>
        <v>146.5</v>
      </c>
      <c r="S140" s="251">
        <f t="shared" si="62"/>
        <v>146.5</v>
      </c>
      <c r="T140" s="252">
        <f t="shared" si="41"/>
        <v>146.5</v>
      </c>
      <c r="V140" s="282">
        <f t="shared" si="42"/>
        <v>0</v>
      </c>
      <c r="W140" s="282"/>
      <c r="X140" s="282"/>
      <c r="Y140" s="282"/>
      <c r="Z140" s="282"/>
      <c r="AA140" s="282"/>
      <c r="AB140" s="300" t="str">
        <f t="shared" si="49"/>
        <v>pin in groundstacking hole</v>
      </c>
      <c r="AC140" s="451"/>
      <c r="AD140" s="451"/>
      <c r="AE140" s="451"/>
      <c r="AF140" s="282">
        <f t="shared" si="63"/>
        <v>0</v>
      </c>
      <c r="AG140" s="301">
        <f>SUM(D132:D140)+$C$131</f>
        <v>0</v>
      </c>
      <c r="AH140" s="301"/>
      <c r="AI140" s="173">
        <f t="shared" si="50"/>
        <v>69.344714800000006</v>
      </c>
      <c r="AJ140" s="284">
        <f t="shared" si="43"/>
        <v>0.93571960494171247</v>
      </c>
      <c r="AK140" s="174">
        <f t="shared" si="51"/>
        <v>180.0511663828843</v>
      </c>
      <c r="AL140" s="173">
        <f t="shared" si="52"/>
        <v>50.174479900000001</v>
      </c>
      <c r="AM140" s="285">
        <f t="shared" si="53"/>
        <v>0.76799833627881664</v>
      </c>
      <c r="AN140" s="174">
        <f t="shared" si="54"/>
        <v>146.50336262854705</v>
      </c>
      <c r="AO140" s="286"/>
      <c r="AP140" s="174">
        <f t="shared" si="64"/>
        <v>-204</v>
      </c>
      <c r="AQ140" s="288"/>
      <c r="AR140" s="288">
        <f t="shared" si="55"/>
        <v>326.55452901143133</v>
      </c>
      <c r="AS140" s="289">
        <f t="shared" si="66"/>
        <v>-146.50336262854705</v>
      </c>
      <c r="AT140" s="289"/>
      <c r="AU140" s="289">
        <f t="shared" si="65"/>
        <v>146.50336262854705</v>
      </c>
      <c r="AV140" s="291">
        <f t="shared" si="56"/>
        <v>-112.47872768233023</v>
      </c>
      <c r="AW140" s="291">
        <f t="shared" si="57"/>
        <v>-91.521272317669769</v>
      </c>
      <c r="AX140" s="292">
        <f t="shared" si="58"/>
        <v>-103.13061179676106</v>
      </c>
      <c r="AY140" s="292">
        <f t="shared" si="59"/>
        <v>-109.26421526669846</v>
      </c>
      <c r="AZ140" s="294">
        <f t="shared" si="60"/>
        <v>103.13061179676106</v>
      </c>
      <c r="BA140" s="294">
        <f t="shared" si="60"/>
        <v>109.26421526669846</v>
      </c>
      <c r="BB140">
        <f t="shared" si="61"/>
        <v>0.3</v>
      </c>
      <c r="BF140" s="27"/>
      <c r="BG140" s="27"/>
      <c r="BH140" s="27"/>
      <c r="BI140" s="27"/>
      <c r="BJ140" s="27"/>
      <c r="BM140" s="1754"/>
      <c r="BN140" s="1754"/>
      <c r="BO140" s="1754"/>
      <c r="CI140" s="1755"/>
      <c r="CJ140" s="1755"/>
      <c r="CK140" s="1755"/>
      <c r="CL140" s="1755"/>
      <c r="CM140" s="1755"/>
      <c r="CN140" s="1755"/>
    </row>
    <row r="141" spans="1:105" ht="21" customHeight="1" thickBot="1" x14ac:dyDescent="0.5">
      <c r="A141" s="9"/>
      <c r="B141" s="88">
        <v>11</v>
      </c>
      <c r="C141" s="20"/>
      <c r="D141" s="738">
        <v>0</v>
      </c>
      <c r="E141" s="333" t="s">
        <v>72</v>
      </c>
      <c r="F141" s="81">
        <f t="shared" si="44"/>
        <v>0.3</v>
      </c>
      <c r="G141" s="81">
        <f t="shared" si="45"/>
        <v>0.3</v>
      </c>
      <c r="H141" s="299">
        <v>190.76</v>
      </c>
      <c r="I141" s="318">
        <v>79.651040199999997</v>
      </c>
      <c r="J141" s="251">
        <f t="shared" si="46"/>
        <v>79.651040199999997</v>
      </c>
      <c r="K141" s="251">
        <f t="shared" si="47"/>
        <v>39.825520099999999</v>
      </c>
      <c r="L141" s="251">
        <f t="shared" si="36"/>
        <v>0.64045183696587837</v>
      </c>
      <c r="M141" s="251">
        <f t="shared" si="37"/>
        <v>122.17259241961095</v>
      </c>
      <c r="N141" s="251">
        <f t="shared" si="38"/>
        <v>244.3451848392219</v>
      </c>
      <c r="O141" s="251">
        <f>+C131+D132+D133+D134+D135+D136+D137+D138+D139+D140+(D141/2)</f>
        <v>0</v>
      </c>
      <c r="P141" s="251">
        <f t="shared" si="39"/>
        <v>0</v>
      </c>
      <c r="Q141" s="251">
        <f t="shared" si="40"/>
        <v>0</v>
      </c>
      <c r="R141" s="251">
        <f t="shared" si="48"/>
        <v>146.5</v>
      </c>
      <c r="S141" s="251">
        <f t="shared" si="62"/>
        <v>146.5</v>
      </c>
      <c r="T141" s="252">
        <f t="shared" si="41"/>
        <v>146.5</v>
      </c>
      <c r="V141" s="282">
        <f t="shared" si="42"/>
        <v>0</v>
      </c>
      <c r="W141" s="282"/>
      <c r="X141" s="282"/>
      <c r="Y141" s="282"/>
      <c r="Z141" s="282"/>
      <c r="AA141" s="282"/>
      <c r="AB141" s="300" t="str">
        <f t="shared" si="49"/>
        <v>pin in groundstacking hole</v>
      </c>
      <c r="AC141" s="451"/>
      <c r="AD141" s="451"/>
      <c r="AE141" s="451"/>
      <c r="AF141" s="282">
        <f t="shared" si="63"/>
        <v>0</v>
      </c>
      <c r="AG141" s="301">
        <f>SUM(D132:D141)+$C$131</f>
        <v>0</v>
      </c>
      <c r="AH141" s="301"/>
      <c r="AI141" s="173">
        <f t="shared" si="50"/>
        <v>69.344714800000006</v>
      </c>
      <c r="AJ141" s="284">
        <f t="shared" si="43"/>
        <v>0.93571960494171247</v>
      </c>
      <c r="AK141" s="174">
        <f t="shared" si="51"/>
        <v>180.0511663828843</v>
      </c>
      <c r="AL141" s="173">
        <f t="shared" si="52"/>
        <v>50.174479900000001</v>
      </c>
      <c r="AM141" s="285">
        <f t="shared" si="53"/>
        <v>0.76799833627881664</v>
      </c>
      <c r="AN141" s="174">
        <f t="shared" si="54"/>
        <v>146.50336262854705</v>
      </c>
      <c r="AO141" s="286"/>
      <c r="AP141" s="174">
        <f t="shared" si="64"/>
        <v>-229.5</v>
      </c>
      <c r="AQ141" s="288"/>
      <c r="AR141" s="288">
        <f t="shared" si="55"/>
        <v>326.55452901143133</v>
      </c>
      <c r="AS141" s="289">
        <f t="shared" si="66"/>
        <v>-146.50336262854705</v>
      </c>
      <c r="AT141" s="289"/>
      <c r="AU141" s="289">
        <f t="shared" si="65"/>
        <v>146.50336262854705</v>
      </c>
      <c r="AV141" s="291">
        <f t="shared" si="56"/>
        <v>-126.53856864262151</v>
      </c>
      <c r="AW141" s="291">
        <f t="shared" si="57"/>
        <v>-102.96143135737849</v>
      </c>
      <c r="AX141" s="292">
        <f t="shared" si="58"/>
        <v>-91.671654930454267</v>
      </c>
      <c r="AY141" s="292">
        <f t="shared" si="59"/>
        <v>-97.12374690373197</v>
      </c>
      <c r="AZ141" s="294">
        <f t="shared" si="60"/>
        <v>91.671654930454267</v>
      </c>
      <c r="BA141" s="294">
        <f t="shared" si="60"/>
        <v>97.12374690373197</v>
      </c>
      <c r="BB141">
        <f t="shared" si="61"/>
        <v>0.3</v>
      </c>
      <c r="BF141" s="27"/>
      <c r="BG141" s="27"/>
      <c r="BH141" s="27"/>
      <c r="BI141" s="27"/>
      <c r="BJ141" s="27"/>
      <c r="BM141" s="1754"/>
      <c r="BN141" s="1754"/>
      <c r="BO141" s="1754"/>
    </row>
    <row r="142" spans="1:105" ht="21" customHeight="1" thickBot="1" x14ac:dyDescent="0.5">
      <c r="A142" s="9"/>
      <c r="B142" s="88">
        <v>12</v>
      </c>
      <c r="C142" s="20"/>
      <c r="D142" s="738">
        <v>0</v>
      </c>
      <c r="E142" s="333" t="s">
        <v>72</v>
      </c>
      <c r="F142" s="81">
        <f t="shared" si="44"/>
        <v>0.3</v>
      </c>
      <c r="G142" s="81">
        <f t="shared" si="45"/>
        <v>0.3</v>
      </c>
      <c r="H142" s="299">
        <v>190.76</v>
      </c>
      <c r="I142" s="318">
        <v>79.651040199999997</v>
      </c>
      <c r="J142" s="251">
        <f t="shared" si="46"/>
        <v>79.651040199999997</v>
      </c>
      <c r="K142" s="251">
        <f t="shared" si="47"/>
        <v>39.825520099999999</v>
      </c>
      <c r="L142" s="251">
        <f t="shared" si="36"/>
        <v>0.64045183696587837</v>
      </c>
      <c r="M142" s="251">
        <f t="shared" si="37"/>
        <v>122.17259241961095</v>
      </c>
      <c r="N142" s="251">
        <f t="shared" si="38"/>
        <v>244.3451848392219</v>
      </c>
      <c r="O142" s="251">
        <f>+C131+D132+D133+D134+D135+D136+D137+D138+D139+D140+D141+(D142/2)</f>
        <v>0</v>
      </c>
      <c r="P142" s="251">
        <f t="shared" si="39"/>
        <v>0</v>
      </c>
      <c r="Q142" s="251">
        <f t="shared" si="40"/>
        <v>0</v>
      </c>
      <c r="R142" s="251">
        <f t="shared" si="48"/>
        <v>146.5</v>
      </c>
      <c r="S142" s="251">
        <f t="shared" si="62"/>
        <v>146.5</v>
      </c>
      <c r="T142" s="252">
        <f t="shared" si="41"/>
        <v>146.5</v>
      </c>
      <c r="V142" s="282">
        <f t="shared" si="42"/>
        <v>0</v>
      </c>
      <c r="W142" s="282"/>
      <c r="X142" s="282"/>
      <c r="Y142" s="282"/>
      <c r="Z142" s="282"/>
      <c r="AA142" s="282"/>
      <c r="AB142" s="300" t="str">
        <f t="shared" si="49"/>
        <v>pin in groundstacking hole</v>
      </c>
      <c r="AC142" s="451"/>
      <c r="AD142" s="451"/>
      <c r="AE142" s="451"/>
      <c r="AF142" s="282">
        <f t="shared" si="63"/>
        <v>0</v>
      </c>
      <c r="AG142" s="301">
        <f>SUM(D132:D142)+$C$131</f>
        <v>0</v>
      </c>
      <c r="AH142" s="301"/>
      <c r="AI142" s="173">
        <f t="shared" si="50"/>
        <v>69.344714800000006</v>
      </c>
      <c r="AJ142" s="284">
        <f t="shared" si="43"/>
        <v>0.93571960494171247</v>
      </c>
      <c r="AK142" s="174">
        <f t="shared" si="51"/>
        <v>180.0511663828843</v>
      </c>
      <c r="AL142" s="173">
        <f t="shared" si="52"/>
        <v>50.174479900000001</v>
      </c>
      <c r="AM142" s="285">
        <f t="shared" si="53"/>
        <v>0.76799833627881664</v>
      </c>
      <c r="AN142" s="174">
        <f t="shared" si="54"/>
        <v>146.50336262854705</v>
      </c>
      <c r="AO142" s="286"/>
      <c r="AP142" s="174">
        <f t="shared" si="64"/>
        <v>-255</v>
      </c>
      <c r="AQ142" s="288"/>
      <c r="AR142" s="288">
        <f t="shared" si="55"/>
        <v>326.55452901143133</v>
      </c>
      <c r="AS142" s="289">
        <f t="shared" si="66"/>
        <v>-146.50336262854705</v>
      </c>
      <c r="AT142" s="289"/>
      <c r="AU142" s="289">
        <f t="shared" si="65"/>
        <v>146.50336262854705</v>
      </c>
      <c r="AV142" s="291">
        <f t="shared" si="56"/>
        <v>-140.5984096029128</v>
      </c>
      <c r="AW142" s="291">
        <f t="shared" si="57"/>
        <v>-114.4015903970872</v>
      </c>
      <c r="AX142" s="292">
        <f t="shared" si="58"/>
        <v>-82.504489437408836</v>
      </c>
      <c r="AY142" s="292">
        <f t="shared" si="59"/>
        <v>-87.411372213358774</v>
      </c>
      <c r="AZ142" s="294">
        <f t="shared" si="60"/>
        <v>82.504489437408836</v>
      </c>
      <c r="BA142" s="294">
        <f t="shared" si="60"/>
        <v>87.411372213358774</v>
      </c>
      <c r="BB142">
        <f t="shared" si="61"/>
        <v>0.3</v>
      </c>
      <c r="BF142" s="27"/>
      <c r="BG142" s="27"/>
      <c r="BH142" s="27"/>
      <c r="BI142" s="27"/>
      <c r="BJ142" s="27"/>
      <c r="BM142" s="1754"/>
      <c r="BN142" s="1754"/>
      <c r="BO142" s="1754"/>
    </row>
    <row r="143" spans="1:105" ht="21" customHeight="1" thickBot="1" x14ac:dyDescent="0.5">
      <c r="B143" s="88">
        <v>13</v>
      </c>
      <c r="C143" s="20"/>
      <c r="D143" s="738">
        <v>0</v>
      </c>
      <c r="E143" s="333" t="s">
        <v>72</v>
      </c>
      <c r="F143" s="81">
        <f t="shared" si="44"/>
        <v>0.3</v>
      </c>
      <c r="G143" s="81">
        <f t="shared" si="45"/>
        <v>0.3</v>
      </c>
      <c r="H143" s="299">
        <v>190.76</v>
      </c>
      <c r="I143" s="318">
        <v>79.651040199999997</v>
      </c>
      <c r="J143" s="251">
        <f t="shared" si="46"/>
        <v>79.651040199999997</v>
      </c>
      <c r="K143" s="251">
        <f t="shared" si="47"/>
        <v>39.825520099999999</v>
      </c>
      <c r="L143" s="251">
        <f t="shared" si="36"/>
        <v>0.64045183696587837</v>
      </c>
      <c r="M143" s="251">
        <f t="shared" si="37"/>
        <v>122.17259241961095</v>
      </c>
      <c r="N143" s="251">
        <f t="shared" si="38"/>
        <v>244.3451848392219</v>
      </c>
      <c r="O143" s="251">
        <f>+C131+D132+D133+D134+D135+D136+D137+D138+D139+D140+D141+D142+(D143/2)</f>
        <v>0</v>
      </c>
      <c r="P143" s="251">
        <f t="shared" si="39"/>
        <v>0</v>
      </c>
      <c r="Q143" s="251">
        <f t="shared" si="40"/>
        <v>0</v>
      </c>
      <c r="R143" s="251">
        <f t="shared" si="48"/>
        <v>146.5</v>
      </c>
      <c r="S143" s="251">
        <f t="shared" si="62"/>
        <v>146.5</v>
      </c>
      <c r="T143" s="252">
        <f t="shared" si="41"/>
        <v>146.5</v>
      </c>
      <c r="V143" s="282">
        <f t="shared" si="42"/>
        <v>0</v>
      </c>
      <c r="W143" s="282"/>
      <c r="X143" s="282"/>
      <c r="Y143" s="282"/>
      <c r="Z143" s="282"/>
      <c r="AA143" s="282"/>
      <c r="AB143" s="300" t="str">
        <f t="shared" si="49"/>
        <v>pin in groundstacking hole</v>
      </c>
      <c r="AC143" s="451"/>
      <c r="AD143" s="451"/>
      <c r="AE143" s="451"/>
      <c r="AF143" s="282">
        <f t="shared" si="63"/>
        <v>0</v>
      </c>
      <c r="AG143" s="301">
        <f>SUM(D132:D143)+$C$131</f>
        <v>0</v>
      </c>
      <c r="AH143" s="301"/>
      <c r="AI143" s="173">
        <f t="shared" si="50"/>
        <v>69.344714800000006</v>
      </c>
      <c r="AJ143" s="284">
        <f t="shared" si="43"/>
        <v>0.93571960494171247</v>
      </c>
      <c r="AK143" s="174">
        <f t="shared" si="51"/>
        <v>180.0511663828843</v>
      </c>
      <c r="AL143" s="173">
        <f t="shared" si="52"/>
        <v>50.174479900000001</v>
      </c>
      <c r="AM143" s="285">
        <f t="shared" si="53"/>
        <v>0.76799833627881664</v>
      </c>
      <c r="AN143" s="174">
        <f t="shared" si="54"/>
        <v>146.50336262854705</v>
      </c>
      <c r="AO143" s="286"/>
      <c r="AP143" s="174">
        <f t="shared" si="64"/>
        <v>-280.5</v>
      </c>
      <c r="AQ143" s="288"/>
      <c r="AR143" s="288">
        <f t="shared" si="55"/>
        <v>326.55452901143133</v>
      </c>
      <c r="AS143" s="289">
        <f t="shared" si="66"/>
        <v>-146.50336262854705</v>
      </c>
      <c r="AT143" s="289"/>
      <c r="AU143" s="289">
        <f t="shared" si="65"/>
        <v>146.50336262854705</v>
      </c>
      <c r="AV143" s="291">
        <f t="shared" si="56"/>
        <v>-154.65825056320406</v>
      </c>
      <c r="AW143" s="291">
        <f t="shared" si="57"/>
        <v>-125.84174943679592</v>
      </c>
      <c r="AX143" s="292">
        <f t="shared" si="58"/>
        <v>-75.004081306735316</v>
      </c>
      <c r="AY143" s="292">
        <f t="shared" si="59"/>
        <v>-79.464883830326158</v>
      </c>
      <c r="AZ143" s="294">
        <f t="shared" si="60"/>
        <v>75.004081306735316</v>
      </c>
      <c r="BA143" s="294">
        <f t="shared" si="60"/>
        <v>79.464883830326158</v>
      </c>
      <c r="BB143">
        <f t="shared" si="61"/>
        <v>0.3</v>
      </c>
      <c r="BF143" s="27"/>
      <c r="BG143" s="27"/>
      <c r="BH143" s="27"/>
      <c r="BI143" s="27"/>
      <c r="BJ143" s="27"/>
      <c r="BM143" s="1754"/>
      <c r="BN143" s="1754"/>
      <c r="BO143" s="1754"/>
    </row>
    <row r="144" spans="1:105" ht="21" customHeight="1" thickBot="1" x14ac:dyDescent="0.5">
      <c r="B144" s="88">
        <v>14</v>
      </c>
      <c r="C144" s="20"/>
      <c r="D144" s="738">
        <v>0</v>
      </c>
      <c r="E144" s="333" t="s">
        <v>72</v>
      </c>
      <c r="F144" s="81">
        <f t="shared" si="44"/>
        <v>0.3</v>
      </c>
      <c r="G144" s="81">
        <f t="shared" si="45"/>
        <v>0.3</v>
      </c>
      <c r="H144" s="299">
        <v>190.76</v>
      </c>
      <c r="I144" s="318">
        <v>79.651040199999997</v>
      </c>
      <c r="J144" s="251">
        <f t="shared" si="46"/>
        <v>79.651040199999997</v>
      </c>
      <c r="K144" s="251">
        <f t="shared" si="47"/>
        <v>39.825520099999999</v>
      </c>
      <c r="L144" s="251">
        <f t="shared" si="36"/>
        <v>0.64045183696587837</v>
      </c>
      <c r="M144" s="251">
        <f t="shared" si="37"/>
        <v>122.17259241961095</v>
      </c>
      <c r="N144" s="251">
        <f t="shared" si="38"/>
        <v>244.3451848392219</v>
      </c>
      <c r="O144" s="251">
        <f>+C131+D132+D133+D134+D135+D136+D137+D138+D139+D140+D141+D142+D143+(D144/2)</f>
        <v>0</v>
      </c>
      <c r="P144" s="251">
        <f t="shared" si="39"/>
        <v>0</v>
      </c>
      <c r="Q144" s="251">
        <f t="shared" si="40"/>
        <v>0</v>
      </c>
      <c r="R144" s="251">
        <f t="shared" si="48"/>
        <v>146.5</v>
      </c>
      <c r="S144" s="251">
        <f t="shared" si="62"/>
        <v>146.5</v>
      </c>
      <c r="T144" s="252">
        <f t="shared" si="41"/>
        <v>146.5</v>
      </c>
      <c r="V144" s="282">
        <f t="shared" si="42"/>
        <v>0</v>
      </c>
      <c r="W144" s="282"/>
      <c r="X144" s="282"/>
      <c r="Y144" s="282"/>
      <c r="Z144" s="282"/>
      <c r="AA144" s="282"/>
      <c r="AB144" s="300" t="str">
        <f t="shared" si="49"/>
        <v>pin in groundstacking hole</v>
      </c>
      <c r="AC144" s="451"/>
      <c r="AD144" s="451"/>
      <c r="AE144" s="451"/>
      <c r="AF144" s="282">
        <f t="shared" si="63"/>
        <v>0</v>
      </c>
      <c r="AG144" s="301">
        <f>SUM(D132:D144)+$C$131</f>
        <v>0</v>
      </c>
      <c r="AH144" s="301"/>
      <c r="AI144" s="173">
        <f t="shared" si="50"/>
        <v>69.344714800000006</v>
      </c>
      <c r="AJ144" s="284">
        <f t="shared" si="43"/>
        <v>0.93571960494171247</v>
      </c>
      <c r="AK144" s="174">
        <f t="shared" si="51"/>
        <v>180.0511663828843</v>
      </c>
      <c r="AL144" s="173">
        <f t="shared" si="52"/>
        <v>50.174479900000001</v>
      </c>
      <c r="AM144" s="285">
        <f t="shared" si="53"/>
        <v>0.76799833627881664</v>
      </c>
      <c r="AN144" s="174">
        <f t="shared" si="54"/>
        <v>146.50336262854705</v>
      </c>
      <c r="AO144" s="286"/>
      <c r="AP144" s="174">
        <f t="shared" si="64"/>
        <v>-306</v>
      </c>
      <c r="AQ144" s="288"/>
      <c r="AR144" s="288">
        <f t="shared" si="55"/>
        <v>326.55452901143133</v>
      </c>
      <c r="AS144" s="289">
        <f t="shared" si="66"/>
        <v>-146.50336262854705</v>
      </c>
      <c r="AT144" s="289"/>
      <c r="AU144" s="289">
        <f t="shared" si="65"/>
        <v>146.50336262854705</v>
      </c>
      <c r="AV144" s="291">
        <f t="shared" si="56"/>
        <v>-168.71809152349536</v>
      </c>
      <c r="AW144" s="291">
        <f t="shared" si="57"/>
        <v>-137.28190847650464</v>
      </c>
      <c r="AX144" s="292">
        <f t="shared" si="58"/>
        <v>-68.753741197840696</v>
      </c>
      <c r="AY144" s="292">
        <f t="shared" si="59"/>
        <v>-72.842810177798981</v>
      </c>
      <c r="AZ144" s="294">
        <f t="shared" si="60"/>
        <v>68.753741197840696</v>
      </c>
      <c r="BA144" s="294">
        <f t="shared" si="60"/>
        <v>72.842810177798981</v>
      </c>
      <c r="BB144">
        <f t="shared" si="61"/>
        <v>0.3</v>
      </c>
      <c r="BF144" s="27"/>
      <c r="BG144" s="27"/>
      <c r="BH144" s="27"/>
      <c r="BI144" s="27"/>
      <c r="BJ144" s="27"/>
      <c r="BM144" s="1754"/>
      <c r="BN144" s="1754"/>
      <c r="BO144" s="1754"/>
      <c r="BP144" s="1551"/>
    </row>
    <row r="145" spans="2:133" ht="21" customHeight="1" thickBot="1" x14ac:dyDescent="0.5">
      <c r="B145" s="88">
        <v>15</v>
      </c>
      <c r="C145" s="20"/>
      <c r="D145" s="738">
        <v>0</v>
      </c>
      <c r="E145" s="333" t="s">
        <v>72</v>
      </c>
      <c r="F145" s="81">
        <f t="shared" si="44"/>
        <v>0.3</v>
      </c>
      <c r="G145" s="81">
        <f t="shared" si="45"/>
        <v>0.3</v>
      </c>
      <c r="H145" s="299">
        <v>190.76</v>
      </c>
      <c r="I145" s="318">
        <v>79.651040199999997</v>
      </c>
      <c r="J145" s="251">
        <f t="shared" si="46"/>
        <v>79.651040199999997</v>
      </c>
      <c r="K145" s="251">
        <f t="shared" si="47"/>
        <v>39.825520099999999</v>
      </c>
      <c r="L145" s="251">
        <f t="shared" si="36"/>
        <v>0.64045183696587837</v>
      </c>
      <c r="M145" s="251">
        <f t="shared" si="37"/>
        <v>122.17259241961095</v>
      </c>
      <c r="N145" s="251">
        <f t="shared" si="38"/>
        <v>244.3451848392219</v>
      </c>
      <c r="O145" s="251">
        <f>+C131+D132+D133+D134+D135+D136+D137+D138+D139+D140+D141+D142+D143+D144+(D145/2)</f>
        <v>0</v>
      </c>
      <c r="P145" s="251">
        <f t="shared" si="39"/>
        <v>0</v>
      </c>
      <c r="Q145" s="251">
        <f t="shared" si="40"/>
        <v>0</v>
      </c>
      <c r="R145" s="251">
        <f t="shared" si="48"/>
        <v>146.5</v>
      </c>
      <c r="S145" s="251">
        <f t="shared" si="62"/>
        <v>146.5</v>
      </c>
      <c r="T145" s="252">
        <f t="shared" si="41"/>
        <v>146.5</v>
      </c>
      <c r="V145" s="282">
        <f t="shared" si="42"/>
        <v>0</v>
      </c>
      <c r="W145" s="282"/>
      <c r="X145" s="282"/>
      <c r="Y145" s="282"/>
      <c r="Z145" s="282"/>
      <c r="AA145" s="282"/>
      <c r="AB145" s="300" t="str">
        <f t="shared" si="49"/>
        <v>pin in groundstacking hole</v>
      </c>
      <c r="AC145" s="451"/>
      <c r="AD145" s="451"/>
      <c r="AE145" s="451"/>
      <c r="AF145" s="282">
        <f t="shared" si="63"/>
        <v>0</v>
      </c>
      <c r="AG145" s="301">
        <f>SUM(D132:D145)+$C$131</f>
        <v>0</v>
      </c>
      <c r="AH145" s="301"/>
      <c r="AI145" s="173">
        <f t="shared" si="50"/>
        <v>69.344714800000006</v>
      </c>
      <c r="AJ145" s="284">
        <f t="shared" si="43"/>
        <v>0.93571960494171247</v>
      </c>
      <c r="AK145" s="174">
        <f t="shared" si="51"/>
        <v>180.0511663828843</v>
      </c>
      <c r="AL145" s="173">
        <f t="shared" si="52"/>
        <v>50.174479900000001</v>
      </c>
      <c r="AM145" s="285">
        <f t="shared" si="53"/>
        <v>0.76799833627881664</v>
      </c>
      <c r="AN145" s="174">
        <f t="shared" si="54"/>
        <v>146.50336262854705</v>
      </c>
      <c r="AO145" s="286"/>
      <c r="AP145" s="174">
        <f t="shared" si="64"/>
        <v>-331.5</v>
      </c>
      <c r="AQ145" s="288"/>
      <c r="AR145" s="288">
        <f t="shared" si="55"/>
        <v>326.55452901143133</v>
      </c>
      <c r="AS145" s="289">
        <f t="shared" si="66"/>
        <v>-146.50336262854705</v>
      </c>
      <c r="AT145" s="289"/>
      <c r="AU145" s="289">
        <f t="shared" si="65"/>
        <v>146.50336262854705</v>
      </c>
      <c r="AV145" s="291">
        <f t="shared" si="56"/>
        <v>-182.77793248378663</v>
      </c>
      <c r="AW145" s="291">
        <f t="shared" si="57"/>
        <v>-148.72206751621337</v>
      </c>
      <c r="AX145" s="292">
        <f t="shared" si="58"/>
        <v>-63.464991874929879</v>
      </c>
      <c r="AY145" s="292">
        <f t="shared" si="59"/>
        <v>-67.239517087199047</v>
      </c>
      <c r="AZ145" s="294">
        <f t="shared" si="60"/>
        <v>63.464991874929879</v>
      </c>
      <c r="BA145" s="294">
        <f t="shared" si="60"/>
        <v>67.239517087199047</v>
      </c>
      <c r="BB145">
        <f t="shared" si="61"/>
        <v>0.3</v>
      </c>
      <c r="BF145" s="27"/>
      <c r="BG145" s="27"/>
      <c r="BH145" s="27"/>
      <c r="BI145" s="27"/>
      <c r="BJ145" s="27"/>
      <c r="BM145" s="1754"/>
      <c r="BN145" s="1754"/>
      <c r="BO145" s="1754"/>
      <c r="BP145" s="1551"/>
    </row>
    <row r="146" spans="2:133" ht="21" customHeight="1" thickBot="1" x14ac:dyDescent="0.5">
      <c r="B146" s="88">
        <v>16</v>
      </c>
      <c r="C146" s="20"/>
      <c r="D146" s="738">
        <v>0</v>
      </c>
      <c r="E146" s="333" t="s">
        <v>72</v>
      </c>
      <c r="F146" s="81">
        <f t="shared" si="44"/>
        <v>0.3</v>
      </c>
      <c r="G146" s="81">
        <f t="shared" si="45"/>
        <v>0.3</v>
      </c>
      <c r="H146" s="299">
        <v>190.76</v>
      </c>
      <c r="I146" s="318">
        <v>79.651040199999997</v>
      </c>
      <c r="J146" s="251">
        <f t="shared" si="46"/>
        <v>79.651040199999997</v>
      </c>
      <c r="K146" s="251">
        <f t="shared" si="47"/>
        <v>39.825520099999999</v>
      </c>
      <c r="L146" s="251">
        <f t="shared" si="36"/>
        <v>0.64045183696587837</v>
      </c>
      <c r="M146" s="251">
        <f t="shared" si="37"/>
        <v>122.17259241961095</v>
      </c>
      <c r="N146" s="251">
        <f t="shared" si="38"/>
        <v>244.3451848392219</v>
      </c>
      <c r="O146" s="251">
        <f>+C131+D132+D133+D134+D135+D136+D137+D138+D139+D140+D141+D142+D143+D144+D145+(D146/2)</f>
        <v>0</v>
      </c>
      <c r="P146" s="251">
        <f t="shared" si="39"/>
        <v>0</v>
      </c>
      <c r="Q146" s="251">
        <f t="shared" si="40"/>
        <v>0</v>
      </c>
      <c r="R146" s="251">
        <f t="shared" si="48"/>
        <v>146.5</v>
      </c>
      <c r="S146" s="251">
        <f t="shared" si="62"/>
        <v>146.5</v>
      </c>
      <c r="T146" s="252">
        <f t="shared" si="41"/>
        <v>146.5</v>
      </c>
      <c r="V146" s="282">
        <f t="shared" si="42"/>
        <v>0</v>
      </c>
      <c r="W146" s="282"/>
      <c r="X146" s="282"/>
      <c r="Y146" s="282"/>
      <c r="Z146" s="282"/>
      <c r="AA146" s="282"/>
      <c r="AB146" s="300" t="str">
        <f t="shared" si="49"/>
        <v>pin in groundstacking hole</v>
      </c>
      <c r="AC146" s="451"/>
      <c r="AD146" s="451"/>
      <c r="AE146" s="451"/>
      <c r="AF146" s="282">
        <f t="shared" si="63"/>
        <v>0</v>
      </c>
      <c r="AG146" s="301">
        <f>SUM(D132:D146)+$C$131</f>
        <v>0</v>
      </c>
      <c r="AH146" s="301"/>
      <c r="AI146" s="173">
        <f t="shared" si="50"/>
        <v>69.344714800000006</v>
      </c>
      <c r="AJ146" s="284">
        <f t="shared" si="43"/>
        <v>0.93571960494171247</v>
      </c>
      <c r="AK146" s="174">
        <f t="shared" si="51"/>
        <v>180.0511663828843</v>
      </c>
      <c r="AL146" s="173">
        <f t="shared" si="52"/>
        <v>50.174479900000001</v>
      </c>
      <c r="AM146" s="285">
        <f t="shared" si="53"/>
        <v>0.76799833627881664</v>
      </c>
      <c r="AN146" s="174">
        <f t="shared" si="54"/>
        <v>146.50336262854705</v>
      </c>
      <c r="AO146" s="286"/>
      <c r="AP146" s="174">
        <f t="shared" si="64"/>
        <v>-357</v>
      </c>
      <c r="AQ146" s="288"/>
      <c r="AR146" s="288">
        <f t="shared" si="55"/>
        <v>326.55452901143133</v>
      </c>
      <c r="AS146" s="289">
        <f t="shared" si="66"/>
        <v>-146.50336262854705</v>
      </c>
      <c r="AT146" s="289"/>
      <c r="AU146" s="289">
        <f t="shared" si="65"/>
        <v>146.50336262854705</v>
      </c>
      <c r="AV146" s="291">
        <f t="shared" si="56"/>
        <v>-196.83777344407792</v>
      </c>
      <c r="AW146" s="291">
        <f t="shared" si="57"/>
        <v>-160.16222655592208</v>
      </c>
      <c r="AX146" s="292">
        <f t="shared" si="58"/>
        <v>-58.93177816957774</v>
      </c>
      <c r="AY146" s="292">
        <f t="shared" si="59"/>
        <v>-62.436694438113413</v>
      </c>
      <c r="AZ146" s="294">
        <f t="shared" si="60"/>
        <v>58.93177816957774</v>
      </c>
      <c r="BA146" s="294">
        <f t="shared" si="60"/>
        <v>62.436694438113413</v>
      </c>
      <c r="BB146">
        <f t="shared" si="61"/>
        <v>0.3</v>
      </c>
      <c r="BF146" s="27"/>
      <c r="BG146" s="27"/>
      <c r="BH146" s="27"/>
      <c r="BI146" s="27"/>
      <c r="BJ146" s="27"/>
      <c r="BM146" s="1754"/>
      <c r="BN146" s="1754"/>
      <c r="BO146" s="1754"/>
      <c r="BP146" s="1551"/>
    </row>
    <row r="147" spans="2:133" ht="21" customHeight="1" thickBot="1" x14ac:dyDescent="0.5">
      <c r="B147" s="88">
        <v>17</v>
      </c>
      <c r="C147" s="20"/>
      <c r="D147" s="738">
        <v>0</v>
      </c>
      <c r="E147" s="333" t="s">
        <v>72</v>
      </c>
      <c r="F147" s="81">
        <f t="shared" si="44"/>
        <v>0.3</v>
      </c>
      <c r="G147" s="81">
        <f t="shared" si="45"/>
        <v>0.3</v>
      </c>
      <c r="H147" s="299">
        <v>190.76</v>
      </c>
      <c r="I147" s="318">
        <v>79.651040199999997</v>
      </c>
      <c r="J147" s="251">
        <f t="shared" si="46"/>
        <v>79.651040199999997</v>
      </c>
      <c r="K147" s="251">
        <f t="shared" si="47"/>
        <v>39.825520099999999</v>
      </c>
      <c r="L147" s="251">
        <f t="shared" si="36"/>
        <v>0.64045183696587837</v>
      </c>
      <c r="M147" s="251">
        <f t="shared" si="37"/>
        <v>122.17259241961095</v>
      </c>
      <c r="N147" s="251">
        <f t="shared" si="38"/>
        <v>244.3451848392219</v>
      </c>
      <c r="O147" s="251">
        <f>+C131+D132+D133+D134+D135+D136+D137+D138+D139+D140+D141+D142+D143+D144+D145+D146+(D147/2)</f>
        <v>0</v>
      </c>
      <c r="P147" s="251">
        <f t="shared" si="39"/>
        <v>0</v>
      </c>
      <c r="Q147" s="251">
        <f t="shared" si="40"/>
        <v>0</v>
      </c>
      <c r="R147" s="251">
        <f t="shared" si="48"/>
        <v>146.5</v>
      </c>
      <c r="S147" s="251">
        <f t="shared" si="62"/>
        <v>146.5</v>
      </c>
      <c r="T147" s="252">
        <f t="shared" si="41"/>
        <v>146.5</v>
      </c>
      <c r="V147" s="282">
        <f t="shared" si="42"/>
        <v>0</v>
      </c>
      <c r="W147" s="282"/>
      <c r="X147" s="282"/>
      <c r="Y147" s="282"/>
      <c r="Z147" s="282"/>
      <c r="AA147" s="282"/>
      <c r="AB147" s="300" t="str">
        <f t="shared" si="49"/>
        <v>pin in groundstacking hole</v>
      </c>
      <c r="AC147" s="451"/>
      <c r="AD147" s="451"/>
      <c r="AE147" s="451"/>
      <c r="AF147" s="282">
        <f t="shared" si="63"/>
        <v>0</v>
      </c>
      <c r="AG147" s="301">
        <f>SUM(D132:D147)+$C$131</f>
        <v>0</v>
      </c>
      <c r="AH147" s="301"/>
      <c r="AI147" s="173">
        <f t="shared" si="50"/>
        <v>69.344714800000006</v>
      </c>
      <c r="AJ147" s="284">
        <f t="shared" si="43"/>
        <v>0.93571960494171247</v>
      </c>
      <c r="AK147" s="174">
        <f t="shared" si="51"/>
        <v>180.0511663828843</v>
      </c>
      <c r="AL147" s="173">
        <f t="shared" si="52"/>
        <v>50.174479900000001</v>
      </c>
      <c r="AM147" s="285">
        <f t="shared" si="53"/>
        <v>0.76799833627881664</v>
      </c>
      <c r="AN147" s="174">
        <f t="shared" si="54"/>
        <v>146.50336262854705</v>
      </c>
      <c r="AO147" s="286"/>
      <c r="AP147" s="174">
        <f t="shared" si="64"/>
        <v>-382.5</v>
      </c>
      <c r="AQ147" s="288"/>
      <c r="AR147" s="288">
        <f t="shared" si="55"/>
        <v>326.55452901143133</v>
      </c>
      <c r="AS147" s="289">
        <f t="shared" si="66"/>
        <v>-146.50336262854705</v>
      </c>
      <c r="AT147" s="289"/>
      <c r="AU147" s="289">
        <f t="shared" si="65"/>
        <v>146.50336262854705</v>
      </c>
      <c r="AV147" s="291">
        <f t="shared" si="56"/>
        <v>-210.89761440436919</v>
      </c>
      <c r="AW147" s="291">
        <f t="shared" si="57"/>
        <v>-171.60238559563081</v>
      </c>
      <c r="AX147" s="292">
        <f t="shared" si="58"/>
        <v>-55.002992958272557</v>
      </c>
      <c r="AY147" s="292">
        <f t="shared" si="59"/>
        <v>-58.27424814223918</v>
      </c>
      <c r="AZ147" s="294">
        <f t="shared" si="60"/>
        <v>55.002992958272557</v>
      </c>
      <c r="BA147" s="294">
        <f t="shared" si="60"/>
        <v>58.27424814223918</v>
      </c>
      <c r="BB147">
        <f t="shared" si="61"/>
        <v>0.3</v>
      </c>
      <c r="BF147" s="27"/>
      <c r="BG147" s="27"/>
      <c r="BH147" s="27"/>
      <c r="BI147" s="27"/>
      <c r="BJ147" s="27"/>
      <c r="BK147" s="27"/>
      <c r="BM147" s="1754"/>
      <c r="BN147" s="1754"/>
      <c r="BO147" s="1754"/>
      <c r="BP147" s="1551"/>
      <c r="DE147" s="10"/>
      <c r="DF147" s="10"/>
      <c r="DG147" s="10"/>
      <c r="DH147" s="10"/>
      <c r="DI147" s="10"/>
      <c r="DJ147" s="10"/>
      <c r="DK147" s="49"/>
      <c r="DL147" s="49"/>
      <c r="DM147" s="49"/>
      <c r="DN147" s="49"/>
      <c r="DO147" s="49"/>
      <c r="DP147" s="49"/>
      <c r="DQ147" s="49"/>
      <c r="DR147" s="49"/>
      <c r="DS147" s="49"/>
      <c r="DT147" s="49"/>
      <c r="DU147" s="49"/>
      <c r="DV147" s="49"/>
      <c r="DW147" s="49"/>
      <c r="DX147" s="49"/>
      <c r="DY147" s="7"/>
    </row>
    <row r="148" spans="2:133" ht="21" customHeight="1" thickBot="1" x14ac:dyDescent="0.5">
      <c r="B148" s="88">
        <v>18</v>
      </c>
      <c r="C148" s="20"/>
      <c r="D148" s="738">
        <v>0</v>
      </c>
      <c r="E148" s="333" t="s">
        <v>72</v>
      </c>
      <c r="F148" s="81">
        <f t="shared" si="44"/>
        <v>0.3</v>
      </c>
      <c r="G148" s="81">
        <f t="shared" si="45"/>
        <v>0.3</v>
      </c>
      <c r="H148" s="299">
        <v>190.76</v>
      </c>
      <c r="I148" s="318">
        <v>79.651040199999997</v>
      </c>
      <c r="J148" s="251">
        <f t="shared" si="46"/>
        <v>79.651040199999997</v>
      </c>
      <c r="K148" s="251">
        <f t="shared" si="47"/>
        <v>39.825520099999999</v>
      </c>
      <c r="L148" s="251">
        <f t="shared" si="36"/>
        <v>0.64045183696587837</v>
      </c>
      <c r="M148" s="251">
        <f t="shared" si="37"/>
        <v>122.17259241961095</v>
      </c>
      <c r="N148" s="251">
        <f t="shared" si="38"/>
        <v>244.3451848392219</v>
      </c>
      <c r="O148" s="251">
        <f>+C131+D132+D133+D134+D135+D136+D137+D138+D139+D140+D141+D142+D143+D144+D145+D146+D147+(D148/2)</f>
        <v>0</v>
      </c>
      <c r="P148" s="251">
        <f t="shared" si="39"/>
        <v>0</v>
      </c>
      <c r="Q148" s="251">
        <f t="shared" si="40"/>
        <v>0</v>
      </c>
      <c r="R148" s="251">
        <f t="shared" si="48"/>
        <v>146.5</v>
      </c>
      <c r="S148" s="251">
        <f t="shared" si="62"/>
        <v>146.5</v>
      </c>
      <c r="T148" s="252">
        <f t="shared" si="41"/>
        <v>146.5</v>
      </c>
      <c r="V148" s="282">
        <f t="shared" si="42"/>
        <v>0</v>
      </c>
      <c r="W148" s="282"/>
      <c r="X148" s="282"/>
      <c r="Y148" s="282"/>
      <c r="Z148" s="282"/>
      <c r="AA148" s="282"/>
      <c r="AB148" s="300" t="str">
        <f t="shared" si="49"/>
        <v>pin in groundstacking hole</v>
      </c>
      <c r="AC148" s="451"/>
      <c r="AD148" s="451"/>
      <c r="AE148" s="451"/>
      <c r="AF148" s="282">
        <f t="shared" si="63"/>
        <v>0</v>
      </c>
      <c r="AG148" s="301">
        <f>SUM(D132:D148)+$C$131</f>
        <v>0</v>
      </c>
      <c r="AH148" s="301"/>
      <c r="AI148" s="173">
        <f t="shared" si="50"/>
        <v>69.344714800000006</v>
      </c>
      <c r="AJ148" s="284">
        <f t="shared" si="43"/>
        <v>0.93571960494171247</v>
      </c>
      <c r="AK148" s="174">
        <f t="shared" si="51"/>
        <v>180.0511663828843</v>
      </c>
      <c r="AL148" s="173">
        <f t="shared" si="52"/>
        <v>50.174479900000001</v>
      </c>
      <c r="AM148" s="285">
        <f t="shared" si="53"/>
        <v>0.76799833627881664</v>
      </c>
      <c r="AN148" s="174">
        <f t="shared" si="54"/>
        <v>146.50336262854705</v>
      </c>
      <c r="AO148" s="286"/>
      <c r="AP148" s="174">
        <f t="shared" si="64"/>
        <v>-408</v>
      </c>
      <c r="AQ148" s="288"/>
      <c r="AR148" s="288">
        <f t="shared" si="55"/>
        <v>326.55452901143133</v>
      </c>
      <c r="AS148" s="289">
        <f t="shared" si="66"/>
        <v>-146.50336262854705</v>
      </c>
      <c r="AT148" s="289"/>
      <c r="AU148" s="289">
        <f t="shared" si="65"/>
        <v>146.50336262854705</v>
      </c>
      <c r="AV148" s="291">
        <f t="shared" si="56"/>
        <v>-224.95745536466046</v>
      </c>
      <c r="AW148" s="291">
        <f t="shared" si="57"/>
        <v>-183.04254463533954</v>
      </c>
      <c r="AX148" s="292">
        <f t="shared" si="58"/>
        <v>-51.565305898380529</v>
      </c>
      <c r="AY148" s="292">
        <f t="shared" si="59"/>
        <v>-54.632107633349229</v>
      </c>
      <c r="AZ148" s="294">
        <f t="shared" si="60"/>
        <v>51.565305898380529</v>
      </c>
      <c r="BA148" s="294">
        <f t="shared" si="60"/>
        <v>54.632107633349229</v>
      </c>
      <c r="BB148">
        <f t="shared" si="61"/>
        <v>0.3</v>
      </c>
      <c r="BF148" s="27"/>
      <c r="BG148" s="27"/>
      <c r="BH148" s="27"/>
      <c r="BI148" s="27"/>
      <c r="BJ148" s="27"/>
      <c r="BK148" s="35"/>
      <c r="BM148" s="1754"/>
      <c r="BN148" s="1754"/>
      <c r="BO148" s="1754"/>
      <c r="BP148" s="1551"/>
      <c r="DE148" s="10"/>
      <c r="DF148" s="10"/>
      <c r="DG148" s="10"/>
      <c r="DH148" s="10"/>
      <c r="DI148" s="10"/>
      <c r="DJ148" s="10"/>
      <c r="DK148" s="49"/>
      <c r="DL148" s="49"/>
      <c r="DM148" s="49"/>
      <c r="DN148" s="49"/>
      <c r="DO148" s="49"/>
      <c r="DP148" s="49"/>
      <c r="DQ148" s="49"/>
      <c r="DR148" s="49"/>
      <c r="DS148" s="49"/>
      <c r="DT148" s="49"/>
      <c r="DU148" s="49"/>
      <c r="DV148" s="49"/>
      <c r="DW148" s="49"/>
      <c r="DX148" s="49"/>
      <c r="DY148" s="7"/>
    </row>
    <row r="149" spans="2:133" ht="21" customHeight="1" thickBot="1" x14ac:dyDescent="0.5">
      <c r="B149" s="88">
        <v>19</v>
      </c>
      <c r="C149" s="20"/>
      <c r="D149" s="738">
        <v>0</v>
      </c>
      <c r="E149" s="333" t="s">
        <v>72</v>
      </c>
      <c r="F149" s="81">
        <f t="shared" si="44"/>
        <v>0.3</v>
      </c>
      <c r="G149" s="81">
        <f t="shared" si="45"/>
        <v>0.3</v>
      </c>
      <c r="H149" s="299">
        <v>190.76</v>
      </c>
      <c r="I149" s="318">
        <v>79.651040199999997</v>
      </c>
      <c r="J149" s="251">
        <f t="shared" si="46"/>
        <v>79.651040199999997</v>
      </c>
      <c r="K149" s="251">
        <f t="shared" si="47"/>
        <v>39.825520099999999</v>
      </c>
      <c r="L149" s="251">
        <f t="shared" si="36"/>
        <v>0.64045183696587837</v>
      </c>
      <c r="M149" s="251">
        <f t="shared" si="37"/>
        <v>122.17259241961095</v>
      </c>
      <c r="N149" s="251">
        <f t="shared" si="38"/>
        <v>244.3451848392219</v>
      </c>
      <c r="O149" s="251">
        <f>+C131+D132+D133+D134+D135+D136+D137+D138+D139+D140+D141+D142+D143+D144+D145+D146+D147+D148+(D149/2)</f>
        <v>0</v>
      </c>
      <c r="P149" s="251">
        <f t="shared" si="39"/>
        <v>0</v>
      </c>
      <c r="Q149" s="251">
        <f t="shared" si="40"/>
        <v>0</v>
      </c>
      <c r="R149" s="251">
        <f t="shared" si="48"/>
        <v>146.5</v>
      </c>
      <c r="S149" s="251">
        <f t="shared" si="62"/>
        <v>146.5</v>
      </c>
      <c r="T149" s="252">
        <f t="shared" si="41"/>
        <v>146.5</v>
      </c>
      <c r="V149" s="282">
        <f t="shared" si="42"/>
        <v>0</v>
      </c>
      <c r="W149" s="282"/>
      <c r="X149" s="282"/>
      <c r="Y149" s="282"/>
      <c r="Z149" s="282"/>
      <c r="AA149" s="282"/>
      <c r="AB149" s="300" t="str">
        <f t="shared" si="49"/>
        <v>pin in groundstacking hole</v>
      </c>
      <c r="AC149" s="451"/>
      <c r="AD149" s="451"/>
      <c r="AE149" s="451"/>
      <c r="AF149" s="282">
        <f t="shared" si="63"/>
        <v>0</v>
      </c>
      <c r="AG149" s="301">
        <f>SUM(D131:D149)+$C$131</f>
        <v>0</v>
      </c>
      <c r="AH149" s="301"/>
      <c r="AI149" s="173">
        <f t="shared" si="50"/>
        <v>69.344714800000006</v>
      </c>
      <c r="AJ149" s="284">
        <f t="shared" si="43"/>
        <v>0.93571960494171247</v>
      </c>
      <c r="AK149" s="174">
        <f t="shared" si="51"/>
        <v>180.0511663828843</v>
      </c>
      <c r="AL149" s="173">
        <f t="shared" si="52"/>
        <v>50.174479900000001</v>
      </c>
      <c r="AM149" s="285">
        <f t="shared" si="53"/>
        <v>0.76799833627881664</v>
      </c>
      <c r="AN149" s="174">
        <f t="shared" si="54"/>
        <v>146.50336262854705</v>
      </c>
      <c r="AO149" s="286"/>
      <c r="AP149" s="174">
        <f t="shared" si="64"/>
        <v>-433.5</v>
      </c>
      <c r="AQ149" s="288"/>
      <c r="AR149" s="288">
        <f t="shared" si="55"/>
        <v>326.55452901143133</v>
      </c>
      <c r="AS149" s="289">
        <f t="shared" si="66"/>
        <v>-146.50336262854705</v>
      </c>
      <c r="AT149" s="289"/>
      <c r="AU149" s="289">
        <f t="shared" si="65"/>
        <v>146.50336262854705</v>
      </c>
      <c r="AV149" s="291">
        <f t="shared" si="56"/>
        <v>-239.01729632495176</v>
      </c>
      <c r="AW149" s="291">
        <f t="shared" si="57"/>
        <v>-194.48270367504824</v>
      </c>
      <c r="AX149" s="292">
        <f t="shared" si="58"/>
        <v>-48.532052610240491</v>
      </c>
      <c r="AY149" s="292">
        <f t="shared" si="59"/>
        <v>-51.418454243152219</v>
      </c>
      <c r="AZ149" s="294">
        <f t="shared" si="60"/>
        <v>48.532052610240491</v>
      </c>
      <c r="BA149" s="294">
        <f t="shared" si="60"/>
        <v>51.418454243152219</v>
      </c>
      <c r="BB149">
        <f t="shared" si="61"/>
        <v>0.3</v>
      </c>
      <c r="BF149" s="27"/>
      <c r="BG149" s="27"/>
      <c r="BH149" s="27"/>
      <c r="BI149" s="27"/>
      <c r="BJ149" s="27"/>
      <c r="BK149" s="33"/>
      <c r="BM149" s="1754"/>
      <c r="BN149" s="1754"/>
      <c r="BO149" s="1754"/>
      <c r="BP149" s="1551"/>
      <c r="DE149" s="10"/>
      <c r="DF149" s="10"/>
      <c r="DG149" s="10"/>
      <c r="DH149" s="10"/>
      <c r="DI149" s="10"/>
      <c r="DJ149" s="10"/>
      <c r="DK149" s="49"/>
      <c r="DL149" s="49"/>
      <c r="DM149" s="49"/>
      <c r="DN149" s="49"/>
      <c r="DO149" s="49"/>
      <c r="DP149" s="49"/>
      <c r="DQ149" s="49"/>
      <c r="DR149" s="49"/>
      <c r="DS149" s="49"/>
      <c r="DT149" s="49"/>
      <c r="DU149" s="49"/>
      <c r="DV149" s="49"/>
      <c r="DW149" s="49"/>
      <c r="DX149" s="49"/>
      <c r="DY149" s="7"/>
    </row>
    <row r="150" spans="2:133" ht="21" customHeight="1" thickBot="1" x14ac:dyDescent="0.5">
      <c r="B150" s="88">
        <v>20</v>
      </c>
      <c r="C150" s="20"/>
      <c r="D150" s="738">
        <v>0</v>
      </c>
      <c r="E150" s="333" t="s">
        <v>72</v>
      </c>
      <c r="F150" s="81">
        <f t="shared" si="44"/>
        <v>0.3</v>
      </c>
      <c r="G150" s="81">
        <f t="shared" si="45"/>
        <v>0.3</v>
      </c>
      <c r="H150" s="299">
        <v>190.76</v>
      </c>
      <c r="I150" s="318">
        <v>79.651040199999997</v>
      </c>
      <c r="J150" s="251">
        <f t="shared" si="46"/>
        <v>79.651040199999997</v>
      </c>
      <c r="K150" s="251">
        <f t="shared" si="47"/>
        <v>39.825520099999999</v>
      </c>
      <c r="L150" s="251">
        <f t="shared" si="36"/>
        <v>0.64045183696587837</v>
      </c>
      <c r="M150" s="251">
        <f t="shared" si="37"/>
        <v>122.17259241961095</v>
      </c>
      <c r="N150" s="251">
        <f t="shared" si="38"/>
        <v>244.3451848392219</v>
      </c>
      <c r="O150" s="251">
        <f>+C131+D132+D133+D134+D135+D136+D137+D138+D139+D140+D141+D142+D143+D144+D145+D146+D147+D148+D149+(D150/2)</f>
        <v>0</v>
      </c>
      <c r="P150" s="251">
        <f t="shared" si="39"/>
        <v>0</v>
      </c>
      <c r="Q150" s="251">
        <f t="shared" si="40"/>
        <v>0</v>
      </c>
      <c r="R150" s="251">
        <f t="shared" si="48"/>
        <v>146.5</v>
      </c>
      <c r="S150" s="251">
        <f t="shared" si="62"/>
        <v>146.5</v>
      </c>
      <c r="T150" s="252">
        <f t="shared" si="41"/>
        <v>146.5</v>
      </c>
      <c r="V150" s="282">
        <f t="shared" si="42"/>
        <v>0</v>
      </c>
      <c r="W150" s="282"/>
      <c r="X150" s="282"/>
      <c r="Y150" s="282"/>
      <c r="Z150" s="282"/>
      <c r="AA150" s="282"/>
      <c r="AB150" s="300" t="str">
        <f t="shared" si="49"/>
        <v>pin in groundstacking hole</v>
      </c>
      <c r="AC150" s="451"/>
      <c r="AD150" s="451"/>
      <c r="AE150" s="451"/>
      <c r="AF150" s="282">
        <f t="shared" si="63"/>
        <v>0</v>
      </c>
      <c r="AG150" s="301">
        <f>SUM(D132:D150)+$C$131</f>
        <v>0</v>
      </c>
      <c r="AH150" s="301"/>
      <c r="AI150" s="173">
        <f t="shared" si="50"/>
        <v>69.344714800000006</v>
      </c>
      <c r="AJ150" s="284">
        <f t="shared" si="43"/>
        <v>0.93571960494171247</v>
      </c>
      <c r="AK150" s="174">
        <f t="shared" si="51"/>
        <v>180.0511663828843</v>
      </c>
      <c r="AL150" s="173">
        <f t="shared" si="52"/>
        <v>50.174479900000001</v>
      </c>
      <c r="AM150" s="285">
        <f t="shared" si="53"/>
        <v>0.76799833627881664</v>
      </c>
      <c r="AN150" s="174">
        <f t="shared" si="54"/>
        <v>146.50336262854705</v>
      </c>
      <c r="AO150" s="286"/>
      <c r="AP150" s="174">
        <f t="shared" si="64"/>
        <v>-459</v>
      </c>
      <c r="AQ150" s="288"/>
      <c r="AR150" s="288">
        <f t="shared" si="55"/>
        <v>326.55452901143133</v>
      </c>
      <c r="AS150" s="289">
        <f t="shared" si="66"/>
        <v>-146.50336262854705</v>
      </c>
      <c r="AT150" s="289"/>
      <c r="AU150" s="289">
        <f t="shared" si="65"/>
        <v>146.50336262854705</v>
      </c>
      <c r="AV150" s="291">
        <f t="shared" si="56"/>
        <v>-253.07713728524303</v>
      </c>
      <c r="AW150" s="291">
        <f t="shared" si="57"/>
        <v>-205.92286271475697</v>
      </c>
      <c r="AX150" s="292">
        <f t="shared" si="58"/>
        <v>-45.835827465227133</v>
      </c>
      <c r="AY150" s="292">
        <f t="shared" si="59"/>
        <v>-48.561873451865985</v>
      </c>
      <c r="AZ150" s="294">
        <f t="shared" si="60"/>
        <v>45.835827465227133</v>
      </c>
      <c r="BA150" s="294">
        <f t="shared" si="60"/>
        <v>48.561873451865985</v>
      </c>
      <c r="BB150">
        <f t="shared" si="61"/>
        <v>0.3</v>
      </c>
      <c r="BF150" s="27"/>
      <c r="BG150" s="27"/>
      <c r="BH150" s="27"/>
      <c r="BI150" s="27"/>
      <c r="BJ150" s="27"/>
      <c r="BK150" s="33"/>
      <c r="BM150" s="1754"/>
      <c r="BN150" s="1754"/>
      <c r="BO150" s="1754"/>
      <c r="BP150" s="1551"/>
      <c r="DE150" s="10"/>
      <c r="DF150" s="10"/>
      <c r="DG150" s="10"/>
      <c r="DH150" s="10"/>
      <c r="DI150" s="10"/>
      <c r="DJ150" s="10"/>
      <c r="DK150" s="49"/>
      <c r="DL150" s="49"/>
      <c r="DM150" s="49"/>
      <c r="DN150" s="49"/>
      <c r="DO150" s="49"/>
      <c r="DP150" s="49"/>
      <c r="DQ150" s="49"/>
      <c r="DR150" s="49"/>
      <c r="DS150" s="49"/>
      <c r="DT150" s="49"/>
      <c r="DU150" s="49"/>
      <c r="DV150" s="49"/>
      <c r="DW150" s="49"/>
      <c r="DX150" s="49"/>
      <c r="DY150" s="7"/>
    </row>
    <row r="151" spans="2:133" ht="21" customHeight="1" thickBot="1" x14ac:dyDescent="0.5">
      <c r="B151" s="88">
        <v>21</v>
      </c>
      <c r="C151" s="20"/>
      <c r="D151" s="738">
        <v>0</v>
      </c>
      <c r="E151" s="333" t="s">
        <v>72</v>
      </c>
      <c r="F151" s="81">
        <f t="shared" si="44"/>
        <v>0.3</v>
      </c>
      <c r="G151" s="81">
        <f t="shared" si="45"/>
        <v>0.3</v>
      </c>
      <c r="H151" s="299">
        <v>190.76</v>
      </c>
      <c r="I151" s="318">
        <v>79.651040199999997</v>
      </c>
      <c r="J151" s="251">
        <f t="shared" si="46"/>
        <v>79.651040199999997</v>
      </c>
      <c r="K151" s="251">
        <f t="shared" si="47"/>
        <v>39.825520099999999</v>
      </c>
      <c r="L151" s="251">
        <f t="shared" si="36"/>
        <v>0.64045183696587837</v>
      </c>
      <c r="M151" s="251">
        <f t="shared" si="37"/>
        <v>122.17259241961095</v>
      </c>
      <c r="N151" s="251">
        <f t="shared" si="38"/>
        <v>244.3451848392219</v>
      </c>
      <c r="O151" s="251">
        <f>+C131+D132+D133+D134+D135+D136+D137+D138+D139+D140+D141+D142+D143+D144+D145+D146+D147+D148+D149+D150+(D151/2)</f>
        <v>0</v>
      </c>
      <c r="P151" s="251">
        <f t="shared" si="39"/>
        <v>0</v>
      </c>
      <c r="Q151" s="251">
        <f t="shared" si="40"/>
        <v>0</v>
      </c>
      <c r="R151" s="251">
        <f t="shared" si="48"/>
        <v>146.5</v>
      </c>
      <c r="S151" s="251">
        <f t="shared" si="62"/>
        <v>146.5</v>
      </c>
      <c r="T151" s="252">
        <f t="shared" si="41"/>
        <v>146.5</v>
      </c>
      <c r="V151" s="282">
        <f t="shared" si="42"/>
        <v>0</v>
      </c>
      <c r="W151" s="282"/>
      <c r="X151" s="282"/>
      <c r="Y151" s="282"/>
      <c r="Z151" s="282"/>
      <c r="AA151" s="282"/>
      <c r="AB151" s="300" t="str">
        <f t="shared" si="49"/>
        <v>pin in groundstacking hole</v>
      </c>
      <c r="AC151" s="451"/>
      <c r="AD151" s="451"/>
      <c r="AE151" s="451"/>
      <c r="AF151" s="282">
        <f t="shared" si="63"/>
        <v>0</v>
      </c>
      <c r="AG151" s="301">
        <f>SUM(D132:D151)+$C$131</f>
        <v>0</v>
      </c>
      <c r="AH151" s="301"/>
      <c r="AI151" s="173">
        <f t="shared" si="50"/>
        <v>69.344714800000006</v>
      </c>
      <c r="AJ151" s="284">
        <f t="shared" si="43"/>
        <v>0.93571960494171247</v>
      </c>
      <c r="AK151" s="174">
        <f t="shared" si="51"/>
        <v>180.0511663828843</v>
      </c>
      <c r="AL151" s="173">
        <f t="shared" si="52"/>
        <v>50.174479900000001</v>
      </c>
      <c r="AM151" s="285">
        <f t="shared" si="53"/>
        <v>0.76799833627881664</v>
      </c>
      <c r="AN151" s="174">
        <f t="shared" si="54"/>
        <v>146.50336262854705</v>
      </c>
      <c r="AO151" s="286"/>
      <c r="AP151" s="174">
        <f t="shared" si="64"/>
        <v>-484.5</v>
      </c>
      <c r="AQ151" s="288"/>
      <c r="AR151" s="288">
        <f t="shared" si="55"/>
        <v>326.55452901143133</v>
      </c>
      <c r="AS151" s="289">
        <f t="shared" si="66"/>
        <v>-146.50336262854705</v>
      </c>
      <c r="AT151" s="289"/>
      <c r="AU151" s="289">
        <f t="shared" si="65"/>
        <v>146.50336262854705</v>
      </c>
      <c r="AV151" s="291">
        <f t="shared" si="56"/>
        <v>-267.13697824553429</v>
      </c>
      <c r="AW151" s="291">
        <f t="shared" si="57"/>
        <v>-217.36302175446571</v>
      </c>
      <c r="AX151" s="292">
        <f t="shared" si="58"/>
        <v>-43.423415493373078</v>
      </c>
      <c r="AY151" s="292">
        <f t="shared" si="59"/>
        <v>-46.005985375451978</v>
      </c>
      <c r="AZ151" s="294">
        <f t="shared" si="60"/>
        <v>43.423415493373078</v>
      </c>
      <c r="BA151" s="294">
        <f t="shared" si="60"/>
        <v>46.005985375451978</v>
      </c>
      <c r="BB151">
        <f t="shared" si="61"/>
        <v>0.3</v>
      </c>
      <c r="BF151" s="27"/>
      <c r="BG151" s="27"/>
      <c r="BH151" s="27"/>
      <c r="BI151" s="27"/>
      <c r="BJ151" s="27"/>
      <c r="BM151" s="1754"/>
      <c r="BN151" s="1754"/>
      <c r="BO151" s="1754"/>
      <c r="DX151" s="60"/>
      <c r="DY151" s="60"/>
      <c r="DZ151" s="60"/>
      <c r="EA151" s="60"/>
      <c r="EB151" s="60"/>
      <c r="EC151" s="60"/>
    </row>
    <row r="152" spans="2:133" ht="21" customHeight="1" thickBot="1" x14ac:dyDescent="0.5">
      <c r="B152" s="88">
        <v>22</v>
      </c>
      <c r="C152" s="20"/>
      <c r="D152" s="738">
        <v>0</v>
      </c>
      <c r="E152" s="333" t="s">
        <v>72</v>
      </c>
      <c r="F152" s="81">
        <f t="shared" si="44"/>
        <v>0.3</v>
      </c>
      <c r="G152" s="81">
        <f t="shared" si="45"/>
        <v>0.3</v>
      </c>
      <c r="H152" s="299">
        <v>190.76</v>
      </c>
      <c r="I152" s="318">
        <v>79.651040199999997</v>
      </c>
      <c r="J152" s="251">
        <f t="shared" si="46"/>
        <v>79.651040199999997</v>
      </c>
      <c r="K152" s="251">
        <f t="shared" si="47"/>
        <v>39.825520099999999</v>
      </c>
      <c r="L152" s="251">
        <f t="shared" si="36"/>
        <v>0.64045183696587837</v>
      </c>
      <c r="M152" s="251">
        <f t="shared" si="37"/>
        <v>122.17259241961095</v>
      </c>
      <c r="N152" s="251">
        <f t="shared" si="38"/>
        <v>244.3451848392219</v>
      </c>
      <c r="O152" s="251">
        <f>+C131+D132+D133+D134+D135+D136+D137+D138+D139+D140+D141+D142+D143+D144+D145+D146+D147+D148+D149+D150+D151+(D152/2)</f>
        <v>0</v>
      </c>
      <c r="P152" s="251">
        <f t="shared" si="39"/>
        <v>0</v>
      </c>
      <c r="Q152" s="251">
        <f t="shared" si="40"/>
        <v>0</v>
      </c>
      <c r="R152" s="251">
        <f t="shared" si="48"/>
        <v>146.5</v>
      </c>
      <c r="S152" s="251">
        <f t="shared" si="62"/>
        <v>146.5</v>
      </c>
      <c r="T152" s="252">
        <f t="shared" si="41"/>
        <v>146.5</v>
      </c>
      <c r="V152" s="282">
        <f t="shared" si="42"/>
        <v>0</v>
      </c>
      <c r="W152" s="282"/>
      <c r="X152" s="282"/>
      <c r="Y152" s="282"/>
      <c r="Z152" s="282"/>
      <c r="AA152" s="282"/>
      <c r="AB152" s="300" t="str">
        <f t="shared" si="49"/>
        <v>pin in groundstacking hole</v>
      </c>
      <c r="AC152" s="451"/>
      <c r="AD152" s="451"/>
      <c r="AE152" s="451"/>
      <c r="AF152" s="282">
        <f t="shared" si="63"/>
        <v>0</v>
      </c>
      <c r="AG152" s="301">
        <f>SUM(D132:D152)+$C$131</f>
        <v>0</v>
      </c>
      <c r="AH152" s="301"/>
      <c r="AI152" s="173">
        <f t="shared" si="50"/>
        <v>69.344714800000006</v>
      </c>
      <c r="AJ152" s="284">
        <f t="shared" si="43"/>
        <v>0.93571960494171247</v>
      </c>
      <c r="AK152" s="174">
        <f t="shared" si="51"/>
        <v>180.0511663828843</v>
      </c>
      <c r="AL152" s="173">
        <f t="shared" si="52"/>
        <v>50.174479900000001</v>
      </c>
      <c r="AM152" s="285">
        <f t="shared" si="53"/>
        <v>0.76799833627881664</v>
      </c>
      <c r="AN152" s="174">
        <f t="shared" si="54"/>
        <v>146.50336262854705</v>
      </c>
      <c r="AO152" s="286"/>
      <c r="AP152" s="174">
        <f t="shared" si="64"/>
        <v>-510</v>
      </c>
      <c r="AQ152" s="288"/>
      <c r="AR152" s="288">
        <f t="shared" si="55"/>
        <v>326.55452901143133</v>
      </c>
      <c r="AS152" s="289">
        <f t="shared" si="66"/>
        <v>-146.50336262854705</v>
      </c>
      <c r="AT152" s="289"/>
      <c r="AU152" s="289">
        <f t="shared" si="65"/>
        <v>146.50336262854705</v>
      </c>
      <c r="AV152" s="291">
        <f t="shared" si="56"/>
        <v>-281.19681920582559</v>
      </c>
      <c r="AW152" s="291">
        <f t="shared" si="57"/>
        <v>-228.80318079417441</v>
      </c>
      <c r="AX152" s="292">
        <f t="shared" si="58"/>
        <v>-41.252244718704418</v>
      </c>
      <c r="AY152" s="292">
        <f t="shared" si="59"/>
        <v>-43.705686106679387</v>
      </c>
      <c r="AZ152" s="294">
        <f t="shared" si="60"/>
        <v>41.252244718704418</v>
      </c>
      <c r="BA152" s="294">
        <f t="shared" si="60"/>
        <v>43.705686106679387</v>
      </c>
      <c r="BB152">
        <f t="shared" si="61"/>
        <v>0.3</v>
      </c>
      <c r="BF152" s="27"/>
      <c r="BG152" s="27"/>
      <c r="BH152" s="27"/>
      <c r="BI152" s="27"/>
      <c r="BJ152" s="27"/>
      <c r="BM152" s="1754"/>
      <c r="BN152" s="1754"/>
      <c r="BO152" s="1754"/>
    </row>
    <row r="153" spans="2:133" ht="21" customHeight="1" thickBot="1" x14ac:dyDescent="0.5">
      <c r="B153" s="88">
        <v>23</v>
      </c>
      <c r="C153" s="20"/>
      <c r="D153" s="738">
        <v>0</v>
      </c>
      <c r="E153" s="333" t="s">
        <v>72</v>
      </c>
      <c r="F153" s="81">
        <f t="shared" si="44"/>
        <v>0.3</v>
      </c>
      <c r="G153" s="81">
        <f t="shared" si="45"/>
        <v>0.3</v>
      </c>
      <c r="H153" s="299">
        <v>190.76</v>
      </c>
      <c r="I153" s="318">
        <v>79.651040199999997</v>
      </c>
      <c r="J153" s="251">
        <f t="shared" si="46"/>
        <v>79.651040199999997</v>
      </c>
      <c r="K153" s="251">
        <f t="shared" si="47"/>
        <v>39.825520099999999</v>
      </c>
      <c r="L153" s="251">
        <f t="shared" si="36"/>
        <v>0.64045183696587837</v>
      </c>
      <c r="M153" s="251">
        <f t="shared" si="37"/>
        <v>122.17259241961095</v>
      </c>
      <c r="N153" s="251">
        <f t="shared" si="38"/>
        <v>244.3451848392219</v>
      </c>
      <c r="O153" s="251">
        <f>+C131+D132+D133+D134+D135+D136+D137+D138+D139+D140+D141+D142+D143+D144+D145+D146+D147+D148+D149+D150+D151+D152+(D153/2)</f>
        <v>0</v>
      </c>
      <c r="P153" s="251">
        <f t="shared" si="39"/>
        <v>0</v>
      </c>
      <c r="Q153" s="251">
        <f t="shared" si="40"/>
        <v>0</v>
      </c>
      <c r="R153" s="251">
        <f t="shared" si="48"/>
        <v>146.5</v>
      </c>
      <c r="S153" s="251">
        <f t="shared" si="62"/>
        <v>146.5</v>
      </c>
      <c r="T153" s="252">
        <f t="shared" si="41"/>
        <v>146.5</v>
      </c>
      <c r="V153" s="282">
        <f t="shared" si="42"/>
        <v>0</v>
      </c>
      <c r="W153" s="282"/>
      <c r="X153" s="282"/>
      <c r="Y153" s="282"/>
      <c r="Z153" s="282"/>
      <c r="AA153" s="282"/>
      <c r="AB153" s="300" t="str">
        <f t="shared" si="49"/>
        <v>pin in groundstacking hole</v>
      </c>
      <c r="AC153" s="451"/>
      <c r="AD153" s="451"/>
      <c r="AE153" s="451"/>
      <c r="AF153" s="282">
        <f t="shared" si="63"/>
        <v>0</v>
      </c>
      <c r="AG153" s="301">
        <f>SUM(D132:D153)+$C$131</f>
        <v>0</v>
      </c>
      <c r="AH153" s="301"/>
      <c r="AI153" s="173">
        <f t="shared" si="50"/>
        <v>69.344714800000006</v>
      </c>
      <c r="AJ153" s="284">
        <f t="shared" si="43"/>
        <v>0.93571960494171247</v>
      </c>
      <c r="AK153" s="174">
        <f t="shared" si="51"/>
        <v>180.0511663828843</v>
      </c>
      <c r="AL153" s="173">
        <f t="shared" si="52"/>
        <v>50.174479900000001</v>
      </c>
      <c r="AM153" s="285">
        <f t="shared" si="53"/>
        <v>0.76799833627881664</v>
      </c>
      <c r="AN153" s="174">
        <f t="shared" si="54"/>
        <v>146.50336262854705</v>
      </c>
      <c r="AO153" s="286"/>
      <c r="AP153" s="174">
        <f t="shared" si="64"/>
        <v>-535.5</v>
      </c>
      <c r="AQ153" s="288"/>
      <c r="AR153" s="288">
        <f t="shared" si="55"/>
        <v>326.55452901143133</v>
      </c>
      <c r="AS153" s="289">
        <f t="shared" si="66"/>
        <v>-146.50336262854705</v>
      </c>
      <c r="AT153" s="289"/>
      <c r="AU153" s="289">
        <f t="shared" si="65"/>
        <v>146.50336262854705</v>
      </c>
      <c r="AV153" s="291">
        <f t="shared" si="56"/>
        <v>-295.25666016611689</v>
      </c>
      <c r="AW153" s="291">
        <f t="shared" si="57"/>
        <v>-240.24333983388314</v>
      </c>
      <c r="AX153" s="292">
        <f t="shared" si="58"/>
        <v>-39.287852113051827</v>
      </c>
      <c r="AY153" s="292">
        <f t="shared" si="59"/>
        <v>-41.624462958742271</v>
      </c>
      <c r="AZ153" s="294">
        <f t="shared" si="60"/>
        <v>39.287852113051827</v>
      </c>
      <c r="BA153" s="294">
        <f t="shared" si="60"/>
        <v>41.624462958742271</v>
      </c>
      <c r="BB153">
        <f t="shared" si="61"/>
        <v>0.3</v>
      </c>
      <c r="BF153" s="27"/>
      <c r="BG153" s="27"/>
      <c r="BH153" s="27"/>
      <c r="BI153" s="27"/>
      <c r="BJ153" s="27"/>
      <c r="BK153" s="42"/>
      <c r="BM153" s="1754"/>
      <c r="BN153" s="1754"/>
      <c r="BO153" s="1754"/>
    </row>
    <row r="154" spans="2:133" ht="21" customHeight="1" thickBot="1" x14ac:dyDescent="0.5">
      <c r="B154" s="88">
        <v>24</v>
      </c>
      <c r="C154" s="20"/>
      <c r="D154" s="738">
        <v>0</v>
      </c>
      <c r="E154" s="333" t="s">
        <v>72</v>
      </c>
      <c r="F154" s="81">
        <f t="shared" si="44"/>
        <v>0.3</v>
      </c>
      <c r="G154" s="81">
        <f t="shared" si="45"/>
        <v>0.3</v>
      </c>
      <c r="H154" s="299">
        <v>190.76</v>
      </c>
      <c r="I154" s="318">
        <v>79.651040199999997</v>
      </c>
      <c r="J154" s="251">
        <f t="shared" si="46"/>
        <v>79.651040199999997</v>
      </c>
      <c r="K154" s="251">
        <f t="shared" si="47"/>
        <v>39.825520099999999</v>
      </c>
      <c r="L154" s="251">
        <f t="shared" si="36"/>
        <v>0.64045183696587837</v>
      </c>
      <c r="M154" s="251">
        <f t="shared" si="37"/>
        <v>122.17259241961095</v>
      </c>
      <c r="N154" s="251">
        <f t="shared" si="38"/>
        <v>244.3451848392219</v>
      </c>
      <c r="O154" s="251">
        <f>+SUM(D132:D153)+(D154/2)+C131</f>
        <v>0</v>
      </c>
      <c r="P154" s="251">
        <f t="shared" si="39"/>
        <v>0</v>
      </c>
      <c r="Q154" s="251">
        <f t="shared" si="40"/>
        <v>0</v>
      </c>
      <c r="R154" s="251">
        <f t="shared" si="48"/>
        <v>146.5</v>
      </c>
      <c r="S154" s="251">
        <f t="shared" si="62"/>
        <v>146.5</v>
      </c>
      <c r="T154" s="252">
        <f t="shared" si="41"/>
        <v>146.5</v>
      </c>
      <c r="V154" s="282">
        <f t="shared" si="42"/>
        <v>0</v>
      </c>
      <c r="W154" s="282"/>
      <c r="X154" s="282"/>
      <c r="Y154" s="282"/>
      <c r="Z154" s="282"/>
      <c r="AA154" s="282"/>
      <c r="AB154" s="300" t="str">
        <f t="shared" si="49"/>
        <v>pin in groundstacking hole</v>
      </c>
      <c r="AC154" s="451"/>
      <c r="AD154" s="451"/>
      <c r="AE154" s="451"/>
      <c r="AF154" s="282">
        <f t="shared" si="63"/>
        <v>0</v>
      </c>
      <c r="AG154" s="301">
        <f>SUM(D132:D154)+$C$131</f>
        <v>0</v>
      </c>
      <c r="AH154" s="301"/>
      <c r="AI154" s="173">
        <f t="shared" si="50"/>
        <v>69.344714800000006</v>
      </c>
      <c r="AJ154" s="284">
        <f t="shared" si="43"/>
        <v>0.93571960494171247</v>
      </c>
      <c r="AK154" s="174">
        <f t="shared" si="51"/>
        <v>180.0511663828843</v>
      </c>
      <c r="AL154" s="173">
        <f t="shared" si="52"/>
        <v>50.174479900000001</v>
      </c>
      <c r="AM154" s="285">
        <f t="shared" si="53"/>
        <v>0.76799833627881664</v>
      </c>
      <c r="AN154" s="174">
        <f t="shared" si="54"/>
        <v>146.50336262854705</v>
      </c>
      <c r="AO154" s="302"/>
      <c r="AP154" s="174">
        <f t="shared" si="64"/>
        <v>-561</v>
      </c>
      <c r="AQ154" s="288"/>
      <c r="AR154" s="288">
        <f t="shared" si="55"/>
        <v>326.55452901143133</v>
      </c>
      <c r="AS154" s="289">
        <f t="shared" si="66"/>
        <v>-146.50336262854705</v>
      </c>
      <c r="AT154" s="289"/>
      <c r="AU154" s="289">
        <f t="shared" si="65"/>
        <v>146.50336262854705</v>
      </c>
      <c r="AV154" s="291">
        <f t="shared" si="56"/>
        <v>-309.31650112640813</v>
      </c>
      <c r="AW154" s="291">
        <f t="shared" si="57"/>
        <v>-251.68349887359184</v>
      </c>
      <c r="AX154" s="292">
        <f t="shared" si="58"/>
        <v>-37.502040653367658</v>
      </c>
      <c r="AY154" s="292">
        <f t="shared" si="59"/>
        <v>-39.732441915163079</v>
      </c>
      <c r="AZ154" s="294">
        <f t="shared" si="60"/>
        <v>37.502040653367658</v>
      </c>
      <c r="BA154" s="294">
        <f t="shared" si="60"/>
        <v>39.732441915163079</v>
      </c>
      <c r="BB154">
        <f t="shared" si="61"/>
        <v>0.3</v>
      </c>
      <c r="BF154" s="27"/>
      <c r="BG154" s="27"/>
      <c r="BH154" s="27"/>
      <c r="BI154" s="27"/>
      <c r="BJ154" s="27"/>
      <c r="BK154" s="42"/>
      <c r="BM154" s="1754"/>
      <c r="BN154" s="1754"/>
      <c r="BO154" s="1754"/>
    </row>
    <row r="155" spans="2:133" ht="21" customHeight="1" x14ac:dyDescent="0.45">
      <c r="BF155" s="27"/>
      <c r="BG155" s="27"/>
      <c r="BH155" s="27"/>
      <c r="BI155" s="27"/>
      <c r="BJ155" s="27"/>
      <c r="BK155" s="42"/>
      <c r="BM155" s="1754"/>
      <c r="BN155" s="1754"/>
      <c r="BO155" s="1754"/>
      <c r="DE155" s="14"/>
    </row>
    <row r="156" spans="2:133" ht="19.2" x14ac:dyDescent="0.45">
      <c r="BF156" s="27"/>
      <c r="BG156" s="27"/>
      <c r="BH156" s="27"/>
      <c r="BI156" s="27"/>
      <c r="BJ156" s="27"/>
      <c r="BK156" s="42"/>
      <c r="BM156" s="1754"/>
      <c r="BN156" s="1754"/>
      <c r="BO156" s="1754"/>
      <c r="DE156" s="14"/>
    </row>
    <row r="157" spans="2:133" x14ac:dyDescent="0.3">
      <c r="BF157" s="27"/>
      <c r="BG157" s="27"/>
      <c r="BH157" s="27"/>
      <c r="BI157" s="27"/>
      <c r="BJ157" s="27"/>
      <c r="DE157" s="14"/>
    </row>
    <row r="158" spans="2:133" x14ac:dyDescent="0.3">
      <c r="BF158" s="35"/>
      <c r="BG158" s="35"/>
      <c r="BH158" s="35"/>
      <c r="BI158" s="35"/>
      <c r="BJ158" s="35"/>
      <c r="DE158" s="14"/>
    </row>
    <row r="159" spans="2:133" x14ac:dyDescent="0.3">
      <c r="BF159" s="33"/>
      <c r="BG159" s="33"/>
      <c r="BH159" s="33"/>
      <c r="BI159" s="33"/>
      <c r="BJ159" s="33"/>
      <c r="DE159" s="14"/>
    </row>
    <row r="160" spans="2:133" x14ac:dyDescent="0.3">
      <c r="BF160" s="33"/>
      <c r="BG160" s="33"/>
      <c r="BH160" s="33"/>
      <c r="BI160" s="33"/>
      <c r="BJ160" s="33"/>
      <c r="DE160" s="14"/>
    </row>
    <row r="161" spans="58:109" x14ac:dyDescent="0.3">
      <c r="DE161" s="14"/>
    </row>
    <row r="162" spans="58:109" hidden="1" x14ac:dyDescent="0.3">
      <c r="BF162" s="39"/>
    </row>
    <row r="163" spans="58:109" hidden="1" x14ac:dyDescent="0.3"/>
    <row r="164" spans="58:109" hidden="1" x14ac:dyDescent="0.3">
      <c r="BK164" s="1623"/>
      <c r="BL164" s="1623"/>
      <c r="BM164" s="1756" t="s">
        <v>235</v>
      </c>
      <c r="BN164" s="1623"/>
      <c r="BO164" s="1623"/>
      <c r="BP164" s="1623"/>
      <c r="BQ164" s="1623"/>
      <c r="BR164" s="1623"/>
    </row>
    <row r="165" spans="58:109" ht="19.2" hidden="1" x14ac:dyDescent="0.45">
      <c r="BK165" s="1757">
        <v>1</v>
      </c>
      <c r="BL165" s="1758">
        <v>-473</v>
      </c>
      <c r="BM165" s="1759">
        <f>+COS(($B$104*-1)*3.14159265358979/180)*BL165</f>
        <v>-473</v>
      </c>
      <c r="BN165" s="1760">
        <f>+BM165-D$3</f>
        <v>-643.69406462380334</v>
      </c>
      <c r="BO165" s="1761">
        <f t="shared" ref="BO165:BO201" si="67">ABS(BN165)</f>
        <v>643.69406462380334</v>
      </c>
      <c r="BP165" s="1762">
        <f>MIN(BO165:BO201)</f>
        <v>1.3059353761967145</v>
      </c>
      <c r="BQ165" s="1761" t="b">
        <f>IF(BP165=BO165,BK165)</f>
        <v>0</v>
      </c>
      <c r="BR165" s="1763">
        <v>1</v>
      </c>
    </row>
    <row r="166" spans="58:109" ht="19.2" hidden="1" x14ac:dyDescent="0.45">
      <c r="BK166" s="1757">
        <v>2</v>
      </c>
      <c r="BL166" s="1758">
        <f>+BL165+43</f>
        <v>-430</v>
      </c>
      <c r="BM166" s="1764">
        <f>+BM165+$E$2</f>
        <v>-430</v>
      </c>
      <c r="BN166" s="1760">
        <f t="shared" ref="BN166:BN201" si="68">+BM166-D$3</f>
        <v>-600.69406462380334</v>
      </c>
      <c r="BO166" s="1761">
        <f t="shared" si="67"/>
        <v>600.69406462380334</v>
      </c>
      <c r="BP166" s="1761">
        <f>+BP165</f>
        <v>1.3059353761967145</v>
      </c>
      <c r="BQ166" s="1761" t="b">
        <f t="shared" ref="BQ166:BQ201" si="69">IF(BP166=BO166,BK166)</f>
        <v>0</v>
      </c>
      <c r="BR166" s="1763">
        <v>2</v>
      </c>
    </row>
    <row r="167" spans="58:109" ht="19.2" hidden="1" x14ac:dyDescent="0.45">
      <c r="BK167" s="1757">
        <v>3</v>
      </c>
      <c r="BL167" s="1758">
        <f t="shared" ref="BL167:BL201" si="70">+BL166+43</f>
        <v>-387</v>
      </c>
      <c r="BM167" s="1764">
        <f t="shared" ref="BM167:BM201" si="71">+BM166+$E$2</f>
        <v>-387</v>
      </c>
      <c r="BN167" s="1760">
        <f t="shared" si="68"/>
        <v>-557.69406462380334</v>
      </c>
      <c r="BO167" s="1761">
        <f t="shared" si="67"/>
        <v>557.69406462380334</v>
      </c>
      <c r="BP167" s="1761">
        <f t="shared" ref="BP167:BP201" si="72">+BP166</f>
        <v>1.3059353761967145</v>
      </c>
      <c r="BQ167" s="1761" t="b">
        <f t="shared" si="69"/>
        <v>0</v>
      </c>
      <c r="BR167" s="1763">
        <v>3</v>
      </c>
    </row>
    <row r="168" spans="58:109" ht="19.2" hidden="1" x14ac:dyDescent="0.45">
      <c r="BK168" s="1757">
        <v>4</v>
      </c>
      <c r="BL168" s="1758">
        <f t="shared" si="70"/>
        <v>-344</v>
      </c>
      <c r="BM168" s="1764">
        <f t="shared" si="71"/>
        <v>-344</v>
      </c>
      <c r="BN168" s="1760">
        <f t="shared" si="68"/>
        <v>-514.69406462380334</v>
      </c>
      <c r="BO168" s="1761">
        <f t="shared" si="67"/>
        <v>514.69406462380334</v>
      </c>
      <c r="BP168" s="1761">
        <f t="shared" si="72"/>
        <v>1.3059353761967145</v>
      </c>
      <c r="BQ168" s="1761" t="b">
        <f t="shared" si="69"/>
        <v>0</v>
      </c>
      <c r="BR168" s="1763">
        <v>4</v>
      </c>
    </row>
    <row r="169" spans="58:109" ht="19.2" hidden="1" x14ac:dyDescent="0.45">
      <c r="BK169" s="1757">
        <v>5</v>
      </c>
      <c r="BL169" s="1758">
        <f t="shared" si="70"/>
        <v>-301</v>
      </c>
      <c r="BM169" s="1764">
        <f t="shared" si="71"/>
        <v>-301</v>
      </c>
      <c r="BN169" s="1760">
        <f t="shared" si="68"/>
        <v>-471.69406462380329</v>
      </c>
      <c r="BO169" s="1761">
        <f t="shared" si="67"/>
        <v>471.69406462380329</v>
      </c>
      <c r="BP169" s="1761">
        <f t="shared" si="72"/>
        <v>1.3059353761967145</v>
      </c>
      <c r="BQ169" s="1761" t="b">
        <f t="shared" si="69"/>
        <v>0</v>
      </c>
      <c r="BR169" s="1763">
        <v>5</v>
      </c>
    </row>
    <row r="170" spans="58:109" ht="19.2" hidden="1" x14ac:dyDescent="0.45">
      <c r="BK170" s="1757">
        <v>6</v>
      </c>
      <c r="BL170" s="1758">
        <f t="shared" si="70"/>
        <v>-258</v>
      </c>
      <c r="BM170" s="1764">
        <f t="shared" si="71"/>
        <v>-258</v>
      </c>
      <c r="BN170" s="1760">
        <f t="shared" si="68"/>
        <v>-428.69406462380329</v>
      </c>
      <c r="BO170" s="1761">
        <f t="shared" si="67"/>
        <v>428.69406462380329</v>
      </c>
      <c r="BP170" s="1761">
        <f t="shared" si="72"/>
        <v>1.3059353761967145</v>
      </c>
      <c r="BQ170" s="1761" t="b">
        <f t="shared" si="69"/>
        <v>0</v>
      </c>
      <c r="BR170" s="1763">
        <v>6</v>
      </c>
    </row>
    <row r="171" spans="58:109" ht="19.2" hidden="1" x14ac:dyDescent="0.45">
      <c r="BK171" s="1757">
        <v>7</v>
      </c>
      <c r="BL171" s="1758">
        <f t="shared" si="70"/>
        <v>-215</v>
      </c>
      <c r="BM171" s="1764">
        <f t="shared" si="71"/>
        <v>-215</v>
      </c>
      <c r="BN171" s="1760">
        <f t="shared" si="68"/>
        <v>-385.69406462380329</v>
      </c>
      <c r="BO171" s="1761">
        <f t="shared" si="67"/>
        <v>385.69406462380329</v>
      </c>
      <c r="BP171" s="1761">
        <f t="shared" si="72"/>
        <v>1.3059353761967145</v>
      </c>
      <c r="BQ171" s="1761" t="b">
        <f t="shared" si="69"/>
        <v>0</v>
      </c>
      <c r="BR171" s="1763">
        <v>7</v>
      </c>
    </row>
    <row r="172" spans="58:109" ht="19.2" hidden="1" x14ac:dyDescent="0.45">
      <c r="BK172" s="1757">
        <v>8</v>
      </c>
      <c r="BL172" s="1758">
        <f t="shared" si="70"/>
        <v>-172</v>
      </c>
      <c r="BM172" s="1764">
        <f t="shared" si="71"/>
        <v>-172</v>
      </c>
      <c r="BN172" s="1760">
        <f t="shared" si="68"/>
        <v>-342.69406462380329</v>
      </c>
      <c r="BO172" s="1761">
        <f t="shared" si="67"/>
        <v>342.69406462380329</v>
      </c>
      <c r="BP172" s="1761">
        <f t="shared" si="72"/>
        <v>1.3059353761967145</v>
      </c>
      <c r="BQ172" s="1761" t="b">
        <f t="shared" si="69"/>
        <v>0</v>
      </c>
      <c r="BR172" s="1763">
        <v>8</v>
      </c>
    </row>
    <row r="173" spans="58:109" ht="19.2" hidden="1" x14ac:dyDescent="0.45">
      <c r="BK173" s="1757">
        <v>9</v>
      </c>
      <c r="BL173" s="1758">
        <f t="shared" si="70"/>
        <v>-129</v>
      </c>
      <c r="BM173" s="1764">
        <f t="shared" si="71"/>
        <v>-129</v>
      </c>
      <c r="BN173" s="1760">
        <f t="shared" si="68"/>
        <v>-299.69406462380329</v>
      </c>
      <c r="BO173" s="1761">
        <f t="shared" si="67"/>
        <v>299.69406462380329</v>
      </c>
      <c r="BP173" s="1761">
        <f t="shared" si="72"/>
        <v>1.3059353761967145</v>
      </c>
      <c r="BQ173" s="1761" t="b">
        <f t="shared" si="69"/>
        <v>0</v>
      </c>
      <c r="BR173" s="1763">
        <v>9</v>
      </c>
    </row>
    <row r="174" spans="58:109" ht="19.2" hidden="1" x14ac:dyDescent="0.45">
      <c r="BK174" s="1757">
        <v>10</v>
      </c>
      <c r="BL174" s="1758">
        <f t="shared" si="70"/>
        <v>-86</v>
      </c>
      <c r="BM174" s="1764">
        <f t="shared" si="71"/>
        <v>-86</v>
      </c>
      <c r="BN174" s="1760">
        <f t="shared" si="68"/>
        <v>-256.69406462380329</v>
      </c>
      <c r="BO174" s="1761">
        <f t="shared" si="67"/>
        <v>256.69406462380329</v>
      </c>
      <c r="BP174" s="1761">
        <f t="shared" si="72"/>
        <v>1.3059353761967145</v>
      </c>
      <c r="BQ174" s="1761" t="b">
        <f t="shared" si="69"/>
        <v>0</v>
      </c>
      <c r="BR174" s="1763">
        <v>10</v>
      </c>
    </row>
    <row r="175" spans="58:109" ht="19.2" hidden="1" x14ac:dyDescent="0.45">
      <c r="BK175" s="1757">
        <v>11</v>
      </c>
      <c r="BL175" s="1758">
        <f t="shared" si="70"/>
        <v>-43</v>
      </c>
      <c r="BM175" s="1764">
        <f t="shared" si="71"/>
        <v>-43</v>
      </c>
      <c r="BN175" s="1760">
        <f t="shared" si="68"/>
        <v>-213.69406462380329</v>
      </c>
      <c r="BO175" s="1761">
        <f t="shared" si="67"/>
        <v>213.69406462380329</v>
      </c>
      <c r="BP175" s="1761">
        <f t="shared" si="72"/>
        <v>1.3059353761967145</v>
      </c>
      <c r="BQ175" s="1761" t="b">
        <f t="shared" si="69"/>
        <v>0</v>
      </c>
      <c r="BR175" s="1763">
        <v>11</v>
      </c>
    </row>
    <row r="176" spans="58:109" ht="19.2" hidden="1" x14ac:dyDescent="0.45">
      <c r="BK176" s="1757">
        <v>12</v>
      </c>
      <c r="BL176" s="1758">
        <f t="shared" si="70"/>
        <v>0</v>
      </c>
      <c r="BM176" s="1764">
        <f t="shared" si="71"/>
        <v>0</v>
      </c>
      <c r="BN176" s="1760">
        <f t="shared" si="68"/>
        <v>-170.69406462380329</v>
      </c>
      <c r="BO176" s="1761">
        <f t="shared" si="67"/>
        <v>170.69406462380329</v>
      </c>
      <c r="BP176" s="1761">
        <f t="shared" si="72"/>
        <v>1.3059353761967145</v>
      </c>
      <c r="BQ176" s="1761" t="b">
        <f t="shared" si="69"/>
        <v>0</v>
      </c>
      <c r="BR176" s="1763">
        <v>12</v>
      </c>
    </row>
    <row r="177" spans="63:93" ht="19.2" hidden="1" x14ac:dyDescent="0.45">
      <c r="BK177" s="1757">
        <v>13</v>
      </c>
      <c r="BL177" s="1758">
        <f t="shared" si="70"/>
        <v>43</v>
      </c>
      <c r="BM177" s="1764">
        <f t="shared" si="71"/>
        <v>43</v>
      </c>
      <c r="BN177" s="1760">
        <f t="shared" si="68"/>
        <v>-127.69406462380329</v>
      </c>
      <c r="BO177" s="1761">
        <f t="shared" si="67"/>
        <v>127.69406462380329</v>
      </c>
      <c r="BP177" s="1761">
        <f t="shared" si="72"/>
        <v>1.3059353761967145</v>
      </c>
      <c r="BQ177" s="1761" t="b">
        <f t="shared" si="69"/>
        <v>0</v>
      </c>
      <c r="BR177" s="1763">
        <v>13</v>
      </c>
    </row>
    <row r="178" spans="63:93" ht="19.2" hidden="1" x14ac:dyDescent="0.45">
      <c r="BK178" s="1757">
        <v>14</v>
      </c>
      <c r="BL178" s="1758">
        <f t="shared" si="70"/>
        <v>86</v>
      </c>
      <c r="BM178" s="1764">
        <f t="shared" si="71"/>
        <v>86</v>
      </c>
      <c r="BN178" s="1760">
        <f t="shared" si="68"/>
        <v>-84.694064623803285</v>
      </c>
      <c r="BO178" s="1761">
        <f t="shared" si="67"/>
        <v>84.694064623803285</v>
      </c>
      <c r="BP178" s="1761">
        <f t="shared" si="72"/>
        <v>1.3059353761967145</v>
      </c>
      <c r="BQ178" s="1761" t="b">
        <f t="shared" si="69"/>
        <v>0</v>
      </c>
      <c r="BR178" s="1763">
        <v>14</v>
      </c>
    </row>
    <row r="179" spans="63:93" ht="19.2" hidden="1" x14ac:dyDescent="0.45">
      <c r="BK179" s="1757">
        <v>15</v>
      </c>
      <c r="BL179" s="1758">
        <f t="shared" si="70"/>
        <v>129</v>
      </c>
      <c r="BM179" s="1764">
        <f t="shared" si="71"/>
        <v>129</v>
      </c>
      <c r="BN179" s="1760">
        <f t="shared" si="68"/>
        <v>-41.694064623803285</v>
      </c>
      <c r="BO179" s="1761">
        <f t="shared" si="67"/>
        <v>41.694064623803285</v>
      </c>
      <c r="BP179" s="1761">
        <f t="shared" si="72"/>
        <v>1.3059353761967145</v>
      </c>
      <c r="BQ179" s="1761" t="b">
        <f t="shared" si="69"/>
        <v>0</v>
      </c>
      <c r="BR179" s="1763">
        <v>15</v>
      </c>
    </row>
    <row r="180" spans="63:93" ht="19.2" hidden="1" x14ac:dyDescent="0.45">
      <c r="BK180" s="1757">
        <v>16</v>
      </c>
      <c r="BL180" s="1758">
        <f t="shared" si="70"/>
        <v>172</v>
      </c>
      <c r="BM180" s="1764">
        <f t="shared" si="71"/>
        <v>172</v>
      </c>
      <c r="BN180" s="1760">
        <f t="shared" si="68"/>
        <v>1.3059353761967145</v>
      </c>
      <c r="BO180" s="1761">
        <f t="shared" si="67"/>
        <v>1.3059353761967145</v>
      </c>
      <c r="BP180" s="1761">
        <f t="shared" si="72"/>
        <v>1.3059353761967145</v>
      </c>
      <c r="BQ180" s="1761">
        <f t="shared" si="69"/>
        <v>16</v>
      </c>
      <c r="BR180" s="1763">
        <v>16</v>
      </c>
    </row>
    <row r="181" spans="63:93" ht="19.2" hidden="1" x14ac:dyDescent="0.45">
      <c r="BK181" s="1757">
        <v>17</v>
      </c>
      <c r="BL181" s="1758">
        <f t="shared" si="70"/>
        <v>215</v>
      </c>
      <c r="BM181" s="1764">
        <f t="shared" si="71"/>
        <v>215</v>
      </c>
      <c r="BN181" s="1760">
        <f t="shared" si="68"/>
        <v>44.305935376196715</v>
      </c>
      <c r="BO181" s="1761">
        <f t="shared" si="67"/>
        <v>44.305935376196715</v>
      </c>
      <c r="BP181" s="1761">
        <f t="shared" si="72"/>
        <v>1.3059353761967145</v>
      </c>
      <c r="BQ181" s="1761" t="b">
        <f t="shared" si="69"/>
        <v>0</v>
      </c>
      <c r="BR181" s="1763">
        <v>17</v>
      </c>
    </row>
    <row r="182" spans="63:93" ht="19.2" hidden="1" x14ac:dyDescent="0.45">
      <c r="BK182" s="1757">
        <v>18</v>
      </c>
      <c r="BL182" s="1758">
        <f t="shared" si="70"/>
        <v>258</v>
      </c>
      <c r="BM182" s="1764">
        <f t="shared" si="71"/>
        <v>258</v>
      </c>
      <c r="BN182" s="1760">
        <f t="shared" si="68"/>
        <v>87.305935376196715</v>
      </c>
      <c r="BO182" s="1761">
        <f t="shared" si="67"/>
        <v>87.305935376196715</v>
      </c>
      <c r="BP182" s="1761">
        <f t="shared" si="72"/>
        <v>1.3059353761967145</v>
      </c>
      <c r="BQ182" s="1761" t="b">
        <f t="shared" si="69"/>
        <v>0</v>
      </c>
      <c r="BR182" s="1763">
        <v>18</v>
      </c>
      <c r="BS182" s="1765"/>
      <c r="BT182" s="1765"/>
      <c r="BU182" s="1765"/>
      <c r="BV182" s="2010"/>
      <c r="BW182" s="2010"/>
      <c r="BX182" s="2010"/>
      <c r="BY182" s="1748"/>
      <c r="BZ182" s="1750"/>
      <c r="CA182" s="1750"/>
      <c r="CB182" s="1750"/>
      <c r="CC182" s="1750"/>
      <c r="CD182" s="1750"/>
      <c r="CE182" s="1750"/>
      <c r="CF182" s="1750"/>
      <c r="CG182" s="1750"/>
      <c r="CH182" s="1750"/>
      <c r="CI182" s="1750"/>
      <c r="CJ182" s="1750"/>
      <c r="CK182" s="1750"/>
      <c r="CL182" s="1750"/>
      <c r="CM182" s="1750"/>
      <c r="CN182" s="1750"/>
      <c r="CO182" s="1750"/>
    </row>
    <row r="183" spans="63:93" ht="19.2" hidden="1" x14ac:dyDescent="0.45">
      <c r="BK183" s="1757">
        <v>19</v>
      </c>
      <c r="BL183" s="1758">
        <f t="shared" si="70"/>
        <v>301</v>
      </c>
      <c r="BM183" s="1764">
        <f t="shared" si="71"/>
        <v>301</v>
      </c>
      <c r="BN183" s="1760">
        <f t="shared" si="68"/>
        <v>130.30593537619671</v>
      </c>
      <c r="BO183" s="1761">
        <f t="shared" si="67"/>
        <v>130.30593537619671</v>
      </c>
      <c r="BP183" s="1761">
        <f t="shared" si="72"/>
        <v>1.3059353761967145</v>
      </c>
      <c r="BQ183" s="1761" t="b">
        <f t="shared" si="69"/>
        <v>0</v>
      </c>
      <c r="BR183" s="1763">
        <v>19</v>
      </c>
      <c r="BS183" s="1750"/>
      <c r="BT183" s="1750"/>
      <c r="BU183" s="1750"/>
      <c r="BV183" s="1766"/>
      <c r="BW183" s="1750"/>
      <c r="BX183" s="1750"/>
      <c r="BY183" s="1750"/>
      <c r="BZ183" s="1750"/>
      <c r="CA183" s="1750"/>
      <c r="CB183" s="1750"/>
      <c r="CC183" s="1750"/>
      <c r="CD183" s="1750"/>
      <c r="CE183" s="1750"/>
      <c r="CF183" s="1750"/>
      <c r="CG183" s="1750"/>
      <c r="CH183" s="1750"/>
      <c r="CI183" s="1766"/>
      <c r="CJ183" s="1750"/>
      <c r="CK183" s="1750"/>
      <c r="CL183" s="1750"/>
      <c r="CM183" s="1750"/>
      <c r="CN183" s="1750"/>
      <c r="CO183" s="1750"/>
    </row>
    <row r="184" spans="63:93" ht="19.2" hidden="1" x14ac:dyDescent="0.45">
      <c r="BK184" s="1757">
        <v>20</v>
      </c>
      <c r="BL184" s="1758">
        <f t="shared" si="70"/>
        <v>344</v>
      </c>
      <c r="BM184" s="1764">
        <f t="shared" si="71"/>
        <v>344</v>
      </c>
      <c r="BN184" s="1760">
        <f t="shared" si="68"/>
        <v>173.30593537619671</v>
      </c>
      <c r="BO184" s="1761">
        <f t="shared" si="67"/>
        <v>173.30593537619671</v>
      </c>
      <c r="BP184" s="1761">
        <f t="shared" si="72"/>
        <v>1.3059353761967145</v>
      </c>
      <c r="BQ184" s="1761" t="b">
        <f t="shared" si="69"/>
        <v>0</v>
      </c>
      <c r="BR184" s="1763">
        <v>20</v>
      </c>
      <c r="BS184" s="1767"/>
      <c r="BT184" s="1767"/>
      <c r="BU184" s="1767"/>
      <c r="BV184" s="2011"/>
      <c r="BW184" s="2011"/>
      <c r="BX184" s="1750"/>
      <c r="BY184" s="1750"/>
      <c r="BZ184" s="1750"/>
      <c r="CA184" s="1750"/>
      <c r="CB184" s="1750"/>
      <c r="CC184" s="1750"/>
      <c r="CD184" s="1750"/>
      <c r="CE184" s="1750"/>
      <c r="CF184" s="1750"/>
      <c r="CG184" s="1750"/>
      <c r="CH184" s="2012"/>
      <c r="CI184" s="2012"/>
      <c r="CJ184" s="1750"/>
      <c r="CK184" s="1750"/>
      <c r="CL184" s="1750"/>
      <c r="CM184" s="1750"/>
      <c r="CN184" s="1750"/>
      <c r="CO184" s="1750"/>
    </row>
    <row r="185" spans="63:93" ht="19.2" hidden="1" x14ac:dyDescent="0.45">
      <c r="BK185" s="1757">
        <v>21</v>
      </c>
      <c r="BL185" s="1758">
        <f t="shared" si="70"/>
        <v>387</v>
      </c>
      <c r="BM185" s="1764">
        <f t="shared" si="71"/>
        <v>387</v>
      </c>
      <c r="BN185" s="1760">
        <f t="shared" si="68"/>
        <v>216.30593537619671</v>
      </c>
      <c r="BO185" s="1761">
        <f t="shared" si="67"/>
        <v>216.30593537619671</v>
      </c>
      <c r="BP185" s="1761">
        <f t="shared" si="72"/>
        <v>1.3059353761967145</v>
      </c>
      <c r="BQ185" s="1761" t="b">
        <f t="shared" si="69"/>
        <v>0</v>
      </c>
      <c r="BR185" s="1763">
        <v>21</v>
      </c>
      <c r="BS185" s="1750"/>
      <c r="BT185" s="1750"/>
      <c r="BU185" s="1750"/>
      <c r="BV185" s="1750"/>
      <c r="BW185" s="1750"/>
      <c r="BX185" s="1750"/>
      <c r="BY185" s="1750"/>
      <c r="BZ185" s="1750"/>
      <c r="CA185" s="1750"/>
      <c r="CB185" s="1750"/>
      <c r="CC185" s="1750"/>
      <c r="CD185" s="1750"/>
      <c r="CE185" s="1750"/>
      <c r="CF185" s="1750"/>
      <c r="CG185" s="1750"/>
      <c r="CH185" s="1750"/>
      <c r="CI185" s="1750"/>
      <c r="CJ185" s="1750"/>
      <c r="CK185" s="1750"/>
      <c r="CL185" s="1750"/>
      <c r="CM185" s="1750"/>
      <c r="CN185" s="1750"/>
      <c r="CO185" s="1750"/>
    </row>
    <row r="186" spans="63:93" ht="19.2" hidden="1" x14ac:dyDescent="0.45">
      <c r="BK186" s="1757">
        <v>22</v>
      </c>
      <c r="BL186" s="1758">
        <f t="shared" si="70"/>
        <v>430</v>
      </c>
      <c r="BM186" s="1764">
        <f t="shared" si="71"/>
        <v>430</v>
      </c>
      <c r="BN186" s="1760">
        <f t="shared" si="68"/>
        <v>259.30593537619671</v>
      </c>
      <c r="BO186" s="1761">
        <f t="shared" si="67"/>
        <v>259.30593537619671</v>
      </c>
      <c r="BP186" s="1761">
        <f t="shared" si="72"/>
        <v>1.3059353761967145</v>
      </c>
      <c r="BQ186" s="1761" t="b">
        <f t="shared" si="69"/>
        <v>0</v>
      </c>
      <c r="BR186" s="1763">
        <v>22</v>
      </c>
      <c r="BS186" s="1750"/>
      <c r="BT186" s="1750"/>
      <c r="BU186" s="1750"/>
      <c r="BV186" s="1750"/>
      <c r="BW186" s="1750"/>
      <c r="BX186" s="1750"/>
      <c r="BY186" s="1750"/>
      <c r="BZ186" s="1750"/>
      <c r="CA186" s="1750"/>
      <c r="CB186" s="1750"/>
      <c r="CC186" s="1750"/>
      <c r="CD186" s="1750"/>
      <c r="CE186" s="1750"/>
      <c r="CF186" s="1750"/>
      <c r="CG186" s="1750"/>
      <c r="CH186" s="1750"/>
      <c r="CI186" s="1750"/>
      <c r="CJ186" s="1750"/>
      <c r="CK186" s="1750"/>
      <c r="CL186" s="1750"/>
      <c r="CM186" s="1750"/>
      <c r="CN186" s="1750"/>
      <c r="CO186" s="1750"/>
    </row>
    <row r="187" spans="63:93" ht="19.2" hidden="1" x14ac:dyDescent="0.45">
      <c r="BK187" s="1757">
        <v>23</v>
      </c>
      <c r="BL187" s="1758">
        <f t="shared" si="70"/>
        <v>473</v>
      </c>
      <c r="BM187" s="1764">
        <f t="shared" si="71"/>
        <v>473</v>
      </c>
      <c r="BN187" s="1760">
        <f t="shared" si="68"/>
        <v>302.30593537619671</v>
      </c>
      <c r="BO187" s="1761">
        <f t="shared" si="67"/>
        <v>302.30593537619671</v>
      </c>
      <c r="BP187" s="1761">
        <f t="shared" si="72"/>
        <v>1.3059353761967145</v>
      </c>
      <c r="BQ187" s="1761" t="b">
        <f t="shared" si="69"/>
        <v>0</v>
      </c>
      <c r="BR187" s="1763">
        <v>23</v>
      </c>
      <c r="BS187" s="1750"/>
      <c r="BT187" s="1750"/>
      <c r="BU187" s="1750"/>
      <c r="BV187" s="1750"/>
      <c r="BW187" s="1750"/>
      <c r="BX187" s="1750"/>
      <c r="BY187" s="1750"/>
      <c r="BZ187" s="1750"/>
      <c r="CA187" s="1750"/>
      <c r="CB187" s="1750"/>
      <c r="CC187" s="1750"/>
      <c r="CD187" s="1750"/>
      <c r="CE187" s="1750"/>
      <c r="CF187" s="1750"/>
      <c r="CG187" s="1750"/>
      <c r="CH187" s="1750"/>
      <c r="CI187" s="1750"/>
      <c r="CJ187" s="1750"/>
      <c r="CK187" s="1750"/>
      <c r="CL187" s="1750"/>
      <c r="CM187" s="1750"/>
      <c r="CN187" s="1750"/>
      <c r="CO187" s="1750"/>
    </row>
    <row r="188" spans="63:93" ht="19.2" hidden="1" x14ac:dyDescent="0.45">
      <c r="BK188" s="1757">
        <v>24</v>
      </c>
      <c r="BL188" s="1758">
        <f t="shared" si="70"/>
        <v>516</v>
      </c>
      <c r="BM188" s="1764">
        <f t="shared" si="71"/>
        <v>516</v>
      </c>
      <c r="BN188" s="1760">
        <f t="shared" si="68"/>
        <v>345.30593537619671</v>
      </c>
      <c r="BO188" s="1761">
        <f t="shared" si="67"/>
        <v>345.30593537619671</v>
      </c>
      <c r="BP188" s="1761">
        <f t="shared" si="72"/>
        <v>1.3059353761967145</v>
      </c>
      <c r="BQ188" s="1761" t="b">
        <f t="shared" si="69"/>
        <v>0</v>
      </c>
      <c r="BR188" s="1763">
        <v>24</v>
      </c>
      <c r="BS188" s="1750"/>
      <c r="BT188" s="1750"/>
      <c r="BU188" s="1750"/>
      <c r="BV188" s="1750"/>
      <c r="BW188" s="1750"/>
      <c r="BX188" s="1750"/>
      <c r="BY188" s="1750"/>
      <c r="BZ188" s="1750"/>
      <c r="CA188" s="1750"/>
      <c r="CB188" s="1750"/>
      <c r="CC188" s="1750"/>
      <c r="CD188" s="1750"/>
      <c r="CE188" s="1750"/>
      <c r="CF188" s="1750"/>
      <c r="CG188" s="1750"/>
      <c r="CH188" s="1750"/>
      <c r="CI188" s="1750"/>
      <c r="CJ188" s="1750"/>
      <c r="CK188" s="1750"/>
      <c r="CL188" s="1750"/>
      <c r="CM188" s="1750"/>
      <c r="CN188" s="1750"/>
      <c r="CO188" s="1750"/>
    </row>
    <row r="189" spans="63:93" ht="19.2" hidden="1" x14ac:dyDescent="0.45">
      <c r="BK189" s="1757">
        <v>25</v>
      </c>
      <c r="BL189" s="1758">
        <f t="shared" si="70"/>
        <v>559</v>
      </c>
      <c r="BM189" s="1764">
        <f t="shared" si="71"/>
        <v>559</v>
      </c>
      <c r="BN189" s="1760">
        <f t="shared" si="68"/>
        <v>388.30593537619671</v>
      </c>
      <c r="BO189" s="1761">
        <f t="shared" si="67"/>
        <v>388.30593537619671</v>
      </c>
      <c r="BP189" s="1761">
        <f t="shared" si="72"/>
        <v>1.3059353761967145</v>
      </c>
      <c r="BQ189" s="1761" t="b">
        <f t="shared" si="69"/>
        <v>0</v>
      </c>
      <c r="BR189" s="1763">
        <v>25</v>
      </c>
      <c r="BS189" s="1750"/>
      <c r="BT189" s="1750"/>
      <c r="BU189" s="1750"/>
      <c r="BV189" s="1750"/>
      <c r="BW189" s="1750"/>
      <c r="BX189" s="1750"/>
      <c r="BY189" s="1750"/>
      <c r="BZ189" s="1750"/>
      <c r="CA189" s="1750"/>
      <c r="CB189" s="1750"/>
      <c r="CC189" s="1750"/>
      <c r="CD189" s="1750"/>
      <c r="CE189" s="1750"/>
      <c r="CF189" s="1750"/>
      <c r="CG189" s="1750"/>
      <c r="CH189" s="1750"/>
      <c r="CI189" s="1750"/>
      <c r="CJ189" s="1750"/>
      <c r="CK189" s="1750"/>
      <c r="CL189" s="1750"/>
      <c r="CM189" s="1750"/>
      <c r="CN189" s="1750"/>
      <c r="CO189" s="1750"/>
    </row>
    <row r="190" spans="63:93" ht="19.2" hidden="1" x14ac:dyDescent="0.45">
      <c r="BK190" s="1757">
        <v>26</v>
      </c>
      <c r="BL190" s="1758">
        <f t="shared" si="70"/>
        <v>602</v>
      </c>
      <c r="BM190" s="1764">
        <f t="shared" si="71"/>
        <v>602</v>
      </c>
      <c r="BN190" s="1760">
        <f t="shared" si="68"/>
        <v>431.30593537619671</v>
      </c>
      <c r="BO190" s="1761">
        <f t="shared" si="67"/>
        <v>431.30593537619671</v>
      </c>
      <c r="BP190" s="1761">
        <f t="shared" si="72"/>
        <v>1.3059353761967145</v>
      </c>
      <c r="BQ190" s="1761" t="b">
        <f t="shared" si="69"/>
        <v>0</v>
      </c>
      <c r="BR190" s="1763">
        <v>26</v>
      </c>
      <c r="BS190" s="1750"/>
      <c r="BT190" s="1750"/>
      <c r="BU190" s="1750"/>
      <c r="BV190" s="1750"/>
      <c r="BW190" s="1750"/>
      <c r="BX190" s="1750"/>
      <c r="BY190" s="1750"/>
      <c r="BZ190" s="1750"/>
      <c r="CA190" s="1750"/>
      <c r="CB190" s="1750"/>
      <c r="CC190" s="1750"/>
      <c r="CD190" s="1750"/>
      <c r="CE190" s="1750"/>
      <c r="CF190" s="1750"/>
      <c r="CG190" s="1750"/>
      <c r="CH190" s="1750"/>
      <c r="CI190" s="1750"/>
      <c r="CJ190" s="1750"/>
      <c r="CK190" s="1750"/>
      <c r="CL190" s="1750"/>
      <c r="CM190" s="1750"/>
      <c r="CN190" s="1750"/>
      <c r="CO190" s="1750"/>
    </row>
    <row r="191" spans="63:93" ht="19.2" hidden="1" x14ac:dyDescent="0.45">
      <c r="BK191" s="1757">
        <v>27</v>
      </c>
      <c r="BL191" s="1758">
        <f t="shared" si="70"/>
        <v>645</v>
      </c>
      <c r="BM191" s="1764">
        <f t="shared" si="71"/>
        <v>645</v>
      </c>
      <c r="BN191" s="1760">
        <f t="shared" si="68"/>
        <v>474.30593537619671</v>
      </c>
      <c r="BO191" s="1761">
        <f t="shared" si="67"/>
        <v>474.30593537619671</v>
      </c>
      <c r="BP191" s="1761">
        <f t="shared" si="72"/>
        <v>1.3059353761967145</v>
      </c>
      <c r="BQ191" s="1761" t="b">
        <f t="shared" si="69"/>
        <v>0</v>
      </c>
      <c r="BR191" s="1763">
        <v>27</v>
      </c>
      <c r="BS191" s="1750"/>
      <c r="BT191" s="1750"/>
      <c r="BU191" s="1750"/>
      <c r="BV191" s="1750"/>
      <c r="BW191" s="1750"/>
      <c r="BX191" s="1750"/>
      <c r="BY191" s="1750"/>
      <c r="BZ191" s="1750"/>
      <c r="CA191" s="1750"/>
      <c r="CB191" s="1750"/>
      <c r="CC191" s="1750"/>
      <c r="CD191" s="1750"/>
      <c r="CE191" s="1750"/>
      <c r="CF191" s="1750"/>
      <c r="CG191" s="1750"/>
      <c r="CH191" s="1750"/>
      <c r="CI191" s="1750"/>
      <c r="CJ191" s="1750"/>
      <c r="CK191" s="1750"/>
      <c r="CL191" s="1750"/>
      <c r="CM191" s="1750"/>
      <c r="CN191" s="1750"/>
      <c r="CO191" s="1750"/>
    </row>
    <row r="192" spans="63:93" ht="19.2" hidden="1" x14ac:dyDescent="0.45">
      <c r="BK192" s="1757">
        <v>28</v>
      </c>
      <c r="BL192" s="1758">
        <f t="shared" si="70"/>
        <v>688</v>
      </c>
      <c r="BM192" s="1764">
        <f t="shared" si="71"/>
        <v>688</v>
      </c>
      <c r="BN192" s="1760">
        <f t="shared" si="68"/>
        <v>517.30593537619666</v>
      </c>
      <c r="BO192" s="1761">
        <f t="shared" si="67"/>
        <v>517.30593537619666</v>
      </c>
      <c r="BP192" s="1761">
        <f t="shared" si="72"/>
        <v>1.3059353761967145</v>
      </c>
      <c r="BQ192" s="1761" t="b">
        <f t="shared" si="69"/>
        <v>0</v>
      </c>
      <c r="BR192" s="1763">
        <v>28</v>
      </c>
      <c r="BS192" s="1750"/>
      <c r="BT192" s="1750"/>
      <c r="BU192" s="1750"/>
      <c r="BV192" s="1750"/>
      <c r="BW192" s="1750"/>
      <c r="BX192" s="1750"/>
      <c r="BY192" s="1750"/>
      <c r="BZ192" s="1750"/>
      <c r="CA192" s="1750"/>
      <c r="CB192" s="1750"/>
      <c r="CC192" s="1750"/>
      <c r="CD192" s="1750"/>
      <c r="CE192" s="1750"/>
      <c r="CF192" s="1750"/>
      <c r="CG192" s="1750"/>
      <c r="CH192" s="1750"/>
      <c r="CI192" s="1750"/>
      <c r="CJ192" s="1750"/>
      <c r="CK192" s="1750"/>
      <c r="CL192" s="1750"/>
      <c r="CM192" s="1750"/>
      <c r="CN192" s="1750"/>
      <c r="CO192" s="1750"/>
    </row>
    <row r="193" spans="63:134" ht="19.2" hidden="1" x14ac:dyDescent="0.45">
      <c r="BK193" s="1757">
        <v>29</v>
      </c>
      <c r="BL193" s="1758">
        <f t="shared" si="70"/>
        <v>731</v>
      </c>
      <c r="BM193" s="1764">
        <f t="shared" si="71"/>
        <v>731</v>
      </c>
      <c r="BN193" s="1760">
        <f t="shared" si="68"/>
        <v>560.30593537619666</v>
      </c>
      <c r="BO193" s="1761">
        <f t="shared" si="67"/>
        <v>560.30593537619666</v>
      </c>
      <c r="BP193" s="1761">
        <f t="shared" si="72"/>
        <v>1.3059353761967145</v>
      </c>
      <c r="BQ193" s="1761" t="b">
        <f t="shared" si="69"/>
        <v>0</v>
      </c>
      <c r="BR193" s="1763">
        <v>29</v>
      </c>
      <c r="BS193" s="1750"/>
      <c r="BT193" s="1750"/>
      <c r="BU193" s="1750"/>
      <c r="BV193" s="1750"/>
      <c r="BW193" s="1750"/>
      <c r="BX193" s="1750"/>
      <c r="BY193" s="1750"/>
      <c r="BZ193" s="1750"/>
      <c r="CA193" s="1750"/>
      <c r="CB193" s="1750"/>
      <c r="CC193" s="1750"/>
      <c r="CD193" s="1750"/>
      <c r="CE193" s="1750"/>
      <c r="CF193" s="1750"/>
      <c r="CG193" s="1750"/>
      <c r="CH193" s="1750"/>
      <c r="CI193" s="1750"/>
      <c r="CJ193" s="1750"/>
      <c r="CK193" s="1750"/>
      <c r="CL193" s="1750"/>
      <c r="CM193" s="1750"/>
      <c r="CN193" s="1750"/>
      <c r="CO193" s="1750"/>
    </row>
    <row r="194" spans="63:134" ht="19.2" hidden="1" x14ac:dyDescent="0.45">
      <c r="BK194" s="1757">
        <v>30</v>
      </c>
      <c r="BL194" s="1758">
        <f t="shared" si="70"/>
        <v>774</v>
      </c>
      <c r="BM194" s="1764">
        <f t="shared" si="71"/>
        <v>774</v>
      </c>
      <c r="BN194" s="1760">
        <f t="shared" si="68"/>
        <v>603.30593537619666</v>
      </c>
      <c r="BO194" s="1761">
        <f t="shared" si="67"/>
        <v>603.30593537619666</v>
      </c>
      <c r="BP194" s="1761">
        <f t="shared" si="72"/>
        <v>1.3059353761967145</v>
      </c>
      <c r="BQ194" s="1761" t="b">
        <f t="shared" si="69"/>
        <v>0</v>
      </c>
      <c r="BR194" s="1763">
        <v>30</v>
      </c>
      <c r="BS194" s="1750"/>
      <c r="BT194" s="1750"/>
      <c r="BU194" s="1750"/>
      <c r="BV194" s="1750"/>
      <c r="BW194" s="1750"/>
      <c r="BX194" s="1750"/>
      <c r="BY194" s="1750"/>
      <c r="BZ194" s="1750"/>
      <c r="CA194" s="1750"/>
      <c r="CB194" s="1750"/>
      <c r="CC194" s="1750"/>
      <c r="CD194" s="1750"/>
      <c r="CE194" s="1750"/>
      <c r="CF194" s="1750"/>
      <c r="CG194" s="1750"/>
      <c r="CH194" s="1750"/>
      <c r="CI194" s="1750"/>
      <c r="CJ194" s="1750"/>
      <c r="CK194" s="1750"/>
      <c r="CL194" s="1750"/>
      <c r="CM194" s="1750"/>
      <c r="CN194" s="1750"/>
      <c r="CO194" s="1750"/>
    </row>
    <row r="195" spans="63:134" ht="19.2" hidden="1" x14ac:dyDescent="0.45">
      <c r="BK195" s="1757">
        <v>31</v>
      </c>
      <c r="BL195" s="1758">
        <f t="shared" si="70"/>
        <v>817</v>
      </c>
      <c r="BM195" s="1764">
        <f t="shared" si="71"/>
        <v>817</v>
      </c>
      <c r="BN195" s="1760">
        <f t="shared" si="68"/>
        <v>646.30593537619666</v>
      </c>
      <c r="BO195" s="1761">
        <f t="shared" si="67"/>
        <v>646.30593537619666</v>
      </c>
      <c r="BP195" s="1761">
        <f t="shared" si="72"/>
        <v>1.3059353761967145</v>
      </c>
      <c r="BQ195" s="1761" t="b">
        <f t="shared" si="69"/>
        <v>0</v>
      </c>
      <c r="BR195" s="1763">
        <v>31</v>
      </c>
      <c r="BS195" s="1750"/>
      <c r="BT195" s="1750"/>
      <c r="BU195" s="1750"/>
      <c r="BV195" s="1750"/>
      <c r="BW195" s="1750"/>
      <c r="BX195" s="1750"/>
      <c r="BY195" s="1750"/>
      <c r="BZ195" s="1750"/>
      <c r="CA195" s="1750"/>
      <c r="CB195" s="1750"/>
      <c r="CC195" s="1750"/>
      <c r="CD195" s="1750"/>
      <c r="CE195" s="1750"/>
      <c r="CF195" s="1750"/>
      <c r="CG195" s="1750"/>
      <c r="CH195" s="1750"/>
      <c r="CI195" s="1750"/>
      <c r="CJ195" s="1750"/>
      <c r="CK195" s="1750"/>
      <c r="CL195" s="1750"/>
      <c r="CM195" s="1750"/>
      <c r="CN195" s="1750"/>
      <c r="CO195" s="1750"/>
    </row>
    <row r="196" spans="63:134" ht="19.2" hidden="1" x14ac:dyDescent="0.45">
      <c r="BK196" s="1757">
        <v>32</v>
      </c>
      <c r="BL196" s="1758">
        <f t="shared" si="70"/>
        <v>860</v>
      </c>
      <c r="BM196" s="1764">
        <f t="shared" si="71"/>
        <v>860</v>
      </c>
      <c r="BN196" s="1760">
        <f t="shared" si="68"/>
        <v>689.30593537619666</v>
      </c>
      <c r="BO196" s="1761">
        <f t="shared" si="67"/>
        <v>689.30593537619666</v>
      </c>
      <c r="BP196" s="1761">
        <f t="shared" si="72"/>
        <v>1.3059353761967145</v>
      </c>
      <c r="BQ196" s="1761" t="b">
        <f t="shared" si="69"/>
        <v>0</v>
      </c>
      <c r="BR196" s="1763">
        <v>32</v>
      </c>
      <c r="BS196" s="1750"/>
      <c r="BT196" s="1750"/>
      <c r="BU196" s="1750"/>
      <c r="BV196" s="1750"/>
      <c r="BW196" s="1750"/>
      <c r="BX196" s="1750"/>
      <c r="BY196" s="1750"/>
      <c r="BZ196" s="1750"/>
      <c r="CA196" s="1750"/>
      <c r="CB196" s="1750"/>
      <c r="CC196" s="1750"/>
      <c r="CD196" s="1750"/>
      <c r="CE196" s="1750"/>
      <c r="CF196" s="1750"/>
      <c r="CG196" s="1750"/>
      <c r="CH196" s="1750"/>
      <c r="CI196" s="1750"/>
      <c r="CJ196" s="1750"/>
      <c r="CK196" s="1750"/>
      <c r="CL196" s="1750"/>
      <c r="CM196" s="1750"/>
      <c r="CN196" s="1750"/>
      <c r="CO196" s="1750"/>
    </row>
    <row r="197" spans="63:134" ht="19.2" hidden="1" x14ac:dyDescent="0.45">
      <c r="BK197" s="1757">
        <v>33</v>
      </c>
      <c r="BL197" s="1758">
        <f t="shared" si="70"/>
        <v>903</v>
      </c>
      <c r="BM197" s="1764">
        <f t="shared" si="71"/>
        <v>903</v>
      </c>
      <c r="BN197" s="1760">
        <f t="shared" si="68"/>
        <v>732.30593537619666</v>
      </c>
      <c r="BO197" s="1761">
        <f t="shared" si="67"/>
        <v>732.30593537619666</v>
      </c>
      <c r="BP197" s="1761">
        <f t="shared" si="72"/>
        <v>1.3059353761967145</v>
      </c>
      <c r="BQ197" s="1761" t="b">
        <f t="shared" si="69"/>
        <v>0</v>
      </c>
      <c r="BR197" s="1763">
        <v>33</v>
      </c>
      <c r="BS197" s="1750"/>
      <c r="BT197" s="1750"/>
      <c r="BU197" s="1581"/>
      <c r="BV197" s="1581"/>
      <c r="BW197" s="1581"/>
      <c r="BX197" s="1581"/>
      <c r="BY197" s="1581"/>
      <c r="BZ197" s="1581"/>
      <c r="CA197" s="1581"/>
      <c r="CB197" s="1581"/>
      <c r="CC197" s="1581"/>
      <c r="CD197" s="1581"/>
      <c r="CE197" s="1750"/>
      <c r="CF197" s="1750"/>
      <c r="CG197" s="1750"/>
      <c r="CH197" s="1750"/>
      <c r="CI197" s="1750"/>
      <c r="CJ197" s="1750"/>
      <c r="CK197" s="1750"/>
      <c r="CL197" s="1750"/>
      <c r="CM197" s="1750"/>
      <c r="CN197" s="1750"/>
      <c r="CO197" s="1750"/>
      <c r="DE197" s="64"/>
      <c r="DF197" s="64"/>
      <c r="DG197" s="64"/>
      <c r="DH197" s="64"/>
      <c r="DI197" s="64"/>
      <c r="DJ197" s="64"/>
      <c r="DK197" s="1998"/>
      <c r="DL197" s="1998"/>
      <c r="DM197" s="1998"/>
      <c r="DN197" s="10"/>
      <c r="DO197" s="7"/>
      <c r="DP197" s="7"/>
      <c r="DQ197" s="7"/>
      <c r="DR197" s="7"/>
      <c r="DS197" s="7"/>
      <c r="DT197" s="7"/>
      <c r="DU197" s="7"/>
      <c r="DV197" s="7"/>
      <c r="DW197" s="7"/>
      <c r="DX197" s="7"/>
      <c r="DY197" s="7"/>
      <c r="DZ197" s="7"/>
      <c r="EA197" s="7"/>
      <c r="EB197" s="7"/>
      <c r="EC197" s="7"/>
      <c r="ED197" s="7"/>
    </row>
    <row r="198" spans="63:134" ht="19.2" hidden="1" x14ac:dyDescent="0.45">
      <c r="BK198" s="1757">
        <v>34</v>
      </c>
      <c r="BL198" s="1758">
        <f t="shared" si="70"/>
        <v>946</v>
      </c>
      <c r="BM198" s="1764">
        <f t="shared" si="71"/>
        <v>946</v>
      </c>
      <c r="BN198" s="1760">
        <f t="shared" si="68"/>
        <v>775.30593537619666</v>
      </c>
      <c r="BO198" s="1761">
        <f t="shared" si="67"/>
        <v>775.30593537619666</v>
      </c>
      <c r="BP198" s="1761">
        <f t="shared" si="72"/>
        <v>1.3059353761967145</v>
      </c>
      <c r="BQ198" s="1761" t="b">
        <f t="shared" si="69"/>
        <v>0</v>
      </c>
      <c r="BR198" s="1763">
        <v>34</v>
      </c>
      <c r="BS198" s="1750"/>
      <c r="BT198" s="1750"/>
      <c r="BU198" s="1581"/>
      <c r="BV198" s="1581"/>
      <c r="BW198" s="1581"/>
      <c r="BX198" s="1581"/>
      <c r="BY198" s="1581"/>
      <c r="BZ198" s="1581"/>
      <c r="CA198" s="1581"/>
      <c r="CB198" s="1581"/>
      <c r="CC198" s="1581"/>
      <c r="CD198" s="1581"/>
      <c r="CE198" s="1750"/>
      <c r="CF198" s="1750"/>
      <c r="CG198" s="1750"/>
      <c r="CH198" s="1750"/>
      <c r="CI198" s="1750"/>
      <c r="CJ198" s="1750"/>
      <c r="CK198" s="1750"/>
      <c r="CL198" s="1750"/>
      <c r="CM198" s="1750"/>
      <c r="CN198" s="1750"/>
      <c r="CO198" s="1750"/>
      <c r="DE198" s="7"/>
      <c r="DF198" s="7"/>
      <c r="DG198" s="7"/>
      <c r="DH198" s="7"/>
      <c r="DI198" s="7"/>
      <c r="DJ198" s="7"/>
      <c r="DK198" s="57"/>
      <c r="DL198" s="7"/>
      <c r="DM198" s="7"/>
      <c r="DN198" s="7"/>
      <c r="DO198" s="7"/>
      <c r="DP198" s="7"/>
      <c r="DQ198" s="7"/>
      <c r="DR198" s="7"/>
      <c r="DS198" s="7"/>
      <c r="DT198" s="7"/>
      <c r="DU198" s="7"/>
      <c r="DV198" s="7"/>
      <c r="DW198" s="7"/>
      <c r="DX198" s="57"/>
      <c r="DY198" s="7"/>
      <c r="DZ198" s="7"/>
      <c r="EA198" s="7"/>
      <c r="EB198" s="7"/>
      <c r="EC198" s="7"/>
      <c r="ED198" s="7"/>
    </row>
    <row r="199" spans="63:134" ht="19.2" hidden="1" x14ac:dyDescent="0.45">
      <c r="BK199" s="1757">
        <v>35</v>
      </c>
      <c r="BL199" s="1758">
        <f t="shared" si="70"/>
        <v>989</v>
      </c>
      <c r="BM199" s="1764">
        <f t="shared" si="71"/>
        <v>989</v>
      </c>
      <c r="BN199" s="1760">
        <f t="shared" si="68"/>
        <v>818.30593537619666</v>
      </c>
      <c r="BO199" s="1761">
        <f t="shared" si="67"/>
        <v>818.30593537619666</v>
      </c>
      <c r="BP199" s="1761">
        <f t="shared" si="72"/>
        <v>1.3059353761967145</v>
      </c>
      <c r="BQ199" s="1761" t="b">
        <f t="shared" si="69"/>
        <v>0</v>
      </c>
      <c r="BR199" s="1763">
        <v>35</v>
      </c>
      <c r="BS199" s="1750"/>
      <c r="BT199" s="1750"/>
      <c r="BU199" s="1581"/>
      <c r="BV199" s="1581"/>
      <c r="BW199" s="1581"/>
      <c r="BX199" s="1581"/>
      <c r="BY199" s="1581"/>
      <c r="BZ199" s="1581"/>
      <c r="CA199" s="1581"/>
      <c r="CB199" s="1581"/>
      <c r="CC199" s="1581"/>
      <c r="CD199" s="1581"/>
      <c r="CE199" s="1750"/>
      <c r="CF199" s="1750"/>
      <c r="CG199" s="1750"/>
      <c r="CH199" s="1750"/>
      <c r="CI199" s="1750"/>
      <c r="CJ199" s="1750"/>
      <c r="CK199" s="1750"/>
      <c r="CL199" s="1750"/>
      <c r="CM199" s="1750"/>
      <c r="CN199" s="1750"/>
      <c r="CO199" s="1750"/>
      <c r="DE199" s="65"/>
      <c r="DF199" s="65"/>
      <c r="DG199" s="65"/>
      <c r="DH199" s="65"/>
      <c r="DI199" s="65"/>
      <c r="DJ199" s="65"/>
      <c r="DK199" s="1999"/>
      <c r="DL199" s="1999"/>
      <c r="DM199" s="7"/>
      <c r="DN199" s="7"/>
      <c r="DO199" s="7"/>
      <c r="DP199" s="7"/>
      <c r="DQ199" s="7"/>
      <c r="DR199" s="7"/>
      <c r="DS199" s="7"/>
      <c r="DT199" s="7"/>
      <c r="DU199" s="7"/>
      <c r="DV199" s="7"/>
      <c r="DW199" s="1993"/>
      <c r="DX199" s="1993"/>
      <c r="DY199" s="7"/>
      <c r="DZ199" s="7"/>
      <c r="EA199" s="7"/>
      <c r="EB199" s="7"/>
      <c r="EC199" s="7"/>
      <c r="ED199" s="7"/>
    </row>
    <row r="200" spans="63:134" ht="19.2" hidden="1" x14ac:dyDescent="0.45">
      <c r="BK200" s="1757">
        <v>36</v>
      </c>
      <c r="BL200" s="1758">
        <f t="shared" si="70"/>
        <v>1032</v>
      </c>
      <c r="BM200" s="1764">
        <f t="shared" si="71"/>
        <v>1032</v>
      </c>
      <c r="BN200" s="1760">
        <f t="shared" si="68"/>
        <v>861.30593537619666</v>
      </c>
      <c r="BO200" s="1761">
        <f t="shared" si="67"/>
        <v>861.30593537619666</v>
      </c>
      <c r="BP200" s="1761">
        <f t="shared" si="72"/>
        <v>1.3059353761967145</v>
      </c>
      <c r="BQ200" s="1761" t="b">
        <f t="shared" si="69"/>
        <v>0</v>
      </c>
      <c r="BR200" s="1763">
        <v>36</v>
      </c>
      <c r="BS200" s="1750"/>
      <c r="BT200" s="1750"/>
      <c r="BU200" s="1581"/>
      <c r="BV200" s="1581"/>
      <c r="BW200" s="1581"/>
      <c r="BX200" s="1581"/>
      <c r="BY200" s="1581"/>
      <c r="BZ200" s="1581"/>
      <c r="CA200" s="1581"/>
      <c r="CB200" s="1581"/>
      <c r="CC200" s="1581"/>
      <c r="CD200" s="1581"/>
      <c r="CE200" s="1750"/>
      <c r="CF200" s="1750"/>
      <c r="CG200" s="1750"/>
      <c r="CH200" s="1750"/>
      <c r="CI200" s="1750"/>
      <c r="CJ200" s="1750"/>
      <c r="CK200" s="1750"/>
      <c r="CL200" s="1750"/>
      <c r="CM200" s="1750"/>
      <c r="CN200" s="1750"/>
      <c r="CO200" s="1750"/>
      <c r="DE200" s="7"/>
      <c r="DF200" s="7"/>
      <c r="DG200" s="7"/>
      <c r="DH200" s="7"/>
      <c r="DI200" s="7"/>
      <c r="DJ200" s="7"/>
      <c r="DK200" s="7"/>
      <c r="DL200" s="7"/>
      <c r="DM200" s="7"/>
      <c r="DN200" s="7"/>
      <c r="DO200" s="7"/>
      <c r="DP200" s="7"/>
      <c r="DQ200" s="7"/>
      <c r="DR200" s="7"/>
      <c r="DS200" s="7"/>
      <c r="DT200" s="7"/>
      <c r="DU200" s="7"/>
      <c r="DV200" s="7"/>
      <c r="DW200" s="7"/>
      <c r="DX200" s="7"/>
      <c r="DY200" s="7"/>
      <c r="DZ200" s="7"/>
      <c r="EA200" s="7"/>
      <c r="EB200" s="7"/>
      <c r="EC200" s="7"/>
      <c r="ED200" s="7"/>
    </row>
    <row r="201" spans="63:134" ht="19.2" hidden="1" x14ac:dyDescent="0.45">
      <c r="BK201" s="1768">
        <v>37</v>
      </c>
      <c r="BL201" s="1769">
        <f t="shared" si="70"/>
        <v>1075</v>
      </c>
      <c r="BM201" s="1764">
        <f t="shared" si="71"/>
        <v>1075</v>
      </c>
      <c r="BN201" s="1760">
        <f t="shared" si="68"/>
        <v>904.30593537619666</v>
      </c>
      <c r="BO201" s="1761">
        <f t="shared" si="67"/>
        <v>904.30593537619666</v>
      </c>
      <c r="BP201" s="1761">
        <f t="shared" si="72"/>
        <v>1.3059353761967145</v>
      </c>
      <c r="BQ201" s="1761" t="b">
        <f t="shared" si="69"/>
        <v>0</v>
      </c>
      <c r="BR201" s="1770">
        <v>37</v>
      </c>
      <c r="BS201" s="1750"/>
      <c r="BT201" s="1748"/>
      <c r="BU201" s="1581"/>
      <c r="BV201" s="1581"/>
      <c r="BW201" s="1581"/>
      <c r="BX201" s="1581"/>
      <c r="BY201" s="1581"/>
      <c r="BZ201" s="1581"/>
      <c r="CA201" s="1581"/>
      <c r="CB201" s="1581"/>
      <c r="CC201" s="1581"/>
      <c r="CD201" s="1581"/>
      <c r="CE201" s="1750"/>
      <c r="CF201" s="1750"/>
      <c r="CG201" s="1750"/>
      <c r="CH201" s="1750"/>
      <c r="CI201" s="1750"/>
      <c r="CJ201" s="1750"/>
      <c r="CK201" s="1750"/>
      <c r="CL201" s="1750"/>
      <c r="CM201" s="1750"/>
      <c r="CN201" s="1750"/>
      <c r="CO201" s="1750"/>
      <c r="DE201" s="7"/>
      <c r="DF201" s="7"/>
      <c r="DG201" s="7"/>
      <c r="DH201" s="7"/>
      <c r="DI201" s="7"/>
      <c r="DJ201" s="7"/>
      <c r="DK201" s="7"/>
      <c r="DL201" s="7"/>
      <c r="DM201" s="7"/>
      <c r="DN201" s="7"/>
      <c r="DO201" s="7"/>
      <c r="DP201" s="7"/>
      <c r="DQ201" s="7"/>
      <c r="DR201" s="7"/>
      <c r="DS201" s="7"/>
      <c r="DT201" s="7"/>
      <c r="DU201" s="7"/>
      <c r="DV201" s="7"/>
      <c r="DW201" s="7"/>
      <c r="DX201" s="7"/>
      <c r="DY201" s="7"/>
      <c r="DZ201" s="7"/>
      <c r="EA201" s="7"/>
      <c r="EB201" s="7"/>
      <c r="EC201" s="7"/>
      <c r="ED201" s="7"/>
    </row>
    <row r="202" spans="63:134" hidden="1" x14ac:dyDescent="0.3">
      <c r="BK202" s="1550"/>
      <c r="BS202" s="1750"/>
      <c r="BT202" s="1748"/>
      <c r="BU202" s="1581"/>
      <c r="BV202" s="1581"/>
      <c r="BW202" s="1581"/>
      <c r="BX202" s="1581"/>
      <c r="BY202" s="1581"/>
      <c r="BZ202" s="1581"/>
      <c r="CA202" s="1581"/>
      <c r="CB202" s="1581"/>
      <c r="CC202" s="1581"/>
      <c r="CD202" s="1581"/>
      <c r="CE202" s="1750"/>
      <c r="CF202" s="1750"/>
      <c r="CG202" s="1750"/>
      <c r="CH202" s="1750"/>
      <c r="CI202" s="1750"/>
      <c r="CJ202" s="1750"/>
      <c r="CK202" s="1750"/>
      <c r="CL202" s="1750"/>
      <c r="CM202" s="1750"/>
      <c r="CN202" s="1750"/>
      <c r="CO202" s="1750"/>
      <c r="DE202" s="7"/>
      <c r="DF202" s="7"/>
      <c r="DG202" s="7"/>
      <c r="DH202" s="7"/>
      <c r="DI202" s="7"/>
      <c r="DJ202" s="7"/>
      <c r="DK202" s="7"/>
      <c r="DL202" s="7"/>
      <c r="DM202" s="7"/>
      <c r="DN202" s="7"/>
      <c r="DO202" s="7"/>
      <c r="DP202" s="7"/>
      <c r="DQ202" s="7"/>
      <c r="DR202" s="7"/>
      <c r="DS202" s="7"/>
      <c r="DT202" s="7"/>
      <c r="DU202" s="7"/>
      <c r="DV202" s="7"/>
      <c r="DW202" s="7"/>
      <c r="DX202" s="7"/>
      <c r="DY202" s="7"/>
      <c r="DZ202" s="7"/>
      <c r="EA202" s="7"/>
      <c r="EB202" s="7"/>
      <c r="EC202" s="7"/>
      <c r="ED202" s="7"/>
    </row>
    <row r="203" spans="63:134" hidden="1" x14ac:dyDescent="0.3">
      <c r="BP203" s="1748"/>
      <c r="BQ203" s="1771"/>
      <c r="BR203" s="1771"/>
      <c r="BS203" s="1771"/>
      <c r="BT203" s="1771"/>
      <c r="BU203" s="1771"/>
      <c r="BV203" s="1771"/>
      <c r="BW203" s="1771"/>
      <c r="BX203" s="1771"/>
      <c r="BY203" s="1771"/>
      <c r="BZ203" s="1771"/>
      <c r="CA203" s="1771"/>
      <c r="CB203" s="1771"/>
      <c r="CC203" s="1771"/>
      <c r="CD203" s="1771"/>
      <c r="CE203" s="1771"/>
      <c r="CF203" s="1771"/>
      <c r="CG203" s="1771"/>
      <c r="CH203" s="1771"/>
      <c r="CI203" s="1771"/>
      <c r="CJ203" s="1771"/>
      <c r="CK203" s="1771"/>
      <c r="CL203" s="1771"/>
      <c r="CM203" s="1771"/>
      <c r="CN203" s="1771"/>
      <c r="CO203" s="1750"/>
      <c r="DE203" s="7"/>
      <c r="DF203" s="7"/>
      <c r="DG203" s="7"/>
      <c r="DH203" s="7"/>
      <c r="DI203" s="7"/>
      <c r="DJ203" s="7"/>
      <c r="DK203" s="7"/>
      <c r="DL203" s="7"/>
      <c r="DM203" s="7"/>
      <c r="DN203" s="7"/>
      <c r="DO203" s="7"/>
      <c r="DP203" s="7"/>
      <c r="DQ203" s="7"/>
      <c r="DR203" s="7"/>
      <c r="DS203" s="7"/>
      <c r="DT203" s="7"/>
      <c r="DU203" s="7"/>
      <c r="DV203" s="7"/>
      <c r="DW203" s="7"/>
      <c r="DX203" s="7"/>
      <c r="DY203" s="7"/>
      <c r="DZ203" s="7"/>
      <c r="EA203" s="7"/>
      <c r="EB203" s="7"/>
      <c r="EC203" s="7"/>
      <c r="ED203" s="7"/>
    </row>
    <row r="204" spans="63:134" hidden="1" x14ac:dyDescent="0.3">
      <c r="BP204" s="1748"/>
      <c r="BQ204" s="1750"/>
      <c r="BR204" s="1750"/>
      <c r="BS204" s="1750"/>
      <c r="BT204" s="1750"/>
      <c r="BU204" s="1750"/>
      <c r="BV204" s="1750"/>
      <c r="BW204" s="1750"/>
      <c r="BX204" s="1750"/>
      <c r="BY204" s="1750"/>
      <c r="BZ204" s="1750"/>
      <c r="CA204" s="1750"/>
      <c r="CB204" s="1750"/>
      <c r="CC204" s="1750"/>
      <c r="CD204" s="1750"/>
      <c r="CE204" s="1750"/>
      <c r="CF204" s="1750"/>
      <c r="CG204" s="1750"/>
      <c r="CH204" s="1750"/>
      <c r="CI204" s="1750"/>
      <c r="CJ204" s="1750"/>
      <c r="CK204" s="1750"/>
      <c r="CL204" s="1750"/>
      <c r="CM204" s="1750"/>
      <c r="CN204" s="1750"/>
      <c r="CO204" s="1750"/>
      <c r="DE204" s="7"/>
      <c r="DF204" s="7"/>
      <c r="DG204" s="7"/>
      <c r="DH204" s="7"/>
      <c r="DI204" s="7"/>
      <c r="DJ204" s="7"/>
      <c r="DK204" s="7"/>
      <c r="DL204" s="7"/>
      <c r="DM204" s="7"/>
      <c r="DN204" s="7"/>
      <c r="DO204" s="7"/>
      <c r="DP204" s="7"/>
      <c r="DQ204" s="7"/>
      <c r="DR204" s="7"/>
      <c r="DS204" s="7"/>
      <c r="DT204" s="7"/>
      <c r="DU204" s="7"/>
      <c r="DV204" s="7"/>
      <c r="DW204" s="7"/>
      <c r="DX204" s="7"/>
      <c r="DY204" s="7"/>
      <c r="DZ204" s="7"/>
      <c r="EA204" s="7"/>
      <c r="EB204" s="7"/>
      <c r="EC204" s="7"/>
      <c r="ED204" s="7"/>
    </row>
    <row r="205" spans="63:134" hidden="1" x14ac:dyDescent="0.3">
      <c r="BP205" s="1772"/>
      <c r="BQ205" s="1773"/>
      <c r="BR205" s="1773"/>
      <c r="BS205" s="1773"/>
      <c r="BT205" s="1773"/>
      <c r="BU205" s="1773"/>
      <c r="BV205" s="1773"/>
      <c r="BW205" s="1773"/>
      <c r="BX205" s="1773"/>
      <c r="BY205" s="1773"/>
      <c r="BZ205" s="1773"/>
      <c r="CA205" s="1773"/>
      <c r="CB205" s="1773"/>
      <c r="CC205" s="1773"/>
      <c r="CD205" s="1773"/>
      <c r="CE205" s="1773"/>
      <c r="CF205" s="1773"/>
      <c r="CG205" s="1773"/>
      <c r="CH205" s="1773"/>
      <c r="CI205" s="1773"/>
      <c r="CJ205" s="1773"/>
      <c r="CK205" s="1773"/>
      <c r="CL205" s="1773"/>
      <c r="CM205" s="1773"/>
      <c r="CN205" s="1773"/>
      <c r="CO205" s="1750"/>
      <c r="DE205" s="7"/>
      <c r="DF205" s="7"/>
      <c r="DG205" s="7"/>
      <c r="DH205" s="7"/>
      <c r="DI205" s="7"/>
      <c r="DJ205" s="7"/>
      <c r="DK205" s="7"/>
      <c r="DL205" s="7"/>
      <c r="DM205" s="7"/>
      <c r="DN205" s="7"/>
      <c r="DO205" s="7"/>
      <c r="DP205" s="7"/>
      <c r="DQ205" s="7"/>
      <c r="DR205" s="7"/>
      <c r="DS205" s="7"/>
      <c r="DT205" s="7"/>
      <c r="DU205" s="7"/>
      <c r="DV205" s="7"/>
      <c r="DW205" s="7"/>
      <c r="DX205" s="7"/>
      <c r="DY205" s="7"/>
      <c r="DZ205" s="7"/>
      <c r="EA205" s="7"/>
      <c r="EB205" s="7"/>
      <c r="EC205" s="7"/>
      <c r="ED205" s="7"/>
    </row>
    <row r="206" spans="63:134" hidden="1" x14ac:dyDescent="0.3">
      <c r="BP206" s="1748"/>
      <c r="BQ206" s="1749"/>
      <c r="BR206" s="1749"/>
      <c r="BS206" s="1749"/>
      <c r="BT206" s="1749"/>
      <c r="BU206" s="1749"/>
      <c r="BV206" s="1749"/>
      <c r="BW206" s="1749"/>
      <c r="BX206" s="1749"/>
      <c r="BY206" s="1749"/>
      <c r="BZ206" s="1749"/>
      <c r="CA206" s="1749"/>
      <c r="CB206" s="1749"/>
      <c r="CC206" s="1749"/>
      <c r="CD206" s="1749"/>
      <c r="CE206" s="1749"/>
      <c r="CF206" s="1749"/>
      <c r="CG206" s="1749"/>
      <c r="CH206" s="1749"/>
      <c r="CI206" s="1749"/>
      <c r="CJ206" s="1749"/>
      <c r="CK206" s="1749"/>
      <c r="CL206" s="1749"/>
      <c r="CM206" s="1749"/>
      <c r="CN206" s="1749"/>
      <c r="CO206" s="1750"/>
      <c r="DE206" s="7"/>
      <c r="DF206" s="7"/>
      <c r="DG206" s="7"/>
      <c r="DH206" s="7"/>
      <c r="DI206" s="7"/>
      <c r="DJ206" s="7"/>
      <c r="DK206" s="7"/>
      <c r="DL206" s="7"/>
      <c r="DM206" s="7"/>
      <c r="DN206" s="7"/>
      <c r="DO206" s="7"/>
      <c r="DP206" s="7"/>
      <c r="DQ206" s="7"/>
      <c r="DR206" s="7"/>
      <c r="DS206" s="7"/>
      <c r="DT206" s="7"/>
      <c r="DU206" s="7"/>
      <c r="DV206" s="7"/>
      <c r="DW206" s="7"/>
      <c r="DX206" s="7"/>
      <c r="DY206" s="7"/>
      <c r="DZ206" s="7"/>
      <c r="EA206" s="7"/>
      <c r="EB206" s="7"/>
      <c r="EC206" s="7"/>
      <c r="ED206" s="7"/>
    </row>
    <row r="207" spans="63:134" hidden="1" x14ac:dyDescent="0.3">
      <c r="BP207" s="1750"/>
      <c r="BQ207" s="1750"/>
      <c r="BR207" s="1750"/>
      <c r="BS207" s="1750"/>
      <c r="BT207" s="1750"/>
      <c r="BU207" s="1750"/>
      <c r="BV207" s="1750"/>
      <c r="BW207" s="1750"/>
      <c r="BX207" s="1750"/>
      <c r="BY207" s="1750"/>
      <c r="BZ207" s="1750"/>
      <c r="CA207" s="1750"/>
      <c r="CB207" s="1750"/>
      <c r="CC207" s="1750"/>
      <c r="CD207" s="1750"/>
      <c r="CE207" s="1750"/>
      <c r="CF207" s="1750"/>
      <c r="CG207" s="1750"/>
      <c r="CH207" s="1750"/>
      <c r="CI207" s="1750"/>
      <c r="CJ207" s="1750"/>
      <c r="CK207" s="1750"/>
      <c r="CL207" s="1750"/>
      <c r="CM207" s="1750"/>
      <c r="CN207" s="1750"/>
      <c r="CO207" s="1750"/>
      <c r="DE207" s="7"/>
      <c r="DF207" s="7"/>
      <c r="DG207" s="7"/>
      <c r="DH207" s="7"/>
      <c r="DI207" s="7"/>
      <c r="DJ207" s="7"/>
      <c r="DK207" s="7"/>
      <c r="DL207" s="7"/>
      <c r="DM207" s="7"/>
      <c r="DN207" s="7"/>
      <c r="DO207" s="7"/>
      <c r="DP207" s="7"/>
      <c r="DQ207" s="7"/>
      <c r="DR207" s="7"/>
      <c r="DS207" s="7"/>
      <c r="DT207" s="7"/>
      <c r="DU207" s="7"/>
      <c r="DV207" s="7"/>
      <c r="DW207" s="7"/>
      <c r="DX207" s="7"/>
      <c r="DY207" s="7"/>
      <c r="DZ207" s="7"/>
      <c r="EA207" s="7"/>
      <c r="EB207" s="7"/>
      <c r="EC207" s="7"/>
      <c r="ED207" s="7"/>
    </row>
    <row r="208" spans="63:134" hidden="1" x14ac:dyDescent="0.3">
      <c r="BP208" s="1750"/>
      <c r="BQ208" s="1774"/>
      <c r="BR208" s="1774"/>
      <c r="BS208" s="1774"/>
      <c r="BT208" s="1774"/>
      <c r="BU208" s="1774"/>
      <c r="BV208" s="1774"/>
      <c r="BW208" s="1748"/>
      <c r="BX208" s="1748"/>
      <c r="BY208" s="1748"/>
      <c r="BZ208" s="1748"/>
      <c r="CA208" s="1748"/>
      <c r="CB208" s="1774"/>
      <c r="CC208" s="1774"/>
      <c r="CD208" s="1774"/>
      <c r="CE208" s="1748"/>
      <c r="CF208" s="1748"/>
      <c r="CG208" s="1748"/>
      <c r="CH208" s="1748"/>
      <c r="CI208" s="1748"/>
      <c r="CJ208" s="1748"/>
      <c r="CK208" s="1748"/>
      <c r="CL208" s="1748"/>
      <c r="CM208" s="1748"/>
      <c r="CN208" s="1748"/>
      <c r="CO208" s="1750"/>
      <c r="DE208" s="7"/>
      <c r="DF208" s="7"/>
      <c r="DG208" s="7"/>
      <c r="DH208" s="7"/>
      <c r="DI208" s="7"/>
      <c r="DJ208" s="7"/>
      <c r="DK208" s="7"/>
      <c r="DL208" s="7"/>
      <c r="DM208" s="7"/>
      <c r="DN208" s="7"/>
      <c r="DO208" s="7"/>
      <c r="DP208" s="7"/>
      <c r="DQ208" s="7"/>
      <c r="DR208" s="7"/>
      <c r="DS208" s="7"/>
      <c r="DT208" s="7"/>
      <c r="DU208" s="7"/>
      <c r="DV208" s="7"/>
      <c r="DW208" s="7"/>
      <c r="DX208" s="7"/>
      <c r="DY208" s="7"/>
      <c r="DZ208" s="7"/>
      <c r="EA208" s="7"/>
      <c r="EB208" s="7"/>
      <c r="EC208" s="7"/>
      <c r="ED208" s="7"/>
    </row>
    <row r="209" spans="68:134" hidden="1" x14ac:dyDescent="0.3">
      <c r="BP209" s="1750"/>
      <c r="BQ209" s="1774"/>
      <c r="BR209" s="1774"/>
      <c r="BS209" s="1774"/>
      <c r="BT209" s="1774"/>
      <c r="BU209" s="1774"/>
      <c r="BV209" s="1774"/>
      <c r="BW209" s="1750"/>
      <c r="BX209" s="1750"/>
      <c r="BY209" s="1750"/>
      <c r="BZ209" s="1750"/>
      <c r="CA209" s="1774"/>
      <c r="CB209" s="1774"/>
      <c r="CC209" s="1774"/>
      <c r="CD209" s="1774"/>
      <c r="CE209" s="1750"/>
      <c r="CF209" s="1750"/>
      <c r="CG209" s="1750"/>
      <c r="CH209" s="1750"/>
      <c r="CI209" s="1774"/>
      <c r="CJ209" s="1774"/>
      <c r="CK209" s="1774"/>
      <c r="CL209" s="1774"/>
      <c r="CM209" s="1774"/>
      <c r="CN209" s="1774"/>
      <c r="CO209" s="1750"/>
      <c r="DE209" s="7"/>
      <c r="DF209" s="7"/>
      <c r="DG209" s="7"/>
      <c r="DH209" s="7"/>
      <c r="DI209" s="7"/>
      <c r="DJ209" s="7"/>
      <c r="DK209" s="7"/>
      <c r="DL209" s="7"/>
      <c r="DM209" s="7"/>
      <c r="DN209" s="7"/>
      <c r="DO209" s="7"/>
      <c r="DP209" s="7"/>
      <c r="DQ209" s="7"/>
      <c r="DR209" s="7"/>
      <c r="DS209" s="7"/>
      <c r="DT209" s="7"/>
      <c r="DU209" s="7"/>
      <c r="DV209" s="7"/>
      <c r="DW209" s="7"/>
      <c r="DX209" s="7"/>
      <c r="DY209" s="7"/>
      <c r="DZ209" s="7"/>
      <c r="EA209" s="7"/>
      <c r="EB209" s="7"/>
      <c r="EC209" s="7"/>
      <c r="ED209" s="7"/>
    </row>
    <row r="210" spans="68:134" hidden="1" x14ac:dyDescent="0.3">
      <c r="BP210" s="1750"/>
      <c r="BQ210" s="1750"/>
      <c r="BR210" s="1750"/>
      <c r="BS210" s="1750"/>
      <c r="BT210" s="1750"/>
      <c r="BU210" s="1750"/>
      <c r="BV210" s="1750"/>
      <c r="BW210" s="1750"/>
      <c r="BX210" s="1750"/>
      <c r="BY210" s="1750"/>
      <c r="BZ210" s="1750"/>
      <c r="CA210" s="1750"/>
      <c r="CB210" s="1750"/>
      <c r="CC210" s="1750"/>
      <c r="CD210" s="1750"/>
      <c r="CE210" s="1750"/>
      <c r="CF210" s="1750"/>
      <c r="CG210" s="1750"/>
      <c r="CH210" s="1750"/>
      <c r="CI210" s="1750"/>
      <c r="CJ210" s="1750"/>
      <c r="CK210" s="1750"/>
      <c r="CL210" s="1750"/>
      <c r="CM210" s="1750"/>
      <c r="CN210" s="1750"/>
      <c r="CO210" s="1750"/>
      <c r="DE210" s="7"/>
      <c r="DF210" s="7"/>
      <c r="DG210" s="7"/>
      <c r="DH210" s="7"/>
      <c r="DI210" s="7"/>
      <c r="DJ210" s="7"/>
      <c r="DK210" s="7"/>
      <c r="DL210" s="7"/>
      <c r="DM210" s="7"/>
      <c r="DN210" s="7"/>
      <c r="DO210" s="7"/>
      <c r="DP210" s="7"/>
      <c r="DQ210" s="7"/>
      <c r="DR210" s="7"/>
      <c r="DS210" s="7"/>
      <c r="DT210" s="7"/>
      <c r="DU210" s="7"/>
      <c r="DV210" s="7"/>
      <c r="DW210" s="7"/>
      <c r="DX210" s="7"/>
      <c r="DY210" s="7"/>
      <c r="DZ210" s="7"/>
      <c r="EA210" s="7"/>
      <c r="EB210" s="7"/>
      <c r="EC210" s="7"/>
      <c r="ED210" s="7"/>
    </row>
    <row r="211" spans="68:134" hidden="1" x14ac:dyDescent="0.3">
      <c r="BP211" s="1750"/>
      <c r="BQ211" s="1750"/>
      <c r="BR211" s="1750"/>
      <c r="BS211" s="1750"/>
      <c r="BT211" s="1750"/>
      <c r="BU211" s="1750"/>
      <c r="BV211" s="1750"/>
      <c r="BW211" s="1750"/>
      <c r="BX211" s="1750"/>
      <c r="BY211" s="1750"/>
      <c r="BZ211" s="1750"/>
      <c r="CA211" s="1750"/>
      <c r="CB211" s="1750"/>
      <c r="CC211" s="1750"/>
      <c r="CD211" s="1750"/>
      <c r="CE211" s="1750"/>
      <c r="CF211" s="1750"/>
      <c r="CG211" s="1750"/>
      <c r="CH211" s="1750"/>
      <c r="CI211" s="1750"/>
      <c r="CJ211" s="1750"/>
      <c r="CK211" s="1750"/>
      <c r="CL211" s="1750"/>
      <c r="CM211" s="1750"/>
      <c r="CN211" s="1750"/>
      <c r="CO211" s="1750"/>
      <c r="DE211" s="7"/>
      <c r="DF211" s="7"/>
      <c r="DG211" s="7"/>
      <c r="DH211" s="7"/>
      <c r="DI211" s="7"/>
      <c r="DJ211" s="7"/>
      <c r="DK211" s="7"/>
      <c r="DL211" s="7"/>
      <c r="DM211" s="7"/>
      <c r="DN211" s="7"/>
      <c r="DO211" s="7"/>
      <c r="DP211" s="7"/>
      <c r="DQ211" s="7"/>
      <c r="DR211" s="7"/>
      <c r="DS211" s="7"/>
      <c r="DT211" s="7"/>
      <c r="DU211" s="7"/>
      <c r="DV211" s="7"/>
      <c r="DW211" s="7"/>
      <c r="DX211" s="7"/>
      <c r="DY211" s="7"/>
      <c r="DZ211" s="7"/>
      <c r="EA211" s="7"/>
      <c r="EB211" s="7"/>
      <c r="EC211" s="7"/>
      <c r="ED211" s="7"/>
    </row>
    <row r="212" spans="68:134" hidden="1" x14ac:dyDescent="0.3">
      <c r="DE212" s="7"/>
      <c r="DF212" s="7"/>
      <c r="DG212" s="7"/>
      <c r="DH212" s="7"/>
      <c r="DI212" s="7"/>
      <c r="DJ212" s="15"/>
      <c r="DK212" s="15"/>
      <c r="DL212" s="15"/>
      <c r="DM212" s="15"/>
      <c r="DN212" s="15"/>
      <c r="DO212" s="15"/>
      <c r="DP212" s="15"/>
      <c r="DQ212" s="15"/>
      <c r="DR212" s="15"/>
      <c r="DS212" s="15"/>
      <c r="DT212" s="7"/>
      <c r="DU212" s="7"/>
      <c r="DV212" s="7"/>
      <c r="DW212" s="7"/>
      <c r="DX212" s="7"/>
      <c r="DY212" s="7"/>
      <c r="DZ212" s="7"/>
      <c r="EA212" s="7"/>
      <c r="EB212" s="7"/>
      <c r="EC212" s="7"/>
      <c r="ED212" s="7"/>
    </row>
    <row r="213" spans="68:134" hidden="1" x14ac:dyDescent="0.3">
      <c r="DE213" s="7"/>
      <c r="DF213" s="7"/>
      <c r="DG213" s="7"/>
      <c r="DH213" s="7"/>
      <c r="DI213" s="7"/>
      <c r="DJ213" s="15"/>
      <c r="DK213" s="15"/>
      <c r="DL213" s="15"/>
      <c r="DM213" s="15"/>
      <c r="DN213" s="15"/>
      <c r="DO213" s="15"/>
      <c r="DP213" s="15"/>
      <c r="DQ213" s="15"/>
      <c r="DR213" s="15"/>
      <c r="DS213" s="15"/>
      <c r="DT213" s="7"/>
      <c r="DU213" s="7"/>
      <c r="DV213" s="7"/>
      <c r="DW213" s="7"/>
      <c r="DX213" s="7"/>
      <c r="DY213" s="7"/>
      <c r="DZ213" s="7"/>
      <c r="EA213" s="7"/>
      <c r="EB213" s="7"/>
      <c r="EC213" s="7"/>
      <c r="ED213" s="7"/>
    </row>
    <row r="214" spans="68:134" hidden="1" x14ac:dyDescent="0.3">
      <c r="DE214" s="7"/>
      <c r="DF214" s="7"/>
      <c r="DG214" s="7"/>
      <c r="DH214" s="7"/>
      <c r="DI214" s="7"/>
      <c r="DJ214" s="15"/>
      <c r="DK214" s="15"/>
      <c r="DL214" s="15"/>
      <c r="DM214" s="15"/>
      <c r="DN214" s="15"/>
      <c r="DO214" s="15"/>
      <c r="DP214" s="15"/>
      <c r="DQ214" s="15"/>
      <c r="DR214" s="15"/>
      <c r="DS214" s="15"/>
      <c r="DT214" s="7"/>
      <c r="DU214" s="7"/>
      <c r="DV214" s="7"/>
      <c r="DW214" s="7"/>
      <c r="DX214" s="7"/>
      <c r="DY214" s="7"/>
      <c r="DZ214" s="7"/>
      <c r="EA214" s="7"/>
      <c r="EB214" s="7"/>
      <c r="EC214" s="7"/>
      <c r="ED214" s="7"/>
    </row>
    <row r="215" spans="68:134" hidden="1" x14ac:dyDescent="0.3">
      <c r="DE215" s="7"/>
      <c r="DF215" s="7"/>
      <c r="DG215" s="7"/>
      <c r="DH215" s="7"/>
      <c r="DI215" s="7"/>
      <c r="DJ215" s="15"/>
      <c r="DK215" s="15"/>
      <c r="DL215" s="15"/>
      <c r="DM215" s="15"/>
      <c r="DN215" s="15"/>
      <c r="DO215" s="15"/>
      <c r="DP215" s="15"/>
      <c r="DQ215" s="15"/>
      <c r="DR215" s="15"/>
      <c r="DS215" s="15"/>
      <c r="DT215" s="7"/>
      <c r="DU215" s="7"/>
      <c r="DV215" s="7"/>
      <c r="DW215" s="7"/>
      <c r="DX215" s="7"/>
      <c r="DY215" s="7"/>
      <c r="DZ215" s="7"/>
      <c r="EA215" s="7"/>
      <c r="EB215" s="7"/>
      <c r="EC215" s="7"/>
      <c r="ED215" s="7"/>
    </row>
    <row r="216" spans="68:134" x14ac:dyDescent="0.3">
      <c r="DE216" s="10"/>
      <c r="DF216" s="7"/>
      <c r="DG216" s="10"/>
      <c r="DH216" s="7"/>
      <c r="DI216" s="10"/>
      <c r="DJ216" s="15"/>
      <c r="DK216" s="15"/>
      <c r="DL216" s="15"/>
      <c r="DM216" s="15"/>
      <c r="DN216" s="15"/>
      <c r="DO216" s="15"/>
      <c r="DP216" s="15"/>
      <c r="DQ216" s="15"/>
      <c r="DR216" s="15"/>
      <c r="DS216" s="15"/>
      <c r="DT216" s="7"/>
      <c r="DU216" s="7"/>
      <c r="DV216" s="7"/>
      <c r="DW216" s="7"/>
      <c r="DX216" s="7"/>
      <c r="DY216" s="7"/>
      <c r="DZ216" s="7"/>
      <c r="EA216" s="7"/>
      <c r="EB216" s="7"/>
      <c r="EC216" s="7"/>
      <c r="ED216" s="7"/>
    </row>
    <row r="217" spans="68:134" x14ac:dyDescent="0.3">
      <c r="DE217" s="10"/>
      <c r="DF217" s="7"/>
      <c r="DG217" s="7"/>
      <c r="DH217" s="7"/>
      <c r="DI217" s="10"/>
      <c r="DJ217" s="15"/>
      <c r="DK217" s="15"/>
      <c r="DL217" s="15"/>
      <c r="DM217" s="15"/>
      <c r="DN217" s="15"/>
      <c r="DO217" s="15"/>
      <c r="DP217" s="15"/>
      <c r="DQ217" s="15"/>
      <c r="DR217" s="15"/>
      <c r="DS217" s="15"/>
      <c r="DT217" s="7"/>
      <c r="DU217" s="7"/>
      <c r="DV217" s="7"/>
      <c r="DW217" s="7"/>
      <c r="DX217" s="7"/>
      <c r="DY217" s="7"/>
      <c r="DZ217" s="7"/>
      <c r="EA217" s="7"/>
      <c r="EB217" s="7"/>
      <c r="EC217" s="7"/>
      <c r="ED217" s="7"/>
    </row>
    <row r="218" spans="68:134" x14ac:dyDescent="0.3">
      <c r="DE218" s="10"/>
      <c r="DF218" s="66"/>
      <c r="DG218" s="66"/>
      <c r="DH218" s="66"/>
      <c r="DI218" s="66"/>
      <c r="DJ218" s="66"/>
      <c r="DK218" s="66"/>
      <c r="DL218" s="66"/>
      <c r="DM218" s="66"/>
      <c r="DN218" s="66"/>
      <c r="DO218" s="66"/>
      <c r="DP218" s="66"/>
      <c r="DQ218" s="66"/>
      <c r="DR218" s="66"/>
      <c r="DS218" s="66"/>
      <c r="DT218" s="66"/>
      <c r="DU218" s="66"/>
      <c r="DV218" s="66"/>
      <c r="DW218" s="66"/>
      <c r="DX218" s="66"/>
      <c r="DY218" s="66"/>
      <c r="DZ218" s="66"/>
      <c r="EA218" s="66"/>
      <c r="EB218" s="66"/>
      <c r="EC218" s="66"/>
      <c r="ED218" s="7"/>
    </row>
    <row r="219" spans="68:134" x14ac:dyDescent="0.3">
      <c r="DE219" s="10"/>
      <c r="DF219" s="7"/>
      <c r="DG219" s="7"/>
      <c r="DH219" s="7"/>
      <c r="DI219" s="7"/>
      <c r="DJ219" s="7"/>
      <c r="DK219" s="7"/>
      <c r="DL219" s="7"/>
      <c r="DM219" s="7"/>
      <c r="DN219" s="7"/>
      <c r="DO219" s="7"/>
      <c r="DP219" s="7"/>
      <c r="DQ219" s="7"/>
      <c r="DR219" s="7"/>
      <c r="DS219" s="7"/>
      <c r="DT219" s="7"/>
      <c r="DU219" s="7"/>
      <c r="DV219" s="7"/>
      <c r="DW219" s="7"/>
      <c r="DX219" s="7"/>
      <c r="DY219" s="7"/>
      <c r="DZ219" s="7"/>
      <c r="EA219" s="7"/>
      <c r="EB219" s="7"/>
      <c r="EC219" s="7"/>
      <c r="ED219" s="7"/>
    </row>
    <row r="220" spans="68:134" x14ac:dyDescent="0.3">
      <c r="DE220" s="18"/>
      <c r="DF220" s="61"/>
      <c r="DG220" s="61"/>
      <c r="DH220" s="61"/>
      <c r="DI220" s="61"/>
      <c r="DJ220" s="61"/>
      <c r="DK220" s="61"/>
      <c r="DL220" s="61"/>
      <c r="DM220" s="61"/>
      <c r="DN220" s="61"/>
      <c r="DO220" s="61"/>
      <c r="DP220" s="61"/>
      <c r="DQ220" s="61"/>
      <c r="DR220" s="61"/>
      <c r="DS220" s="61"/>
      <c r="DT220" s="61"/>
      <c r="DU220" s="61"/>
      <c r="DV220" s="61"/>
      <c r="DW220" s="61"/>
      <c r="DX220" s="61"/>
      <c r="DY220" s="61"/>
      <c r="DZ220" s="61"/>
      <c r="EA220" s="61"/>
      <c r="EB220" s="61"/>
      <c r="EC220" s="61"/>
      <c r="ED220" s="7"/>
    </row>
    <row r="221" spans="68:134" x14ac:dyDescent="0.3">
      <c r="DE221" s="10"/>
      <c r="DF221" s="49"/>
      <c r="DG221" s="49"/>
      <c r="DH221" s="49"/>
      <c r="DI221" s="49"/>
      <c r="DJ221" s="49"/>
      <c r="DK221" s="49"/>
      <c r="DL221" s="49"/>
      <c r="DM221" s="49"/>
      <c r="DN221" s="49"/>
      <c r="DO221" s="49"/>
      <c r="DP221" s="49"/>
      <c r="DQ221" s="49"/>
      <c r="DR221" s="49"/>
      <c r="DS221" s="49"/>
      <c r="DT221" s="49"/>
      <c r="DU221" s="49"/>
      <c r="DV221" s="49"/>
      <c r="DW221" s="49"/>
      <c r="DX221" s="49"/>
      <c r="DY221" s="49"/>
      <c r="DZ221" s="49"/>
      <c r="EA221" s="49"/>
      <c r="EB221" s="49"/>
      <c r="EC221" s="49"/>
      <c r="ED221" s="7"/>
    </row>
    <row r="222" spans="68:134" x14ac:dyDescent="0.3">
      <c r="DE222" s="7"/>
      <c r="DF222" s="7"/>
      <c r="DG222" s="7"/>
      <c r="DH222" s="7"/>
      <c r="DI222" s="7"/>
      <c r="DJ222" s="7"/>
      <c r="DK222" s="7"/>
      <c r="DL222" s="7"/>
      <c r="DM222" s="7"/>
      <c r="DN222" s="7"/>
      <c r="DO222" s="7"/>
      <c r="DP222" s="7"/>
      <c r="DQ222" s="7"/>
      <c r="DR222" s="7"/>
      <c r="DS222" s="7"/>
      <c r="DT222" s="7"/>
      <c r="DU222" s="7"/>
      <c r="DV222" s="7"/>
      <c r="DW222" s="7"/>
      <c r="DX222" s="7"/>
      <c r="DY222" s="7"/>
      <c r="DZ222" s="7"/>
      <c r="EA222" s="7"/>
      <c r="EB222" s="7"/>
      <c r="EC222" s="7"/>
      <c r="ED222" s="7"/>
    </row>
    <row r="223" spans="68:134" x14ac:dyDescent="0.3">
      <c r="DE223" s="7"/>
      <c r="DF223" s="67"/>
      <c r="DG223" s="67"/>
      <c r="DH223" s="67"/>
      <c r="DI223" s="67"/>
      <c r="DJ223" s="67"/>
      <c r="DK223" s="67"/>
      <c r="DL223" s="10"/>
      <c r="DM223" s="10"/>
      <c r="DN223" s="10"/>
      <c r="DO223" s="10"/>
      <c r="DP223" s="10"/>
      <c r="DQ223" s="67"/>
      <c r="DR223" s="67"/>
      <c r="DS223" s="67"/>
      <c r="DT223" s="10"/>
      <c r="DU223" s="10"/>
      <c r="DV223" s="10"/>
      <c r="DW223" s="10"/>
      <c r="DX223" s="10"/>
      <c r="DY223" s="10"/>
      <c r="DZ223" s="10"/>
      <c r="EA223" s="10"/>
      <c r="EB223" s="10"/>
      <c r="EC223" s="10"/>
      <c r="ED223" s="7"/>
    </row>
    <row r="224" spans="68:134" x14ac:dyDescent="0.3">
      <c r="DE224" s="7"/>
      <c r="DF224" s="67"/>
      <c r="DG224" s="67"/>
      <c r="DH224" s="67"/>
      <c r="DI224" s="67"/>
      <c r="DJ224" s="67"/>
      <c r="DK224" s="67"/>
      <c r="DL224" s="7"/>
      <c r="DM224" s="7"/>
      <c r="DN224" s="7"/>
      <c r="DO224" s="7"/>
      <c r="DP224" s="67"/>
      <c r="DQ224" s="67"/>
      <c r="DR224" s="67"/>
      <c r="DS224" s="67"/>
      <c r="DT224" s="7"/>
      <c r="DU224" s="7"/>
      <c r="DV224" s="7"/>
      <c r="DW224" s="7"/>
      <c r="DX224" s="67"/>
      <c r="DY224" s="67"/>
      <c r="DZ224" s="67"/>
      <c r="EA224" s="67"/>
      <c r="EB224" s="67"/>
      <c r="EC224" s="67"/>
      <c r="ED224" s="7"/>
    </row>
    <row r="225" spans="109:134" x14ac:dyDescent="0.3">
      <c r="DE225" s="7"/>
      <c r="DF225" s="7"/>
      <c r="DG225" s="7"/>
      <c r="DH225" s="7"/>
      <c r="DI225" s="7"/>
      <c r="DJ225" s="7"/>
      <c r="DK225" s="7"/>
      <c r="DL225" s="7"/>
      <c r="DM225" s="7"/>
      <c r="DN225" s="7"/>
      <c r="DO225" s="7"/>
      <c r="DP225" s="7"/>
      <c r="DQ225" s="7"/>
      <c r="DR225" s="7"/>
      <c r="DS225" s="7"/>
      <c r="DT225" s="7"/>
      <c r="DU225" s="7"/>
      <c r="DV225" s="7"/>
      <c r="DW225" s="7"/>
      <c r="DX225" s="7"/>
      <c r="DY225" s="7"/>
      <c r="DZ225" s="7"/>
      <c r="EA225" s="7"/>
      <c r="EB225" s="7"/>
      <c r="EC225" s="7"/>
      <c r="ED225" s="7"/>
    </row>
    <row r="226" spans="109:134" x14ac:dyDescent="0.3">
      <c r="DE226" s="7"/>
      <c r="DF226" s="7"/>
      <c r="DG226" s="7"/>
      <c r="DH226" s="7"/>
      <c r="DI226" s="7"/>
      <c r="DJ226" s="7"/>
      <c r="DK226" s="7"/>
      <c r="DL226" s="7"/>
      <c r="DM226" s="7"/>
      <c r="DN226" s="7"/>
      <c r="DO226" s="7"/>
      <c r="DP226" s="7"/>
      <c r="DQ226" s="7"/>
      <c r="DR226" s="7"/>
      <c r="DS226" s="7"/>
      <c r="DT226" s="7"/>
      <c r="DU226" s="7"/>
      <c r="DV226" s="7"/>
      <c r="DW226" s="7"/>
      <c r="DX226" s="7"/>
      <c r="DY226" s="7"/>
      <c r="DZ226" s="7"/>
      <c r="EA226" s="7"/>
      <c r="EB226" s="7"/>
      <c r="EC226" s="7"/>
      <c r="ED226" s="7"/>
    </row>
  </sheetData>
  <sheetProtection algorithmName="SHA-512" hashValue="CKNHbrw0ro7C6LfGXr8pYFgyd+CjRyYk2rFFVykHALaWG6qgNg04X+Umg7wzlUHLXzj5rUSdOLmyToANIZc4tA==" saltValue="lYKJuCzBxILocFFjhdTt4A==" spinCount="100000" sheet="1" objects="1" scenarios="1"/>
  <protectedRanges>
    <protectedRange sqref="B104 B107 D110:D121 B128 D131:D154" name="Range1"/>
  </protectedRanges>
  <mergeCells count="22">
    <mergeCell ref="B102:B103"/>
    <mergeCell ref="BQ25:BR25"/>
    <mergeCell ref="CQ26:DA27"/>
    <mergeCell ref="BQ27:BR27"/>
    <mergeCell ref="CO27:CP27"/>
    <mergeCell ref="BQ29:CA30"/>
    <mergeCell ref="CB30:CC30"/>
    <mergeCell ref="CZ30:DA30"/>
    <mergeCell ref="BQ32:CA33"/>
    <mergeCell ref="CS32:DA33"/>
    <mergeCell ref="CB33:CC33"/>
    <mergeCell ref="CQ33:CR33"/>
    <mergeCell ref="DF55:DG55"/>
    <mergeCell ref="DK197:DM197"/>
    <mergeCell ref="DK199:DL199"/>
    <mergeCell ref="DW199:DX199"/>
    <mergeCell ref="W107:AA107"/>
    <mergeCell ref="AZ107:BA107"/>
    <mergeCell ref="AZ128:BA128"/>
    <mergeCell ref="BV182:BX182"/>
    <mergeCell ref="BV184:BW184"/>
    <mergeCell ref="CH184:CI184"/>
  </mergeCells>
  <conditionalFormatting sqref="AB29:AE66 U29:U66 AB26:AE26 U26">
    <cfRule type="cellIs" dxfId="859" priority="114" stopIfTrue="1" operator="between">
      <formula>"OVERLOAD"</formula>
      <formula>"OVERLOAD"</formula>
    </cfRule>
  </conditionalFormatting>
  <conditionalFormatting sqref="DF220:EC221 DK147:DX150">
    <cfRule type="cellIs" dxfId="858" priority="112" stopIfTrue="1" operator="equal">
      <formula>FALSE</formula>
    </cfRule>
  </conditionalFormatting>
  <conditionalFormatting sqref="DF218:EC218">
    <cfRule type="cellIs" dxfId="857" priority="32" stopIfTrue="1" operator="equal">
      <formula>0</formula>
    </cfRule>
  </conditionalFormatting>
  <conditionalFormatting sqref="BK153:BK156">
    <cfRule type="cellIs" dxfId="856" priority="113" stopIfTrue="1" operator="equal">
      <formula>FALSE</formula>
    </cfRule>
  </conditionalFormatting>
  <conditionalFormatting sqref="D110 K110:O110 R110 T110:V110 AB110 X110">
    <cfRule type="expression" dxfId="855" priority="106" stopIfTrue="1">
      <formula>$B$107&lt;1</formula>
    </cfRule>
  </conditionalFormatting>
  <conditionalFormatting sqref="AX111:BA111 D111">
    <cfRule type="expression" dxfId="854" priority="104" stopIfTrue="1">
      <formula>$B$107&lt;2</formula>
    </cfRule>
  </conditionalFormatting>
  <conditionalFormatting sqref="AX112:BA112 D112">
    <cfRule type="expression" dxfId="853" priority="103" stopIfTrue="1">
      <formula>$B$107&lt;3</formula>
    </cfRule>
  </conditionalFormatting>
  <conditionalFormatting sqref="AX113:BA113 D113">
    <cfRule type="expression" dxfId="852" priority="102" stopIfTrue="1">
      <formula>$B$107&lt;4</formula>
    </cfRule>
  </conditionalFormatting>
  <conditionalFormatting sqref="AX114:BA114 D114">
    <cfRule type="expression" dxfId="851" priority="101" stopIfTrue="1">
      <formula>$B$107&lt;5</formula>
    </cfRule>
  </conditionalFormatting>
  <conditionalFormatting sqref="AX115:BA115 D115">
    <cfRule type="expression" dxfId="850" priority="100" stopIfTrue="1">
      <formula>$B$107&lt;6</formula>
    </cfRule>
  </conditionalFormatting>
  <conditionalFormatting sqref="AX116:BA116 D116">
    <cfRule type="expression" dxfId="849" priority="99" stopIfTrue="1">
      <formula>$B$107&lt;7</formula>
    </cfRule>
  </conditionalFormatting>
  <conditionalFormatting sqref="AX117:BA117 D117">
    <cfRule type="expression" dxfId="848" priority="98" stopIfTrue="1">
      <formula>$B$107&lt;8</formula>
    </cfRule>
  </conditionalFormatting>
  <conditionalFormatting sqref="AX118:BA118 D118">
    <cfRule type="expression" dxfId="847" priority="97" stopIfTrue="1">
      <formula>$B$107&lt;9</formula>
    </cfRule>
  </conditionalFormatting>
  <conditionalFormatting sqref="AX119:BA119 D119">
    <cfRule type="expression" dxfId="846" priority="71" stopIfTrue="1">
      <formula>$B$107&lt;10</formula>
    </cfRule>
  </conditionalFormatting>
  <conditionalFormatting sqref="AX120:BA120 D120">
    <cfRule type="expression" dxfId="845" priority="58" stopIfTrue="1">
      <formula>$B$107&lt;11</formula>
    </cfRule>
  </conditionalFormatting>
  <conditionalFormatting sqref="AX121:BA121 D121">
    <cfRule type="expression" dxfId="844" priority="44" stopIfTrue="1">
      <formula>$B$107&lt;12</formula>
    </cfRule>
  </conditionalFormatting>
  <conditionalFormatting sqref="E100:G100 D101:G102">
    <cfRule type="cellIs" dxfId="843" priority="109" stopIfTrue="1" operator="equal">
      <formula>"change the angle of frame or of cabinets"</formula>
    </cfRule>
  </conditionalFormatting>
  <conditionalFormatting sqref="E104:G104">
    <cfRule type="cellIs" dxfId="842" priority="110" stopIfTrue="1" operator="equal">
      <formula>"USE EXBAR VR AT THE BACK"</formula>
    </cfRule>
  </conditionalFormatting>
  <conditionalFormatting sqref="E103:G103 E104">
    <cfRule type="cellIs" dxfId="841" priority="111" stopIfTrue="1" operator="equal">
      <formula>"USE EXBAR VR AT THE FRONT"</formula>
    </cfRule>
  </conditionalFormatting>
  <conditionalFormatting sqref="B110:B121">
    <cfRule type="cellIs" dxfId="840" priority="107" stopIfTrue="1" operator="greaterThan">
      <formula>$B$107</formula>
    </cfRule>
  </conditionalFormatting>
  <conditionalFormatting sqref="B131:B154">
    <cfRule type="cellIs" dxfId="839" priority="95" stopIfTrue="1" operator="greaterThan">
      <formula>$B$128</formula>
    </cfRule>
  </conditionalFormatting>
  <conditionalFormatting sqref="AX131:BA131 AB131:AE131 D131:G131 AX132:AY154">
    <cfRule type="expression" dxfId="838" priority="92" stopIfTrue="1">
      <formula>$B$128&lt;1</formula>
    </cfRule>
  </conditionalFormatting>
  <conditionalFormatting sqref="AX132:BA132 AB132:AE132 D132:G132">
    <cfRule type="expression" dxfId="837" priority="91" stopIfTrue="1">
      <formula>$B$128&lt;2</formula>
    </cfRule>
  </conditionalFormatting>
  <conditionalFormatting sqref="AX133:BA133 AB133:AE133 D133:G133">
    <cfRule type="expression" dxfId="836" priority="90" stopIfTrue="1">
      <formula>$B$128&lt;3</formula>
    </cfRule>
  </conditionalFormatting>
  <conditionalFormatting sqref="AX134:BA134 AB134:AE134 D134:G134">
    <cfRule type="expression" dxfId="835" priority="89" stopIfTrue="1">
      <formula>$B$128&lt;4</formula>
    </cfRule>
  </conditionalFormatting>
  <conditionalFormatting sqref="AX135:BA135 AB135:AE135 D135:G135">
    <cfRule type="expression" dxfId="834" priority="88" stopIfTrue="1">
      <formula>$B$128&lt;5</formula>
    </cfRule>
  </conditionalFormatting>
  <conditionalFormatting sqref="AX136:BA136 AB136:AE136 D136:G136">
    <cfRule type="expression" dxfId="833" priority="87">
      <formula>$B$128&lt;6</formula>
    </cfRule>
  </conditionalFormatting>
  <conditionalFormatting sqref="AX137:BA137 AB137:AE137 D137:G137">
    <cfRule type="expression" dxfId="832" priority="86">
      <formula>$B$128&lt;7</formula>
    </cfRule>
  </conditionalFormatting>
  <conditionalFormatting sqref="AX138:BA138 AB138:AE138 D138:G138">
    <cfRule type="expression" dxfId="831" priority="85">
      <formula>$B$128&lt;8</formula>
    </cfRule>
  </conditionalFormatting>
  <conditionalFormatting sqref="AX139:BA139 AB139:AE139 D139:G139">
    <cfRule type="expression" dxfId="830" priority="84">
      <formula>$B$128&lt;9</formula>
    </cfRule>
  </conditionalFormatting>
  <conditionalFormatting sqref="AX140:BA140 AB140:AE140 D140:G140">
    <cfRule type="expression" dxfId="829" priority="83">
      <formula>$B$128&lt;10</formula>
    </cfRule>
  </conditionalFormatting>
  <conditionalFormatting sqref="AX141:BA141 AB141:AE141 D141:G141">
    <cfRule type="expression" dxfId="828" priority="82">
      <formula>$B$128&lt;11</formula>
    </cfRule>
  </conditionalFormatting>
  <conditionalFormatting sqref="AX142:BA142 AB142:AE142 D142:G142">
    <cfRule type="expression" dxfId="827" priority="81">
      <formula>$B$128&lt;12</formula>
    </cfRule>
  </conditionalFormatting>
  <conditionalFormatting sqref="AX143:BA143 AB143:AE143 D143:G143">
    <cfRule type="expression" dxfId="826" priority="80">
      <formula>$B$128&lt;13</formula>
    </cfRule>
  </conditionalFormatting>
  <conditionalFormatting sqref="AX144:BA144 AB144:AE144 D144:G144">
    <cfRule type="expression" dxfId="825" priority="79">
      <formula>$B$128&lt;14</formula>
    </cfRule>
  </conditionalFormatting>
  <conditionalFormatting sqref="AX145:BA145 AB145:AE145 D145:G145">
    <cfRule type="expression" dxfId="824" priority="78">
      <formula>$B$128&lt;15</formula>
    </cfRule>
  </conditionalFormatting>
  <conditionalFormatting sqref="AX146:BA146 AB146:AE146 D146:G146">
    <cfRule type="expression" dxfId="823" priority="77">
      <formula>$B$128&lt;16</formula>
    </cfRule>
  </conditionalFormatting>
  <conditionalFormatting sqref="AX147:BA147 AB147:AE147 D147:G147">
    <cfRule type="expression" dxfId="822" priority="76">
      <formula>$B$128&lt;17</formula>
    </cfRule>
  </conditionalFormatting>
  <conditionalFormatting sqref="AX148:BA148 AB148:AE148 D148:G148">
    <cfRule type="expression" dxfId="821" priority="75">
      <formula>$B$128&lt;18</formula>
    </cfRule>
  </conditionalFormatting>
  <conditionalFormatting sqref="AX149:BA149 AB149:AE149 D149:G149">
    <cfRule type="expression" dxfId="820" priority="74">
      <formula>$B$128&lt;19</formula>
    </cfRule>
  </conditionalFormatting>
  <conditionalFormatting sqref="AX150:BA150 AB150:AE150 D150:G150">
    <cfRule type="expression" dxfId="819" priority="73">
      <formula>$B$128&lt;20</formula>
    </cfRule>
  </conditionalFormatting>
  <conditionalFormatting sqref="AX151:BA151 AB151:AE151 D151:G151">
    <cfRule type="expression" dxfId="818" priority="72">
      <formula>$B$128&lt;21</formula>
    </cfRule>
  </conditionalFormatting>
  <conditionalFormatting sqref="AX152:BA152 AB152:AE152 D152:G152">
    <cfRule type="expression" dxfId="817" priority="57">
      <formula>$B$128&lt;22</formula>
    </cfRule>
  </conditionalFormatting>
  <conditionalFormatting sqref="AX153:BA153 AB153:AE153 D153:G153">
    <cfRule type="expression" dxfId="816" priority="43">
      <formula>$B$128&lt;23</formula>
    </cfRule>
  </conditionalFormatting>
  <conditionalFormatting sqref="AX154:BA154 AB154:AE154 D154:G154">
    <cfRule type="expression" dxfId="815" priority="1">
      <formula>$B$128&lt;24</formula>
    </cfRule>
  </conditionalFormatting>
  <conditionalFormatting sqref="E110">
    <cfRule type="expression" dxfId="814" priority="70" stopIfTrue="1">
      <formula>$B$107&lt;1</formula>
    </cfRule>
  </conditionalFormatting>
  <conditionalFormatting sqref="E111">
    <cfRule type="expression" dxfId="813" priority="69" stopIfTrue="1">
      <formula>$B$107&lt;2</formula>
    </cfRule>
  </conditionalFormatting>
  <conditionalFormatting sqref="E112">
    <cfRule type="expression" dxfId="812" priority="68" stopIfTrue="1">
      <formula>$B$107&lt;3</formula>
    </cfRule>
  </conditionalFormatting>
  <conditionalFormatting sqref="E113">
    <cfRule type="expression" dxfId="811" priority="67" stopIfTrue="1">
      <formula>$B$107&lt;4</formula>
    </cfRule>
  </conditionalFormatting>
  <conditionalFormatting sqref="E114">
    <cfRule type="expression" dxfId="810" priority="66" stopIfTrue="1">
      <formula>$B$107&lt;5</formula>
    </cfRule>
  </conditionalFormatting>
  <conditionalFormatting sqref="E115">
    <cfRule type="expression" dxfId="809" priority="65" stopIfTrue="1">
      <formula>$B$107&lt;6</formula>
    </cfRule>
  </conditionalFormatting>
  <conditionalFormatting sqref="E116">
    <cfRule type="expression" dxfId="808" priority="64" stopIfTrue="1">
      <formula>$B$107&lt;7</formula>
    </cfRule>
  </conditionalFormatting>
  <conditionalFormatting sqref="E117">
    <cfRule type="expression" dxfId="807" priority="63" stopIfTrue="1">
      <formula>$B$107&lt;8</formula>
    </cfRule>
  </conditionalFormatting>
  <conditionalFormatting sqref="E118">
    <cfRule type="expression" dxfId="806" priority="62" stopIfTrue="1">
      <formula>$B$107&lt;9</formula>
    </cfRule>
  </conditionalFormatting>
  <conditionalFormatting sqref="E119">
    <cfRule type="expression" dxfId="805" priority="61" stopIfTrue="1">
      <formula>$B$107&lt;10</formula>
    </cfRule>
  </conditionalFormatting>
  <conditionalFormatting sqref="E120">
    <cfRule type="expression" dxfId="804" priority="60" stopIfTrue="1">
      <formula>$B$107&lt;11</formula>
    </cfRule>
  </conditionalFormatting>
  <conditionalFormatting sqref="E121">
    <cfRule type="expression" dxfId="803" priority="59" stopIfTrue="1">
      <formula>$B$107&lt;12</formula>
    </cfRule>
  </conditionalFormatting>
  <conditionalFormatting sqref="AZ110:BA121">
    <cfRule type="cellIs" dxfId="802" priority="105" stopIfTrue="1" operator="lessThan">
      <formula>10</formula>
    </cfRule>
  </conditionalFormatting>
  <conditionalFormatting sqref="AZ131:BA154">
    <cfRule type="cellIs" dxfId="801" priority="94" stopIfTrue="1" operator="lessThan">
      <formula>10</formula>
    </cfRule>
  </conditionalFormatting>
  <conditionalFormatting sqref="F110:G110">
    <cfRule type="expression" dxfId="800" priority="56" stopIfTrue="1">
      <formula>$B$107&lt;1</formula>
    </cfRule>
  </conditionalFormatting>
  <conditionalFormatting sqref="F111:AB111">
    <cfRule type="expression" dxfId="799" priority="55" stopIfTrue="1">
      <formula>$B$107&lt;2</formula>
    </cfRule>
  </conditionalFormatting>
  <conditionalFormatting sqref="F112:AB112">
    <cfRule type="expression" dxfId="798" priority="54" stopIfTrue="1">
      <formula>$B$107&lt;3</formula>
    </cfRule>
  </conditionalFormatting>
  <conditionalFormatting sqref="F113:AB113">
    <cfRule type="expression" dxfId="797" priority="53" stopIfTrue="1">
      <formula>$B$107&lt;4</formula>
    </cfRule>
  </conditionalFormatting>
  <conditionalFormatting sqref="F114:AB114">
    <cfRule type="expression" dxfId="796" priority="52" stopIfTrue="1">
      <formula>$B$107&lt;5</formula>
    </cfRule>
  </conditionalFormatting>
  <conditionalFormatting sqref="F115:AB115">
    <cfRule type="expression" dxfId="795" priority="51" stopIfTrue="1">
      <formula>$B$107&lt;6</formula>
    </cfRule>
  </conditionalFormatting>
  <conditionalFormatting sqref="F116:AB116">
    <cfRule type="expression" dxfId="794" priority="50" stopIfTrue="1">
      <formula>$B$107&lt;7</formula>
    </cfRule>
  </conditionalFormatting>
  <conditionalFormatting sqref="F117:AB117">
    <cfRule type="expression" dxfId="793" priority="49" stopIfTrue="1">
      <formula>$B$107&lt;8</formula>
    </cfRule>
  </conditionalFormatting>
  <conditionalFormatting sqref="F118:AB118">
    <cfRule type="expression" dxfId="792" priority="48" stopIfTrue="1">
      <formula>$B$107&lt;9</formula>
    </cfRule>
  </conditionalFormatting>
  <conditionalFormatting sqref="F119:AB119">
    <cfRule type="expression" dxfId="791" priority="47" stopIfTrue="1">
      <formula>$B$107&lt;10</formula>
    </cfRule>
  </conditionalFormatting>
  <conditionalFormatting sqref="F120:AB120">
    <cfRule type="expression" dxfId="790" priority="46" stopIfTrue="1">
      <formula>$B$107&lt;11</formula>
    </cfRule>
  </conditionalFormatting>
  <conditionalFormatting sqref="F121:AB121">
    <cfRule type="expression" dxfId="789" priority="45" stopIfTrue="1">
      <formula>$B$107&lt;12</formula>
    </cfRule>
  </conditionalFormatting>
  <conditionalFormatting sqref="D110:D121">
    <cfRule type="cellIs" dxfId="788" priority="108" stopIfTrue="1" operator="notEqual">
      <formula>0</formula>
    </cfRule>
  </conditionalFormatting>
  <conditionalFormatting sqref="D131:D154">
    <cfRule type="cellIs" dxfId="787" priority="96" stopIfTrue="1" operator="notEqual">
      <formula>0</formula>
    </cfRule>
  </conditionalFormatting>
  <conditionalFormatting sqref="Z110:AA110">
    <cfRule type="expression" dxfId="786" priority="42" stopIfTrue="1">
      <formula>$B$110&lt;1</formula>
    </cfRule>
  </conditionalFormatting>
  <conditionalFormatting sqref="AD111:AD121">
    <cfRule type="expression" dxfId="785" priority="37" stopIfTrue="1">
      <formula>$B$110&lt;1</formula>
    </cfRule>
  </conditionalFormatting>
  <conditionalFormatting sqref="AC110:AD110">
    <cfRule type="expression" dxfId="784" priority="41" stopIfTrue="1">
      <formula>$B$110&lt;1</formula>
    </cfRule>
  </conditionalFormatting>
  <conditionalFormatting sqref="AD110:AD121">
    <cfRule type="expression" dxfId="783" priority="40" stopIfTrue="1">
      <formula>$B$110&lt;1</formula>
    </cfRule>
  </conditionalFormatting>
  <conditionalFormatting sqref="AD111:AD121">
    <cfRule type="expression" dxfId="782" priority="39" stopIfTrue="1">
      <formula>$B$110&lt;1</formula>
    </cfRule>
  </conditionalFormatting>
  <conditionalFormatting sqref="AC111:AC121">
    <cfRule type="expression" dxfId="781" priority="38" stopIfTrue="1">
      <formula>$B$110&lt;1</formula>
    </cfRule>
  </conditionalFormatting>
  <conditionalFormatting sqref="AD111:AD121">
    <cfRule type="expression" dxfId="780" priority="36" stopIfTrue="1">
      <formula>$B$110&lt;1</formula>
    </cfRule>
  </conditionalFormatting>
  <conditionalFormatting sqref="AE110">
    <cfRule type="expression" dxfId="779" priority="35" stopIfTrue="1">
      <formula>$B$110&lt;1</formula>
    </cfRule>
  </conditionalFormatting>
  <conditionalFormatting sqref="AE111:AE121">
    <cfRule type="expression" dxfId="778" priority="34" stopIfTrue="1">
      <formula>$B$110&lt;1</formula>
    </cfRule>
  </conditionalFormatting>
  <conditionalFormatting sqref="C66">
    <cfRule type="cellIs" dxfId="777" priority="33" stopIfTrue="1" operator="between">
      <formula>"OVERLOAD"</formula>
      <formula>"OVERLOAD"</formula>
    </cfRule>
  </conditionalFormatting>
  <conditionalFormatting sqref="BQ102:CG102">
    <cfRule type="expression" dxfId="776" priority="25">
      <formula>$B$104=0</formula>
    </cfRule>
  </conditionalFormatting>
  <conditionalFormatting sqref="CB55:CR55">
    <cfRule type="cellIs" dxfId="775" priority="21" operator="equal">
      <formula>0</formula>
    </cfRule>
    <cfRule type="expression" dxfId="774" priority="24">
      <formula>$B$104=0</formula>
    </cfRule>
  </conditionalFormatting>
  <conditionalFormatting sqref="BN103 BO102:BO103 BN56 BO55:BO56">
    <cfRule type="expression" dxfId="773" priority="2">
      <formula>$B$104&lt;&gt;0</formula>
    </cfRule>
  </conditionalFormatting>
  <conditionalFormatting sqref="CK102:DA102">
    <cfRule type="expression" dxfId="772" priority="22">
      <formula>$B$104=0</formula>
    </cfRule>
  </conditionalFormatting>
  <conditionalFormatting sqref="D103">
    <cfRule type="cellIs" dxfId="771" priority="20" stopIfTrue="1" operator="equal">
      <formula>"USE EXBAR AR AT THE FRONT"</formula>
    </cfRule>
  </conditionalFormatting>
  <conditionalFormatting sqref="D104">
    <cfRule type="cellIs" dxfId="770" priority="19" stopIfTrue="1" operator="equal">
      <formula>"USE EXBAR AR AT THE BACK"</formula>
    </cfRule>
  </conditionalFormatting>
  <conditionalFormatting sqref="W110">
    <cfRule type="expression" dxfId="769" priority="18" stopIfTrue="1">
      <formula>$B$131&lt;1</formula>
    </cfRule>
  </conditionalFormatting>
  <conditionalFormatting sqref="Y110">
    <cfRule type="expression" dxfId="768" priority="17" stopIfTrue="1">
      <formula>$B$131&lt;1</formula>
    </cfRule>
  </conditionalFormatting>
  <conditionalFormatting sqref="BN27">
    <cfRule type="cellIs" dxfId="767" priority="15" operator="equal">
      <formula>"""OK"""</formula>
    </cfRule>
    <cfRule type="cellIs" dxfId="766" priority="16" stopIfTrue="1" operator="equal">
      <formula>"overload"</formula>
    </cfRule>
  </conditionalFormatting>
  <conditionalFormatting sqref="BN26">
    <cfRule type="cellIs" dxfId="765" priority="13" operator="equal">
      <formula>"""OK"""</formula>
    </cfRule>
    <cfRule type="cellIs" dxfId="764" priority="14" stopIfTrue="1" operator="equal">
      <formula>"negative force at the motor"</formula>
    </cfRule>
  </conditionalFormatting>
  <conditionalFormatting sqref="BN30">
    <cfRule type="cellIs" dxfId="763" priority="11" operator="equal">
      <formula>"""OK"""</formula>
    </cfRule>
    <cfRule type="cellIs" dxfId="762" priority="12" stopIfTrue="1" operator="equal">
      <formula>"overload"</formula>
    </cfRule>
  </conditionalFormatting>
  <conditionalFormatting sqref="BN29">
    <cfRule type="cellIs" dxfId="761" priority="9" operator="equal">
      <formula>"""OK"""</formula>
    </cfRule>
    <cfRule type="cellIs" dxfId="760" priority="10" stopIfTrue="1" operator="equal">
      <formula>"negative force at the motor"</formula>
    </cfRule>
  </conditionalFormatting>
  <conditionalFormatting sqref="BN33">
    <cfRule type="cellIs" dxfId="759" priority="7" operator="equal">
      <formula>"""OK"""</formula>
    </cfRule>
    <cfRule type="cellIs" dxfId="758" priority="8" stopIfTrue="1" operator="equal">
      <formula>"overload"</formula>
    </cfRule>
  </conditionalFormatting>
  <conditionalFormatting sqref="BN32">
    <cfRule type="cellIs" dxfId="757" priority="5" operator="equal">
      <formula>"""OK"""</formula>
    </cfRule>
    <cfRule type="cellIs" dxfId="756" priority="6" stopIfTrue="1" operator="equal">
      <formula>"negative force at the motor"</formula>
    </cfRule>
  </conditionalFormatting>
  <conditionalFormatting sqref="BN61">
    <cfRule type="cellIs" dxfId="755" priority="3" operator="equal">
      <formula>"""OK"""</formula>
    </cfRule>
    <cfRule type="cellIs" dxfId="754" priority="4" stopIfTrue="1" operator="equal">
      <formula>"overload"</formula>
    </cfRule>
  </conditionalFormatting>
  <conditionalFormatting sqref="BN56 BN103">
    <cfRule type="cellIs" dxfId="753" priority="23" operator="equal">
      <formula>"overload"</formula>
    </cfRule>
  </conditionalFormatting>
  <conditionalFormatting sqref="AB131:AB154">
    <cfRule type="cellIs" dxfId="752" priority="93" operator="equal">
      <formula>"pin in groundstacking hole"</formula>
    </cfRule>
  </conditionalFormatting>
  <dataValidations count="8">
    <dataValidation type="decimal" allowBlank="1" showInputMessage="1" showErrorMessage="1" sqref="F110:G110 F131:G131" xr:uid="{00000000-0002-0000-0700-000000000000}">
      <formula1>0</formula1>
      <formula2>4</formula2>
    </dataValidation>
    <dataValidation type="decimal" allowBlank="1" showInputMessage="1" showErrorMessage="1" sqref="G111:G121 G132:G154 F112:F121 F133:F154" xr:uid="{00000000-0002-0000-0700-000001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07" xr:uid="{00000000-0002-0000-0700-000002000000}">
      <formula1>0</formula1>
      <formula2>10</formula2>
    </dataValidation>
    <dataValidation type="whole" allowBlank="1" showInputMessage="1" showErrorMessage="1" errorTitle="Coda Audio" error="YOU HAVE ENTERED A WRONG NUMBER OF CABINETS" promptTitle="Coda Audio" prompt="ENTER THE NUMBER OF CABINETS FROM 1 UP TO 24" sqref="B128" xr:uid="{00000000-0002-0000-0700-000003000000}">
      <formula1>1</formula1>
      <formula2>24</formula2>
    </dataValidation>
    <dataValidation type="decimal" allowBlank="1" showInputMessage="1" showErrorMessage="1" sqref="D131" xr:uid="{00000000-0002-0000-0700-000004000000}">
      <formula1>0</formula1>
      <formula2>5</formula2>
    </dataValidation>
    <dataValidation type="decimal" allowBlank="1" showInputMessage="1" showErrorMessage="1" sqref="D132:D154" xr:uid="{00000000-0002-0000-0700-000005000000}">
      <formula1>0</formula1>
      <formula2>10</formula2>
    </dataValidation>
    <dataValidation type="custom" allowBlank="1" showInputMessage="1" showErrorMessage="1" sqref="D110:D121" xr:uid="{00000000-0002-0000-0700-000006000000}">
      <formula1>OR(D110=0,D110=2.5,D110=5)</formula1>
    </dataValidation>
    <dataValidation type="decimal" allowBlank="1" showInputMessage="1" showErrorMessage="1" sqref="B104" xr:uid="{00000000-0002-0000-0700-000007000000}">
      <formula1>-89.9</formula1>
      <formula2>89.9</formula2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4"/>
  </sheetPr>
  <dimension ref="A1:EL259"/>
  <sheetViews>
    <sheetView topLeftCell="A25" zoomScale="50" zoomScaleNormal="50" workbookViewId="0">
      <selection activeCell="B163" sqref="B163"/>
    </sheetView>
  </sheetViews>
  <sheetFormatPr baseColWidth="10" defaultColWidth="8.88671875" defaultRowHeight="17.399999999999999" x14ac:dyDescent="0.3"/>
  <cols>
    <col min="1" max="1" width="1.5546875" customWidth="1"/>
    <col min="2" max="2" width="36.6640625" style="13" customWidth="1"/>
    <col min="3" max="3" width="34.44140625" style="13" hidden="1" customWidth="1"/>
    <col min="4" max="4" width="27.109375" style="14" customWidth="1"/>
    <col min="5" max="5" width="28.6640625" style="14" bestFit="1" customWidth="1"/>
    <col min="6" max="6" width="32.6640625" style="14" hidden="1" customWidth="1"/>
    <col min="7" max="7" width="10" style="14" hidden="1" customWidth="1"/>
    <col min="8" max="8" width="13.44140625" style="62" hidden="1" customWidth="1"/>
    <col min="9" max="11" width="17.5546875" style="62" hidden="1" customWidth="1"/>
    <col min="12" max="14" width="19.44140625" style="62" hidden="1" customWidth="1"/>
    <col min="15" max="15" width="8.6640625" style="62" hidden="1" customWidth="1"/>
    <col min="16" max="16" width="19.44140625" style="62" hidden="1" customWidth="1"/>
    <col min="17" max="17" width="19.6640625" style="62" hidden="1" customWidth="1"/>
    <col min="18" max="18" width="28" style="62" hidden="1" customWidth="1"/>
    <col min="19" max="19" width="19.44140625" style="62" hidden="1" customWidth="1"/>
    <col min="20" max="20" width="22.33203125" style="62" hidden="1" customWidth="1"/>
    <col min="21" max="21" width="9.33203125" style="62" hidden="1" customWidth="1"/>
    <col min="22" max="22" width="19.44140625" style="62" hidden="1" customWidth="1"/>
    <col min="23" max="24" width="17.5546875" style="62" hidden="1" customWidth="1"/>
    <col min="25" max="25" width="14.44140625" style="62" hidden="1" customWidth="1"/>
    <col min="26" max="27" width="19.44140625" style="62" hidden="1" customWidth="1"/>
    <col min="28" max="28" width="42" style="62" bestFit="1" customWidth="1"/>
    <col min="29" max="29" width="26.33203125" style="62" hidden="1" customWidth="1"/>
    <col min="30" max="31" width="4.88671875" style="62" hidden="1" customWidth="1"/>
    <col min="32" max="32" width="79.44140625" style="62" hidden="1" customWidth="1"/>
    <col min="33" max="33" width="83.5546875" style="62" hidden="1" customWidth="1"/>
    <col min="34" max="34" width="19.44140625" style="62" hidden="1" customWidth="1"/>
    <col min="35" max="35" width="11.33203125" style="62" hidden="1" customWidth="1"/>
    <col min="36" max="36" width="20.88671875" style="62" hidden="1" customWidth="1"/>
    <col min="37" max="37" width="19.44140625" style="62" hidden="1" customWidth="1"/>
    <col min="38" max="38" width="22.6640625" style="62" hidden="1" customWidth="1"/>
    <col min="39" max="39" width="20.88671875" style="62" hidden="1" customWidth="1"/>
    <col min="40" max="40" width="19.44140625" style="62" hidden="1" customWidth="1"/>
    <col min="41" max="41" width="22.6640625" style="62" hidden="1" customWidth="1"/>
    <col min="42" max="42" width="34.6640625" style="62" hidden="1" customWidth="1"/>
    <col min="43" max="43" width="44" style="62" hidden="1" customWidth="1"/>
    <col min="44" max="44" width="66.5546875" style="62" hidden="1" customWidth="1"/>
    <col min="45" max="45" width="22.6640625" style="62" hidden="1" customWidth="1"/>
    <col min="46" max="46" width="24.5546875" style="62" hidden="1" customWidth="1"/>
    <col min="47" max="47" width="37.88671875" style="62" hidden="1" customWidth="1"/>
    <col min="48" max="48" width="22.6640625" style="62" hidden="1" customWidth="1"/>
    <col min="49" max="50" width="24.5546875" style="62" hidden="1" customWidth="1"/>
    <col min="51" max="51" width="38" style="62" hidden="1" customWidth="1"/>
    <col min="52" max="52" width="11" style="62" hidden="1" customWidth="1"/>
    <col min="53" max="54" width="12.109375" style="62" customWidth="1"/>
    <col min="55" max="55" width="15.109375" hidden="1" customWidth="1"/>
    <col min="56" max="56" width="14.44140625" hidden="1" customWidth="1"/>
    <col min="57" max="58" width="9.33203125" hidden="1" customWidth="1"/>
    <col min="59" max="59" width="4" hidden="1" customWidth="1"/>
    <col min="60" max="60" width="4.88671875" hidden="1" customWidth="1"/>
    <col min="61" max="61" width="10.6640625" hidden="1" customWidth="1"/>
    <col min="62" max="62" width="13.44140625" style="1550" hidden="1" customWidth="1"/>
    <col min="63" max="63" width="8.6640625" style="1550" hidden="1" customWidth="1"/>
    <col min="64" max="64" width="24.88671875" style="1550" bestFit="1" customWidth="1"/>
    <col min="65" max="65" width="35.6640625" style="1550" customWidth="1"/>
    <col min="66" max="66" width="43.5546875" style="1550" customWidth="1"/>
    <col min="67" max="103" width="7.109375" style="1550" customWidth="1"/>
    <col min="104" max="104" width="7.6640625" style="1550" customWidth="1"/>
    <col min="105" max="105" width="16" style="1550" customWidth="1"/>
    <col min="106" max="106" width="40.88671875" style="1550" hidden="1" customWidth="1"/>
    <col min="107" max="107" width="9.109375" customWidth="1"/>
    <col min="108" max="108" width="41.44140625" customWidth="1"/>
    <col min="109" max="138" width="6.5546875" customWidth="1"/>
    <col min="142" max="142" width="11.44140625" customWidth="1"/>
    <col min="143" max="143" width="9.33203125" customWidth="1"/>
  </cols>
  <sheetData>
    <row r="1" spans="1:106" ht="26.25" hidden="1" customHeight="1" x14ac:dyDescent="0.4">
      <c r="A1" s="1817"/>
      <c r="B1" s="1819"/>
      <c r="C1" s="1819"/>
      <c r="D1" s="1820" t="s">
        <v>202</v>
      </c>
      <c r="E1" s="1820" t="s">
        <v>203</v>
      </c>
      <c r="F1" s="1821" t="s">
        <v>204</v>
      </c>
    </row>
    <row r="2" spans="1:106" ht="37.5" hidden="1" customHeight="1" x14ac:dyDescent="0.5">
      <c r="A2" s="37"/>
      <c r="B2" s="1822" t="s">
        <v>29</v>
      </c>
      <c r="C2" s="1807">
        <v>688</v>
      </c>
      <c r="D2" s="1808">
        <f>+COS(($B$104*-1)*3.14159265358979/180)*C2</f>
        <v>688</v>
      </c>
      <c r="E2" s="1808">
        <f>+COS(($B$104*-1)*3.14159265358979/180)*43</f>
        <v>43</v>
      </c>
      <c r="F2" s="1809">
        <f>+COS((($B$104*-1)+72.969997)*3.14159265358979/180)*162.1867</f>
        <v>47.500013702602963</v>
      </c>
    </row>
    <row r="3" spans="1:106" ht="43.5" hidden="1" customHeight="1" x14ac:dyDescent="0.5">
      <c r="A3" s="37"/>
      <c r="B3" s="1810" t="s">
        <v>242</v>
      </c>
      <c r="C3" s="1811">
        <f>+C9-47.5</f>
        <v>113.51782840453484</v>
      </c>
      <c r="D3" s="1813">
        <f>+C9-F2</f>
        <v>113.51781470193188</v>
      </c>
      <c r="E3" s="1823"/>
      <c r="F3" s="1824"/>
    </row>
    <row r="4" spans="1:106" ht="68.400000000000006" hidden="1" x14ac:dyDescent="0.4">
      <c r="A4" s="37"/>
      <c r="B4" s="1825" t="s">
        <v>40</v>
      </c>
      <c r="C4" s="1851">
        <v>1075</v>
      </c>
      <c r="D4" s="1843">
        <f>+COS(($B$104*-1)*3.14159265358979/180)*C4</f>
        <v>1075</v>
      </c>
      <c r="E4" s="1823"/>
      <c r="F4" s="1824"/>
    </row>
    <row r="5" spans="1:106" ht="57.75" hidden="1" customHeight="1" x14ac:dyDescent="0.4">
      <c r="A5" s="37"/>
      <c r="B5" s="1850" t="s">
        <v>238</v>
      </c>
      <c r="C5" s="1851">
        <f>+C9+425.5</f>
        <v>586.51782840453484</v>
      </c>
      <c r="D5" s="1847">
        <f>+(COS(($B$104*-1)*3.14159265358979/180)*400)+$D$3</f>
        <v>513.51781470193191</v>
      </c>
      <c r="E5" s="1823"/>
      <c r="F5" s="1824"/>
    </row>
    <row r="6" spans="1:106" ht="22.8" hidden="1" x14ac:dyDescent="0.4">
      <c r="A6" s="37"/>
      <c r="B6" s="1826"/>
      <c r="C6" s="1826"/>
      <c r="D6" s="1823"/>
      <c r="E6" s="1823"/>
      <c r="F6" s="1824"/>
      <c r="BJ6" s="1551"/>
      <c r="BK6" s="1551"/>
      <c r="BL6" s="1551"/>
      <c r="BM6" s="1551"/>
      <c r="BN6" s="1551"/>
      <c r="BO6" s="1551"/>
      <c r="BP6" s="1551"/>
      <c r="BQ6" s="1551"/>
      <c r="BR6" s="1551"/>
      <c r="BS6" s="1551"/>
      <c r="BT6" s="1551"/>
      <c r="BU6" s="1551"/>
      <c r="BV6" s="1551"/>
      <c r="BW6" s="1551"/>
      <c r="BX6" s="1551"/>
      <c r="BY6" s="1551"/>
      <c r="BZ6" s="1551"/>
      <c r="CA6" s="1551"/>
      <c r="CB6" s="1551"/>
      <c r="CC6" s="1551"/>
      <c r="CD6" s="1551"/>
      <c r="CE6" s="1551"/>
      <c r="CF6" s="1551"/>
      <c r="CG6" s="1551"/>
      <c r="CH6" s="1551"/>
      <c r="CI6" s="1551"/>
      <c r="CJ6" s="1551"/>
      <c r="CK6" s="1551"/>
      <c r="CL6" s="1551"/>
      <c r="CM6" s="1551"/>
      <c r="CN6" s="1551"/>
      <c r="CO6" s="1551"/>
      <c r="CP6" s="1551"/>
      <c r="CQ6" s="1551"/>
      <c r="CR6" s="1551"/>
      <c r="CS6" s="1551"/>
      <c r="CT6" s="1551"/>
      <c r="CU6" s="1551"/>
      <c r="CV6" s="1551"/>
      <c r="CW6" s="1551"/>
      <c r="CX6" s="1551"/>
      <c r="CY6" s="1551"/>
      <c r="CZ6" s="1551"/>
      <c r="DA6" s="1551"/>
      <c r="DB6" s="1551"/>
    </row>
    <row r="7" spans="1:106" ht="22.8" hidden="1" x14ac:dyDescent="0.4">
      <c r="A7" s="37"/>
      <c r="B7" s="1827" t="s">
        <v>18</v>
      </c>
      <c r="C7" s="1829">
        <f>+C11+C14+30+4.5</f>
        <v>235.5</v>
      </c>
      <c r="D7" s="1823"/>
      <c r="E7" s="1823"/>
      <c r="F7" s="1824"/>
    </row>
    <row r="8" spans="1:106" ht="22.8" hidden="1" x14ac:dyDescent="0.4">
      <c r="A8" s="37"/>
      <c r="B8" s="1827" t="s">
        <v>19</v>
      </c>
      <c r="C8" s="1827">
        <f>+AS110</f>
        <v>326.55452901143133</v>
      </c>
      <c r="D8" s="1823"/>
      <c r="E8" s="1823"/>
      <c r="F8" s="1824"/>
    </row>
    <row r="9" spans="1:106" ht="22.8" hidden="1" x14ac:dyDescent="0.4">
      <c r="A9" s="37"/>
      <c r="B9" s="1827" t="s">
        <v>14</v>
      </c>
      <c r="C9" s="1827">
        <f>+AP110</f>
        <v>161.01782840453484</v>
      </c>
      <c r="D9" s="1823"/>
      <c r="E9" s="1823"/>
      <c r="F9" s="1824"/>
    </row>
    <row r="10" spans="1:106" ht="22.8" hidden="1" x14ac:dyDescent="0.4">
      <c r="A10" s="37"/>
      <c r="B10" s="1826"/>
      <c r="C10" s="1826"/>
      <c r="D10" s="1823"/>
      <c r="E10" s="1823"/>
      <c r="F10" s="1824"/>
    </row>
    <row r="11" spans="1:106" ht="22.8" hidden="1" x14ac:dyDescent="0.4">
      <c r="A11" s="37"/>
      <c r="B11" s="1828" t="s">
        <v>98</v>
      </c>
      <c r="C11" s="1829">
        <f>+B140*57+31</f>
        <v>88</v>
      </c>
      <c r="D11" s="1823"/>
      <c r="E11" s="1823"/>
      <c r="F11" s="1824"/>
      <c r="BJ11" s="1551"/>
      <c r="BK11" s="1551"/>
      <c r="BL11" s="1551"/>
      <c r="BM11" s="1551"/>
      <c r="BN11" s="1551"/>
      <c r="BO11" s="1551"/>
      <c r="BP11" s="1551"/>
      <c r="BQ11" s="1551"/>
      <c r="BR11" s="1551"/>
      <c r="BS11" s="1551"/>
      <c r="BT11" s="1551"/>
      <c r="BU11" s="1551"/>
      <c r="BV11" s="1551"/>
      <c r="BW11" s="1551"/>
      <c r="BX11" s="1551"/>
      <c r="BY11" s="1551"/>
      <c r="BZ11" s="1551"/>
      <c r="CA11" s="1551"/>
      <c r="CB11" s="1551"/>
      <c r="CC11" s="1551"/>
      <c r="CD11" s="1551"/>
      <c r="CE11" s="1551"/>
      <c r="CF11" s="1551"/>
      <c r="CG11" s="1551"/>
      <c r="CH11" s="1551"/>
      <c r="CI11" s="1551"/>
      <c r="CJ11" s="1551"/>
      <c r="CK11" s="1551"/>
      <c r="CL11" s="1551"/>
      <c r="CM11" s="1551"/>
      <c r="CN11" s="1551"/>
      <c r="CO11" s="1551"/>
      <c r="CP11" s="1551"/>
      <c r="CQ11" s="1551"/>
      <c r="CR11" s="1551"/>
      <c r="CS11" s="1551"/>
      <c r="CT11" s="1551"/>
      <c r="CU11" s="1551"/>
      <c r="CV11" s="1551"/>
      <c r="CW11" s="1551"/>
      <c r="CX11" s="1551"/>
      <c r="CY11" s="1551"/>
      <c r="CZ11" s="1551"/>
      <c r="DA11" s="1551"/>
      <c r="DB11" s="1551"/>
    </row>
    <row r="12" spans="1:106" ht="22.8" hidden="1" x14ac:dyDescent="0.4">
      <c r="A12" s="37"/>
      <c r="B12" s="1828" t="s">
        <v>100</v>
      </c>
      <c r="C12" s="1829">
        <v>747</v>
      </c>
      <c r="D12" s="1830"/>
      <c r="E12" s="1823"/>
      <c r="F12" s="1824"/>
    </row>
    <row r="13" spans="1:106" ht="22.8" hidden="1" x14ac:dyDescent="0.4">
      <c r="A13" s="37"/>
      <c r="B13" s="1826"/>
      <c r="C13" s="1826"/>
      <c r="D13" s="1830"/>
      <c r="E13" s="1823"/>
      <c r="F13" s="1824"/>
    </row>
    <row r="14" spans="1:106" ht="22.8" hidden="1" x14ac:dyDescent="0.4">
      <c r="A14" s="37"/>
      <c r="B14" s="1831" t="s">
        <v>101</v>
      </c>
      <c r="C14" s="1832">
        <f>(+B161*25.5)+31+(B107*25.5)+31</f>
        <v>113</v>
      </c>
      <c r="D14" s="1830"/>
      <c r="E14" s="1823"/>
      <c r="F14" s="1824"/>
    </row>
    <row r="15" spans="1:106" ht="22.8" hidden="1" x14ac:dyDescent="0.4">
      <c r="A15" s="37"/>
      <c r="B15" s="1831" t="s">
        <v>103</v>
      </c>
      <c r="C15" s="1832">
        <v>326.60000000000002</v>
      </c>
      <c r="D15" s="1830"/>
      <c r="E15" s="1823"/>
      <c r="F15" s="1824"/>
    </row>
    <row r="16" spans="1:106" ht="22.8" hidden="1" x14ac:dyDescent="0.4">
      <c r="A16" s="37"/>
      <c r="B16" s="1833"/>
      <c r="C16" s="1833"/>
      <c r="D16" s="1830"/>
      <c r="E16" s="1823"/>
      <c r="F16" s="1824"/>
    </row>
    <row r="17" spans="1:142" ht="22.8" hidden="1" x14ac:dyDescent="0.4">
      <c r="A17" s="37"/>
      <c r="B17" s="1833"/>
      <c r="C17" s="1833"/>
      <c r="D17" s="1830"/>
      <c r="E17" s="1823"/>
      <c r="F17" s="1824"/>
    </row>
    <row r="18" spans="1:142" ht="45.6" hidden="1" x14ac:dyDescent="0.4">
      <c r="A18" s="37"/>
      <c r="B18" s="1834" t="s">
        <v>122</v>
      </c>
      <c r="C18" s="1831">
        <v>5800</v>
      </c>
      <c r="D18" s="1831">
        <v>10000</v>
      </c>
      <c r="E18" s="1823"/>
      <c r="F18" s="1835" t="s">
        <v>225</v>
      </c>
    </row>
    <row r="19" spans="1:142" ht="45.6" hidden="1" x14ac:dyDescent="0.4">
      <c r="A19" s="37"/>
      <c r="B19" s="1834" t="s">
        <v>123</v>
      </c>
      <c r="C19" s="1831">
        <v>5800</v>
      </c>
      <c r="D19" s="1831">
        <v>5800</v>
      </c>
      <c r="E19" s="1823"/>
      <c r="F19" s="1835" t="s">
        <v>71</v>
      </c>
    </row>
    <row r="20" spans="1:142" ht="45.6" hidden="1" x14ac:dyDescent="0.4">
      <c r="A20" s="37"/>
      <c r="B20" s="1834" t="s">
        <v>124</v>
      </c>
      <c r="C20" s="1831">
        <v>8000</v>
      </c>
      <c r="D20" s="1831">
        <v>8000</v>
      </c>
      <c r="E20" s="1836">
        <v>8000</v>
      </c>
      <c r="F20" s="1824"/>
    </row>
    <row r="21" spans="1:142" ht="22.8" hidden="1" x14ac:dyDescent="0.4">
      <c r="A21" s="37"/>
      <c r="B21" s="1831"/>
      <c r="C21" s="1831" t="s">
        <v>22</v>
      </c>
      <c r="D21" s="1831" t="s">
        <v>23</v>
      </c>
      <c r="E21" s="1823"/>
      <c r="F21" s="1824"/>
    </row>
    <row r="22" spans="1:142" ht="23.4" hidden="1" thickBot="1" x14ac:dyDescent="0.45">
      <c r="A22" s="1818"/>
      <c r="B22" s="1837" t="s">
        <v>102</v>
      </c>
      <c r="C22" s="1838">
        <f>+((C8-C9)/C8)*C7</f>
        <v>119.37942833296137</v>
      </c>
      <c r="D22" s="1838">
        <f>+(C9/C8)*C7</f>
        <v>116.12057166703862</v>
      </c>
      <c r="E22" s="1839"/>
      <c r="F22" s="1840"/>
    </row>
    <row r="23" spans="1:142" hidden="1" x14ac:dyDescent="0.3"/>
    <row r="24" spans="1:142" ht="60" hidden="1" x14ac:dyDescent="0.95">
      <c r="BL24" s="1814"/>
    </row>
    <row r="25" spans="1:142" ht="33" customHeight="1" thickBot="1" x14ac:dyDescent="0.45">
      <c r="BM25" s="1552"/>
      <c r="BN25" s="1553" t="s">
        <v>28</v>
      </c>
      <c r="BO25" s="1994">
        <f>+C7</f>
        <v>235.5</v>
      </c>
      <c r="BP25" s="1994"/>
      <c r="BQ25" s="1554" t="s">
        <v>17</v>
      </c>
      <c r="BR25" s="1554"/>
      <c r="BS25" s="1555" t="s">
        <v>250</v>
      </c>
      <c r="BT25" s="1556"/>
      <c r="BU25" s="1556"/>
      <c r="BV25" s="1556"/>
      <c r="BW25" s="1556"/>
      <c r="BX25" s="1556"/>
      <c r="BY25" s="1556"/>
      <c r="BZ25" s="1556"/>
      <c r="CA25" s="1556"/>
      <c r="CB25" s="1556"/>
      <c r="CC25" s="1556"/>
      <c r="CD25" s="1556"/>
      <c r="CE25" s="1556"/>
      <c r="CF25" s="1556"/>
      <c r="CG25" s="1556"/>
      <c r="CH25" s="1556"/>
      <c r="CI25" s="1556"/>
      <c r="CJ25" s="1556"/>
      <c r="CK25" s="1556"/>
      <c r="CL25" s="1556"/>
      <c r="CM25" s="1557"/>
      <c r="CN25" s="1557"/>
      <c r="CO25" s="1557"/>
      <c r="CP25" s="1557"/>
      <c r="CQ25" s="1557"/>
      <c r="CR25" s="1557"/>
      <c r="CS25" s="1557"/>
      <c r="CT25" s="1557"/>
      <c r="CU25" s="1557"/>
      <c r="CV25" s="1557"/>
      <c r="CW25" s="1557"/>
      <c r="CX25" s="1557"/>
      <c r="CY25" s="1557"/>
      <c r="CZ25" s="1557"/>
      <c r="DA25" s="1557"/>
      <c r="DB25" s="1557"/>
    </row>
    <row r="26" spans="1:142" s="143" customFormat="1" ht="45.75" customHeight="1" thickBot="1" x14ac:dyDescent="0.45">
      <c r="B26" s="147"/>
      <c r="C26" s="147"/>
      <c r="D26" s="144"/>
      <c r="E26" s="144"/>
      <c r="F26" s="144"/>
      <c r="G26" s="144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  <c r="AB26" s="62"/>
      <c r="AC26" s="62"/>
      <c r="AD26" s="62"/>
      <c r="AE26" s="62"/>
      <c r="AF26" s="62"/>
      <c r="AG26" s="62"/>
      <c r="AH26" s="62"/>
      <c r="AI26" s="62"/>
      <c r="AJ26" s="62"/>
      <c r="AK26" s="62"/>
      <c r="AL26" s="62"/>
      <c r="AM26" s="62"/>
      <c r="AN26" s="62"/>
      <c r="AO26" s="62"/>
      <c r="AP26" s="62"/>
      <c r="AQ26" s="62"/>
      <c r="AR26" s="62"/>
      <c r="AS26" s="62"/>
      <c r="AT26" s="62"/>
      <c r="AU26" s="62"/>
      <c r="AV26" s="62"/>
      <c r="AW26" s="62"/>
      <c r="AX26" s="62"/>
      <c r="AY26" s="62"/>
      <c r="AZ26" s="62"/>
      <c r="BA26" s="62"/>
      <c r="BB26" s="62"/>
      <c r="BD26" s="112"/>
      <c r="BE26" s="146"/>
      <c r="BF26" s="144"/>
      <c r="BG26" s="144"/>
      <c r="BH26" s="144"/>
      <c r="BI26"/>
      <c r="BJ26" s="1550"/>
      <c r="BK26" s="1559" t="b">
        <f>AND(BO27&gt;0,CM27&gt;0)</f>
        <v>1</v>
      </c>
      <c r="BL26" s="1560" t="str">
        <f>IF(BK26=TRUE,"","negative force at the motor")</f>
        <v/>
      </c>
      <c r="BM26" s="1561" t="s">
        <v>227</v>
      </c>
      <c r="BN26" s="1562" t="s">
        <v>30</v>
      </c>
      <c r="BO26" s="1563" t="s">
        <v>31</v>
      </c>
      <c r="BP26" s="1564"/>
      <c r="BQ26" s="1565"/>
      <c r="BR26" s="1565"/>
      <c r="BS26" s="1565"/>
      <c r="BT26" s="1565"/>
      <c r="BU26" s="1565"/>
      <c r="BV26" s="1565"/>
      <c r="BW26" s="1565"/>
      <c r="BX26" s="1565"/>
      <c r="BY26" s="1565"/>
      <c r="BZ26" s="1565"/>
      <c r="CA26" s="1565"/>
      <c r="CB26" s="1565"/>
      <c r="CC26" s="1565"/>
      <c r="CD26" s="1565"/>
      <c r="CE26" s="1565"/>
      <c r="CF26" s="1565"/>
      <c r="CG26" s="1566"/>
      <c r="CH26" s="1567"/>
      <c r="CI26" s="1568"/>
      <c r="CJ26" s="1568"/>
      <c r="CK26" s="1568"/>
      <c r="CL26" s="1568"/>
      <c r="CM26" s="1564"/>
      <c r="CN26" s="1569" t="s">
        <v>32</v>
      </c>
      <c r="CO26" s="2013"/>
      <c r="CP26" s="2013"/>
      <c r="CQ26" s="2013"/>
      <c r="CR26" s="2013"/>
      <c r="CS26" s="2013"/>
      <c r="CT26" s="2013"/>
      <c r="CU26" s="2013"/>
      <c r="CV26" s="2013"/>
      <c r="CW26" s="2013"/>
      <c r="CX26" s="2013"/>
      <c r="CY26" s="2014"/>
      <c r="CZ26" s="1557"/>
      <c r="DA26" s="1557"/>
      <c r="DB26" s="1557"/>
      <c r="DC26"/>
      <c r="DD26"/>
      <c r="DE26"/>
      <c r="DF26"/>
      <c r="DG26"/>
      <c r="DH26"/>
      <c r="DI26"/>
      <c r="DJ26"/>
      <c r="DK26"/>
      <c r="DL26"/>
      <c r="DM26"/>
      <c r="DN26"/>
      <c r="DO26"/>
      <c r="DP26"/>
      <c r="DQ26"/>
      <c r="DR26"/>
      <c r="DS26"/>
      <c r="DT26"/>
      <c r="DU26"/>
      <c r="DV26"/>
      <c r="DW26"/>
      <c r="DX26"/>
      <c r="DY26"/>
      <c r="DZ26"/>
      <c r="EA26"/>
      <c r="EB26"/>
      <c r="EC26"/>
      <c r="ED26"/>
      <c r="EE26"/>
      <c r="EF26"/>
      <c r="EG26"/>
      <c r="EH26"/>
      <c r="EI26"/>
      <c r="EJ26"/>
      <c r="EK26"/>
      <c r="EL26"/>
    </row>
    <row r="27" spans="1:142" ht="45.75" customHeight="1" thickBot="1" x14ac:dyDescent="0.5">
      <c r="U27" s="86"/>
      <c r="BD27" s="1815"/>
      <c r="BF27" s="14"/>
      <c r="BG27" s="1815"/>
      <c r="BH27" s="1815"/>
      <c r="BK27" s="1550" t="b">
        <f>AND(BM27&gt;=10,$BA$110&gt;=10,$BB$110&gt;=10)</f>
        <v>1</v>
      </c>
      <c r="BL27" s="1570" t="str">
        <f>IF(BK27=TRUE,"O K","OVERLOAD")</f>
        <v>O K</v>
      </c>
      <c r="BM27" s="1571">
        <f>+D20/(MAX(BO27,CM27))</f>
        <v>65.038656016741768</v>
      </c>
      <c r="BN27" s="1572" t="s">
        <v>228</v>
      </c>
      <c r="BO27" s="2026">
        <f>+((D4-D5)/D4)*C7</f>
        <v>123.00377175599539</v>
      </c>
      <c r="BP27" s="2027"/>
      <c r="BQ27" s="1573"/>
      <c r="BR27" s="1573"/>
      <c r="BS27" s="1573"/>
      <c r="BT27" s="1574"/>
      <c r="BU27" s="1574"/>
      <c r="BV27" s="1574"/>
      <c r="BW27" s="1575"/>
      <c r="BX27" s="1575"/>
      <c r="BY27" s="1575"/>
      <c r="BZ27" s="1575"/>
      <c r="CA27" s="1575"/>
      <c r="CB27" s="1575"/>
      <c r="CC27" s="1575"/>
      <c r="CD27" s="1575"/>
      <c r="CE27" s="1575"/>
      <c r="CF27" s="1575"/>
      <c r="CG27" s="1576"/>
      <c r="CH27" s="1573"/>
      <c r="CI27" s="1573"/>
      <c r="CJ27" s="1573"/>
      <c r="CK27" s="1574"/>
      <c r="CL27" s="1574"/>
      <c r="CM27" s="2028">
        <f>+(D5/D4)*C7</f>
        <v>112.49622824400461</v>
      </c>
      <c r="CN27" s="2029"/>
      <c r="CO27" s="2015"/>
      <c r="CP27" s="2015"/>
      <c r="CQ27" s="2015"/>
      <c r="CR27" s="2015"/>
      <c r="CS27" s="2015"/>
      <c r="CT27" s="2015"/>
      <c r="CU27" s="2015"/>
      <c r="CV27" s="2015"/>
      <c r="CW27" s="2015"/>
      <c r="CX27" s="2015"/>
      <c r="CY27" s="2016"/>
      <c r="CZ27" s="1557"/>
      <c r="DA27" s="1557"/>
      <c r="DB27" s="1557"/>
    </row>
    <row r="28" spans="1:142" ht="14.25" customHeight="1" thickBot="1" x14ac:dyDescent="0.5">
      <c r="BF28" s="14"/>
      <c r="BG28" s="1815"/>
      <c r="BH28" s="1815"/>
      <c r="BL28" s="1577"/>
      <c r="BM28" s="1578"/>
      <c r="BN28" s="1579"/>
      <c r="BO28" s="1580"/>
      <c r="BP28" s="1580"/>
      <c r="BQ28" s="1579"/>
      <c r="BR28" s="1579"/>
      <c r="BS28" s="1579"/>
      <c r="BT28" s="1579"/>
      <c r="BU28" s="1579"/>
      <c r="BV28" s="1579"/>
      <c r="BW28" s="1579"/>
      <c r="BX28" s="1579"/>
      <c r="BY28" s="1579"/>
      <c r="BZ28" s="1579"/>
      <c r="CA28" s="1579"/>
      <c r="CB28" s="1579"/>
      <c r="CC28" s="1579"/>
      <c r="CD28" s="1579"/>
      <c r="CE28" s="1579"/>
      <c r="CF28" s="1579"/>
      <c r="CG28" s="1581"/>
      <c r="CH28" s="1582"/>
      <c r="CI28" s="1582"/>
      <c r="CJ28" s="1580"/>
      <c r="CK28" s="1583"/>
      <c r="CL28" s="1583"/>
      <c r="CM28" s="1583"/>
      <c r="CN28" s="1583"/>
      <c r="CO28" s="1583"/>
      <c r="CP28" s="1583"/>
      <c r="CQ28" s="1583"/>
      <c r="CR28" s="1583"/>
      <c r="CS28" s="1583"/>
      <c r="CT28" s="1583"/>
      <c r="CU28" s="1583"/>
      <c r="CV28" s="1583"/>
      <c r="CW28" s="1583"/>
      <c r="CX28" s="1583"/>
      <c r="CY28" s="1583"/>
      <c r="CZ28" s="1583"/>
      <c r="DA28" s="1557"/>
      <c r="DB28" s="1557"/>
    </row>
    <row r="29" spans="1:142" ht="45.75" customHeight="1" thickBot="1" x14ac:dyDescent="0.5">
      <c r="F29" s="119"/>
      <c r="G29" s="119"/>
      <c r="BF29" s="14"/>
      <c r="BG29" s="1815"/>
      <c r="BH29" s="1815"/>
      <c r="BK29" s="1559" t="b">
        <f>AND(BZ30&gt;0,CX30&gt;0)</f>
        <v>1</v>
      </c>
      <c r="BL29" s="1560" t="str">
        <f>IF(BK29=TRUE,"","negative force at the motor")</f>
        <v/>
      </c>
      <c r="BM29" s="1561" t="s">
        <v>227</v>
      </c>
      <c r="BN29" s="1584" t="s">
        <v>30</v>
      </c>
      <c r="BO29" s="2017"/>
      <c r="BP29" s="2013"/>
      <c r="BQ29" s="2013"/>
      <c r="BR29" s="2013"/>
      <c r="BS29" s="2013"/>
      <c r="BT29" s="2013"/>
      <c r="BU29" s="2013"/>
      <c r="BV29" s="2013"/>
      <c r="BW29" s="2013"/>
      <c r="BX29" s="2013"/>
      <c r="BY29" s="2013"/>
      <c r="BZ29" s="1585" t="s">
        <v>31</v>
      </c>
      <c r="CA29" s="1586"/>
      <c r="CB29" s="1587"/>
      <c r="CC29" s="1587"/>
      <c r="CD29" s="1587"/>
      <c r="CE29" s="1587"/>
      <c r="CF29" s="1587"/>
      <c r="CG29" s="1587"/>
      <c r="CH29" s="1587"/>
      <c r="CI29" s="1587"/>
      <c r="CJ29" s="1587"/>
      <c r="CK29" s="1587"/>
      <c r="CL29" s="1588"/>
      <c r="CM29" s="1589"/>
      <c r="CN29" s="1589"/>
      <c r="CO29" s="1589"/>
      <c r="CP29" s="1589"/>
      <c r="CQ29" s="1590"/>
      <c r="CR29" s="1590"/>
      <c r="CS29" s="1588"/>
      <c r="CT29" s="1588"/>
      <c r="CU29" s="1588"/>
      <c r="CV29" s="1588"/>
      <c r="CW29" s="1588"/>
      <c r="CX29" s="1591"/>
      <c r="CY29" s="1592" t="s">
        <v>32</v>
      </c>
      <c r="CZ29" s="1593"/>
      <c r="DA29" s="1557"/>
      <c r="DB29" s="1557"/>
    </row>
    <row r="30" spans="1:142" ht="45.75" customHeight="1" thickBot="1" x14ac:dyDescent="0.5">
      <c r="H30" s="243"/>
      <c r="I30" s="243"/>
      <c r="J30" s="243"/>
      <c r="K30" s="243"/>
      <c r="L30" s="243"/>
      <c r="M30" s="243"/>
      <c r="N30" s="243"/>
      <c r="O30" s="243"/>
      <c r="P30" s="243"/>
      <c r="Q30" s="243"/>
      <c r="R30" s="243"/>
      <c r="S30" s="243"/>
      <c r="T30" s="243"/>
      <c r="AF30" s="243"/>
      <c r="AG30" s="243"/>
      <c r="AH30" s="243"/>
      <c r="AI30" s="243"/>
      <c r="AJ30" s="243"/>
      <c r="AK30" s="243"/>
      <c r="AL30" s="243"/>
      <c r="AM30" s="243"/>
      <c r="AN30" s="243"/>
      <c r="AO30" s="243"/>
      <c r="AP30" s="243"/>
      <c r="AQ30" s="243"/>
      <c r="AR30" s="243"/>
      <c r="AS30" s="243"/>
      <c r="AT30" s="243"/>
      <c r="AU30" s="243"/>
      <c r="AV30" s="243"/>
      <c r="AW30" s="243"/>
      <c r="AX30" s="243"/>
      <c r="AY30" s="243"/>
      <c r="AZ30" s="243"/>
      <c r="BA30" s="243"/>
      <c r="BB30" s="243"/>
      <c r="BC30" s="14"/>
      <c r="BF30" s="14"/>
      <c r="BG30" s="14"/>
      <c r="BH30" s="14"/>
      <c r="BK30" s="1550" t="b">
        <f>AND(BM30&gt;=10,$BA$110&gt;=10,$BB$110&gt;=10)</f>
        <v>1</v>
      </c>
      <c r="BL30" s="1570" t="str">
        <f>IF(BK30=TRUE,"O K","OVERLOAD")</f>
        <v>O K</v>
      </c>
      <c r="BM30" s="1571">
        <f>+$D$20/(MAX(BZ30,CX30))</f>
        <v>37.980991501999164</v>
      </c>
      <c r="BN30" s="1594" t="s">
        <v>229</v>
      </c>
      <c r="BO30" s="2018"/>
      <c r="BP30" s="2015"/>
      <c r="BQ30" s="2015"/>
      <c r="BR30" s="2015"/>
      <c r="BS30" s="2015"/>
      <c r="BT30" s="2015"/>
      <c r="BU30" s="2015"/>
      <c r="BV30" s="2015"/>
      <c r="BW30" s="2015"/>
      <c r="BX30" s="2015"/>
      <c r="BY30" s="2015"/>
      <c r="BZ30" s="2030">
        <f>+((D4-D3)/D4)*C7</f>
        <v>210.63167873273957</v>
      </c>
      <c r="CA30" s="2031"/>
      <c r="CB30" s="1595"/>
      <c r="CC30" s="1595"/>
      <c r="CD30" s="1595"/>
      <c r="CE30" s="1595"/>
      <c r="CF30" s="1595"/>
      <c r="CG30" s="1595"/>
      <c r="CH30" s="1595"/>
      <c r="CI30" s="1595"/>
      <c r="CJ30" s="1595"/>
      <c r="CK30" s="1595"/>
      <c r="CL30" s="1596"/>
      <c r="CM30" s="1597"/>
      <c r="CN30" s="1597"/>
      <c r="CO30" s="1597"/>
      <c r="CP30" s="1597"/>
      <c r="CQ30" s="1598"/>
      <c r="CR30" s="1598"/>
      <c r="CS30" s="1599"/>
      <c r="CT30" s="1599"/>
      <c r="CU30" s="1599"/>
      <c r="CV30" s="1599"/>
      <c r="CW30" s="1599"/>
      <c r="CX30" s="2019">
        <f>+(D3/D4)*C7</f>
        <v>24.868321267260427</v>
      </c>
      <c r="CY30" s="2020"/>
      <c r="CZ30" s="1600"/>
      <c r="DA30" s="1557"/>
      <c r="DB30" s="1557"/>
    </row>
    <row r="31" spans="1:142" ht="14.25" customHeight="1" thickBot="1" x14ac:dyDescent="0.45">
      <c r="H31" s="243"/>
      <c r="I31" s="243"/>
      <c r="J31" s="243"/>
      <c r="K31" s="243"/>
      <c r="L31" s="243"/>
      <c r="M31" s="243"/>
      <c r="N31" s="243"/>
      <c r="O31" s="243"/>
      <c r="P31" s="243"/>
      <c r="Q31" s="243"/>
      <c r="R31" s="243"/>
      <c r="S31" s="243"/>
      <c r="T31" s="243"/>
      <c r="AF31" s="243"/>
      <c r="AG31" s="243"/>
      <c r="AH31" s="243"/>
      <c r="AI31" s="243"/>
      <c r="AJ31" s="243"/>
      <c r="AK31" s="243"/>
      <c r="AL31" s="243"/>
      <c r="AM31" s="243"/>
      <c r="AN31" s="243"/>
      <c r="AO31" s="243"/>
      <c r="AP31" s="243"/>
      <c r="AQ31" s="243"/>
      <c r="AR31" s="243"/>
      <c r="AS31" s="243"/>
      <c r="AT31" s="243"/>
      <c r="AU31" s="243"/>
      <c r="AV31" s="243"/>
      <c r="AW31" s="243"/>
      <c r="AX31" s="243"/>
      <c r="AY31" s="243"/>
      <c r="AZ31" s="243"/>
      <c r="BA31" s="243"/>
      <c r="BB31" s="243"/>
      <c r="BC31" s="14"/>
      <c r="BF31" s="14"/>
      <c r="BG31" s="86"/>
      <c r="BH31" s="86"/>
      <c r="BL31" s="1577"/>
      <c r="BM31" s="1601"/>
      <c r="BN31" s="1602"/>
      <c r="BO31" s="1602"/>
      <c r="BP31" s="1602"/>
      <c r="BQ31" s="1602"/>
      <c r="BR31" s="1602"/>
      <c r="BS31" s="1602"/>
      <c r="BT31" s="1602"/>
      <c r="BU31" s="1602"/>
      <c r="BV31" s="1602"/>
      <c r="BW31" s="1603"/>
      <c r="BX31" s="1603"/>
      <c r="BY31" s="1604"/>
      <c r="BZ31" s="1604"/>
      <c r="CA31" s="1604"/>
      <c r="CB31" s="1604"/>
      <c r="CC31" s="1604"/>
      <c r="CD31" s="1604"/>
      <c r="CE31" s="1604"/>
      <c r="CF31" s="1604"/>
      <c r="CG31" s="1604"/>
      <c r="CH31" s="1604"/>
      <c r="CI31" s="1604"/>
      <c r="CJ31" s="1604"/>
      <c r="CK31" s="1604"/>
      <c r="CL31" s="1605"/>
      <c r="CM31" s="1606"/>
      <c r="CN31" s="1606"/>
      <c r="CO31" s="1606"/>
      <c r="CP31" s="1606"/>
      <c r="CQ31" s="1600"/>
      <c r="CR31" s="1600"/>
      <c r="CS31" s="1600"/>
      <c r="CT31" s="1600"/>
      <c r="CU31" s="1600"/>
      <c r="CV31" s="1600"/>
      <c r="CW31" s="1600"/>
      <c r="CX31" s="1600"/>
      <c r="CY31" s="1600"/>
      <c r="CZ31" s="1600"/>
      <c r="DA31" s="1557"/>
      <c r="DB31" s="1557"/>
      <c r="DC31" s="14"/>
      <c r="DD31" s="14"/>
      <c r="DE31" s="14"/>
      <c r="DF31" s="14"/>
      <c r="DG31" s="14"/>
      <c r="DH31" s="14"/>
      <c r="DI31" s="14"/>
      <c r="DJ31" s="14"/>
      <c r="DK31" s="14"/>
      <c r="DL31" s="14"/>
      <c r="DM31" s="14"/>
      <c r="DN31" s="14"/>
      <c r="DO31" s="14"/>
      <c r="DP31" s="14"/>
      <c r="DQ31" s="14"/>
      <c r="DR31" s="14"/>
      <c r="DS31" s="14"/>
      <c r="DT31" s="14"/>
      <c r="DU31" s="14"/>
      <c r="DV31" s="14"/>
      <c r="DW31" s="14"/>
      <c r="DX31" s="14"/>
      <c r="DY31" s="14"/>
      <c r="DZ31" s="14"/>
      <c r="EA31" s="14"/>
      <c r="EB31" s="14"/>
      <c r="EC31" s="14"/>
      <c r="ED31" s="14"/>
      <c r="EE31" s="14"/>
      <c r="EF31" s="14"/>
      <c r="EG31" s="14"/>
      <c r="EH31" s="14"/>
      <c r="EI31" s="14"/>
      <c r="EJ31" s="14"/>
      <c r="EK31" s="14"/>
      <c r="EL31" s="14"/>
    </row>
    <row r="32" spans="1:142" ht="45.75" customHeight="1" thickBot="1" x14ac:dyDescent="0.45">
      <c r="E32" s="85"/>
      <c r="F32" s="85"/>
      <c r="G32" s="85"/>
      <c r="H32" s="243"/>
      <c r="I32" s="243"/>
      <c r="J32" s="243"/>
      <c r="K32" s="243"/>
      <c r="L32" s="243"/>
      <c r="M32" s="243"/>
      <c r="N32" s="243"/>
      <c r="O32" s="243"/>
      <c r="P32" s="243"/>
      <c r="Q32" s="243"/>
      <c r="R32" s="243"/>
      <c r="S32" s="243"/>
      <c r="T32" s="243"/>
      <c r="U32" s="243"/>
      <c r="V32" s="243"/>
      <c r="W32" s="243"/>
      <c r="X32" s="243"/>
      <c r="Y32" s="243"/>
      <c r="Z32" s="243"/>
      <c r="AA32" s="243"/>
      <c r="AB32" s="243"/>
      <c r="AC32" s="243"/>
      <c r="AD32" s="243"/>
      <c r="AE32" s="243"/>
      <c r="AF32" s="243"/>
      <c r="AG32" s="243"/>
      <c r="AH32" s="243"/>
      <c r="AI32" s="243"/>
      <c r="AJ32" s="243"/>
      <c r="AK32" s="243"/>
      <c r="AL32" s="243"/>
      <c r="AM32" s="243"/>
      <c r="AN32" s="243"/>
      <c r="AO32" s="243"/>
      <c r="AP32" s="243"/>
      <c r="AQ32" s="243"/>
      <c r="AR32" s="243"/>
      <c r="AS32" s="243"/>
      <c r="AT32" s="243"/>
      <c r="AU32" s="243"/>
      <c r="AV32" s="243"/>
      <c r="AW32" s="243"/>
      <c r="AX32" s="243"/>
      <c r="AY32" s="243"/>
      <c r="AZ32" s="243"/>
      <c r="BA32" s="243"/>
      <c r="BB32" s="243"/>
      <c r="BC32" s="14"/>
      <c r="BF32" s="14"/>
      <c r="BG32" s="323"/>
      <c r="BH32" s="323"/>
      <c r="BK32" s="1559" t="b">
        <f>AND(BZ33&gt;0,CO33&gt;0)</f>
        <v>1</v>
      </c>
      <c r="BL32" s="1560" t="str">
        <f>IF(BK32=TRUE,"","negative force at the motor")</f>
        <v/>
      </c>
      <c r="BM32" s="1561" t="s">
        <v>227</v>
      </c>
      <c r="BN32" s="1607" t="s">
        <v>30</v>
      </c>
      <c r="BO32" s="2017"/>
      <c r="BP32" s="2013"/>
      <c r="BQ32" s="2013"/>
      <c r="BR32" s="2013"/>
      <c r="BS32" s="2013"/>
      <c r="BT32" s="2013"/>
      <c r="BU32" s="2013"/>
      <c r="BV32" s="2013"/>
      <c r="BW32" s="2013"/>
      <c r="BX32" s="2013"/>
      <c r="BY32" s="2013"/>
      <c r="BZ32" s="1608" t="s">
        <v>31</v>
      </c>
      <c r="CA32" s="1609"/>
      <c r="CB32" s="1610"/>
      <c r="CC32" s="1610"/>
      <c r="CD32" s="1610"/>
      <c r="CE32" s="1610"/>
      <c r="CF32" s="1610"/>
      <c r="CG32" s="1611"/>
      <c r="CH32" s="1612"/>
      <c r="CI32" s="1613"/>
      <c r="CJ32" s="1613"/>
      <c r="CK32" s="1614"/>
      <c r="CL32" s="1614"/>
      <c r="CM32" s="1614"/>
      <c r="CN32" s="1614"/>
      <c r="CO32" s="1609"/>
      <c r="CP32" s="1615" t="s">
        <v>32</v>
      </c>
      <c r="CQ32" s="2013"/>
      <c r="CR32" s="2013"/>
      <c r="CS32" s="2013"/>
      <c r="CT32" s="2013"/>
      <c r="CU32" s="2013"/>
      <c r="CV32" s="2013"/>
      <c r="CW32" s="2013"/>
      <c r="CX32" s="2013"/>
      <c r="CY32" s="2014"/>
      <c r="CZ32" s="1583"/>
      <c r="DA32" s="1557"/>
      <c r="DB32" s="1557"/>
    </row>
    <row r="33" spans="5:106" ht="45.75" customHeight="1" thickBot="1" x14ac:dyDescent="0.5">
      <c r="E33" s="85"/>
      <c r="F33" s="85"/>
      <c r="G33" s="85"/>
      <c r="H33" s="243"/>
      <c r="I33" s="243"/>
      <c r="J33" s="243"/>
      <c r="K33" s="243"/>
      <c r="L33" s="243"/>
      <c r="M33" s="243"/>
      <c r="N33" s="243"/>
      <c r="O33" s="243"/>
      <c r="P33" s="243"/>
      <c r="Q33" s="243"/>
      <c r="R33" s="243"/>
      <c r="S33" s="243"/>
      <c r="T33" s="243"/>
      <c r="U33" s="243"/>
      <c r="V33" s="243"/>
      <c r="W33" s="243"/>
      <c r="X33" s="243"/>
      <c r="Y33" s="243"/>
      <c r="Z33" s="243"/>
      <c r="AA33" s="243"/>
      <c r="AB33" s="243"/>
      <c r="AC33" s="243"/>
      <c r="AD33" s="243"/>
      <c r="AE33" s="243"/>
      <c r="AF33" s="243"/>
      <c r="AG33" s="243"/>
      <c r="AH33" s="243"/>
      <c r="AI33" s="243"/>
      <c r="AJ33" s="243"/>
      <c r="AK33" s="243"/>
      <c r="AL33" s="243"/>
      <c r="AM33" s="243"/>
      <c r="AN33" s="243"/>
      <c r="AO33" s="243"/>
      <c r="AP33" s="243"/>
      <c r="AQ33" s="243"/>
      <c r="AR33" s="243"/>
      <c r="AS33" s="243"/>
      <c r="AT33" s="243"/>
      <c r="AU33" s="243"/>
      <c r="AV33" s="243"/>
      <c r="AW33" s="243"/>
      <c r="AX33" s="243"/>
      <c r="AY33" s="243"/>
      <c r="AZ33" s="243"/>
      <c r="BA33" s="243"/>
      <c r="BB33" s="243"/>
      <c r="BC33" s="14"/>
      <c r="BG33" s="4"/>
      <c r="BH33" s="4"/>
      <c r="BK33" s="1550" t="b">
        <f>AND(BM33&gt;=10,$BA$110&gt;=10,$BB$110&gt;=10)</f>
        <v>1</v>
      </c>
      <c r="BL33" s="1570" t="str">
        <f>IF(BK33=TRUE,"O K","OVERLOAD")</f>
        <v>O K</v>
      </c>
      <c r="BM33" s="1616">
        <f>+$D$20/(MAX(BZ33,CO33))</f>
        <v>40.682810523909701</v>
      </c>
      <c r="BN33" s="1617" t="s">
        <v>230</v>
      </c>
      <c r="BO33" s="2018"/>
      <c r="BP33" s="2015"/>
      <c r="BQ33" s="2015"/>
      <c r="BR33" s="2015"/>
      <c r="BS33" s="2015"/>
      <c r="BT33" s="2015"/>
      <c r="BU33" s="2015"/>
      <c r="BV33" s="2015"/>
      <c r="BW33" s="2015"/>
      <c r="BX33" s="2015"/>
      <c r="BY33" s="2015"/>
      <c r="BZ33" s="2022">
        <f>+((D2-D3)/D2)*C7</f>
        <v>196.64324801990557</v>
      </c>
      <c r="CA33" s="2023"/>
      <c r="CB33" s="1618"/>
      <c r="CC33" s="1618"/>
      <c r="CD33" s="1618"/>
      <c r="CE33" s="1618"/>
      <c r="CF33" s="1618"/>
      <c r="CG33" s="1619"/>
      <c r="CH33" s="1620"/>
      <c r="CI33" s="1621"/>
      <c r="CJ33" s="1621"/>
      <c r="CK33" s="1622"/>
      <c r="CL33" s="1622"/>
      <c r="CM33" s="1622"/>
      <c r="CN33" s="1622"/>
      <c r="CO33" s="2024">
        <f>+(D3/D2)*C7</f>
        <v>38.856751980094415</v>
      </c>
      <c r="CP33" s="2025"/>
      <c r="CQ33" s="2015"/>
      <c r="CR33" s="2015"/>
      <c r="CS33" s="2015"/>
      <c r="CT33" s="2015"/>
      <c r="CU33" s="2015"/>
      <c r="CV33" s="2015"/>
      <c r="CW33" s="2015"/>
      <c r="CX33" s="2015"/>
      <c r="CY33" s="2016"/>
      <c r="CZ33" s="1583"/>
      <c r="DA33" s="1557"/>
      <c r="DB33" s="1557"/>
    </row>
    <row r="34" spans="5:106" ht="14.25" customHeight="1" thickBot="1" x14ac:dyDescent="0.45">
      <c r="E34" s="85"/>
      <c r="F34" s="85"/>
      <c r="G34" s="85"/>
      <c r="H34" s="243"/>
      <c r="I34" s="243"/>
      <c r="J34" s="243"/>
      <c r="K34" s="243"/>
      <c r="L34" s="243"/>
      <c r="M34" s="243"/>
      <c r="N34" s="243"/>
      <c r="O34" s="243"/>
      <c r="P34" s="243"/>
      <c r="Q34" s="243"/>
      <c r="R34" s="243"/>
      <c r="S34" s="243"/>
      <c r="T34" s="243"/>
      <c r="U34" s="243"/>
      <c r="V34" s="243"/>
      <c r="W34" s="243"/>
      <c r="X34" s="243"/>
      <c r="Y34" s="243"/>
      <c r="Z34" s="243"/>
      <c r="AA34" s="243"/>
      <c r="AB34" s="243"/>
      <c r="AC34" s="243"/>
      <c r="AD34" s="243"/>
      <c r="AE34" s="243"/>
      <c r="AF34" s="243"/>
      <c r="AG34" s="243"/>
      <c r="AH34" s="243"/>
      <c r="AI34" s="243"/>
      <c r="AJ34" s="243"/>
      <c r="AK34" s="243"/>
      <c r="AL34" s="243"/>
      <c r="AM34" s="243"/>
      <c r="AN34" s="243"/>
      <c r="AO34" s="243"/>
      <c r="AP34" s="243"/>
      <c r="AQ34" s="243"/>
      <c r="AR34" s="243"/>
      <c r="AS34" s="243"/>
      <c r="AT34" s="243"/>
      <c r="AU34" s="243"/>
      <c r="AV34" s="243"/>
      <c r="AW34" s="243"/>
      <c r="AX34" s="243"/>
      <c r="AY34" s="243"/>
      <c r="AZ34" s="243"/>
      <c r="BA34" s="243"/>
      <c r="BB34" s="243"/>
      <c r="BC34" s="14"/>
      <c r="BG34" s="4"/>
      <c r="BH34" s="4"/>
      <c r="BL34" s="1577"/>
      <c r="BM34" s="1601"/>
      <c r="BN34" s="1602"/>
      <c r="BO34" s="1602"/>
      <c r="BP34" s="1602"/>
      <c r="BQ34" s="1602"/>
      <c r="BR34" s="1602"/>
      <c r="BS34" s="1602"/>
      <c r="BT34" s="1602"/>
      <c r="BU34" s="1602"/>
      <c r="BV34" s="1602"/>
      <c r="BW34" s="1603"/>
      <c r="BX34" s="1603"/>
      <c r="BY34" s="1604"/>
      <c r="BZ34" s="1604"/>
      <c r="CA34" s="1604"/>
      <c r="CB34" s="1604"/>
      <c r="CC34" s="1604"/>
      <c r="CD34" s="1604"/>
      <c r="CE34" s="1604"/>
      <c r="CF34" s="1604"/>
      <c r="CG34" s="1604"/>
      <c r="CH34" s="1604"/>
      <c r="CI34" s="1602"/>
      <c r="CJ34" s="1604"/>
      <c r="CK34" s="1604"/>
      <c r="CL34" s="1605"/>
      <c r="CM34" s="1606"/>
      <c r="CN34" s="1606"/>
      <c r="CO34" s="1606"/>
      <c r="CP34" s="1606"/>
      <c r="CQ34" s="1600"/>
      <c r="CR34" s="1600"/>
      <c r="CS34" s="1600"/>
      <c r="CT34" s="1600"/>
      <c r="CU34" s="1600"/>
      <c r="CV34" s="1600"/>
      <c r="CW34" s="1600"/>
      <c r="CX34" s="1600"/>
      <c r="CY34" s="1600"/>
      <c r="CZ34" s="1600"/>
      <c r="DA34" s="1557"/>
      <c r="DB34" s="1557"/>
    </row>
    <row r="35" spans="5:106" ht="26.25" hidden="1" customHeight="1" x14ac:dyDescent="0.3">
      <c r="E35" s="85"/>
      <c r="F35" s="85"/>
      <c r="G35" s="85"/>
      <c r="H35" s="243"/>
      <c r="I35" s="243"/>
      <c r="J35" s="243"/>
      <c r="K35" s="243"/>
      <c r="L35" s="243"/>
      <c r="M35" s="243"/>
      <c r="N35" s="243"/>
      <c r="O35" s="243"/>
      <c r="P35" s="243"/>
      <c r="Q35" s="243"/>
      <c r="R35" s="243"/>
      <c r="S35" s="243"/>
      <c r="T35" s="243"/>
      <c r="U35" s="243"/>
      <c r="V35" s="243"/>
      <c r="W35" s="243"/>
      <c r="X35" s="243"/>
      <c r="Y35" s="243"/>
      <c r="Z35" s="243"/>
      <c r="AA35" s="243"/>
      <c r="AB35" s="243"/>
      <c r="AC35" s="243"/>
      <c r="AD35" s="243"/>
      <c r="AE35" s="243"/>
      <c r="AF35" s="243"/>
      <c r="AG35" s="243"/>
      <c r="AH35" s="243"/>
      <c r="AI35" s="243"/>
      <c r="AJ35" s="243"/>
      <c r="AK35" s="243"/>
      <c r="AL35" s="243"/>
      <c r="AM35" s="243"/>
      <c r="AN35" s="243"/>
      <c r="AO35" s="243"/>
      <c r="AP35" s="243"/>
      <c r="AQ35" s="243"/>
      <c r="AR35" s="243"/>
      <c r="AS35" s="243"/>
      <c r="AT35" s="243"/>
      <c r="AU35" s="243"/>
      <c r="AV35" s="243"/>
      <c r="AW35" s="243"/>
      <c r="AX35" s="243"/>
      <c r="AY35" s="243"/>
      <c r="AZ35" s="243"/>
      <c r="BA35" s="243"/>
      <c r="BB35" s="243"/>
      <c r="BC35" s="14"/>
      <c r="BG35" s="4"/>
      <c r="BH35" s="4"/>
      <c r="BL35" s="1577"/>
    </row>
    <row r="36" spans="5:106" ht="26.25" hidden="1" customHeight="1" x14ac:dyDescent="0.3">
      <c r="E36" s="85"/>
      <c r="F36" s="85"/>
      <c r="G36" s="85"/>
      <c r="H36" s="243"/>
      <c r="I36" s="243"/>
      <c r="J36" s="243"/>
      <c r="K36" s="243"/>
      <c r="L36" s="243"/>
      <c r="M36" s="243"/>
      <c r="N36" s="243"/>
      <c r="O36" s="243"/>
      <c r="P36" s="243"/>
      <c r="Q36" s="243"/>
      <c r="R36" s="243"/>
      <c r="S36" s="243"/>
      <c r="T36" s="243"/>
      <c r="U36" s="243"/>
      <c r="V36" s="243"/>
      <c r="W36" s="243"/>
      <c r="X36" s="243"/>
      <c r="Y36" s="243"/>
      <c r="Z36" s="243"/>
      <c r="AA36" s="243"/>
      <c r="AB36" s="243"/>
      <c r="AC36" s="243"/>
      <c r="AD36" s="243"/>
      <c r="AE36" s="243"/>
      <c r="AF36" s="243"/>
      <c r="AG36" s="243"/>
      <c r="AH36" s="243"/>
      <c r="AI36" s="243"/>
      <c r="AJ36" s="243"/>
      <c r="AK36" s="243"/>
      <c r="AL36" s="243"/>
      <c r="AM36" s="243"/>
      <c r="AN36" s="243"/>
      <c r="AO36" s="243"/>
      <c r="AP36" s="243"/>
      <c r="AQ36" s="243"/>
      <c r="AR36" s="243"/>
      <c r="AS36" s="243"/>
      <c r="AT36" s="243"/>
      <c r="AU36" s="243"/>
      <c r="AV36" s="243"/>
      <c r="AW36" s="243"/>
      <c r="AX36" s="243"/>
      <c r="AY36" s="243"/>
      <c r="AZ36" s="243"/>
      <c r="BA36" s="243"/>
      <c r="BB36" s="243"/>
      <c r="BC36" s="14"/>
      <c r="BG36" s="4"/>
      <c r="BH36" s="4"/>
      <c r="BL36" s="1577"/>
    </row>
    <row r="37" spans="5:106" ht="26.25" hidden="1" customHeight="1" x14ac:dyDescent="0.4">
      <c r="E37" s="85"/>
      <c r="F37" s="85"/>
      <c r="G37" s="85"/>
      <c r="H37" s="243"/>
      <c r="I37" s="243"/>
      <c r="J37" s="243"/>
      <c r="K37" s="243"/>
      <c r="L37" s="243"/>
      <c r="M37" s="243"/>
      <c r="N37" s="243"/>
      <c r="O37" s="243"/>
      <c r="P37" s="243"/>
      <c r="Q37" s="243"/>
      <c r="R37" s="243"/>
      <c r="S37" s="243"/>
      <c r="T37" s="243"/>
      <c r="U37" s="243"/>
      <c r="V37" s="243"/>
      <c r="W37" s="243"/>
      <c r="X37" s="243"/>
      <c r="Y37" s="243"/>
      <c r="Z37" s="243"/>
      <c r="AA37" s="243"/>
      <c r="AB37" s="243"/>
      <c r="AC37" s="243"/>
      <c r="AD37" s="243"/>
      <c r="AE37" s="243"/>
      <c r="AF37" s="243"/>
      <c r="AG37" s="243"/>
      <c r="AH37" s="243"/>
      <c r="AI37" s="243"/>
      <c r="AJ37" s="243"/>
      <c r="AK37" s="243"/>
      <c r="AL37" s="243"/>
      <c r="AM37" s="243"/>
      <c r="AN37" s="243"/>
      <c r="AO37" s="243"/>
      <c r="AP37" s="243"/>
      <c r="AQ37" s="243"/>
      <c r="AR37" s="243"/>
      <c r="AS37" s="243"/>
      <c r="AT37" s="243"/>
      <c r="AU37" s="243"/>
      <c r="AV37" s="243"/>
      <c r="AW37" s="243"/>
      <c r="AX37" s="243"/>
      <c r="AY37" s="243"/>
      <c r="AZ37" s="243"/>
      <c r="BA37" s="243"/>
      <c r="BB37" s="243"/>
      <c r="BC37" s="14"/>
      <c r="BG37" s="4"/>
      <c r="BH37" s="4"/>
      <c r="BL37" s="1577"/>
      <c r="BM37" s="1624"/>
      <c r="BN37" s="1625"/>
      <c r="BO37" s="1626"/>
      <c r="BP37" s="1626"/>
      <c r="BQ37" s="1626"/>
      <c r="BR37" s="1626"/>
      <c r="BS37" s="1626"/>
      <c r="BT37" s="1626"/>
      <c r="BU37" s="1626"/>
      <c r="BV37" s="1626"/>
      <c r="BW37" s="1627"/>
      <c r="BX37" s="1627"/>
      <c r="BY37" s="1628"/>
      <c r="BZ37" s="1628"/>
      <c r="CA37" s="1628"/>
      <c r="CB37" s="1628"/>
      <c r="CC37" s="1628"/>
      <c r="CD37" s="1628"/>
      <c r="CE37" s="1628"/>
      <c r="CF37" s="1628"/>
      <c r="CG37" s="1605"/>
      <c r="CH37" s="1604"/>
      <c r="CI37" s="1629"/>
      <c r="CJ37" s="1629"/>
      <c r="CK37" s="1583"/>
      <c r="CL37" s="1583"/>
      <c r="CM37" s="1583"/>
      <c r="CN37" s="1583"/>
      <c r="CO37" s="1583"/>
      <c r="CP37" s="1583"/>
      <c r="CQ37" s="1583"/>
      <c r="CR37" s="1583"/>
      <c r="CS37" s="1583"/>
      <c r="CT37" s="1583"/>
      <c r="CU37" s="1626"/>
      <c r="CV37" s="1626"/>
      <c r="CW37" s="1626"/>
      <c r="CX37" s="1626"/>
      <c r="CY37" s="1626"/>
      <c r="CZ37" s="1630"/>
      <c r="DA37" s="1626"/>
      <c r="DB37" s="1626"/>
    </row>
    <row r="38" spans="5:106" ht="26.25" hidden="1" customHeight="1" thickBot="1" x14ac:dyDescent="0.45">
      <c r="E38" s="85"/>
      <c r="F38" s="85"/>
      <c r="G38" s="85"/>
      <c r="H38" s="243"/>
      <c r="I38" s="243"/>
      <c r="J38" s="243"/>
      <c r="K38" s="243"/>
      <c r="L38" s="243"/>
      <c r="M38" s="243"/>
      <c r="N38" s="243"/>
      <c r="O38" s="243"/>
      <c r="P38" s="243"/>
      <c r="Q38" s="243"/>
      <c r="R38" s="243"/>
      <c r="S38" s="243"/>
      <c r="T38" s="243"/>
      <c r="U38" s="243"/>
      <c r="V38" s="243"/>
      <c r="W38" s="243"/>
      <c r="X38" s="243"/>
      <c r="Y38" s="243"/>
      <c r="Z38" s="243"/>
      <c r="AA38" s="243"/>
      <c r="AB38" s="243"/>
      <c r="AC38" s="243"/>
      <c r="AD38" s="243"/>
      <c r="AE38" s="243"/>
      <c r="AF38" s="243"/>
      <c r="AG38" s="243"/>
      <c r="AH38" s="243"/>
      <c r="AI38" s="243"/>
      <c r="AJ38" s="243"/>
      <c r="AK38" s="243"/>
      <c r="AL38" s="243"/>
      <c r="AM38" s="243"/>
      <c r="AN38" s="243"/>
      <c r="AO38" s="243"/>
      <c r="AP38" s="243"/>
      <c r="AQ38" s="243"/>
      <c r="AR38" s="243"/>
      <c r="AS38" s="243"/>
      <c r="AT38" s="243"/>
      <c r="AU38" s="243"/>
      <c r="AV38" s="243"/>
      <c r="AW38" s="243"/>
      <c r="AX38" s="243"/>
      <c r="AY38" s="243"/>
      <c r="AZ38" s="243"/>
      <c r="BA38" s="243"/>
      <c r="BB38" s="243"/>
      <c r="BC38" s="14"/>
      <c r="BG38" s="4"/>
      <c r="BH38" s="4"/>
      <c r="BL38" s="1577"/>
      <c r="BM38" s="1624"/>
      <c r="BN38" s="1625"/>
      <c r="BO38" s="1626"/>
      <c r="BP38" s="1626"/>
      <c r="BQ38" s="1626"/>
      <c r="BR38" s="1626"/>
      <c r="BS38" s="1626"/>
      <c r="BT38" s="1626"/>
      <c r="BU38" s="1626"/>
      <c r="BV38" s="1626"/>
      <c r="BW38" s="1627"/>
      <c r="BX38" s="1627"/>
      <c r="BY38" s="1628"/>
      <c r="BZ38" s="1628"/>
      <c r="CA38" s="1628"/>
      <c r="CB38" s="1628"/>
      <c r="CC38" s="1628"/>
      <c r="CD38" s="1628"/>
      <c r="CE38" s="1628"/>
      <c r="CF38" s="1628"/>
      <c r="CG38" s="1605"/>
      <c r="CH38" s="1604"/>
      <c r="CI38" s="1629"/>
      <c r="CJ38" s="1629"/>
      <c r="CK38" s="1583"/>
      <c r="CL38" s="1583"/>
      <c r="CM38" s="1583"/>
      <c r="CN38" s="1583"/>
      <c r="CO38" s="1583"/>
      <c r="CP38" s="1583"/>
      <c r="CQ38" s="1583"/>
      <c r="CR38" s="1583"/>
      <c r="CS38" s="1583"/>
      <c r="CT38" s="1583"/>
      <c r="CU38" s="1626"/>
      <c r="CV38" s="1626"/>
      <c r="CW38" s="1626"/>
      <c r="CX38" s="1626"/>
      <c r="CY38" s="1626"/>
      <c r="CZ38" s="1626"/>
      <c r="DA38" s="1626"/>
      <c r="DB38" s="1626"/>
    </row>
    <row r="39" spans="5:106" ht="26.25" hidden="1" customHeight="1" thickBot="1" x14ac:dyDescent="0.45">
      <c r="E39" s="85"/>
      <c r="F39" s="85"/>
      <c r="G39" s="85"/>
      <c r="H39" s="243"/>
      <c r="I39" s="243"/>
      <c r="J39" s="243"/>
      <c r="K39" s="243"/>
      <c r="L39" s="243"/>
      <c r="M39" s="243"/>
      <c r="N39" s="243"/>
      <c r="O39" s="243"/>
      <c r="P39" s="243"/>
      <c r="Q39" s="243"/>
      <c r="R39" s="243"/>
      <c r="S39" s="243"/>
      <c r="T39" s="243"/>
      <c r="U39" s="243"/>
      <c r="V39" s="243"/>
      <c r="W39" s="243"/>
      <c r="X39" s="243"/>
      <c r="Y39" s="243"/>
      <c r="Z39" s="243"/>
      <c r="AA39" s="243"/>
      <c r="AB39" s="243"/>
      <c r="AC39" s="243"/>
      <c r="AD39" s="243"/>
      <c r="AE39" s="243"/>
      <c r="AF39" s="243"/>
      <c r="AG39" s="243"/>
      <c r="AH39" s="243"/>
      <c r="AI39" s="243"/>
      <c r="AJ39" s="243"/>
      <c r="AK39" s="243"/>
      <c r="AL39" s="243"/>
      <c r="AM39" s="243"/>
      <c r="AN39" s="243"/>
      <c r="AO39" s="243"/>
      <c r="AP39" s="243"/>
      <c r="AQ39" s="243"/>
      <c r="AR39" s="243"/>
      <c r="AS39" s="243"/>
      <c r="AT39" s="243"/>
      <c r="AU39" s="243"/>
      <c r="AV39" s="243"/>
      <c r="AW39" s="243"/>
      <c r="AX39" s="243"/>
      <c r="AY39" s="243"/>
      <c r="AZ39" s="243"/>
      <c r="BA39" s="243"/>
      <c r="BB39" s="243"/>
      <c r="BC39" s="14"/>
      <c r="BG39" s="4"/>
      <c r="BH39" s="4"/>
      <c r="BL39" s="1577"/>
      <c r="BM39" s="1624"/>
      <c r="BN39" s="1625"/>
      <c r="BO39" s="1626"/>
      <c r="BP39" s="1626"/>
      <c r="BQ39" s="1626"/>
      <c r="BR39" s="1626"/>
      <c r="BS39" s="1626"/>
      <c r="BT39" s="1626"/>
      <c r="BU39" s="1626"/>
      <c r="BV39" s="1626"/>
      <c r="BW39" s="1627"/>
      <c r="BX39" s="1627"/>
      <c r="BY39" s="1631">
        <v>16</v>
      </c>
      <c r="BZ39" s="1628"/>
      <c r="CA39" s="1628"/>
      <c r="CB39" s="1628"/>
      <c r="CC39" s="1628"/>
      <c r="CD39" s="1628"/>
      <c r="CE39" s="1628"/>
      <c r="CF39" s="1628"/>
      <c r="CG39" s="1605"/>
      <c r="CH39" s="1604"/>
      <c r="CI39" s="1629"/>
      <c r="CJ39" s="1629"/>
      <c r="CK39" s="1583"/>
      <c r="CL39" s="1583"/>
      <c r="CM39" s="1583"/>
      <c r="CN39" s="1632" t="b">
        <f>IF(CO57=27,15)</f>
        <v>0</v>
      </c>
      <c r="CO39" s="1633"/>
      <c r="CP39" s="1634" t="b">
        <f>IF(CO57=27,17)</f>
        <v>0</v>
      </c>
      <c r="CQ39" s="1583"/>
      <c r="CR39" s="1583"/>
      <c r="CS39" s="1583"/>
      <c r="CT39" s="1583"/>
      <c r="CU39" s="1626"/>
      <c r="CV39" s="1626"/>
      <c r="CW39" s="1626"/>
      <c r="CX39" s="1626"/>
      <c r="CY39" s="1626"/>
      <c r="CZ39" s="1626"/>
      <c r="DA39" s="1626"/>
      <c r="DB39" s="1626"/>
    </row>
    <row r="40" spans="5:106" ht="26.25" hidden="1" customHeight="1" thickBot="1" x14ac:dyDescent="0.45">
      <c r="E40" s="85"/>
      <c r="F40" s="85"/>
      <c r="G40" s="85"/>
      <c r="H40" s="243"/>
      <c r="I40" s="243"/>
      <c r="J40" s="243"/>
      <c r="K40" s="243"/>
      <c r="L40" s="243"/>
      <c r="M40" s="243"/>
      <c r="N40" s="243"/>
      <c r="O40" s="243"/>
      <c r="P40" s="243"/>
      <c r="Q40" s="243"/>
      <c r="R40" s="243"/>
      <c r="S40" s="243"/>
      <c r="T40" s="243"/>
      <c r="U40" s="243"/>
      <c r="V40" s="243"/>
      <c r="W40" s="243"/>
      <c r="X40" s="243"/>
      <c r="Y40" s="243"/>
      <c r="Z40" s="243"/>
      <c r="AA40" s="243"/>
      <c r="AB40" s="243"/>
      <c r="AC40" s="243"/>
      <c r="AD40" s="243"/>
      <c r="AE40" s="243"/>
      <c r="AF40" s="243"/>
      <c r="AG40" s="243"/>
      <c r="AH40" s="243"/>
      <c r="AI40" s="243"/>
      <c r="AJ40" s="243"/>
      <c r="AK40" s="243"/>
      <c r="AL40" s="243"/>
      <c r="AM40" s="243"/>
      <c r="AN40" s="243"/>
      <c r="AO40" s="243"/>
      <c r="AP40" s="243"/>
      <c r="AQ40" s="243"/>
      <c r="AR40" s="243"/>
      <c r="AS40" s="243"/>
      <c r="AT40" s="243"/>
      <c r="AU40" s="243"/>
      <c r="AV40" s="243"/>
      <c r="AW40" s="243"/>
      <c r="AX40" s="243"/>
      <c r="AY40" s="243"/>
      <c r="AZ40" s="243"/>
      <c r="BA40" s="243"/>
      <c r="BB40" s="243"/>
      <c r="BC40" s="14"/>
      <c r="BG40" s="4"/>
      <c r="BH40" s="4"/>
      <c r="BL40" s="1577"/>
      <c r="BM40" s="1624"/>
      <c r="BN40" s="1625"/>
      <c r="BO40" s="1626"/>
      <c r="BP40" s="1626"/>
      <c r="BQ40" s="1626"/>
      <c r="BR40" s="1626"/>
      <c r="BS40" s="1626"/>
      <c r="BT40" s="1626"/>
      <c r="BU40" s="1626"/>
      <c r="BV40" s="1626"/>
      <c r="BW40" s="1627"/>
      <c r="BX40" s="1627"/>
      <c r="BY40" s="1631">
        <v>15</v>
      </c>
      <c r="BZ40" s="1628"/>
      <c r="CA40" s="1628"/>
      <c r="CB40" s="1628"/>
      <c r="CC40" s="1628"/>
      <c r="CD40" s="1628"/>
      <c r="CE40" s="1628"/>
      <c r="CF40" s="1628"/>
      <c r="CG40" s="1605"/>
      <c r="CH40" s="1604"/>
      <c r="CI40" s="1629"/>
      <c r="CJ40" s="1629"/>
      <c r="CK40" s="1583"/>
      <c r="CL40" s="1632" t="b">
        <f>IF(CN57=26,13)</f>
        <v>0</v>
      </c>
      <c r="CM40" s="1633"/>
      <c r="CN40" s="1633"/>
      <c r="CO40" s="1633"/>
      <c r="CP40" s="1634" t="b">
        <f>IF(CN57=26,17)</f>
        <v>0</v>
      </c>
      <c r="CQ40" s="1583"/>
      <c r="CR40" s="1583"/>
      <c r="CS40" s="1583"/>
      <c r="CT40" s="1583"/>
      <c r="CU40" s="1626"/>
      <c r="CV40" s="1626"/>
      <c r="CW40" s="1626"/>
      <c r="CX40" s="1626"/>
      <c r="CY40" s="1626"/>
      <c r="CZ40" s="1626"/>
      <c r="DA40" s="1626"/>
      <c r="DB40" s="1626"/>
    </row>
    <row r="41" spans="5:106" ht="26.25" hidden="1" customHeight="1" thickBot="1" x14ac:dyDescent="0.45">
      <c r="E41" s="85"/>
      <c r="F41" s="85"/>
      <c r="G41" s="85"/>
      <c r="H41" s="243"/>
      <c r="I41" s="243"/>
      <c r="J41" s="243"/>
      <c r="K41" s="243"/>
      <c r="L41" s="243"/>
      <c r="M41" s="243"/>
      <c r="N41" s="243"/>
      <c r="O41" s="243"/>
      <c r="P41" s="243"/>
      <c r="Q41" s="243"/>
      <c r="R41" s="243"/>
      <c r="S41" s="243"/>
      <c r="T41" s="243"/>
      <c r="U41" s="243"/>
      <c r="V41" s="243"/>
      <c r="W41" s="243"/>
      <c r="X41" s="243"/>
      <c r="Y41" s="243"/>
      <c r="Z41" s="243"/>
      <c r="AA41" s="243"/>
      <c r="AB41" s="243"/>
      <c r="AC41" s="243"/>
      <c r="AD41" s="243"/>
      <c r="AE41" s="243"/>
      <c r="AF41" s="243"/>
      <c r="AG41" s="243"/>
      <c r="AH41" s="243"/>
      <c r="AI41" s="243"/>
      <c r="AJ41" s="243"/>
      <c r="AK41" s="243"/>
      <c r="AL41" s="243"/>
      <c r="AM41" s="243"/>
      <c r="AN41" s="243"/>
      <c r="AO41" s="243"/>
      <c r="AP41" s="243"/>
      <c r="AQ41" s="243"/>
      <c r="AR41" s="243"/>
      <c r="AS41" s="243"/>
      <c r="AT41" s="243"/>
      <c r="AU41" s="243"/>
      <c r="AV41" s="243"/>
      <c r="AW41" s="243"/>
      <c r="AX41" s="243"/>
      <c r="AY41" s="243"/>
      <c r="AZ41" s="243"/>
      <c r="BA41" s="243"/>
      <c r="BB41" s="243"/>
      <c r="BC41" s="14"/>
      <c r="BG41" s="4"/>
      <c r="BH41" s="4"/>
      <c r="BL41" s="1577"/>
      <c r="BM41" s="1624"/>
      <c r="BN41" s="1625"/>
      <c r="BO41" s="1626"/>
      <c r="BP41" s="1626"/>
      <c r="BQ41" s="1626"/>
      <c r="BR41" s="1626"/>
      <c r="BS41" s="1626"/>
      <c r="BT41" s="1626"/>
      <c r="BU41" s="1626"/>
      <c r="BV41" s="1626"/>
      <c r="BW41" s="1627"/>
      <c r="BX41" s="1627"/>
      <c r="BY41" s="1631">
        <v>14</v>
      </c>
      <c r="BZ41" s="1628"/>
      <c r="CA41" s="1628"/>
      <c r="CB41" s="1628"/>
      <c r="CC41" s="1628"/>
      <c r="CD41" s="1628"/>
      <c r="CE41" s="1628"/>
      <c r="CF41" s="1628"/>
      <c r="CG41" s="1605"/>
      <c r="CH41" s="1604"/>
      <c r="CI41" s="1629"/>
      <c r="CJ41" s="1632" t="b">
        <f>IF(CM57=25,11)</f>
        <v>0</v>
      </c>
      <c r="CK41" s="1633"/>
      <c r="CL41" s="1635"/>
      <c r="CM41" s="1635"/>
      <c r="CN41" s="1635"/>
      <c r="CO41" s="1635"/>
      <c r="CP41" s="1636" t="b">
        <f>IF(CM57=25,17)</f>
        <v>0</v>
      </c>
      <c r="CQ41" s="1583"/>
      <c r="CR41" s="1583"/>
      <c r="CS41" s="1583"/>
      <c r="CT41" s="1583"/>
      <c r="CU41" s="1626"/>
      <c r="CV41" s="1626"/>
      <c r="CW41" s="1626"/>
      <c r="CX41" s="1626"/>
      <c r="CY41" s="1626"/>
      <c r="CZ41" s="1626"/>
      <c r="DA41" s="1626"/>
      <c r="DB41" s="1626"/>
    </row>
    <row r="42" spans="5:106" ht="26.25" hidden="1" customHeight="1" thickBot="1" x14ac:dyDescent="0.45">
      <c r="E42" s="85"/>
      <c r="F42" s="85"/>
      <c r="G42" s="85"/>
      <c r="H42" s="243"/>
      <c r="I42" s="243"/>
      <c r="J42" s="243"/>
      <c r="K42" s="243"/>
      <c r="L42" s="243"/>
      <c r="M42" s="243"/>
      <c r="N42" s="243"/>
      <c r="O42" s="243"/>
      <c r="P42" s="243"/>
      <c r="Q42" s="243"/>
      <c r="R42" s="243"/>
      <c r="S42" s="243"/>
      <c r="T42" s="243"/>
      <c r="U42" s="243"/>
      <c r="V42" s="243"/>
      <c r="W42" s="243"/>
      <c r="X42" s="243"/>
      <c r="Y42" s="243"/>
      <c r="Z42" s="243"/>
      <c r="AA42" s="243"/>
      <c r="AB42" s="243"/>
      <c r="AC42" s="243"/>
      <c r="AD42" s="243"/>
      <c r="AE42" s="243"/>
      <c r="AF42" s="243"/>
      <c r="AG42" s="243"/>
      <c r="AH42" s="243"/>
      <c r="AI42" s="243"/>
      <c r="AJ42" s="243"/>
      <c r="AK42" s="243"/>
      <c r="AL42" s="243"/>
      <c r="AM42" s="243"/>
      <c r="AN42" s="243"/>
      <c r="AO42" s="243"/>
      <c r="AP42" s="243"/>
      <c r="AQ42" s="243"/>
      <c r="AR42" s="243"/>
      <c r="AS42" s="243"/>
      <c r="AT42" s="243"/>
      <c r="AU42" s="243"/>
      <c r="AV42" s="243"/>
      <c r="AW42" s="243"/>
      <c r="AX42" s="243"/>
      <c r="AY42" s="243"/>
      <c r="AZ42" s="243"/>
      <c r="BA42" s="243"/>
      <c r="BB42" s="243"/>
      <c r="BC42" s="14"/>
      <c r="BG42" s="4"/>
      <c r="BH42" s="4"/>
      <c r="BL42" s="1577"/>
      <c r="BM42" s="1623"/>
      <c r="BN42" s="1625"/>
      <c r="BO42" s="1626"/>
      <c r="BP42" s="1626"/>
      <c r="BQ42" s="1626"/>
      <c r="BR42" s="1626"/>
      <c r="BS42" s="1626"/>
      <c r="BT42" s="1626"/>
      <c r="BU42" s="1626"/>
      <c r="BV42" s="1626"/>
      <c r="BY42" s="1631">
        <v>13</v>
      </c>
      <c r="BZ42" s="1626"/>
      <c r="CA42" s="1625"/>
      <c r="CB42" s="1625"/>
      <c r="CC42" s="1625"/>
      <c r="CD42" s="1625"/>
      <c r="CE42" s="1625"/>
      <c r="CF42" s="1625"/>
      <c r="CG42" s="1625"/>
      <c r="CH42" s="1632" t="b">
        <f>IF(CL57=24,9)</f>
        <v>0</v>
      </c>
      <c r="CI42" s="1637"/>
      <c r="CJ42" s="1638"/>
      <c r="CK42" s="1639"/>
      <c r="CL42" s="1638"/>
      <c r="CM42" s="1639"/>
      <c r="CN42" s="1639"/>
      <c r="CO42" s="1640"/>
      <c r="CP42" s="1636" t="b">
        <f>IF(CL57=24,17)</f>
        <v>0</v>
      </c>
      <c r="CQ42" s="1557"/>
      <c r="CR42" s="1557"/>
      <c r="CS42" s="1557"/>
      <c r="CT42" s="1557"/>
      <c r="CU42" s="1557"/>
      <c r="CV42" s="1557"/>
      <c r="CW42" s="1557"/>
      <c r="CX42" s="1557"/>
      <c r="CY42" s="1557"/>
      <c r="CZ42" s="1557"/>
      <c r="DA42" s="1557"/>
      <c r="DB42" s="1557"/>
    </row>
    <row r="43" spans="5:106" ht="26.25" hidden="1" customHeight="1" thickBot="1" x14ac:dyDescent="0.45">
      <c r="E43" s="85"/>
      <c r="F43" s="85"/>
      <c r="G43" s="85"/>
      <c r="H43" s="243"/>
      <c r="I43" s="243"/>
      <c r="J43" s="243"/>
      <c r="K43" s="243"/>
      <c r="L43" s="243"/>
      <c r="M43" s="243"/>
      <c r="N43" s="243"/>
      <c r="O43" s="243"/>
      <c r="P43" s="243"/>
      <c r="Q43" s="243"/>
      <c r="R43" s="243"/>
      <c r="S43" s="243"/>
      <c r="T43" s="243"/>
      <c r="U43" s="243"/>
      <c r="V43" s="243"/>
      <c r="W43" s="243"/>
      <c r="X43" s="243"/>
      <c r="Y43" s="243"/>
      <c r="Z43" s="243"/>
      <c r="AA43" s="243"/>
      <c r="AB43" s="243"/>
      <c r="AC43" s="243"/>
      <c r="AD43" s="243"/>
      <c r="AE43" s="243"/>
      <c r="AF43" s="243"/>
      <c r="AG43" s="243"/>
      <c r="AH43" s="243"/>
      <c r="AI43" s="243"/>
      <c r="AJ43" s="243"/>
      <c r="AK43" s="243"/>
      <c r="AL43" s="243"/>
      <c r="AM43" s="243"/>
      <c r="AN43" s="243"/>
      <c r="AO43" s="243"/>
      <c r="AP43" s="243"/>
      <c r="AQ43" s="243"/>
      <c r="AR43" s="243"/>
      <c r="AS43" s="243"/>
      <c r="AT43" s="243"/>
      <c r="AU43" s="243"/>
      <c r="AV43" s="243"/>
      <c r="AW43" s="243"/>
      <c r="AX43" s="243"/>
      <c r="AY43" s="243"/>
      <c r="AZ43" s="243"/>
      <c r="BA43" s="243"/>
      <c r="BB43" s="243"/>
      <c r="BC43" s="14"/>
      <c r="BG43" s="4"/>
      <c r="BH43" s="4"/>
      <c r="BL43" s="1577"/>
      <c r="BM43" s="1623"/>
      <c r="BN43" s="1625"/>
      <c r="BO43" s="1625"/>
      <c r="BP43" s="1626"/>
      <c r="BQ43" s="1625"/>
      <c r="BR43" s="1625"/>
      <c r="BS43" s="1625"/>
      <c r="BY43" s="1631">
        <v>12</v>
      </c>
      <c r="BZ43" s="1626"/>
      <c r="CA43" s="1625"/>
      <c r="CB43" s="1625"/>
      <c r="CC43" s="1625"/>
      <c r="CD43" s="1625"/>
      <c r="CE43" s="1625"/>
      <c r="CF43" s="1632" t="b">
        <f>IF(CK57=23,7)</f>
        <v>0</v>
      </c>
      <c r="CG43" s="1637"/>
      <c r="CH43" s="1637"/>
      <c r="CI43" s="1641"/>
      <c r="CJ43" s="1637"/>
      <c r="CK43" s="1637"/>
      <c r="CL43" s="1637"/>
      <c r="CM43" s="1641"/>
      <c r="CN43" s="1641"/>
      <c r="CO43" s="1642"/>
      <c r="CP43" s="1634" t="b">
        <f>IF(CK57=23,17)</f>
        <v>0</v>
      </c>
      <c r="CQ43" s="1557"/>
      <c r="CR43" s="1557"/>
      <c r="CS43" s="1557"/>
      <c r="CT43" s="1557"/>
      <c r="CU43" s="1557"/>
      <c r="CV43" s="1557"/>
      <c r="CW43" s="1557"/>
      <c r="CX43" s="1557"/>
      <c r="CY43" s="1557"/>
      <c r="CZ43" s="1557"/>
      <c r="DA43" s="1557"/>
      <c r="DB43" s="1557"/>
    </row>
    <row r="44" spans="5:106" ht="26.25" hidden="1" customHeight="1" thickBot="1" x14ac:dyDescent="0.45">
      <c r="E44" s="85"/>
      <c r="F44" s="85"/>
      <c r="G44" s="85"/>
      <c r="H44" s="243"/>
      <c r="I44" s="243"/>
      <c r="J44" s="243"/>
      <c r="K44" s="243"/>
      <c r="L44" s="243"/>
      <c r="M44" s="243"/>
      <c r="N44" s="243"/>
      <c r="O44" s="243"/>
      <c r="P44" s="243"/>
      <c r="Q44" s="243"/>
      <c r="R44" s="243"/>
      <c r="S44" s="243"/>
      <c r="T44" s="243"/>
      <c r="U44" s="243"/>
      <c r="V44" s="243"/>
      <c r="W44" s="243"/>
      <c r="X44" s="243"/>
      <c r="Y44" s="243"/>
      <c r="Z44" s="243"/>
      <c r="AA44" s="243"/>
      <c r="AB44" s="243"/>
      <c r="AC44" s="243"/>
      <c r="AD44" s="243"/>
      <c r="AE44" s="243"/>
      <c r="AF44" s="243"/>
      <c r="AG44" s="243"/>
      <c r="AH44" s="243"/>
      <c r="AI44" s="243"/>
      <c r="AJ44" s="243"/>
      <c r="AK44" s="243"/>
      <c r="AL44" s="243"/>
      <c r="AM44" s="243"/>
      <c r="AN44" s="243"/>
      <c r="AO44" s="243"/>
      <c r="AP44" s="243"/>
      <c r="AQ44" s="243"/>
      <c r="AR44" s="243"/>
      <c r="AS44" s="243"/>
      <c r="AT44" s="243"/>
      <c r="AU44" s="243"/>
      <c r="AV44" s="243"/>
      <c r="AW44" s="243"/>
      <c r="AX44" s="243"/>
      <c r="AY44" s="243"/>
      <c r="AZ44" s="243"/>
      <c r="BA44" s="243"/>
      <c r="BB44" s="243"/>
      <c r="BC44" s="14"/>
      <c r="BG44" s="4"/>
      <c r="BH44" s="4"/>
      <c r="BL44" s="1577"/>
      <c r="BM44" s="1623"/>
      <c r="BN44" s="1625"/>
      <c r="BO44" s="1625"/>
      <c r="BP44" s="1626"/>
      <c r="BQ44" s="1625"/>
      <c r="BR44" s="1625"/>
      <c r="BS44" s="1625"/>
      <c r="BY44" s="1631">
        <v>11</v>
      </c>
      <c r="BZ44" s="1626"/>
      <c r="CA44" s="1625"/>
      <c r="CB44" s="1625"/>
      <c r="CC44" s="1625"/>
      <c r="CD44" s="1632" t="b">
        <f>IF(CJ57=22,5)</f>
        <v>0</v>
      </c>
      <c r="CE44" s="1637"/>
      <c r="CF44" s="1637"/>
      <c r="CG44" s="1641"/>
      <c r="CH44" s="1637"/>
      <c r="CI44" s="1641"/>
      <c r="CJ44" s="1637"/>
      <c r="CK44" s="1641"/>
      <c r="CL44" s="1637"/>
      <c r="CM44" s="1641"/>
      <c r="CN44" s="1641"/>
      <c r="CO44" s="1642"/>
      <c r="CP44" s="1634" t="b">
        <f>IF(CJ57=22,17)</f>
        <v>0</v>
      </c>
      <c r="CQ44" s="1557"/>
      <c r="CR44" s="1557"/>
      <c r="CS44" s="1557"/>
      <c r="CT44" s="1557"/>
      <c r="CU44" s="1557"/>
      <c r="CV44" s="1557"/>
      <c r="CW44" s="1557"/>
      <c r="CX44" s="1557"/>
      <c r="CY44" s="1557"/>
      <c r="CZ44" s="1557"/>
      <c r="DA44" s="1557"/>
      <c r="DB44" s="1557"/>
    </row>
    <row r="45" spans="5:106" ht="26.25" hidden="1" customHeight="1" thickBot="1" x14ac:dyDescent="0.45">
      <c r="E45" s="85"/>
      <c r="F45" s="85"/>
      <c r="G45" s="85"/>
      <c r="H45" s="243"/>
      <c r="I45" s="243"/>
      <c r="J45" s="243"/>
      <c r="K45" s="243"/>
      <c r="L45" s="243"/>
      <c r="M45" s="243"/>
      <c r="N45" s="243"/>
      <c r="O45" s="243"/>
      <c r="P45" s="243"/>
      <c r="Q45" s="243"/>
      <c r="R45" s="243"/>
      <c r="S45" s="243"/>
      <c r="AF45" s="243"/>
      <c r="AG45" s="243"/>
      <c r="AH45" s="243"/>
      <c r="AI45" s="243"/>
      <c r="AJ45" s="243"/>
      <c r="AK45" s="243"/>
      <c r="AL45" s="243"/>
      <c r="AM45" s="243"/>
      <c r="AN45" s="243"/>
      <c r="AO45" s="243"/>
      <c r="AP45" s="243"/>
      <c r="AQ45" s="243"/>
      <c r="AR45" s="243"/>
      <c r="AS45" s="243"/>
      <c r="AT45" s="243"/>
      <c r="AU45" s="243"/>
      <c r="AV45" s="243"/>
      <c r="AW45" s="243"/>
      <c r="AX45" s="243"/>
      <c r="AY45" s="243"/>
      <c r="AZ45" s="243"/>
      <c r="BA45" s="243"/>
      <c r="BB45" s="243"/>
      <c r="BC45" s="14"/>
      <c r="BG45" s="4"/>
      <c r="BH45" s="4"/>
      <c r="BL45" s="1577"/>
      <c r="BM45" s="1623"/>
      <c r="BN45" s="1625"/>
      <c r="BO45" s="1625"/>
      <c r="BP45" s="1626"/>
      <c r="BQ45" s="1625"/>
      <c r="BR45" s="1625"/>
      <c r="BS45" s="1625"/>
      <c r="BY45" s="1631">
        <v>10</v>
      </c>
      <c r="BZ45" s="1626"/>
      <c r="CA45" s="1625"/>
      <c r="CB45" s="1632" t="b">
        <f>IF(CI57=21,3)</f>
        <v>0</v>
      </c>
      <c r="CC45" s="1637"/>
      <c r="CD45" s="1637"/>
      <c r="CE45" s="1641"/>
      <c r="CF45" s="1641"/>
      <c r="CG45" s="1641"/>
      <c r="CH45" s="1637"/>
      <c r="CI45" s="1637"/>
      <c r="CJ45" s="1637"/>
      <c r="CK45" s="1641"/>
      <c r="CL45" s="1637"/>
      <c r="CM45" s="1641"/>
      <c r="CN45" s="1641"/>
      <c r="CO45" s="1642"/>
      <c r="CP45" s="1634" t="b">
        <f>IF(CI57=21,17)</f>
        <v>0</v>
      </c>
      <c r="CQ45" s="1557"/>
      <c r="CR45" s="1557"/>
      <c r="CS45" s="1557"/>
      <c r="CT45" s="1557"/>
      <c r="CU45" s="1557"/>
      <c r="CV45" s="1557"/>
      <c r="CW45" s="1557"/>
      <c r="CX45" s="1557"/>
      <c r="CY45" s="1557"/>
      <c r="CZ45" s="1557"/>
      <c r="DA45" s="1557"/>
      <c r="DB45" s="1557"/>
    </row>
    <row r="46" spans="5:106" ht="26.25" hidden="1" customHeight="1" thickBot="1" x14ac:dyDescent="0.45">
      <c r="E46" s="85"/>
      <c r="F46" s="85"/>
      <c r="G46" s="85"/>
      <c r="H46" s="243"/>
      <c r="I46" s="243"/>
      <c r="J46" s="243"/>
      <c r="K46" s="243"/>
      <c r="L46" s="243"/>
      <c r="M46" s="243"/>
      <c r="N46" s="243"/>
      <c r="O46" s="243"/>
      <c r="P46" s="243"/>
      <c r="Q46" s="243"/>
      <c r="R46" s="243"/>
      <c r="S46" s="243"/>
      <c r="AF46" s="243"/>
      <c r="AG46" s="243"/>
      <c r="AH46" s="243"/>
      <c r="AI46" s="243"/>
      <c r="AJ46" s="243"/>
      <c r="AK46" s="243"/>
      <c r="AL46" s="243"/>
      <c r="AM46" s="243"/>
      <c r="AN46" s="243"/>
      <c r="AO46" s="243"/>
      <c r="AP46" s="243"/>
      <c r="AQ46" s="243"/>
      <c r="AR46" s="243"/>
      <c r="AS46" s="243"/>
      <c r="AT46" s="243"/>
      <c r="AU46" s="243"/>
      <c r="AV46" s="243"/>
      <c r="AW46" s="243"/>
      <c r="AX46" s="243"/>
      <c r="AY46" s="243"/>
      <c r="AZ46" s="243"/>
      <c r="BA46" s="243"/>
      <c r="BB46" s="243"/>
      <c r="BC46" s="14"/>
      <c r="BG46" s="4"/>
      <c r="BH46" s="4"/>
      <c r="BL46" s="1577"/>
      <c r="BM46" s="1623"/>
      <c r="BN46" s="1625"/>
      <c r="BO46" s="1625"/>
      <c r="BP46" s="1626"/>
      <c r="BQ46" s="1625"/>
      <c r="BR46" s="1625"/>
      <c r="BS46" s="1625"/>
      <c r="BY46" s="1631">
        <v>9</v>
      </c>
      <c r="BZ46" s="1632" t="b">
        <f>IF(CH57=20,1)</f>
        <v>0</v>
      </c>
      <c r="CA46" s="1637"/>
      <c r="CB46" s="1637"/>
      <c r="CC46" s="1641"/>
      <c r="CD46" s="1637"/>
      <c r="CE46" s="1637"/>
      <c r="CF46" s="1637"/>
      <c r="CG46" s="1637"/>
      <c r="CH46" s="1637"/>
      <c r="CI46" s="1637"/>
      <c r="CJ46" s="1637"/>
      <c r="CK46" s="1637"/>
      <c r="CL46" s="1637"/>
      <c r="CM46" s="1641"/>
      <c r="CN46" s="1641"/>
      <c r="CO46" s="1642"/>
      <c r="CP46" s="1634" t="b">
        <f>IF(CH57=20,17)</f>
        <v>0</v>
      </c>
      <c r="CQ46" s="1557"/>
      <c r="CR46" s="1557"/>
      <c r="CS46" s="1557"/>
      <c r="CT46" s="1557"/>
      <c r="CU46" s="1557"/>
      <c r="CV46" s="1557"/>
      <c r="CW46" s="1557"/>
      <c r="CX46" s="1557"/>
      <c r="CY46" s="1557"/>
      <c r="CZ46" s="1557"/>
      <c r="DA46" s="1557"/>
      <c r="DB46" s="1557"/>
    </row>
    <row r="47" spans="5:106" ht="26.25" hidden="1" customHeight="1" thickBot="1" x14ac:dyDescent="0.45">
      <c r="E47" s="85"/>
      <c r="F47" s="85"/>
      <c r="G47" s="85"/>
      <c r="H47" s="243"/>
      <c r="I47" s="243"/>
      <c r="J47" s="243"/>
      <c r="K47" s="243"/>
      <c r="L47" s="243"/>
      <c r="M47" s="243"/>
      <c r="N47" s="243"/>
      <c r="O47" s="243"/>
      <c r="P47" s="243"/>
      <c r="Q47" s="243"/>
      <c r="R47" s="243"/>
      <c r="S47" s="243"/>
      <c r="AF47" s="243"/>
      <c r="AG47" s="243"/>
      <c r="AH47" s="243"/>
      <c r="AI47" s="243"/>
      <c r="AJ47" s="243"/>
      <c r="AK47" s="243"/>
      <c r="AL47" s="243"/>
      <c r="AM47" s="243"/>
      <c r="AN47" s="243"/>
      <c r="AO47" s="243"/>
      <c r="AP47" s="243"/>
      <c r="AQ47" s="243"/>
      <c r="AR47" s="243"/>
      <c r="AS47" s="243"/>
      <c r="AT47" s="243"/>
      <c r="AU47" s="243"/>
      <c r="AV47" s="243"/>
      <c r="AW47" s="243"/>
      <c r="AX47" s="243"/>
      <c r="AY47" s="243"/>
      <c r="AZ47" s="243"/>
      <c r="BA47" s="243"/>
      <c r="BB47" s="243"/>
      <c r="BC47" s="14"/>
      <c r="BG47" s="4"/>
      <c r="BH47" s="4"/>
      <c r="BL47" s="1577"/>
      <c r="BM47" s="1623"/>
      <c r="BN47" s="1625"/>
      <c r="BO47" s="1625"/>
      <c r="BP47" s="1626"/>
      <c r="BQ47" s="1625"/>
      <c r="BR47" s="1625"/>
      <c r="BS47" s="1625"/>
      <c r="BY47" s="1631">
        <v>8</v>
      </c>
      <c r="BZ47" s="1643" t="b">
        <f>IF(CG57=19,1)</f>
        <v>0</v>
      </c>
      <c r="CA47" s="1639"/>
      <c r="CB47" s="1638"/>
      <c r="CC47" s="1638"/>
      <c r="CD47" s="1638"/>
      <c r="CE47" s="1638"/>
      <c r="CF47" s="1638"/>
      <c r="CG47" s="1638"/>
      <c r="CH47" s="1638"/>
      <c r="CI47" s="1638"/>
      <c r="CJ47" s="1638"/>
      <c r="CK47" s="1638"/>
      <c r="CL47" s="1638"/>
      <c r="CM47" s="1639"/>
      <c r="CN47" s="1636" t="b">
        <f>IF(CG57=19,15)</f>
        <v>0</v>
      </c>
      <c r="CO47" s="1557"/>
      <c r="CP47" s="1557"/>
      <c r="CQ47" s="1557"/>
      <c r="CR47" s="1557"/>
      <c r="CS47" s="1557"/>
      <c r="CT47" s="1557"/>
      <c r="CU47" s="1557"/>
      <c r="CV47" s="1557"/>
      <c r="CW47" s="1557"/>
      <c r="CX47" s="1557"/>
      <c r="CY47" s="1557"/>
      <c r="CZ47" s="1557"/>
      <c r="DA47" s="1557"/>
      <c r="DB47" s="1557"/>
    </row>
    <row r="48" spans="5:106" ht="26.25" hidden="1" customHeight="1" thickBot="1" x14ac:dyDescent="0.45">
      <c r="E48" s="85"/>
      <c r="F48" s="85"/>
      <c r="G48" s="85"/>
      <c r="H48" s="243"/>
      <c r="I48" s="243"/>
      <c r="J48" s="243"/>
      <c r="K48" s="243"/>
      <c r="L48" s="243"/>
      <c r="M48" s="243"/>
      <c r="N48" s="243"/>
      <c r="O48" s="243"/>
      <c r="P48" s="243"/>
      <c r="Q48" s="243"/>
      <c r="R48" s="243"/>
      <c r="S48" s="243"/>
      <c r="AF48" s="243"/>
      <c r="AG48" s="243"/>
      <c r="AH48" s="243"/>
      <c r="AI48" s="243"/>
      <c r="AJ48" s="243"/>
      <c r="AK48" s="243"/>
      <c r="AL48" s="243"/>
      <c r="AM48" s="243"/>
      <c r="AN48" s="243"/>
      <c r="AO48" s="243"/>
      <c r="AP48" s="243"/>
      <c r="AQ48" s="243"/>
      <c r="AR48" s="243"/>
      <c r="AS48" s="243"/>
      <c r="AT48" s="243"/>
      <c r="AU48" s="243"/>
      <c r="AV48" s="243"/>
      <c r="AW48" s="243"/>
      <c r="AX48" s="243"/>
      <c r="AY48" s="243"/>
      <c r="AZ48" s="243"/>
      <c r="BA48" s="243"/>
      <c r="BB48" s="243"/>
      <c r="BC48" s="14"/>
      <c r="BG48" s="4"/>
      <c r="BH48" s="4"/>
      <c r="BL48" s="1577"/>
      <c r="BM48" s="1623"/>
      <c r="BN48" s="1625"/>
      <c r="BO48" s="1625"/>
      <c r="BP48" s="1626"/>
      <c r="BQ48" s="1625"/>
      <c r="BR48" s="1625"/>
      <c r="BS48" s="1625"/>
      <c r="BY48" s="1631">
        <v>7</v>
      </c>
      <c r="BZ48" s="1643" t="b">
        <f>IF(CF57=18,1)</f>
        <v>0</v>
      </c>
      <c r="CA48" s="1638"/>
      <c r="CB48" s="1638"/>
      <c r="CC48" s="1638"/>
      <c r="CD48" s="1638"/>
      <c r="CE48" s="1638"/>
      <c r="CF48" s="1638"/>
      <c r="CG48" s="1638"/>
      <c r="CH48" s="1638"/>
      <c r="CI48" s="1638"/>
      <c r="CJ48" s="1638"/>
      <c r="CK48" s="1638"/>
      <c r="CL48" s="1636" t="b">
        <f>IF(CF57=18,13)</f>
        <v>0</v>
      </c>
      <c r="CM48" s="1626"/>
      <c r="CO48" s="1557"/>
      <c r="CP48" s="1557"/>
      <c r="CQ48" s="1557"/>
      <c r="CR48" s="1557"/>
      <c r="CS48" s="1557"/>
      <c r="CT48" s="1557"/>
      <c r="CU48" s="1557"/>
      <c r="CV48" s="1557"/>
      <c r="CW48" s="1557"/>
      <c r="CX48" s="1557"/>
      <c r="CY48" s="1557"/>
      <c r="CZ48" s="1557"/>
      <c r="DA48" s="1557"/>
      <c r="DB48" s="1557"/>
    </row>
    <row r="49" spans="2:106" ht="26.25" hidden="1" customHeight="1" thickBot="1" x14ac:dyDescent="0.45">
      <c r="E49" s="85"/>
      <c r="F49" s="85"/>
      <c r="G49" s="85"/>
      <c r="H49" s="243"/>
      <c r="I49" s="243"/>
      <c r="J49" s="243"/>
      <c r="K49" s="243"/>
      <c r="L49" s="243"/>
      <c r="M49" s="243"/>
      <c r="N49" s="243"/>
      <c r="O49" s="243"/>
      <c r="P49" s="243"/>
      <c r="Q49" s="243"/>
      <c r="R49" s="243"/>
      <c r="S49" s="243"/>
      <c r="AF49" s="243"/>
      <c r="AG49" s="243"/>
      <c r="AH49" s="243"/>
      <c r="AI49" s="243"/>
      <c r="AJ49" s="243"/>
      <c r="AK49" s="243"/>
      <c r="AL49" s="243"/>
      <c r="AM49" s="243"/>
      <c r="AN49" s="243"/>
      <c r="AO49" s="243"/>
      <c r="AP49" s="243"/>
      <c r="AQ49" s="243"/>
      <c r="AR49" s="243"/>
      <c r="AS49" s="243"/>
      <c r="AT49" s="243"/>
      <c r="AU49" s="243"/>
      <c r="AV49" s="243"/>
      <c r="AW49" s="243"/>
      <c r="AX49" s="243"/>
      <c r="AY49" s="243"/>
      <c r="AZ49" s="243"/>
      <c r="BA49" s="243"/>
      <c r="BB49" s="243"/>
      <c r="BC49" s="14"/>
      <c r="BG49" s="4"/>
      <c r="BH49" s="4"/>
      <c r="BL49" s="1577"/>
      <c r="BM49" s="1623"/>
      <c r="BN49" s="1625"/>
      <c r="BO49" s="1625"/>
      <c r="BP49" s="1626"/>
      <c r="BQ49" s="1625"/>
      <c r="BR49" s="1625"/>
      <c r="BS49" s="1625"/>
      <c r="BY49" s="1631">
        <v>6</v>
      </c>
      <c r="BZ49" s="1643" t="b">
        <f>IF(CE57=17,1)</f>
        <v>0</v>
      </c>
      <c r="CA49" s="1638"/>
      <c r="CB49" s="1638"/>
      <c r="CC49" s="1638"/>
      <c r="CD49" s="1638"/>
      <c r="CE49" s="1638"/>
      <c r="CF49" s="1638"/>
      <c r="CG49" s="1638"/>
      <c r="CH49" s="1638"/>
      <c r="CI49" s="1638"/>
      <c r="CJ49" s="1636" t="b">
        <f>IF(CE57=17,11)</f>
        <v>0</v>
      </c>
      <c r="CK49" s="1625"/>
      <c r="CL49" s="1625"/>
      <c r="CM49" s="1626"/>
      <c r="CO49" s="1557"/>
      <c r="CP49" s="1557"/>
      <c r="CQ49" s="1557"/>
      <c r="CR49" s="1557"/>
      <c r="CS49" s="1557"/>
      <c r="CT49" s="1557"/>
      <c r="CU49" s="1557"/>
      <c r="CV49" s="1557"/>
      <c r="CW49" s="1557"/>
      <c r="CX49" s="1557"/>
      <c r="CY49" s="1557"/>
      <c r="CZ49" s="1557"/>
      <c r="DA49" s="1557"/>
      <c r="DB49" s="1557"/>
    </row>
    <row r="50" spans="2:106" ht="21.6" hidden="1" thickBot="1" x14ac:dyDescent="0.45">
      <c r="E50" s="85"/>
      <c r="F50" s="85"/>
      <c r="G50" s="85"/>
      <c r="H50" s="243"/>
      <c r="I50" s="243"/>
      <c r="J50" s="243"/>
      <c r="K50" s="243"/>
      <c r="L50" s="243"/>
      <c r="M50" s="243"/>
      <c r="N50" s="243"/>
      <c r="O50" s="243"/>
      <c r="P50" s="243"/>
      <c r="Q50" s="243"/>
      <c r="R50" s="243"/>
      <c r="S50" s="243"/>
      <c r="T50" s="243"/>
      <c r="U50" s="86"/>
      <c r="V50" s="243"/>
      <c r="W50" s="243"/>
      <c r="X50" s="243"/>
      <c r="Y50" s="243"/>
      <c r="Z50" s="243"/>
      <c r="AA50" s="243"/>
      <c r="AB50" s="86"/>
      <c r="AC50" s="86"/>
      <c r="AD50" s="86"/>
      <c r="AE50" s="86"/>
      <c r="AF50" s="243"/>
      <c r="AG50" s="243"/>
      <c r="AH50" s="243"/>
      <c r="AI50" s="243"/>
      <c r="AJ50" s="243"/>
      <c r="AK50" s="243"/>
      <c r="AL50" s="243"/>
      <c r="AM50" s="243"/>
      <c r="AN50" s="243"/>
      <c r="AO50" s="243"/>
      <c r="AP50" s="243"/>
      <c r="AQ50" s="243"/>
      <c r="AR50" s="243"/>
      <c r="AS50" s="243"/>
      <c r="AT50" s="243"/>
      <c r="AU50" s="243"/>
      <c r="AV50" s="243"/>
      <c r="AW50" s="243"/>
      <c r="AX50" s="243"/>
      <c r="AY50" s="243"/>
      <c r="AZ50" s="243"/>
      <c r="BA50" s="243"/>
      <c r="BB50" s="243"/>
      <c r="BC50" s="14"/>
      <c r="BG50" s="4"/>
      <c r="BH50" s="4"/>
      <c r="BL50" s="1577"/>
      <c r="BM50" s="1623"/>
      <c r="BN50" s="1625"/>
      <c r="BO50" s="1625"/>
      <c r="BP50" s="1626"/>
      <c r="BQ50" s="1625"/>
      <c r="BR50" s="1625"/>
      <c r="BS50" s="1625"/>
      <c r="BY50" s="1631">
        <v>5</v>
      </c>
      <c r="BZ50" s="1632" t="b">
        <f>IF(CD57=16,1)</f>
        <v>0</v>
      </c>
      <c r="CA50" s="1637"/>
      <c r="CB50" s="1637"/>
      <c r="CC50" s="1641"/>
      <c r="CD50" s="1637"/>
      <c r="CE50" s="1641"/>
      <c r="CF50" s="1637"/>
      <c r="CG50" s="1637"/>
      <c r="CH50" s="1634" t="b">
        <f>IF(CD57=16,9)</f>
        <v>0</v>
      </c>
      <c r="CI50" s="1625"/>
      <c r="CJ50" s="1625"/>
      <c r="CK50" s="1625"/>
      <c r="CL50" s="1625"/>
      <c r="CM50" s="1626"/>
      <c r="CO50" s="1557"/>
      <c r="CP50" s="1557"/>
      <c r="CQ50" s="1557"/>
      <c r="CR50" s="1557"/>
      <c r="CS50" s="1557"/>
      <c r="CT50" s="1557"/>
      <c r="CU50" s="1557"/>
      <c r="CV50" s="1557"/>
      <c r="CW50" s="1557"/>
      <c r="CX50" s="1557"/>
      <c r="CY50" s="1557"/>
      <c r="CZ50" s="1557"/>
      <c r="DA50" s="1557"/>
      <c r="DB50" s="1557"/>
    </row>
    <row r="51" spans="2:106" ht="21.6" hidden="1" thickBot="1" x14ac:dyDescent="0.45">
      <c r="E51" s="85"/>
      <c r="F51" s="85"/>
      <c r="G51" s="85"/>
      <c r="H51" s="243"/>
      <c r="I51" s="243"/>
      <c r="J51" s="243"/>
      <c r="K51" s="243"/>
      <c r="L51" s="243"/>
      <c r="M51" s="243"/>
      <c r="N51" s="243"/>
      <c r="O51" s="243"/>
      <c r="P51" s="243"/>
      <c r="Q51" s="243"/>
      <c r="R51" s="243"/>
      <c r="S51" s="265"/>
      <c r="T51" s="244"/>
      <c r="U51" s="244"/>
      <c r="AF51" s="243"/>
      <c r="AG51" s="243"/>
      <c r="AH51" s="243"/>
      <c r="AI51" s="243"/>
      <c r="AJ51" s="243"/>
      <c r="AK51" s="243"/>
      <c r="AL51" s="243"/>
      <c r="AM51" s="243"/>
      <c r="AN51" s="243"/>
      <c r="AO51" s="243"/>
      <c r="AP51" s="243"/>
      <c r="AQ51" s="243"/>
      <c r="AR51" s="243"/>
      <c r="AS51" s="243"/>
      <c r="AT51" s="243"/>
      <c r="AU51" s="243"/>
      <c r="AV51" s="243"/>
      <c r="AW51" s="243"/>
      <c r="AX51" s="243"/>
      <c r="AY51" s="243"/>
      <c r="AZ51" s="243"/>
      <c r="BA51" s="243"/>
      <c r="BB51" s="243"/>
      <c r="BC51" s="14"/>
      <c r="BG51" s="4"/>
      <c r="BH51" s="4"/>
      <c r="BL51" s="1577"/>
      <c r="BM51" s="1623"/>
      <c r="BN51" s="1625"/>
      <c r="BO51" s="1625"/>
      <c r="BP51" s="1626"/>
      <c r="BQ51" s="1625"/>
      <c r="BR51" s="1625"/>
      <c r="BS51" s="1625"/>
      <c r="BY51" s="1631">
        <v>4</v>
      </c>
      <c r="BZ51" s="1632">
        <f>IF(CC57=15,1)</f>
        <v>1</v>
      </c>
      <c r="CA51" s="1641"/>
      <c r="CB51" s="1641"/>
      <c r="CC51" s="1637"/>
      <c r="CD51" s="1641"/>
      <c r="CE51" s="1641"/>
      <c r="CF51" s="1634">
        <f>IF(CC57=15,7)</f>
        <v>7</v>
      </c>
      <c r="CG51" s="1625"/>
      <c r="CH51" s="1625"/>
      <c r="CI51" s="1625"/>
      <c r="CJ51" s="1625"/>
      <c r="CK51" s="1625"/>
      <c r="CL51" s="1625"/>
      <c r="CM51" s="1626"/>
      <c r="CO51" s="1557"/>
      <c r="CP51" s="1557"/>
      <c r="CQ51" s="1557"/>
      <c r="CR51" s="1557"/>
      <c r="CS51" s="1557"/>
      <c r="CT51" s="1557"/>
      <c r="CU51" s="1557"/>
      <c r="CV51" s="1557"/>
      <c r="CW51" s="1557"/>
      <c r="CX51" s="1557"/>
      <c r="CY51" s="1557"/>
      <c r="CZ51" s="1557"/>
      <c r="DA51" s="1557"/>
      <c r="DB51" s="1557"/>
    </row>
    <row r="52" spans="2:106" ht="21.6" hidden="1" thickBot="1" x14ac:dyDescent="0.45">
      <c r="E52" s="85"/>
      <c r="F52" s="85"/>
      <c r="G52" s="85"/>
      <c r="H52" s="243"/>
      <c r="I52" s="243"/>
      <c r="J52" s="243"/>
      <c r="K52" s="243"/>
      <c r="L52" s="243"/>
      <c r="M52" s="243"/>
      <c r="N52" s="243"/>
      <c r="O52" s="243"/>
      <c r="P52" s="243"/>
      <c r="Q52" s="243"/>
      <c r="R52" s="243"/>
      <c r="S52" s="265"/>
      <c r="T52" s="266"/>
      <c r="U52" s="244"/>
      <c r="AF52" s="243"/>
      <c r="AG52" s="243"/>
      <c r="AH52" s="243"/>
      <c r="AI52" s="243"/>
      <c r="AJ52" s="243"/>
      <c r="AK52" s="243"/>
      <c r="AL52" s="243"/>
      <c r="AM52" s="243"/>
      <c r="AN52" s="243"/>
      <c r="AO52" s="243"/>
      <c r="AP52" s="243"/>
      <c r="AQ52" s="243"/>
      <c r="AR52" s="243"/>
      <c r="AS52" s="243"/>
      <c r="AT52" s="243"/>
      <c r="AU52" s="243"/>
      <c r="AV52" s="243"/>
      <c r="AW52" s="243"/>
      <c r="AX52" s="243"/>
      <c r="AY52" s="243"/>
      <c r="AZ52" s="243"/>
      <c r="BA52" s="243"/>
      <c r="BB52" s="243"/>
      <c r="BC52" s="14"/>
      <c r="BG52" s="4"/>
      <c r="BH52" s="4"/>
      <c r="BL52" s="1577"/>
      <c r="BM52" s="1623"/>
      <c r="BN52" s="1625"/>
      <c r="BO52" s="1625"/>
      <c r="BP52" s="1626"/>
      <c r="BQ52" s="1625"/>
      <c r="BR52" s="1625"/>
      <c r="BS52" s="1625"/>
      <c r="BY52" s="1631">
        <v>3</v>
      </c>
      <c r="BZ52" s="1643" t="b">
        <f>IF(CB57=14,1)</f>
        <v>0</v>
      </c>
      <c r="CA52" s="1638"/>
      <c r="CB52" s="1638"/>
      <c r="CC52" s="1638"/>
      <c r="CD52" s="1636" t="b">
        <f>IF(CB57=14,5)</f>
        <v>0</v>
      </c>
      <c r="CE52" s="1625"/>
      <c r="CF52" s="1625"/>
      <c r="CG52" s="1625"/>
      <c r="CH52" s="1625"/>
      <c r="CI52" s="1625"/>
      <c r="CJ52" s="1625"/>
      <c r="CK52" s="1625"/>
      <c r="CL52" s="1625"/>
      <c r="CM52" s="1626"/>
      <c r="CO52" s="1557"/>
      <c r="CP52" s="1557"/>
      <c r="CQ52" s="1557"/>
      <c r="CR52" s="1557"/>
      <c r="CS52" s="1557"/>
      <c r="CT52" s="1557"/>
      <c r="CU52" s="1557"/>
      <c r="CV52" s="1557"/>
      <c r="CW52" s="1557"/>
      <c r="CX52" s="1557"/>
      <c r="CY52" s="1557"/>
      <c r="CZ52" s="1557"/>
      <c r="DA52" s="1557"/>
      <c r="DB52" s="1557"/>
    </row>
    <row r="53" spans="2:106" ht="21.6" hidden="1" thickBot="1" x14ac:dyDescent="0.45">
      <c r="E53" s="85"/>
      <c r="F53" s="85"/>
      <c r="G53" s="85"/>
      <c r="H53" s="243"/>
      <c r="I53" s="243"/>
      <c r="J53" s="243"/>
      <c r="K53" s="243"/>
      <c r="L53" s="243"/>
      <c r="M53" s="243"/>
      <c r="N53" s="243"/>
      <c r="O53" s="243"/>
      <c r="P53" s="243"/>
      <c r="Q53" s="243"/>
      <c r="R53" s="243"/>
      <c r="S53" s="265"/>
      <c r="T53" s="265"/>
      <c r="U53" s="86"/>
      <c r="V53" s="243"/>
      <c r="W53" s="243"/>
      <c r="X53" s="243"/>
      <c r="Y53" s="243"/>
      <c r="Z53" s="243"/>
      <c r="AA53" s="243"/>
      <c r="AB53" s="86"/>
      <c r="AC53" s="86"/>
      <c r="AD53" s="86"/>
      <c r="AE53" s="86"/>
      <c r="AF53" s="243"/>
      <c r="AG53" s="243"/>
      <c r="AH53" s="243"/>
      <c r="AI53" s="243"/>
      <c r="AJ53" s="243"/>
      <c r="AK53" s="243"/>
      <c r="AL53" s="243"/>
      <c r="AM53" s="243"/>
      <c r="AN53" s="243"/>
      <c r="AO53" s="243"/>
      <c r="AP53" s="243"/>
      <c r="AQ53" s="243"/>
      <c r="AR53" s="243"/>
      <c r="AS53" s="243"/>
      <c r="AT53" s="243"/>
      <c r="AU53" s="243"/>
      <c r="AV53" s="243"/>
      <c r="AW53" s="243"/>
      <c r="AX53" s="243"/>
      <c r="AY53" s="243"/>
      <c r="AZ53" s="243"/>
      <c r="BA53" s="243"/>
      <c r="BB53" s="243"/>
      <c r="BC53" s="14"/>
      <c r="BG53" s="4"/>
      <c r="BH53" s="4"/>
      <c r="BL53" s="1577"/>
      <c r="BM53" s="1623"/>
      <c r="BN53" s="1625"/>
      <c r="BO53" s="1625"/>
      <c r="BP53" s="1626"/>
      <c r="BQ53" s="1625"/>
      <c r="BR53" s="1625"/>
      <c r="BS53" s="1625"/>
      <c r="BY53" s="1631">
        <v>2</v>
      </c>
      <c r="BZ53" s="1643" t="b">
        <f>IF(CA57=13,1)</f>
        <v>0</v>
      </c>
      <c r="CA53" s="1638"/>
      <c r="CB53" s="1636" t="b">
        <f>IF(CA57=13,3)</f>
        <v>0</v>
      </c>
      <c r="CC53" s="1625"/>
      <c r="CD53" s="1625"/>
      <c r="CE53" s="1625"/>
      <c r="CF53" s="1625"/>
      <c r="CG53" s="1625"/>
      <c r="CH53" s="1625"/>
      <c r="CI53" s="1625"/>
      <c r="CJ53" s="1625"/>
      <c r="CK53" s="1625"/>
      <c r="CL53" s="1625"/>
      <c r="CM53" s="1626"/>
      <c r="CO53" s="1557"/>
      <c r="CP53" s="1557"/>
      <c r="CQ53" s="1557"/>
      <c r="CR53" s="1557"/>
      <c r="CS53" s="1557"/>
      <c r="CT53" s="1557"/>
      <c r="CU53" s="1557"/>
      <c r="CV53" s="1557"/>
      <c r="CW53" s="1557"/>
      <c r="CX53" s="1557"/>
      <c r="CY53" s="1557"/>
      <c r="CZ53" s="1557"/>
      <c r="DA53" s="1557"/>
      <c r="DB53" s="1557"/>
    </row>
    <row r="54" spans="2:106" ht="21.6" hidden="1" thickBot="1" x14ac:dyDescent="0.45">
      <c r="E54" s="85"/>
      <c r="F54" s="85"/>
      <c r="G54" s="85"/>
      <c r="H54" s="243"/>
      <c r="I54" s="243"/>
      <c r="J54" s="243"/>
      <c r="K54" s="243"/>
      <c r="L54" s="243"/>
      <c r="M54" s="243"/>
      <c r="N54" s="243"/>
      <c r="O54" s="243"/>
      <c r="P54" s="243"/>
      <c r="Q54" s="243"/>
      <c r="R54" s="243"/>
      <c r="U54" s="86"/>
      <c r="V54" s="243"/>
      <c r="W54" s="243"/>
      <c r="X54" s="243"/>
      <c r="Y54" s="243"/>
      <c r="Z54" s="243"/>
      <c r="AA54" s="243"/>
      <c r="AB54" s="86"/>
      <c r="AC54" s="86"/>
      <c r="AD54" s="86"/>
      <c r="AE54" s="86"/>
      <c r="AF54" s="243"/>
      <c r="AG54" s="243"/>
      <c r="AH54" s="243"/>
      <c r="AI54" s="243"/>
      <c r="AJ54" s="243"/>
      <c r="AK54" s="243"/>
      <c r="AL54" s="243"/>
      <c r="AM54" s="243"/>
      <c r="AN54" s="243"/>
      <c r="AO54" s="243"/>
      <c r="AP54" s="243"/>
      <c r="AQ54" s="243"/>
      <c r="AR54" s="243"/>
      <c r="AS54" s="243"/>
      <c r="AT54" s="243"/>
      <c r="AU54" s="243"/>
      <c r="AV54" s="243"/>
      <c r="AW54" s="243"/>
      <c r="AX54" s="243"/>
      <c r="AY54" s="243"/>
      <c r="AZ54" s="243"/>
      <c r="BA54" s="243"/>
      <c r="BB54" s="243"/>
      <c r="BC54" s="14"/>
      <c r="BG54" s="4"/>
      <c r="BH54" s="4"/>
      <c r="BL54" s="1577"/>
      <c r="BM54" s="1623"/>
      <c r="BN54" s="1625"/>
      <c r="BO54" s="1625"/>
      <c r="BP54" s="1626"/>
      <c r="BQ54" s="1625"/>
      <c r="BR54" s="1625"/>
      <c r="BS54" s="1625"/>
      <c r="BT54" s="1554"/>
      <c r="BU54" s="1625"/>
      <c r="BY54" s="1625"/>
      <c r="BZ54" s="1625"/>
      <c r="CA54" s="1625"/>
      <c r="CB54" s="1625"/>
      <c r="CC54" s="1625"/>
      <c r="CD54" s="1625"/>
      <c r="CE54" s="1625"/>
      <c r="CF54" s="1625"/>
      <c r="CG54" s="1625"/>
      <c r="CH54" s="1625"/>
      <c r="CI54" s="1625"/>
      <c r="CJ54" s="1626"/>
      <c r="CK54" s="1644"/>
      <c r="CL54" s="1644"/>
      <c r="CM54" s="1644"/>
      <c r="CO54" s="1557"/>
      <c r="CP54" s="1557"/>
      <c r="CQ54" s="1557"/>
      <c r="CR54" s="1557"/>
      <c r="CS54" s="1557"/>
      <c r="CT54" s="1557"/>
      <c r="CU54" s="1557"/>
      <c r="CV54" s="1557"/>
      <c r="CW54" s="1557"/>
      <c r="CX54" s="1557"/>
      <c r="CY54" s="1557"/>
      <c r="CZ54" s="1557"/>
      <c r="DA54" s="1557"/>
      <c r="DB54" s="1557"/>
    </row>
    <row r="55" spans="2:106" ht="45.75" customHeight="1" thickBot="1" x14ac:dyDescent="0.45">
      <c r="E55" s="85"/>
      <c r="F55" s="85"/>
      <c r="G55" s="85"/>
      <c r="H55" s="243"/>
      <c r="I55" s="243"/>
      <c r="J55" s="243"/>
      <c r="K55" s="243"/>
      <c r="L55" s="243"/>
      <c r="M55" s="243"/>
      <c r="N55" s="243"/>
      <c r="O55" s="243"/>
      <c r="P55" s="243"/>
      <c r="Q55" s="243"/>
      <c r="R55" s="243"/>
      <c r="U55" s="86"/>
      <c r="V55" s="243"/>
      <c r="W55" s="243"/>
      <c r="X55" s="243"/>
      <c r="Y55" s="243"/>
      <c r="Z55" s="243"/>
      <c r="AA55" s="243"/>
      <c r="AB55" s="86"/>
      <c r="AC55" s="86"/>
      <c r="AD55" s="86"/>
      <c r="AE55" s="86"/>
      <c r="AF55" s="243"/>
      <c r="AG55" s="243"/>
      <c r="AH55" s="243"/>
      <c r="AI55" s="243"/>
      <c r="AJ55" s="243"/>
      <c r="AK55" s="243"/>
      <c r="AL55" s="243"/>
      <c r="AM55" s="243"/>
      <c r="AN55" s="243"/>
      <c r="AO55" s="243"/>
      <c r="AP55" s="243"/>
      <c r="AQ55" s="243"/>
      <c r="AR55" s="243"/>
      <c r="AS55" s="243"/>
      <c r="AT55" s="243"/>
      <c r="AU55" s="243"/>
      <c r="AV55" s="243"/>
      <c r="AW55" s="243"/>
      <c r="AX55" s="243"/>
      <c r="AY55" s="243"/>
      <c r="AZ55" s="243"/>
      <c r="BA55" s="243"/>
      <c r="BB55" s="243"/>
      <c r="BC55" s="14"/>
      <c r="BG55" s="4"/>
      <c r="BH55" s="4"/>
      <c r="BJ55" s="1623"/>
      <c r="BK55" s="1623"/>
      <c r="BL55" s="1645"/>
      <c r="BM55" s="1561" t="s">
        <v>227</v>
      </c>
      <c r="BN55" s="1646" t="s">
        <v>231</v>
      </c>
      <c r="BO55" s="1647"/>
      <c r="BP55" s="1648"/>
      <c r="BQ55" s="1648"/>
      <c r="BR55" s="1648"/>
      <c r="BS55" s="1648"/>
      <c r="BT55" s="1648"/>
      <c r="BU55" s="1648"/>
      <c r="BV55" s="1648"/>
      <c r="BW55" s="1648"/>
      <c r="BX55" s="1648"/>
      <c r="BY55" s="1648"/>
      <c r="BZ55" s="1649">
        <f>SUM(BZ39:BZ54)</f>
        <v>1</v>
      </c>
      <c r="CA55" s="1650">
        <f t="shared" ref="CA55:CP55" si="0">SUM(CA39:CA54)</f>
        <v>0</v>
      </c>
      <c r="CB55" s="1650">
        <f t="shared" si="0"/>
        <v>0</v>
      </c>
      <c r="CC55" s="1650">
        <f t="shared" si="0"/>
        <v>0</v>
      </c>
      <c r="CD55" s="1650">
        <f t="shared" si="0"/>
        <v>0</v>
      </c>
      <c r="CE55" s="1650">
        <f t="shared" si="0"/>
        <v>0</v>
      </c>
      <c r="CF55" s="1650">
        <f t="shared" si="0"/>
        <v>7</v>
      </c>
      <c r="CG55" s="1650">
        <f t="shared" si="0"/>
        <v>0</v>
      </c>
      <c r="CH55" s="1650">
        <f t="shared" si="0"/>
        <v>0</v>
      </c>
      <c r="CI55" s="1650">
        <f t="shared" si="0"/>
        <v>0</v>
      </c>
      <c r="CJ55" s="1650">
        <f t="shared" si="0"/>
        <v>0</v>
      </c>
      <c r="CK55" s="1650">
        <f t="shared" si="0"/>
        <v>0</v>
      </c>
      <c r="CL55" s="1650">
        <f t="shared" si="0"/>
        <v>0</v>
      </c>
      <c r="CM55" s="1650">
        <f t="shared" si="0"/>
        <v>0</v>
      </c>
      <c r="CN55" s="1650">
        <f t="shared" si="0"/>
        <v>0</v>
      </c>
      <c r="CO55" s="1650">
        <f t="shared" si="0"/>
        <v>0</v>
      </c>
      <c r="CP55" s="1651">
        <f t="shared" si="0"/>
        <v>0</v>
      </c>
      <c r="CQ55" s="1648"/>
      <c r="CR55" s="1648"/>
      <c r="CS55" s="1652"/>
      <c r="CT55" s="1652"/>
      <c r="CU55" s="1652"/>
      <c r="CV55" s="1652"/>
      <c r="CW55" s="1652"/>
      <c r="CX55" s="1652"/>
      <c r="CY55" s="1653"/>
      <c r="CZ55" s="1583"/>
      <c r="DA55" s="1557"/>
      <c r="DB55" s="1557"/>
    </row>
    <row r="56" spans="2:106" ht="45.75" customHeight="1" thickBot="1" x14ac:dyDescent="0.45">
      <c r="E56" s="85"/>
      <c r="F56" s="85"/>
      <c r="G56" s="85"/>
      <c r="H56" s="243"/>
      <c r="I56" s="243"/>
      <c r="J56" s="243"/>
      <c r="K56" s="243"/>
      <c r="L56" s="243"/>
      <c r="M56" s="243"/>
      <c r="N56" s="243"/>
      <c r="O56" s="243"/>
      <c r="P56" s="243"/>
      <c r="Q56" s="243"/>
      <c r="R56" s="243"/>
      <c r="U56" s="86"/>
      <c r="V56" s="243"/>
      <c r="W56" s="243"/>
      <c r="X56" s="243"/>
      <c r="Y56" s="243"/>
      <c r="Z56" s="243"/>
      <c r="AA56" s="243"/>
      <c r="AB56" s="86"/>
      <c r="AC56" s="86"/>
      <c r="AD56" s="86"/>
      <c r="AE56" s="86"/>
      <c r="AF56" s="243"/>
      <c r="AG56" s="243"/>
      <c r="AH56" s="243"/>
      <c r="AI56" s="243"/>
      <c r="AJ56" s="243"/>
      <c r="AK56" s="243"/>
      <c r="AL56" s="243"/>
      <c r="AM56" s="243"/>
      <c r="AN56" s="243"/>
      <c r="AO56" s="243"/>
      <c r="AP56" s="243"/>
      <c r="AQ56" s="243"/>
      <c r="AR56" s="243"/>
      <c r="AS56" s="243"/>
      <c r="AT56" s="243"/>
      <c r="AU56" s="243"/>
      <c r="AV56" s="243"/>
      <c r="AW56" s="243"/>
      <c r="AX56" s="243"/>
      <c r="AY56" s="243"/>
      <c r="AZ56" s="243"/>
      <c r="BA56" s="243"/>
      <c r="BB56" s="243"/>
      <c r="BC56" s="14"/>
      <c r="BG56" s="4"/>
      <c r="BH56" s="4"/>
      <c r="BJ56" s="1623"/>
      <c r="BK56" s="1550" t="b">
        <f>AND(BM56&gt;=10,$BA$110&gt;=10,$BB$110&gt;=10)</f>
        <v>1</v>
      </c>
      <c r="BL56" s="1570" t="str">
        <f>IF(BK56=TRUE,"O K","OVERLOAD")</f>
        <v>O K</v>
      </c>
      <c r="BM56" s="1571">
        <f>+$D$20/(BO25/2)</f>
        <v>67.940552016985137</v>
      </c>
      <c r="BN56" s="1654"/>
      <c r="BO56" s="1644"/>
      <c r="BP56" s="1655"/>
      <c r="BQ56" s="1644"/>
      <c r="BR56" s="1644"/>
      <c r="BS56" s="1644"/>
      <c r="BT56" s="1655"/>
      <c r="BU56" s="1644"/>
      <c r="BV56" s="1644"/>
      <c r="BW56" s="1644"/>
      <c r="BX56" s="1644"/>
      <c r="BY56" s="1644"/>
      <c r="BZ56" s="1644"/>
      <c r="CA56" s="1644"/>
      <c r="CB56" s="1644"/>
      <c r="CC56" s="1644"/>
      <c r="CD56" s="1644"/>
      <c r="CE56" s="1644"/>
      <c r="CF56" s="1644"/>
      <c r="CG56" s="1644"/>
      <c r="CH56" s="1644"/>
      <c r="CI56" s="1644"/>
      <c r="CJ56" s="1644"/>
      <c r="CK56" s="1644"/>
      <c r="CL56" s="1644"/>
      <c r="CM56" s="1644"/>
      <c r="CN56" s="1644"/>
      <c r="CO56" s="1644"/>
      <c r="CP56" s="1644"/>
      <c r="CQ56" s="1557"/>
      <c r="CR56" s="1557"/>
      <c r="CS56" s="1557"/>
      <c r="CT56" s="1557"/>
      <c r="CU56" s="1557"/>
      <c r="CV56" s="1557"/>
      <c r="CW56" s="1557"/>
      <c r="CX56" s="1557"/>
      <c r="CY56" s="1557"/>
      <c r="CZ56" s="1557"/>
      <c r="DA56" s="1557"/>
      <c r="DB56" s="1557"/>
    </row>
    <row r="57" spans="2:106" ht="21" hidden="1" x14ac:dyDescent="0.4">
      <c r="E57" s="85"/>
      <c r="F57" s="85"/>
      <c r="G57" s="85"/>
      <c r="H57" s="243"/>
      <c r="I57" s="243"/>
      <c r="J57" s="243"/>
      <c r="K57" s="243"/>
      <c r="L57" s="243"/>
      <c r="M57" s="243"/>
      <c r="N57" s="243"/>
      <c r="O57" s="243"/>
      <c r="P57" s="243"/>
      <c r="Q57" s="243"/>
      <c r="R57" s="243"/>
      <c r="S57" s="243"/>
      <c r="T57" s="243"/>
      <c r="U57" s="86"/>
      <c r="V57" s="243"/>
      <c r="W57" s="243"/>
      <c r="X57" s="243"/>
      <c r="Y57" s="243"/>
      <c r="Z57" s="243"/>
      <c r="AA57" s="243"/>
      <c r="AB57" s="86"/>
      <c r="AC57" s="86"/>
      <c r="AD57" s="86"/>
      <c r="AE57" s="86"/>
      <c r="AF57" s="243"/>
      <c r="AG57" s="243"/>
      <c r="AH57" s="243"/>
      <c r="AI57" s="243"/>
      <c r="AJ57" s="243"/>
      <c r="AK57" s="243"/>
      <c r="AL57" s="243"/>
      <c r="AM57" s="243"/>
      <c r="AN57" s="243"/>
      <c r="AO57" s="243"/>
      <c r="AP57" s="243"/>
      <c r="AQ57" s="243"/>
      <c r="AR57" s="243"/>
      <c r="AS57" s="243"/>
      <c r="AT57" s="243"/>
      <c r="AU57" s="243"/>
      <c r="AV57" s="243"/>
      <c r="AW57" s="243"/>
      <c r="AX57" s="243"/>
      <c r="AY57" s="243"/>
      <c r="AZ57" s="243"/>
      <c r="BA57" s="243"/>
      <c r="BB57" s="243"/>
      <c r="BC57" s="14"/>
      <c r="BG57" s="4"/>
      <c r="BH57" s="4"/>
      <c r="BJ57" s="1623"/>
      <c r="BK57" s="1623"/>
      <c r="BL57" s="1645"/>
      <c r="BM57" s="1623"/>
      <c r="BN57" s="1554"/>
      <c r="BO57" s="1656" t="b">
        <f>+BO194</f>
        <v>0</v>
      </c>
      <c r="BP57" s="1656" t="b">
        <f>+BO195</f>
        <v>0</v>
      </c>
      <c r="BQ57" s="1656" t="b">
        <f>+BO196</f>
        <v>0</v>
      </c>
      <c r="BR57" s="1656" t="b">
        <f>+BO197</f>
        <v>0</v>
      </c>
      <c r="BS57" s="1656" t="b">
        <f>+BO198</f>
        <v>0</v>
      </c>
      <c r="BT57" s="1656" t="b">
        <f>+BO199</f>
        <v>0</v>
      </c>
      <c r="BU57" s="1656" t="b">
        <f>+BO200</f>
        <v>0</v>
      </c>
      <c r="BV57" s="1656" t="b">
        <f>+BO201</f>
        <v>0</v>
      </c>
      <c r="BW57" s="1656" t="b">
        <f>+BO202</f>
        <v>0</v>
      </c>
      <c r="BX57" s="1656" t="b">
        <f>+BO203</f>
        <v>0</v>
      </c>
      <c r="BY57" s="1656" t="b">
        <f>+BO204</f>
        <v>0</v>
      </c>
      <c r="BZ57" s="1656" t="b">
        <f>+BO205</f>
        <v>0</v>
      </c>
      <c r="CA57" s="1656" t="b">
        <f>+BO206</f>
        <v>0</v>
      </c>
      <c r="CB57" s="1656" t="b">
        <f>+BO207</f>
        <v>0</v>
      </c>
      <c r="CC57" s="1656">
        <f>+BO208</f>
        <v>15</v>
      </c>
      <c r="CD57" s="1656" t="b">
        <f>+BO209</f>
        <v>0</v>
      </c>
      <c r="CE57" s="1656" t="b">
        <f>+BO210</f>
        <v>0</v>
      </c>
      <c r="CF57" s="1656" t="b">
        <f>+BO211</f>
        <v>0</v>
      </c>
      <c r="CG57" s="1656" t="b">
        <f>+BO212</f>
        <v>0</v>
      </c>
      <c r="CH57" s="1656" t="b">
        <f>+BO213</f>
        <v>0</v>
      </c>
      <c r="CI57" s="1656" t="b">
        <f>+BO214</f>
        <v>0</v>
      </c>
      <c r="CJ57" s="1656" t="b">
        <f>+BO215</f>
        <v>0</v>
      </c>
      <c r="CK57" s="1656" t="b">
        <f>+BO216</f>
        <v>0</v>
      </c>
      <c r="CL57" s="1656" t="b">
        <f>+BO217</f>
        <v>0</v>
      </c>
      <c r="CM57" s="1656" t="b">
        <f>+BO218</f>
        <v>0</v>
      </c>
      <c r="CN57" s="1656" t="b">
        <f>+BO219</f>
        <v>0</v>
      </c>
      <c r="CO57" s="1656" t="b">
        <f>+BO220</f>
        <v>0</v>
      </c>
      <c r="CP57" s="1656" t="b">
        <f>+BO221</f>
        <v>0</v>
      </c>
      <c r="CQ57" s="1656" t="b">
        <f>+BO222</f>
        <v>0</v>
      </c>
      <c r="CR57" s="1656" t="b">
        <f>+BO223</f>
        <v>0</v>
      </c>
      <c r="CS57" s="1656" t="b">
        <f>+BO224</f>
        <v>0</v>
      </c>
      <c r="CT57" s="1656" t="b">
        <f>+BO225</f>
        <v>0</v>
      </c>
      <c r="CU57" s="1656" t="b">
        <f>+BO226</f>
        <v>0</v>
      </c>
      <c r="CV57" s="1656" t="b">
        <f>+BO227</f>
        <v>0</v>
      </c>
      <c r="CW57" s="1656" t="b">
        <f>+BO228</f>
        <v>0</v>
      </c>
      <c r="CX57" s="1656" t="b">
        <f>+BO229</f>
        <v>0</v>
      </c>
      <c r="CY57" s="1656" t="b">
        <f>+BO230</f>
        <v>0</v>
      </c>
      <c r="CZ57" s="1657"/>
      <c r="DA57" s="1557"/>
      <c r="DB57" s="1557"/>
    </row>
    <row r="58" spans="2:106" ht="21" hidden="1" x14ac:dyDescent="0.4">
      <c r="E58" s="85"/>
      <c r="F58" s="85"/>
      <c r="G58" s="85"/>
      <c r="H58" s="243"/>
      <c r="I58" s="243"/>
      <c r="J58" s="243"/>
      <c r="K58" s="243"/>
      <c r="L58" s="243"/>
      <c r="M58" s="243"/>
      <c r="N58" s="243"/>
      <c r="O58" s="243"/>
      <c r="P58" s="243"/>
      <c r="Q58" s="243"/>
      <c r="R58" s="243"/>
      <c r="S58" s="243"/>
      <c r="T58" s="243"/>
      <c r="U58" s="86"/>
      <c r="V58" s="243"/>
      <c r="W58" s="243"/>
      <c r="X58" s="243"/>
      <c r="Y58" s="243"/>
      <c r="Z58" s="243"/>
      <c r="AA58" s="243"/>
      <c r="AB58" s="86"/>
      <c r="AC58" s="86"/>
      <c r="AD58" s="86"/>
      <c r="AE58" s="86"/>
      <c r="AF58" s="243"/>
      <c r="AG58" s="243"/>
      <c r="AH58" s="243"/>
      <c r="AI58" s="243"/>
      <c r="AJ58" s="243"/>
      <c r="AK58" s="243"/>
      <c r="AL58" s="243"/>
      <c r="AM58" s="243"/>
      <c r="AN58" s="243"/>
      <c r="AO58" s="243"/>
      <c r="AP58" s="243"/>
      <c r="AQ58" s="243"/>
      <c r="AR58" s="243"/>
      <c r="AS58" s="243"/>
      <c r="AT58" s="243"/>
      <c r="AU58" s="243"/>
      <c r="AV58" s="243"/>
      <c r="AW58" s="243"/>
      <c r="AX58" s="243"/>
      <c r="AY58" s="243"/>
      <c r="AZ58" s="243"/>
      <c r="BA58" s="243"/>
      <c r="BB58" s="243"/>
      <c r="BC58" s="14"/>
      <c r="BG58" s="4"/>
      <c r="BH58" s="4"/>
      <c r="BJ58" s="1623"/>
      <c r="BK58" s="1623"/>
      <c r="BL58" s="1645"/>
      <c r="BM58" s="1623"/>
      <c r="BN58" s="1556"/>
      <c r="BO58" s="1657" t="b">
        <f>+BO57</f>
        <v>0</v>
      </c>
      <c r="BP58" s="1657" t="b">
        <f t="shared" ref="BP58:CG58" si="1">+BP57</f>
        <v>0</v>
      </c>
      <c r="BQ58" s="1657" t="b">
        <f t="shared" si="1"/>
        <v>0</v>
      </c>
      <c r="BR58" s="1657" t="b">
        <f t="shared" si="1"/>
        <v>0</v>
      </c>
      <c r="BS58" s="1657" t="b">
        <f t="shared" si="1"/>
        <v>0</v>
      </c>
      <c r="BT58" s="1657" t="b">
        <f t="shared" si="1"/>
        <v>0</v>
      </c>
      <c r="BU58" s="1657" t="b">
        <f>+BU57</f>
        <v>0</v>
      </c>
      <c r="BV58" s="1657" t="b">
        <f t="shared" si="1"/>
        <v>0</v>
      </c>
      <c r="BW58" s="1657" t="b">
        <f t="shared" si="1"/>
        <v>0</v>
      </c>
      <c r="BX58" s="1657" t="b">
        <f t="shared" si="1"/>
        <v>0</v>
      </c>
      <c r="BY58" s="1657" t="b">
        <f t="shared" si="1"/>
        <v>0</v>
      </c>
      <c r="BZ58" s="1657" t="b">
        <f>+BZ57</f>
        <v>0</v>
      </c>
      <c r="CA58" s="1657" t="b">
        <f>+CA57</f>
        <v>0</v>
      </c>
      <c r="CB58" s="1657" t="b">
        <f>+CB57</f>
        <v>0</v>
      </c>
      <c r="CC58" s="1657">
        <f>+CC57</f>
        <v>15</v>
      </c>
      <c r="CD58" s="1657" t="b">
        <f>+CD57</f>
        <v>0</v>
      </c>
      <c r="CE58" s="1657" t="b">
        <f t="shared" si="1"/>
        <v>0</v>
      </c>
      <c r="CF58" s="1657" t="b">
        <f t="shared" si="1"/>
        <v>0</v>
      </c>
      <c r="CG58" s="1657" t="b">
        <f t="shared" si="1"/>
        <v>0</v>
      </c>
      <c r="CH58" s="1657" t="b">
        <f>+CH57</f>
        <v>0</v>
      </c>
      <c r="CI58" s="1657" t="b">
        <f>+CI57</f>
        <v>0</v>
      </c>
      <c r="CJ58" s="1657" t="b">
        <f t="shared" ref="CJ58:CY58" si="2">+CJ57</f>
        <v>0</v>
      </c>
      <c r="CK58" s="1657" t="b">
        <f t="shared" si="2"/>
        <v>0</v>
      </c>
      <c r="CL58" s="1657" t="b">
        <f t="shared" si="2"/>
        <v>0</v>
      </c>
      <c r="CM58" s="1657" t="b">
        <f t="shared" si="2"/>
        <v>0</v>
      </c>
      <c r="CN58" s="1657" t="b">
        <f t="shared" si="2"/>
        <v>0</v>
      </c>
      <c r="CO58" s="1657" t="b">
        <f t="shared" si="2"/>
        <v>0</v>
      </c>
      <c r="CP58" s="1657" t="b">
        <f t="shared" si="2"/>
        <v>0</v>
      </c>
      <c r="CQ58" s="1657" t="b">
        <f t="shared" si="2"/>
        <v>0</v>
      </c>
      <c r="CR58" s="1657" t="b">
        <f t="shared" si="2"/>
        <v>0</v>
      </c>
      <c r="CS58" s="1657" t="b">
        <f t="shared" si="2"/>
        <v>0</v>
      </c>
      <c r="CT58" s="1657" t="b">
        <f t="shared" si="2"/>
        <v>0</v>
      </c>
      <c r="CU58" s="1657" t="b">
        <f t="shared" si="2"/>
        <v>0</v>
      </c>
      <c r="CV58" s="1657" t="b">
        <f t="shared" si="2"/>
        <v>0</v>
      </c>
      <c r="CW58" s="1657" t="b">
        <f t="shared" si="2"/>
        <v>0</v>
      </c>
      <c r="CX58" s="1657" t="b">
        <f t="shared" si="2"/>
        <v>0</v>
      </c>
      <c r="CY58" s="1657" t="b">
        <f t="shared" si="2"/>
        <v>0</v>
      </c>
      <c r="CZ58" s="1657"/>
      <c r="DA58" s="1557"/>
      <c r="DB58" s="1557"/>
    </row>
    <row r="59" spans="2:106" ht="14.25" customHeight="1" thickBot="1" x14ac:dyDescent="0.45">
      <c r="E59" s="85"/>
      <c r="F59" s="85"/>
      <c r="G59" s="85"/>
      <c r="H59" s="243"/>
      <c r="I59" s="243"/>
      <c r="J59" s="243"/>
      <c r="K59" s="243"/>
      <c r="L59" s="243"/>
      <c r="M59" s="243"/>
      <c r="N59" s="243"/>
      <c r="O59" s="243"/>
      <c r="P59" s="243"/>
      <c r="Q59" s="243"/>
      <c r="R59" s="243"/>
      <c r="S59" s="243"/>
      <c r="T59" s="243"/>
      <c r="U59" s="86"/>
      <c r="V59" s="243"/>
      <c r="W59" s="243"/>
      <c r="X59" s="243"/>
      <c r="Y59" s="243"/>
      <c r="Z59" s="243"/>
      <c r="AA59" s="243"/>
      <c r="AB59" s="86"/>
      <c r="AC59" s="86"/>
      <c r="AD59" s="86"/>
      <c r="AE59" s="86"/>
      <c r="AF59" s="243"/>
      <c r="AG59" s="243"/>
      <c r="AH59" s="243"/>
      <c r="AI59" s="243"/>
      <c r="AJ59" s="243"/>
      <c r="AK59" s="243"/>
      <c r="AL59" s="243"/>
      <c r="AM59" s="243"/>
      <c r="AN59" s="243"/>
      <c r="AO59" s="243"/>
      <c r="AP59" s="243"/>
      <c r="AQ59" s="243"/>
      <c r="AR59" s="243"/>
      <c r="AS59" s="243"/>
      <c r="AT59" s="243"/>
      <c r="AU59" s="243"/>
      <c r="AV59" s="243"/>
      <c r="AW59" s="243"/>
      <c r="AX59" s="243"/>
      <c r="AY59" s="243"/>
      <c r="AZ59" s="243"/>
      <c r="BA59" s="243"/>
      <c r="BB59" s="243"/>
      <c r="BC59" s="14"/>
      <c r="BG59" s="4"/>
      <c r="BH59" s="4"/>
      <c r="BJ59" s="1623"/>
      <c r="BK59" s="1623"/>
      <c r="BL59" s="1645"/>
      <c r="BM59" s="1623"/>
      <c r="BN59" s="1556"/>
      <c r="BO59" s="1657"/>
      <c r="BP59" s="1657"/>
      <c r="BQ59" s="1657"/>
      <c r="BR59" s="1657"/>
      <c r="BS59" s="1657"/>
      <c r="BT59" s="1657"/>
      <c r="BU59" s="1657"/>
      <c r="BV59" s="1657"/>
      <c r="BW59" s="1657"/>
      <c r="BX59" s="1657"/>
      <c r="BY59" s="1657"/>
      <c r="BZ59" s="1657"/>
      <c r="CA59" s="1657"/>
      <c r="CB59" s="1657"/>
      <c r="CC59" s="1657"/>
      <c r="CD59" s="1657"/>
      <c r="CE59" s="1657"/>
      <c r="CF59" s="1657"/>
      <c r="CG59" s="1657"/>
      <c r="CH59" s="1657"/>
      <c r="CI59" s="1657"/>
      <c r="CJ59" s="1657"/>
      <c r="CK59" s="1657"/>
      <c r="CL59" s="1657"/>
      <c r="CM59" s="1657"/>
      <c r="CN59" s="1657"/>
      <c r="CO59" s="1657"/>
      <c r="CP59" s="1657"/>
      <c r="CQ59" s="1657"/>
      <c r="CR59" s="1657"/>
      <c r="CS59" s="1657"/>
      <c r="CT59" s="1657"/>
      <c r="CU59" s="1657"/>
      <c r="CV59" s="1657"/>
      <c r="CW59" s="1657"/>
      <c r="CX59" s="1657"/>
      <c r="CY59" s="1657"/>
      <c r="CZ59" s="1657"/>
      <c r="DA59" s="1557"/>
      <c r="DB59" s="1557"/>
    </row>
    <row r="60" spans="2:106" ht="45.75" customHeight="1" thickBot="1" x14ac:dyDescent="0.45">
      <c r="D60" s="85"/>
      <c r="E60" s="85"/>
      <c r="F60" s="85"/>
      <c r="G60" s="85"/>
      <c r="H60" s="243"/>
      <c r="I60" s="243"/>
      <c r="J60" s="243"/>
      <c r="K60" s="243"/>
      <c r="L60" s="243"/>
      <c r="M60" s="243"/>
      <c r="N60" s="243"/>
      <c r="O60" s="243"/>
      <c r="P60" s="243"/>
      <c r="Q60" s="243"/>
      <c r="R60" s="243"/>
      <c r="S60" s="243"/>
      <c r="T60" s="243"/>
      <c r="U60" s="86"/>
      <c r="V60" s="243"/>
      <c r="W60" s="243"/>
      <c r="X60" s="243"/>
      <c r="Y60" s="243"/>
      <c r="Z60" s="243"/>
      <c r="AA60" s="243"/>
      <c r="AB60" s="86"/>
      <c r="AC60" s="86"/>
      <c r="AD60" s="86"/>
      <c r="AE60" s="86"/>
      <c r="AF60" s="243"/>
      <c r="AG60" s="243"/>
      <c r="AH60" s="243"/>
      <c r="AI60" s="243"/>
      <c r="AJ60" s="243"/>
      <c r="AK60" s="243"/>
      <c r="AL60" s="243"/>
      <c r="AM60" s="243"/>
      <c r="AN60" s="243"/>
      <c r="AO60" s="243"/>
      <c r="AP60" s="243"/>
      <c r="AQ60" s="243"/>
      <c r="AR60" s="243"/>
      <c r="AS60" s="243"/>
      <c r="AT60" s="243"/>
      <c r="AU60" s="243"/>
      <c r="AV60" s="243"/>
      <c r="AW60" s="243"/>
      <c r="AX60" s="243"/>
      <c r="AY60" s="243"/>
      <c r="AZ60" s="243"/>
      <c r="BA60" s="243"/>
      <c r="BB60" s="243"/>
      <c r="BC60" s="14"/>
      <c r="BG60" s="4"/>
      <c r="BH60" s="4"/>
      <c r="BJ60" s="1623"/>
      <c r="BK60" s="1623"/>
      <c r="BL60" s="1645"/>
      <c r="BM60" s="1561" t="s">
        <v>227</v>
      </c>
      <c r="BN60" s="1658" t="s">
        <v>232</v>
      </c>
      <c r="BO60" s="1659" t="str">
        <f>IF(BO58=1,"17","")</f>
        <v/>
      </c>
      <c r="BP60" s="1660" t="str">
        <f>IF(BP58=2,"16","")</f>
        <v/>
      </c>
      <c r="BQ60" s="1660" t="str">
        <f>IF(BQ58=3,"15","")</f>
        <v/>
      </c>
      <c r="BR60" s="1660" t="str">
        <f>IF(BR58=4,"14","")</f>
        <v/>
      </c>
      <c r="BS60" s="1660" t="str">
        <f>IF(BS58=5,"13","")</f>
        <v/>
      </c>
      <c r="BT60" s="1660" t="str">
        <f>IF(BT58=6,"12","")</f>
        <v/>
      </c>
      <c r="BU60" s="1660" t="str">
        <f>IF(BU58=7,"11","")</f>
        <v/>
      </c>
      <c r="BV60" s="1660" t="str">
        <f>IF(BV58=8,"10","")</f>
        <v/>
      </c>
      <c r="BW60" s="1660" t="str">
        <f>IF(BW58=9,"9","")</f>
        <v/>
      </c>
      <c r="BX60" s="1660" t="str">
        <f>IF(BX58=10,"8","")</f>
        <v/>
      </c>
      <c r="BY60" s="1660" t="str">
        <f>IF(BY58=11,"7","")</f>
        <v/>
      </c>
      <c r="BZ60" s="1661" t="str">
        <f>IF(BZ58=12,"1","")</f>
        <v/>
      </c>
      <c r="CA60" s="1662" t="str">
        <f>IF(CA58=13,"2","")</f>
        <v/>
      </c>
      <c r="CB60" s="1662" t="str">
        <f>IF(CB58=14,"3","")</f>
        <v/>
      </c>
      <c r="CC60" s="1662" t="str">
        <f>IF(CC58=15,"4","")</f>
        <v>4</v>
      </c>
      <c r="CD60" s="1662" t="str">
        <f>IF(CD58=16,"5","")</f>
        <v/>
      </c>
      <c r="CE60" s="1662" t="str">
        <f>IF(CE58=17,"6","")</f>
        <v/>
      </c>
      <c r="CF60" s="1662" t="str">
        <f>IF(CF58=18,"7","")</f>
        <v/>
      </c>
      <c r="CG60" s="1662" t="str">
        <f>IF(CG58=19,"8","")</f>
        <v/>
      </c>
      <c r="CH60" s="1662" t="str">
        <f>IF(CH58=20,"9","")</f>
        <v/>
      </c>
      <c r="CI60" s="1662" t="str">
        <f>IF(CI58=21,"10","")</f>
        <v/>
      </c>
      <c r="CJ60" s="1662" t="str">
        <f>IF(CJ58=22,"11","")</f>
        <v/>
      </c>
      <c r="CK60" s="1662" t="str">
        <f>IF(CK58=23,"12","")</f>
        <v/>
      </c>
      <c r="CL60" s="1662" t="str">
        <f>IF(CL58=24,"13","")</f>
        <v/>
      </c>
      <c r="CM60" s="1662" t="str">
        <f>IF(CM58=25,"14","")</f>
        <v/>
      </c>
      <c r="CN60" s="1662" t="str">
        <f>IF(CN58=26,"15","")</f>
        <v/>
      </c>
      <c r="CO60" s="1662" t="str">
        <f>IF(CO58=27,"16","")</f>
        <v/>
      </c>
      <c r="CP60" s="1663" t="str">
        <f>IF(CP58=28,"17","")</f>
        <v/>
      </c>
      <c r="CQ60" s="1664" t="str">
        <f>IF(CQ58=29,"9","")</f>
        <v/>
      </c>
      <c r="CR60" s="1664" t="str">
        <f>IF(CR58=30,"10","")</f>
        <v/>
      </c>
      <c r="CS60" s="1664" t="str">
        <f>IF(CS58=31,"11","")</f>
        <v/>
      </c>
      <c r="CT60" s="1664" t="str">
        <f>IF(CT58=32,"12","")</f>
        <v/>
      </c>
      <c r="CU60" s="1664" t="str">
        <f>IF(CU58=33,"13","")</f>
        <v/>
      </c>
      <c r="CV60" s="1664" t="str">
        <f>IF(CV58=34,"14","")</f>
        <v/>
      </c>
      <c r="CW60" s="1664" t="str">
        <f>IF(CW58=35,"15","")</f>
        <v/>
      </c>
      <c r="CX60" s="1664" t="str">
        <f>IF(CX58=36,"16","")</f>
        <v/>
      </c>
      <c r="CY60" s="1665" t="str">
        <f>IF(CY58=37,"17","")</f>
        <v/>
      </c>
      <c r="CZ60" s="1666"/>
      <c r="DA60" s="1557"/>
      <c r="DB60" s="1557"/>
    </row>
    <row r="61" spans="2:106" ht="45.75" customHeight="1" thickBot="1" x14ac:dyDescent="0.45">
      <c r="D61" s="85"/>
      <c r="E61" s="85"/>
      <c r="F61" s="85"/>
      <c r="G61" s="85"/>
      <c r="H61" s="243"/>
      <c r="I61" s="243"/>
      <c r="J61" s="243"/>
      <c r="K61" s="243"/>
      <c r="L61" s="243"/>
      <c r="M61" s="243"/>
      <c r="N61" s="243"/>
      <c r="O61" s="243"/>
      <c r="P61" s="243"/>
      <c r="Q61" s="243"/>
      <c r="R61" s="243"/>
      <c r="S61" s="243"/>
      <c r="T61" s="243"/>
      <c r="U61" s="86"/>
      <c r="V61" s="243"/>
      <c r="W61" s="243"/>
      <c r="X61" s="243"/>
      <c r="Y61" s="243"/>
      <c r="Z61" s="243"/>
      <c r="AA61" s="243"/>
      <c r="AB61" s="86"/>
      <c r="AC61" s="86"/>
      <c r="AD61" s="86"/>
      <c r="AE61" s="86"/>
      <c r="AF61" s="243"/>
      <c r="AG61" s="243"/>
      <c r="AH61" s="243"/>
      <c r="AI61" s="243"/>
      <c r="AJ61" s="243"/>
      <c r="AK61" s="243"/>
      <c r="AL61" s="243"/>
      <c r="AM61" s="243"/>
      <c r="AN61" s="243"/>
      <c r="AO61" s="243"/>
      <c r="AP61" s="243"/>
      <c r="AQ61" s="243"/>
      <c r="AR61" s="243"/>
      <c r="AS61" s="243"/>
      <c r="AT61" s="243"/>
      <c r="AU61" s="243"/>
      <c r="AV61" s="243"/>
      <c r="AW61" s="243"/>
      <c r="AX61" s="243"/>
      <c r="AY61" s="243"/>
      <c r="AZ61" s="243"/>
      <c r="BA61" s="243"/>
      <c r="BB61" s="243"/>
      <c r="BC61" s="14"/>
      <c r="BG61" s="4"/>
      <c r="BH61" s="4"/>
      <c r="BJ61" s="1623"/>
      <c r="BK61" s="1550" t="b">
        <f>AND(BM61&gt;=10,$BA$110&gt;=10,$BB$110&gt;=10)</f>
        <v>1</v>
      </c>
      <c r="BL61" s="1570" t="str">
        <f>IF(BK61=TRUE,"O K","OVERLOAD")</f>
        <v>O K</v>
      </c>
      <c r="BM61" s="1571">
        <f>+$D$20/(BO25)</f>
        <v>33.970276008492569</v>
      </c>
      <c r="BN61" s="1667" t="s">
        <v>233</v>
      </c>
      <c r="BO61" s="1668">
        <v>-10</v>
      </c>
      <c r="BP61" s="1668">
        <v>-9</v>
      </c>
      <c r="BQ61" s="1668">
        <v>-8</v>
      </c>
      <c r="BR61" s="1668">
        <v>-7</v>
      </c>
      <c r="BS61" s="1668">
        <v>-6</v>
      </c>
      <c r="BT61" s="1668">
        <v>-5</v>
      </c>
      <c r="BU61" s="1668">
        <v>-4</v>
      </c>
      <c r="BV61" s="1668">
        <v>-3</v>
      </c>
      <c r="BW61" s="1668">
        <v>-2</v>
      </c>
      <c r="BX61" s="1668">
        <v>-1</v>
      </c>
      <c r="BY61" s="1668">
        <v>0</v>
      </c>
      <c r="BZ61" s="1668">
        <v>1</v>
      </c>
      <c r="CA61" s="1668">
        <v>2</v>
      </c>
      <c r="CB61" s="1668">
        <v>3</v>
      </c>
      <c r="CC61" s="1668">
        <v>4</v>
      </c>
      <c r="CD61" s="1668">
        <v>5</v>
      </c>
      <c r="CE61" s="1668">
        <v>6</v>
      </c>
      <c r="CF61" s="1668">
        <v>7</v>
      </c>
      <c r="CG61" s="1668">
        <v>8</v>
      </c>
      <c r="CH61" s="1668">
        <v>9</v>
      </c>
      <c r="CI61" s="1669">
        <v>10</v>
      </c>
      <c r="CJ61" s="1668">
        <v>11</v>
      </c>
      <c r="CK61" s="1668">
        <v>12</v>
      </c>
      <c r="CL61" s="1668">
        <v>13</v>
      </c>
      <c r="CM61" s="1668">
        <v>14</v>
      </c>
      <c r="CN61" s="1668">
        <v>15</v>
      </c>
      <c r="CO61" s="1668">
        <v>16</v>
      </c>
      <c r="CP61" s="1668">
        <v>17</v>
      </c>
      <c r="CQ61" s="1668">
        <v>18</v>
      </c>
      <c r="CR61" s="1668">
        <v>19</v>
      </c>
      <c r="CS61" s="1668">
        <v>20</v>
      </c>
      <c r="CT61" s="1668">
        <v>21</v>
      </c>
      <c r="CU61" s="1668">
        <v>22</v>
      </c>
      <c r="CV61" s="1668">
        <v>23</v>
      </c>
      <c r="CW61" s="1668">
        <v>24</v>
      </c>
      <c r="CX61" s="1668">
        <v>25</v>
      </c>
      <c r="CY61" s="1670">
        <v>26</v>
      </c>
      <c r="CZ61" s="1557"/>
      <c r="DA61" s="1557"/>
      <c r="DB61" s="1557"/>
    </row>
    <row r="62" spans="2:106" ht="30.6" thickBot="1" x14ac:dyDescent="0.45">
      <c r="D62" s="85"/>
      <c r="E62" s="85"/>
      <c r="F62" s="85"/>
      <c r="G62" s="85"/>
      <c r="H62" s="243"/>
      <c r="I62" s="243"/>
      <c r="J62" s="243"/>
      <c r="K62" s="243"/>
      <c r="L62" s="243"/>
      <c r="M62" s="243"/>
      <c r="N62" s="243"/>
      <c r="O62" s="243"/>
      <c r="P62" s="243"/>
      <c r="Q62" s="243"/>
      <c r="R62" s="243"/>
      <c r="S62" s="243"/>
      <c r="T62" s="243"/>
      <c r="U62" s="86"/>
      <c r="V62" s="243"/>
      <c r="W62" s="243"/>
      <c r="X62" s="243"/>
      <c r="Y62" s="243"/>
      <c r="Z62" s="243"/>
      <c r="AA62" s="243"/>
      <c r="AB62" s="86"/>
      <c r="AC62" s="86"/>
      <c r="AD62" s="86"/>
      <c r="AE62" s="86"/>
      <c r="AF62" s="243"/>
      <c r="AG62" s="243"/>
      <c r="AH62" s="243"/>
      <c r="AI62" s="243"/>
      <c r="AJ62" s="243"/>
      <c r="AK62" s="243"/>
      <c r="AL62" s="243"/>
      <c r="AM62" s="243"/>
      <c r="AN62" s="243"/>
      <c r="AO62" s="243"/>
      <c r="AP62" s="243"/>
      <c r="AQ62" s="243"/>
      <c r="AR62" s="243"/>
      <c r="AS62" s="243"/>
      <c r="AT62" s="243"/>
      <c r="AU62" s="243"/>
      <c r="AV62" s="243"/>
      <c r="AW62" s="243"/>
      <c r="AX62" s="243"/>
      <c r="AY62" s="243"/>
      <c r="AZ62" s="243"/>
      <c r="BA62" s="243"/>
      <c r="BB62" s="243"/>
      <c r="BC62" s="14"/>
      <c r="BG62" s="4"/>
      <c r="BH62" s="4"/>
      <c r="BJ62" s="1623"/>
      <c r="BL62" s="1874"/>
      <c r="BM62" s="1875"/>
      <c r="BN62" s="1553"/>
      <c r="BO62" s="1873"/>
      <c r="BP62" s="1873"/>
      <c r="BQ62" s="1873"/>
      <c r="BR62" s="1873"/>
      <c r="BS62" s="1873"/>
      <c r="BT62" s="1873"/>
      <c r="BU62" s="1873"/>
      <c r="BV62" s="1873"/>
      <c r="BW62" s="1873"/>
      <c r="BX62" s="1873"/>
      <c r="BY62" s="1873"/>
      <c r="BZ62" s="1873"/>
      <c r="CA62" s="1873"/>
      <c r="CB62" s="1873"/>
      <c r="CC62" s="1873"/>
      <c r="CD62" s="1873"/>
      <c r="CE62" s="1873"/>
      <c r="CF62" s="1873"/>
      <c r="CG62" s="1873"/>
      <c r="CH62" s="1873"/>
      <c r="CI62" s="1873"/>
      <c r="CJ62" s="1873"/>
      <c r="CK62" s="1873"/>
      <c r="CL62" s="1873"/>
      <c r="CM62" s="1873"/>
      <c r="CN62" s="1873"/>
      <c r="CO62" s="1873"/>
      <c r="CP62" s="1873"/>
      <c r="CQ62" s="1873"/>
      <c r="CR62" s="1873"/>
      <c r="CS62" s="1873"/>
      <c r="CT62" s="1873"/>
      <c r="CU62" s="1873"/>
      <c r="CV62" s="1873"/>
      <c r="CW62" s="1873"/>
      <c r="CX62" s="1873"/>
      <c r="CY62" s="1873"/>
      <c r="CZ62" s="1557"/>
      <c r="DA62" s="1557"/>
      <c r="DB62" s="1557"/>
    </row>
    <row r="63" spans="2:106" ht="21" hidden="1" x14ac:dyDescent="0.4">
      <c r="B63" s="84"/>
      <c r="C63" s="84"/>
      <c r="D63" s="85"/>
      <c r="E63" s="85"/>
      <c r="F63" s="85"/>
      <c r="G63" s="85"/>
      <c r="H63" s="243"/>
      <c r="I63" s="243"/>
      <c r="J63" s="243"/>
      <c r="K63" s="243"/>
      <c r="L63" s="243"/>
      <c r="M63" s="243"/>
      <c r="N63" s="243"/>
      <c r="O63" s="243"/>
      <c r="P63" s="243"/>
      <c r="Q63" s="243"/>
      <c r="R63" s="243"/>
      <c r="S63" s="243"/>
      <c r="T63" s="243"/>
      <c r="U63" s="86"/>
      <c r="V63" s="243"/>
      <c r="W63" s="243"/>
      <c r="X63" s="243"/>
      <c r="Y63" s="243"/>
      <c r="Z63" s="243"/>
      <c r="AA63" s="243"/>
      <c r="AB63" s="86"/>
      <c r="AC63" s="86"/>
      <c r="AD63" s="86"/>
      <c r="AE63" s="86"/>
      <c r="AF63" s="243"/>
      <c r="AG63" s="243"/>
      <c r="AH63" s="243"/>
      <c r="AI63" s="243"/>
      <c r="AJ63" s="243"/>
      <c r="AK63" s="243"/>
      <c r="AL63" s="243"/>
      <c r="AM63" s="243"/>
      <c r="AN63" s="243"/>
      <c r="AO63" s="243"/>
      <c r="AP63" s="243"/>
      <c r="AQ63" s="243"/>
      <c r="AR63" s="243"/>
      <c r="AS63" s="243"/>
      <c r="AT63" s="243"/>
      <c r="AU63" s="243"/>
      <c r="AV63" s="243"/>
      <c r="AW63" s="243"/>
      <c r="AX63" s="243"/>
      <c r="AY63" s="243"/>
      <c r="AZ63" s="243"/>
      <c r="BA63" s="243"/>
      <c r="BB63" s="243"/>
      <c r="BC63" s="14"/>
      <c r="BG63" s="4"/>
      <c r="BH63" s="4"/>
      <c r="BJ63" s="1623"/>
      <c r="BK63" s="1623"/>
      <c r="BL63" s="1623"/>
      <c r="BN63" s="1557"/>
      <c r="BO63" s="1671">
        <v>1</v>
      </c>
      <c r="BP63" s="1671">
        <v>2</v>
      </c>
      <c r="BQ63" s="1671">
        <v>3</v>
      </c>
      <c r="BR63" s="1671">
        <v>4</v>
      </c>
      <c r="BS63" s="1671">
        <v>5</v>
      </c>
      <c r="BT63" s="1671">
        <v>6</v>
      </c>
      <c r="BU63" s="1671">
        <v>7</v>
      </c>
      <c r="BV63" s="1671">
        <v>8</v>
      </c>
      <c r="BW63" s="1671">
        <v>9</v>
      </c>
      <c r="BX63" s="1671">
        <v>10</v>
      </c>
      <c r="BY63" s="1671">
        <v>11</v>
      </c>
      <c r="BZ63" s="1671">
        <v>12</v>
      </c>
      <c r="CA63" s="1671">
        <v>13</v>
      </c>
      <c r="CB63" s="1671">
        <v>14</v>
      </c>
      <c r="CC63" s="1671">
        <v>15</v>
      </c>
      <c r="CD63" s="1671">
        <v>16</v>
      </c>
      <c r="CE63" s="1671">
        <v>17</v>
      </c>
      <c r="CF63" s="1671">
        <v>18</v>
      </c>
      <c r="CG63" s="1671">
        <v>19</v>
      </c>
      <c r="CH63" s="1671">
        <v>20</v>
      </c>
      <c r="CI63" s="1671">
        <v>21</v>
      </c>
      <c r="CJ63" s="1671">
        <v>22</v>
      </c>
      <c r="CK63" s="1671">
        <v>23</v>
      </c>
      <c r="CL63" s="1671">
        <v>24</v>
      </c>
      <c r="CM63" s="1671">
        <v>25</v>
      </c>
      <c r="CN63" s="1671">
        <v>26</v>
      </c>
      <c r="CO63" s="1671">
        <v>27</v>
      </c>
      <c r="CP63" s="1671">
        <v>28</v>
      </c>
      <c r="CQ63" s="1671">
        <v>29</v>
      </c>
      <c r="CR63" s="1671">
        <v>30</v>
      </c>
      <c r="CS63" s="1671">
        <v>31</v>
      </c>
      <c r="CT63" s="1671">
        <v>32</v>
      </c>
      <c r="CU63" s="1671">
        <v>33</v>
      </c>
      <c r="CV63" s="1671">
        <v>34</v>
      </c>
      <c r="CW63" s="1671">
        <v>35</v>
      </c>
      <c r="CX63" s="1671">
        <v>36</v>
      </c>
      <c r="CY63" s="1671">
        <v>37</v>
      </c>
      <c r="CZ63" s="1671"/>
      <c r="DA63" s="1557"/>
      <c r="DB63" s="1557"/>
    </row>
    <row r="64" spans="2:106" ht="23.4" hidden="1" thickBot="1" x14ac:dyDescent="0.45">
      <c r="B64" s="84"/>
      <c r="C64" s="84"/>
      <c r="D64" s="85"/>
      <c r="E64" s="85"/>
      <c r="F64" s="85"/>
      <c r="G64" s="85"/>
      <c r="H64" s="243"/>
      <c r="I64" s="243"/>
      <c r="J64" s="243"/>
      <c r="K64" s="243"/>
      <c r="L64" s="243"/>
      <c r="M64" s="243"/>
      <c r="N64" s="243"/>
      <c r="O64" s="243"/>
      <c r="P64" s="243"/>
      <c r="Q64" s="243"/>
      <c r="R64" s="243"/>
      <c r="S64" s="243"/>
      <c r="T64" s="243"/>
      <c r="U64" s="86"/>
      <c r="V64" s="243"/>
      <c r="W64" s="243"/>
      <c r="X64" s="243"/>
      <c r="Y64" s="243"/>
      <c r="Z64" s="243"/>
      <c r="AA64" s="243"/>
      <c r="AB64" s="86"/>
      <c r="AC64" s="86"/>
      <c r="AD64" s="86"/>
      <c r="AE64" s="86"/>
      <c r="AF64" s="243"/>
      <c r="AG64" s="243"/>
      <c r="AH64" s="243"/>
      <c r="AI64" s="243"/>
      <c r="AJ64" s="243"/>
      <c r="AK64" s="243"/>
      <c r="AL64" s="243"/>
      <c r="AM64" s="243"/>
      <c r="AN64" s="243"/>
      <c r="AO64" s="243"/>
      <c r="AP64" s="243"/>
      <c r="AQ64" s="243"/>
      <c r="AR64" s="243"/>
      <c r="AS64" s="243"/>
      <c r="AT64" s="243"/>
      <c r="AU64" s="243"/>
      <c r="AV64" s="243"/>
      <c r="AW64" s="243"/>
      <c r="AX64" s="243"/>
      <c r="AY64" s="243"/>
      <c r="AZ64" s="243"/>
      <c r="BA64" s="243"/>
      <c r="BB64" s="243"/>
      <c r="BC64" s="14"/>
      <c r="BG64" s="4"/>
      <c r="BH64" s="4"/>
      <c r="BL64" s="1577"/>
      <c r="BM64" s="1601"/>
      <c r="BN64" s="1672"/>
      <c r="BO64" s="1673"/>
      <c r="BP64" s="1673"/>
      <c r="BQ64" s="1673"/>
      <c r="BR64" s="1673"/>
      <c r="BS64" s="1673"/>
      <c r="BT64" s="1673"/>
      <c r="BU64" s="1673"/>
      <c r="BV64" s="1673"/>
      <c r="BW64" s="1603"/>
      <c r="BX64" s="1603"/>
      <c r="BY64" s="1604"/>
      <c r="BZ64" s="1604"/>
      <c r="CA64" s="1604"/>
      <c r="CB64" s="1604"/>
      <c r="CC64" s="1604"/>
      <c r="CD64" s="1604"/>
      <c r="CE64" s="1604"/>
      <c r="CF64" s="1604"/>
      <c r="CG64" s="1604"/>
      <c r="CH64" s="1604"/>
      <c r="CI64" s="1604"/>
      <c r="CJ64" s="1604"/>
      <c r="CK64" s="1604"/>
      <c r="CL64" s="1605"/>
      <c r="CM64" s="1606"/>
      <c r="CN64" s="1606"/>
      <c r="CO64" s="1606"/>
      <c r="CP64" s="1606"/>
      <c r="CQ64" s="1600"/>
      <c r="CR64" s="1600"/>
      <c r="CS64" s="1600"/>
      <c r="CT64" s="1600"/>
      <c r="CU64" s="1600"/>
      <c r="CV64" s="1600"/>
      <c r="CW64" s="1600"/>
      <c r="CX64" s="1600"/>
      <c r="CY64" s="1600"/>
      <c r="CZ64" s="1600"/>
      <c r="DA64" s="1624"/>
      <c r="DB64" s="1557"/>
    </row>
    <row r="65" spans="2:142" ht="23.4" hidden="1" thickBot="1" x14ac:dyDescent="0.45">
      <c r="B65" s="266"/>
      <c r="E65" s="85"/>
      <c r="F65" s="85"/>
      <c r="G65" s="85"/>
      <c r="H65" s="243"/>
      <c r="I65" s="243"/>
      <c r="J65" s="243"/>
      <c r="K65" s="243"/>
      <c r="L65" s="243"/>
      <c r="M65" s="243"/>
      <c r="N65" s="243"/>
      <c r="O65" s="243"/>
      <c r="P65" s="243"/>
      <c r="Q65" s="243"/>
      <c r="R65" s="243"/>
      <c r="S65" s="243"/>
      <c r="T65" s="243"/>
      <c r="U65" s="86"/>
      <c r="V65" s="243"/>
      <c r="W65" s="243"/>
      <c r="X65" s="243"/>
      <c r="Y65" s="243"/>
      <c r="Z65" s="243"/>
      <c r="AA65" s="243"/>
      <c r="AB65" s="86"/>
      <c r="AC65" s="86"/>
      <c r="AD65" s="86"/>
      <c r="AE65" s="86"/>
      <c r="AF65" s="243"/>
      <c r="AG65" s="243"/>
      <c r="AH65" s="243"/>
      <c r="AI65" s="243"/>
      <c r="AJ65" s="243"/>
      <c r="AK65" s="243"/>
      <c r="AL65" s="243"/>
      <c r="AM65" s="243"/>
      <c r="AN65" s="243"/>
      <c r="AO65" s="243"/>
      <c r="AP65" s="243"/>
      <c r="AQ65" s="243"/>
      <c r="AR65" s="243"/>
      <c r="AS65" s="243"/>
      <c r="AT65" s="243"/>
      <c r="AU65" s="243"/>
      <c r="AV65" s="243"/>
      <c r="AW65" s="243"/>
      <c r="AX65" s="243"/>
      <c r="AY65" s="243"/>
      <c r="AZ65" s="243"/>
      <c r="BA65" s="243"/>
      <c r="BB65" s="243"/>
      <c r="BC65" s="14"/>
      <c r="BG65" s="4"/>
      <c r="BH65" s="4"/>
      <c r="BL65" s="1577"/>
      <c r="BM65" s="1601"/>
      <c r="BN65" s="1672">
        <v>36</v>
      </c>
      <c r="BO65" s="1673"/>
      <c r="BP65" s="1673"/>
      <c r="BQ65" s="1673"/>
      <c r="BR65" s="1673"/>
      <c r="BS65" s="1673"/>
      <c r="BT65" s="1673"/>
      <c r="BU65" s="1673"/>
      <c r="BV65" s="1673"/>
      <c r="BW65" s="1603"/>
      <c r="BX65" s="1603"/>
      <c r="BY65" s="1604"/>
      <c r="BZ65" s="1604"/>
      <c r="CA65" s="1604"/>
      <c r="CB65" s="1604"/>
      <c r="CC65" s="1604"/>
      <c r="CD65" s="1604"/>
      <c r="CE65" s="1604"/>
      <c r="CF65" s="1674"/>
      <c r="CG65" s="1675"/>
      <c r="CH65" s="1676"/>
      <c r="CI65" s="1604"/>
      <c r="CJ65" s="1604"/>
      <c r="CK65" s="1604"/>
      <c r="CL65" s="1605"/>
      <c r="CM65" s="1606"/>
      <c r="CN65" s="1606"/>
      <c r="CO65" s="1606"/>
      <c r="CP65" s="1606"/>
      <c r="CQ65" s="1600"/>
      <c r="CR65" s="1600"/>
      <c r="CS65" s="1600"/>
      <c r="CT65" s="1600"/>
      <c r="CU65" s="1600"/>
      <c r="CV65" s="1600"/>
      <c r="CW65" s="1677" t="b">
        <f>IF(CX57=36,35)</f>
        <v>0</v>
      </c>
      <c r="CX65" s="1678"/>
      <c r="CY65" s="1634" t="b">
        <f>IF(CX57=36,37)</f>
        <v>0</v>
      </c>
      <c r="CZ65" s="1600"/>
      <c r="DA65" s="1624"/>
      <c r="DB65" s="1557"/>
    </row>
    <row r="66" spans="2:142" ht="23.4" hidden="1" thickBot="1" x14ac:dyDescent="0.45">
      <c r="B66" s="84"/>
      <c r="C66" s="84"/>
      <c r="D66" s="85"/>
      <c r="E66" s="85"/>
      <c r="F66" s="85"/>
      <c r="G66" s="85"/>
      <c r="H66" s="243"/>
      <c r="I66" s="243"/>
      <c r="J66" s="243"/>
      <c r="K66" s="243"/>
      <c r="L66" s="243"/>
      <c r="M66" s="243"/>
      <c r="N66" s="243"/>
      <c r="O66" s="243"/>
      <c r="P66" s="243"/>
      <c r="Q66" s="243"/>
      <c r="R66" s="243"/>
      <c r="S66" s="243"/>
      <c r="T66" s="243"/>
      <c r="U66" s="86"/>
      <c r="V66" s="243"/>
      <c r="W66" s="243"/>
      <c r="X66" s="243"/>
      <c r="Y66" s="243"/>
      <c r="Z66" s="243"/>
      <c r="AA66" s="243"/>
      <c r="AB66" s="86"/>
      <c r="AC66" s="86"/>
      <c r="AD66" s="86"/>
      <c r="AE66" s="86"/>
      <c r="AF66" s="243"/>
      <c r="AG66" s="243"/>
      <c r="AH66" s="243"/>
      <c r="AI66" s="243"/>
      <c r="AJ66" s="243"/>
      <c r="AK66" s="243"/>
      <c r="AL66" s="243"/>
      <c r="AM66" s="243"/>
      <c r="AN66" s="243"/>
      <c r="AO66" s="243"/>
      <c r="AP66" s="243"/>
      <c r="AQ66" s="243"/>
      <c r="AR66" s="243"/>
      <c r="AS66" s="243"/>
      <c r="AT66" s="243"/>
      <c r="AU66" s="243"/>
      <c r="AV66" s="243"/>
      <c r="AW66" s="243"/>
      <c r="AX66" s="243"/>
      <c r="AY66" s="243"/>
      <c r="AZ66" s="243"/>
      <c r="BA66" s="243"/>
      <c r="BB66" s="243"/>
      <c r="BC66" s="14"/>
      <c r="BG66" s="4"/>
      <c r="BH66" s="4"/>
      <c r="BL66" s="1577"/>
      <c r="BM66" s="1601"/>
      <c r="BN66" s="1672">
        <v>35</v>
      </c>
      <c r="BO66" s="1673"/>
      <c r="BP66" s="1673"/>
      <c r="BQ66" s="1673"/>
      <c r="BR66" s="1673"/>
      <c r="BS66" s="1673"/>
      <c r="BT66" s="1673"/>
      <c r="BU66" s="1673"/>
      <c r="BV66" s="1673"/>
      <c r="BW66" s="1603"/>
      <c r="BX66" s="1603"/>
      <c r="BY66" s="1604"/>
      <c r="BZ66" s="1604"/>
      <c r="CA66" s="1604"/>
      <c r="CB66" s="1604"/>
      <c r="CC66" s="1604"/>
      <c r="CD66" s="1604"/>
      <c r="CE66" s="1604"/>
      <c r="CF66" s="1679"/>
      <c r="CG66" s="1604"/>
      <c r="CH66" s="1680"/>
      <c r="CI66" s="1604"/>
      <c r="CJ66" s="1604"/>
      <c r="CK66" s="1604"/>
      <c r="CL66" s="1605"/>
      <c r="CM66" s="1606"/>
      <c r="CN66" s="1606"/>
      <c r="CO66" s="1606"/>
      <c r="CP66" s="1606"/>
      <c r="CQ66" s="1600"/>
      <c r="CR66" s="1600"/>
      <c r="CS66" s="1600"/>
      <c r="CT66" s="1600"/>
      <c r="CU66" s="1677" t="b">
        <f>IF(CW57=35,33)</f>
        <v>0</v>
      </c>
      <c r="CV66" s="1678"/>
      <c r="CW66" s="1678"/>
      <c r="CX66" s="1678"/>
      <c r="CY66" s="1634" t="b">
        <f>IF(CW57=35,37)</f>
        <v>0</v>
      </c>
      <c r="CZ66" s="1600"/>
      <c r="DA66" s="1624"/>
      <c r="DB66" s="1557"/>
    </row>
    <row r="67" spans="2:142" ht="23.4" hidden="1" thickBot="1" x14ac:dyDescent="0.45">
      <c r="B67" s="85"/>
      <c r="C67" s="85"/>
      <c r="D67" s="85"/>
      <c r="E67" s="85"/>
      <c r="F67" s="85"/>
      <c r="G67" s="85"/>
      <c r="H67" s="243"/>
      <c r="I67" s="243"/>
      <c r="J67" s="243"/>
      <c r="K67" s="243"/>
      <c r="L67" s="243"/>
      <c r="M67" s="243"/>
      <c r="N67" s="243"/>
      <c r="O67" s="243"/>
      <c r="P67" s="243"/>
      <c r="Q67" s="243"/>
      <c r="R67" s="243"/>
      <c r="S67" s="243"/>
      <c r="T67" s="243"/>
      <c r="U67" s="86"/>
      <c r="V67" s="243"/>
      <c r="W67" s="243"/>
      <c r="X67" s="243"/>
      <c r="Y67" s="243"/>
      <c r="Z67" s="243"/>
      <c r="AA67" s="243"/>
      <c r="AB67" s="86"/>
      <c r="AC67" s="86"/>
      <c r="AD67" s="86"/>
      <c r="AE67" s="86"/>
      <c r="AF67" s="243"/>
      <c r="AG67" s="243"/>
      <c r="AH67" s="243"/>
      <c r="AI67" s="243"/>
      <c r="AJ67" s="243"/>
      <c r="AK67" s="243"/>
      <c r="AL67" s="243"/>
      <c r="AM67" s="243"/>
      <c r="AN67" s="243"/>
      <c r="AO67" s="243"/>
      <c r="AP67" s="243"/>
      <c r="AQ67" s="243"/>
      <c r="AR67" s="243"/>
      <c r="AS67" s="243"/>
      <c r="AT67" s="243"/>
      <c r="AU67" s="243"/>
      <c r="AV67" s="243"/>
      <c r="AW67" s="243"/>
      <c r="AX67" s="243"/>
      <c r="AY67" s="243"/>
      <c r="AZ67" s="243"/>
      <c r="BA67" s="243"/>
      <c r="BB67" s="243"/>
      <c r="BC67" s="14"/>
      <c r="BG67" s="4"/>
      <c r="BH67" s="4"/>
      <c r="BL67" s="1577"/>
      <c r="BM67" s="1601"/>
      <c r="BN67" s="1672">
        <v>34</v>
      </c>
      <c r="BO67" s="1673"/>
      <c r="BP67" s="1673"/>
      <c r="BQ67" s="1673"/>
      <c r="BR67" s="1673"/>
      <c r="BS67" s="1673"/>
      <c r="BT67" s="1673"/>
      <c r="BU67" s="1673"/>
      <c r="BV67" s="1673"/>
      <c r="BW67" s="1603"/>
      <c r="BX67" s="1603"/>
      <c r="BY67" s="1604"/>
      <c r="BZ67" s="1604"/>
      <c r="CA67" s="1604"/>
      <c r="CB67" s="1604"/>
      <c r="CC67" s="1604"/>
      <c r="CD67" s="1604"/>
      <c r="CE67" s="1604"/>
      <c r="CF67" s="1679"/>
      <c r="CG67" s="1604"/>
      <c r="CH67" s="1680"/>
      <c r="CI67" s="1604"/>
      <c r="CJ67" s="1604"/>
      <c r="CK67" s="1604"/>
      <c r="CL67" s="1605"/>
      <c r="CM67" s="1606"/>
      <c r="CN67" s="1606"/>
      <c r="CO67" s="1606"/>
      <c r="CP67" s="1606"/>
      <c r="CQ67" s="1600"/>
      <c r="CR67" s="1600"/>
      <c r="CS67" s="1677" t="b">
        <f>IF(CV57=34,31)</f>
        <v>0</v>
      </c>
      <c r="CT67" s="1678"/>
      <c r="CU67" s="1678"/>
      <c r="CV67" s="1678"/>
      <c r="CW67" s="1678"/>
      <c r="CX67" s="1678"/>
      <c r="CY67" s="1634" t="b">
        <f>IF(CV57=34,37)</f>
        <v>0</v>
      </c>
      <c r="CZ67" s="1600"/>
      <c r="DA67" s="1624"/>
      <c r="DB67" s="1557"/>
    </row>
    <row r="68" spans="2:142" ht="23.4" hidden="1" thickBot="1" x14ac:dyDescent="0.45">
      <c r="B68" s="85"/>
      <c r="C68" s="85"/>
      <c r="D68" s="85"/>
      <c r="E68" s="85"/>
      <c r="F68" s="85"/>
      <c r="G68" s="85"/>
      <c r="H68" s="243"/>
      <c r="I68" s="243"/>
      <c r="J68" s="243"/>
      <c r="K68" s="243"/>
      <c r="L68" s="243"/>
      <c r="M68" s="243"/>
      <c r="N68" s="243"/>
      <c r="O68" s="243"/>
      <c r="P68" s="243"/>
      <c r="Q68" s="243"/>
      <c r="R68" s="243"/>
      <c r="S68" s="243"/>
      <c r="T68" s="243"/>
      <c r="U68" s="86"/>
      <c r="V68" s="243"/>
      <c r="W68" s="243"/>
      <c r="X68" s="243"/>
      <c r="Y68" s="243"/>
      <c r="Z68" s="243"/>
      <c r="AA68" s="243"/>
      <c r="AB68" s="86"/>
      <c r="AC68" s="86"/>
      <c r="AD68" s="86"/>
      <c r="AE68" s="86"/>
      <c r="AF68" s="243"/>
      <c r="AG68" s="243"/>
      <c r="AH68" s="243"/>
      <c r="AI68" s="243"/>
      <c r="AJ68" s="243"/>
      <c r="AK68" s="243"/>
      <c r="AL68" s="243"/>
      <c r="AM68" s="243"/>
      <c r="AN68" s="243"/>
      <c r="AO68" s="243"/>
      <c r="AP68" s="243"/>
      <c r="AQ68" s="243"/>
      <c r="AR68" s="243"/>
      <c r="AS68" s="243"/>
      <c r="AT68" s="243"/>
      <c r="AU68" s="243"/>
      <c r="AV68" s="243"/>
      <c r="AW68" s="243"/>
      <c r="AX68" s="243"/>
      <c r="AY68" s="243"/>
      <c r="AZ68" s="243"/>
      <c r="BA68" s="243"/>
      <c r="BB68" s="243"/>
      <c r="BC68" s="14"/>
      <c r="BF68" s="39"/>
      <c r="BG68" s="40"/>
      <c r="BH68" s="40"/>
      <c r="BI68" s="4"/>
      <c r="BL68" s="1577"/>
      <c r="BM68" s="1601"/>
      <c r="BN68" s="1672">
        <v>33</v>
      </c>
      <c r="BO68" s="1673"/>
      <c r="BP68" s="1673"/>
      <c r="BQ68" s="1673"/>
      <c r="BR68" s="1673"/>
      <c r="BS68" s="1673"/>
      <c r="BT68" s="1673"/>
      <c r="BU68" s="1673"/>
      <c r="BV68" s="1673"/>
      <c r="BW68" s="1603"/>
      <c r="BX68" s="1603"/>
      <c r="BY68" s="1604"/>
      <c r="BZ68" s="1604"/>
      <c r="CA68" s="1604"/>
      <c r="CB68" s="1604"/>
      <c r="CC68" s="1604"/>
      <c r="CD68" s="1604"/>
      <c r="CE68" s="1604"/>
      <c r="CF68" s="1679"/>
      <c r="CG68" s="1604"/>
      <c r="CH68" s="1680"/>
      <c r="CI68" s="1604"/>
      <c r="CJ68" s="1604"/>
      <c r="CK68" s="1604"/>
      <c r="CL68" s="1605"/>
      <c r="CM68" s="1606"/>
      <c r="CN68" s="1606"/>
      <c r="CO68" s="1606"/>
      <c r="CP68" s="1606"/>
      <c r="CQ68" s="1677" t="b">
        <f>IF(CU57=33,29)</f>
        <v>0</v>
      </c>
      <c r="CR68" s="1678"/>
      <c r="CS68" s="1678"/>
      <c r="CT68" s="1678"/>
      <c r="CU68" s="1678"/>
      <c r="CV68" s="1678"/>
      <c r="CW68" s="1678"/>
      <c r="CX68" s="1678"/>
      <c r="CY68" s="1634" t="b">
        <f>IF(CU57=33,37)</f>
        <v>0</v>
      </c>
      <c r="CZ68" s="1600"/>
      <c r="DA68" s="1624"/>
      <c r="DB68" s="1557"/>
    </row>
    <row r="69" spans="2:142" ht="21.6" hidden="1" thickBot="1" x14ac:dyDescent="0.45">
      <c r="B69" s="85"/>
      <c r="C69" s="85"/>
      <c r="D69" s="85"/>
      <c r="E69" s="85"/>
      <c r="F69" s="85"/>
      <c r="G69" s="85"/>
      <c r="H69" s="243"/>
      <c r="I69" s="243"/>
      <c r="J69" s="243"/>
      <c r="K69" s="243"/>
      <c r="L69" s="243"/>
      <c r="M69" s="243"/>
      <c r="N69" s="243"/>
      <c r="O69" s="243"/>
      <c r="P69" s="243"/>
      <c r="Q69" s="243"/>
      <c r="R69" s="243"/>
      <c r="S69" s="243"/>
      <c r="T69" s="243"/>
      <c r="U69" s="86"/>
      <c r="V69" s="243"/>
      <c r="W69" s="243"/>
      <c r="X69" s="243"/>
      <c r="Y69" s="243"/>
      <c r="Z69" s="243"/>
      <c r="AA69" s="243"/>
      <c r="AB69" s="86"/>
      <c r="AC69" s="86"/>
      <c r="AD69" s="86"/>
      <c r="AE69" s="86"/>
      <c r="AF69" s="243"/>
      <c r="AG69" s="243"/>
      <c r="AH69" s="243"/>
      <c r="AI69" s="243"/>
      <c r="AJ69" s="243"/>
      <c r="AK69" s="243"/>
      <c r="AL69" s="243"/>
      <c r="AM69" s="243"/>
      <c r="AN69" s="243"/>
      <c r="AO69" s="243"/>
      <c r="AP69" s="243"/>
      <c r="AQ69" s="243"/>
      <c r="AR69" s="243"/>
      <c r="AS69" s="243"/>
      <c r="AT69" s="243"/>
      <c r="AU69" s="243"/>
      <c r="AV69" s="243"/>
      <c r="AW69" s="243"/>
      <c r="AX69" s="243"/>
      <c r="AY69" s="243"/>
      <c r="AZ69" s="243"/>
      <c r="BA69" s="243"/>
      <c r="BB69" s="243"/>
      <c r="BC69" s="14"/>
      <c r="BF69" s="39"/>
      <c r="BG69" s="40"/>
      <c r="BH69" s="40"/>
      <c r="BI69" s="4"/>
      <c r="BL69" s="1577"/>
      <c r="BM69" s="1551"/>
      <c r="BN69" s="1672">
        <v>32</v>
      </c>
      <c r="BO69" s="1644"/>
      <c r="BP69" s="1644"/>
      <c r="BQ69" s="1644"/>
      <c r="BR69" s="1644"/>
      <c r="BS69" s="1644"/>
      <c r="BT69" s="1655"/>
      <c r="BU69" s="1644"/>
      <c r="BV69" s="1644"/>
      <c r="BW69" s="1644"/>
      <c r="BX69" s="1644"/>
      <c r="BY69" s="1644"/>
      <c r="BZ69" s="1644"/>
      <c r="CA69" s="1644"/>
      <c r="CB69" s="1644"/>
      <c r="CC69" s="1644"/>
      <c r="CD69" s="1644"/>
      <c r="CE69" s="1644"/>
      <c r="CF69" s="1681"/>
      <c r="CG69" s="1644"/>
      <c r="CH69" s="1682"/>
      <c r="CI69" s="1644"/>
      <c r="CJ69" s="1644"/>
      <c r="CK69" s="1644"/>
      <c r="CL69" s="1655"/>
      <c r="CM69" s="1557"/>
      <c r="CN69" s="1557"/>
      <c r="CO69" s="1677" t="b">
        <f>IF(CT57=32,27)</f>
        <v>0</v>
      </c>
      <c r="CP69" s="1642"/>
      <c r="CQ69" s="1642"/>
      <c r="CR69" s="1642"/>
      <c r="CS69" s="1642"/>
      <c r="CT69" s="1642"/>
      <c r="CU69" s="1642"/>
      <c r="CV69" s="1642"/>
      <c r="CW69" s="1642"/>
      <c r="CX69" s="1642"/>
      <c r="CY69" s="1634" t="b">
        <f>IF(CT57=32,37)</f>
        <v>0</v>
      </c>
      <c r="CZ69" s="1557"/>
      <c r="DA69" s="1557"/>
      <c r="DB69" s="1557"/>
    </row>
    <row r="70" spans="2:142" ht="21.6" hidden="1" thickBot="1" x14ac:dyDescent="0.45">
      <c r="B70" s="85"/>
      <c r="C70" s="85"/>
      <c r="D70" s="85"/>
      <c r="E70" s="85"/>
      <c r="F70" s="85"/>
      <c r="G70" s="85"/>
      <c r="H70" s="243"/>
      <c r="I70" s="243"/>
      <c r="J70" s="243"/>
      <c r="K70" s="243"/>
      <c r="L70" s="243"/>
      <c r="M70" s="243"/>
      <c r="N70" s="243"/>
      <c r="O70" s="243"/>
      <c r="P70" s="243"/>
      <c r="Q70" s="243"/>
      <c r="R70" s="243"/>
      <c r="S70" s="243"/>
      <c r="T70" s="243"/>
      <c r="U70" s="86"/>
      <c r="V70" s="243"/>
      <c r="W70" s="243"/>
      <c r="X70" s="243"/>
      <c r="Y70" s="243"/>
      <c r="Z70" s="243"/>
      <c r="AA70" s="243"/>
      <c r="AB70" s="86"/>
      <c r="AC70" s="86"/>
      <c r="AD70" s="86"/>
      <c r="AE70" s="86"/>
      <c r="AF70" s="243"/>
      <c r="AG70" s="243"/>
      <c r="AH70" s="243"/>
      <c r="AI70" s="243"/>
      <c r="AJ70" s="243"/>
      <c r="AK70" s="243"/>
      <c r="AL70" s="243"/>
      <c r="AM70" s="243"/>
      <c r="AN70" s="243"/>
      <c r="AO70" s="243"/>
      <c r="AP70" s="243"/>
      <c r="AQ70" s="243"/>
      <c r="AR70" s="243"/>
      <c r="AS70" s="243"/>
      <c r="AT70" s="243"/>
      <c r="AU70" s="243"/>
      <c r="AV70" s="243"/>
      <c r="AW70" s="243"/>
      <c r="AX70" s="243"/>
      <c r="AY70" s="243"/>
      <c r="AZ70" s="243"/>
      <c r="BA70" s="243"/>
      <c r="BB70" s="243"/>
      <c r="BC70" s="14"/>
      <c r="BF70" s="39"/>
      <c r="BG70" s="40"/>
      <c r="BH70" s="40"/>
      <c r="BI70" s="4"/>
      <c r="BL70" s="1577"/>
      <c r="BM70" s="1551"/>
      <c r="BN70" s="1672">
        <v>31</v>
      </c>
      <c r="BO70" s="1644"/>
      <c r="BP70" s="1644"/>
      <c r="BQ70" s="1644"/>
      <c r="BR70" s="1644"/>
      <c r="BS70" s="1644"/>
      <c r="BT70" s="1655"/>
      <c r="BU70" s="1644"/>
      <c r="BV70" s="1644"/>
      <c r="BW70" s="1644"/>
      <c r="BX70" s="1644"/>
      <c r="BY70" s="1644"/>
      <c r="BZ70" s="1644"/>
      <c r="CA70" s="1644"/>
      <c r="CB70" s="1644"/>
      <c r="CC70" s="1644"/>
      <c r="CD70" s="1644"/>
      <c r="CE70" s="1644"/>
      <c r="CF70" s="1681"/>
      <c r="CG70" s="1644"/>
      <c r="CH70" s="1682"/>
      <c r="CI70" s="1644"/>
      <c r="CJ70" s="1644"/>
      <c r="CK70" s="1644"/>
      <c r="CL70" s="1655"/>
      <c r="CM70" s="1677" t="b">
        <f>IF(CS57=31,25)</f>
        <v>0</v>
      </c>
      <c r="CN70" s="1642"/>
      <c r="CO70" s="1642"/>
      <c r="CP70" s="1642"/>
      <c r="CQ70" s="1642"/>
      <c r="CR70" s="1642"/>
      <c r="CS70" s="1642"/>
      <c r="CT70" s="1642"/>
      <c r="CU70" s="1642"/>
      <c r="CV70" s="1642"/>
      <c r="CW70" s="1642"/>
      <c r="CX70" s="1642"/>
      <c r="CY70" s="1634" t="b">
        <f>IF(CS57=31,37)</f>
        <v>0</v>
      </c>
      <c r="CZ70" s="1557"/>
      <c r="DA70" s="1557"/>
      <c r="DB70" s="1557"/>
    </row>
    <row r="71" spans="2:142" ht="21.6" hidden="1" thickBot="1" x14ac:dyDescent="0.45">
      <c r="B71" s="85"/>
      <c r="C71" s="85"/>
      <c r="D71" s="85"/>
      <c r="E71" s="85"/>
      <c r="F71" s="85"/>
      <c r="G71" s="85"/>
      <c r="H71" s="243"/>
      <c r="I71" s="243"/>
      <c r="J71" s="243"/>
      <c r="K71" s="243"/>
      <c r="L71" s="243"/>
      <c r="M71" s="243"/>
      <c r="N71" s="243"/>
      <c r="O71" s="243"/>
      <c r="P71" s="243"/>
      <c r="Q71" s="243"/>
      <c r="R71" s="243"/>
      <c r="S71" s="243"/>
      <c r="T71" s="243"/>
      <c r="U71" s="86"/>
      <c r="V71" s="243"/>
      <c r="W71" s="243"/>
      <c r="X71" s="243"/>
      <c r="Y71" s="243"/>
      <c r="Z71" s="243"/>
      <c r="AA71" s="243"/>
      <c r="AB71" s="86"/>
      <c r="AC71" s="86"/>
      <c r="AD71" s="86"/>
      <c r="AE71" s="86"/>
      <c r="AF71" s="243"/>
      <c r="AG71" s="243"/>
      <c r="AH71" s="243"/>
      <c r="AI71" s="243"/>
      <c r="AJ71" s="243"/>
      <c r="AK71" s="243"/>
      <c r="AL71" s="243"/>
      <c r="AM71" s="243"/>
      <c r="AN71" s="243"/>
      <c r="AO71" s="243"/>
      <c r="AP71" s="243"/>
      <c r="AQ71" s="243"/>
      <c r="AR71" s="243"/>
      <c r="AS71" s="243"/>
      <c r="AT71" s="243"/>
      <c r="AU71" s="243"/>
      <c r="AV71" s="243"/>
      <c r="AW71" s="243"/>
      <c r="AX71" s="243"/>
      <c r="AY71" s="243"/>
      <c r="AZ71" s="243"/>
      <c r="BA71" s="243"/>
      <c r="BB71" s="243"/>
      <c r="BC71" s="14"/>
      <c r="BF71" s="39"/>
      <c r="BG71" s="40"/>
      <c r="BH71" s="40"/>
      <c r="BI71" s="4"/>
      <c r="BL71" s="1577"/>
      <c r="BM71" s="1551"/>
      <c r="BN71" s="1672">
        <v>30</v>
      </c>
      <c r="BO71" s="1644"/>
      <c r="BP71" s="1644"/>
      <c r="BQ71" s="1644"/>
      <c r="BR71" s="1644"/>
      <c r="BS71" s="1644"/>
      <c r="BT71" s="1655"/>
      <c r="BU71" s="1644"/>
      <c r="BV71" s="1644"/>
      <c r="BW71" s="1644"/>
      <c r="BX71" s="1644"/>
      <c r="BY71" s="1644"/>
      <c r="BZ71" s="1644"/>
      <c r="CA71" s="1644"/>
      <c r="CB71" s="1644"/>
      <c r="CC71" s="1644"/>
      <c r="CD71" s="1644"/>
      <c r="CE71" s="1644"/>
      <c r="CF71" s="1681"/>
      <c r="CG71" s="1644"/>
      <c r="CH71" s="1682"/>
      <c r="CI71" s="1644"/>
      <c r="CJ71" s="1644"/>
      <c r="CK71" s="1677" t="b">
        <f>IF(CR57=30,23)</f>
        <v>0</v>
      </c>
      <c r="CL71" s="1683"/>
      <c r="CM71" s="1642"/>
      <c r="CN71" s="1642"/>
      <c r="CO71" s="1642"/>
      <c r="CP71" s="1642"/>
      <c r="CQ71" s="1642"/>
      <c r="CR71" s="1642"/>
      <c r="CS71" s="1642"/>
      <c r="CT71" s="1642"/>
      <c r="CU71" s="1642"/>
      <c r="CV71" s="1642"/>
      <c r="CW71" s="1642"/>
      <c r="CX71" s="1642"/>
      <c r="CY71" s="1634" t="b">
        <f>IF(CR57=30,37)</f>
        <v>0</v>
      </c>
      <c r="CZ71" s="1557"/>
      <c r="DA71" s="1557"/>
      <c r="DB71" s="1557"/>
    </row>
    <row r="72" spans="2:142" ht="21.6" hidden="1" thickBot="1" x14ac:dyDescent="0.45">
      <c r="B72" s="85"/>
      <c r="C72" s="85"/>
      <c r="D72" s="85"/>
      <c r="E72" s="85"/>
      <c r="F72" s="85"/>
      <c r="G72" s="85"/>
      <c r="H72" s="243"/>
      <c r="I72" s="243"/>
      <c r="J72" s="243"/>
      <c r="K72" s="243"/>
      <c r="L72" s="243"/>
      <c r="M72" s="243"/>
      <c r="N72" s="243"/>
      <c r="O72" s="243"/>
      <c r="P72" s="243"/>
      <c r="Q72" s="243"/>
      <c r="R72" s="243"/>
      <c r="S72" s="243"/>
      <c r="T72" s="243"/>
      <c r="U72" s="86"/>
      <c r="V72" s="243"/>
      <c r="W72" s="243"/>
      <c r="X72" s="243"/>
      <c r="Y72" s="243"/>
      <c r="Z72" s="243"/>
      <c r="AA72" s="243"/>
      <c r="AB72" s="86"/>
      <c r="AC72" s="86"/>
      <c r="AD72" s="86"/>
      <c r="AE72" s="86"/>
      <c r="AF72" s="243"/>
      <c r="AG72" s="243"/>
      <c r="AH72" s="243"/>
      <c r="AI72" s="243"/>
      <c r="AJ72" s="243"/>
      <c r="AK72" s="243"/>
      <c r="AL72" s="243"/>
      <c r="AM72" s="243"/>
      <c r="AN72" s="243"/>
      <c r="AO72" s="243"/>
      <c r="AP72" s="243"/>
      <c r="AQ72" s="243"/>
      <c r="AR72" s="243"/>
      <c r="AS72" s="243"/>
      <c r="AT72" s="243"/>
      <c r="AU72" s="243"/>
      <c r="AV72" s="243"/>
      <c r="AW72" s="243"/>
      <c r="AX72" s="243"/>
      <c r="AY72" s="243"/>
      <c r="AZ72" s="243"/>
      <c r="BA72" s="243"/>
      <c r="BB72" s="243"/>
      <c r="BC72" s="14"/>
      <c r="BF72" s="39"/>
      <c r="BG72" s="40"/>
      <c r="BH72" s="40"/>
      <c r="BI72" s="4"/>
      <c r="BL72" s="1577"/>
      <c r="BM72" s="1685"/>
      <c r="BN72" s="1672">
        <v>29</v>
      </c>
      <c r="BO72" s="1557"/>
      <c r="BP72" s="1557"/>
      <c r="BQ72" s="1557"/>
      <c r="BR72" s="1557"/>
      <c r="BS72" s="1557"/>
      <c r="BT72" s="1557"/>
      <c r="BU72" s="1557"/>
      <c r="BV72" s="1557"/>
      <c r="BW72" s="1557"/>
      <c r="BX72" s="1557"/>
      <c r="BY72" s="1557"/>
      <c r="BZ72" s="1557"/>
      <c r="CA72" s="1557"/>
      <c r="CB72" s="1557"/>
      <c r="CC72" s="1557"/>
      <c r="CD72" s="1557"/>
      <c r="CE72" s="1557"/>
      <c r="CF72" s="1686"/>
      <c r="CG72" s="1556"/>
      <c r="CH72" s="1687"/>
      <c r="CI72" s="1632" t="b">
        <f>IF(CQ57=29,21)</f>
        <v>0</v>
      </c>
      <c r="CJ72" s="1642"/>
      <c r="CK72" s="1642"/>
      <c r="CL72" s="1642"/>
      <c r="CM72" s="1642"/>
      <c r="CN72" s="1642"/>
      <c r="CO72" s="1642"/>
      <c r="CP72" s="1641"/>
      <c r="CQ72" s="1642"/>
      <c r="CR72" s="1641"/>
      <c r="CS72" s="1688"/>
      <c r="CT72" s="1688"/>
      <c r="CU72" s="1688"/>
      <c r="CV72" s="1688"/>
      <c r="CW72" s="1688"/>
      <c r="CX72" s="1688"/>
      <c r="CY72" s="1634" t="b">
        <f>IF(CQ57=29,37)</f>
        <v>0</v>
      </c>
      <c r="CZ72" s="1554"/>
      <c r="DA72" s="1557"/>
      <c r="DB72" s="1557"/>
    </row>
    <row r="73" spans="2:142" ht="21.6" hidden="1" thickBot="1" x14ac:dyDescent="0.45">
      <c r="B73" s="85"/>
      <c r="C73" s="85"/>
      <c r="D73" s="85"/>
      <c r="E73" s="85"/>
      <c r="F73" s="85"/>
      <c r="G73" s="85"/>
      <c r="H73" s="243"/>
      <c r="I73" s="243"/>
      <c r="J73" s="243"/>
      <c r="K73" s="243"/>
      <c r="L73" s="243"/>
      <c r="M73" s="243"/>
      <c r="N73" s="243"/>
      <c r="O73" s="243"/>
      <c r="P73" s="243"/>
      <c r="Q73" s="243"/>
      <c r="R73" s="243"/>
      <c r="S73" s="243"/>
      <c r="T73" s="243"/>
      <c r="U73" s="86"/>
      <c r="V73" s="243"/>
      <c r="W73" s="243"/>
      <c r="X73" s="243"/>
      <c r="Y73" s="243"/>
      <c r="Z73" s="243"/>
      <c r="AA73" s="243"/>
      <c r="AB73" s="86"/>
      <c r="AC73" s="86"/>
      <c r="AD73" s="86"/>
      <c r="AE73" s="86"/>
      <c r="AF73" s="243"/>
      <c r="AG73" s="243"/>
      <c r="AH73" s="243"/>
      <c r="AI73" s="243"/>
      <c r="AJ73" s="243"/>
      <c r="AK73" s="243"/>
      <c r="AL73" s="243"/>
      <c r="AM73" s="243"/>
      <c r="AN73" s="243"/>
      <c r="AO73" s="243"/>
      <c r="AP73" s="243"/>
      <c r="AQ73" s="243"/>
      <c r="AR73" s="243"/>
      <c r="AS73" s="243"/>
      <c r="AT73" s="243"/>
      <c r="AU73" s="243"/>
      <c r="AV73" s="243"/>
      <c r="AW73" s="243"/>
      <c r="AX73" s="243"/>
      <c r="AY73" s="243"/>
      <c r="AZ73" s="243"/>
      <c r="BA73" s="243"/>
      <c r="BB73" s="243"/>
      <c r="BC73" s="14"/>
      <c r="BF73" s="39"/>
      <c r="BG73" s="40"/>
      <c r="BH73" s="40"/>
      <c r="BI73" s="4"/>
      <c r="BL73" s="1577"/>
      <c r="BM73" s="1685"/>
      <c r="BN73" s="1672">
        <v>28</v>
      </c>
      <c r="BO73" s="1557"/>
      <c r="BP73" s="1557"/>
      <c r="BQ73" s="1557"/>
      <c r="BR73" s="1557"/>
      <c r="BS73" s="1557"/>
      <c r="BT73" s="1557"/>
      <c r="BU73" s="1557"/>
      <c r="BV73" s="1557"/>
      <c r="BW73" s="1557"/>
      <c r="BX73" s="1557"/>
      <c r="BY73" s="1557"/>
      <c r="BZ73" s="1557"/>
      <c r="CA73" s="1557"/>
      <c r="CB73" s="1557"/>
      <c r="CC73" s="1557"/>
      <c r="CD73" s="1557"/>
      <c r="CE73" s="1557"/>
      <c r="CF73" s="1686"/>
      <c r="CG73" s="1556"/>
      <c r="CH73" s="1687"/>
      <c r="CI73" s="1643" t="b">
        <f>IF(CP57=28,21)</f>
        <v>0</v>
      </c>
      <c r="CJ73" s="1640"/>
      <c r="CK73" s="1640"/>
      <c r="CL73" s="1640"/>
      <c r="CM73" s="1640"/>
      <c r="CN73" s="1639"/>
      <c r="CO73" s="1640"/>
      <c r="CP73" s="1640"/>
      <c r="CQ73" s="1640"/>
      <c r="CR73" s="1639"/>
      <c r="CS73" s="1689"/>
      <c r="CT73" s="1689"/>
      <c r="CU73" s="1689"/>
      <c r="CV73" s="1689"/>
      <c r="CW73" s="1636" t="b">
        <f>IF(CP57=28,35)</f>
        <v>0</v>
      </c>
      <c r="CX73" s="1554"/>
      <c r="CY73" s="1554"/>
      <c r="CZ73" s="1554"/>
      <c r="DA73" s="1557"/>
      <c r="DB73" s="1557"/>
    </row>
    <row r="74" spans="2:142" ht="21.6" hidden="1" thickBot="1" x14ac:dyDescent="0.45">
      <c r="B74" s="85"/>
      <c r="C74" s="85"/>
      <c r="D74" s="85"/>
      <c r="E74" s="85"/>
      <c r="F74" s="85"/>
      <c r="G74" s="85"/>
      <c r="H74" s="243"/>
      <c r="I74" s="243"/>
      <c r="J74" s="243"/>
      <c r="K74" s="243"/>
      <c r="L74" s="243"/>
      <c r="M74" s="243"/>
      <c r="N74" s="243"/>
      <c r="O74" s="243"/>
      <c r="P74" s="243"/>
      <c r="Q74" s="243"/>
      <c r="R74" s="243"/>
      <c r="S74" s="243"/>
      <c r="T74" s="243"/>
      <c r="U74" s="86"/>
      <c r="V74" s="243"/>
      <c r="W74" s="243"/>
      <c r="X74" s="243"/>
      <c r="Y74" s="243"/>
      <c r="Z74" s="243"/>
      <c r="AA74" s="243"/>
      <c r="AB74" s="86"/>
      <c r="AC74" s="86"/>
      <c r="AD74" s="86"/>
      <c r="AE74" s="86"/>
      <c r="AF74" s="243"/>
      <c r="AG74" s="243"/>
      <c r="AH74" s="243"/>
      <c r="AI74" s="243"/>
      <c r="AJ74" s="243"/>
      <c r="AK74" s="243"/>
      <c r="AL74" s="243"/>
      <c r="AM74" s="243"/>
      <c r="AN74" s="243"/>
      <c r="AO74" s="243"/>
      <c r="AP74" s="243"/>
      <c r="AQ74" s="243"/>
      <c r="AR74" s="243"/>
      <c r="AS74" s="243"/>
      <c r="AT74" s="243"/>
      <c r="AU74" s="243"/>
      <c r="AV74" s="243"/>
      <c r="AW74" s="243"/>
      <c r="AX74" s="243"/>
      <c r="AY74" s="243"/>
      <c r="AZ74" s="243"/>
      <c r="BA74" s="243"/>
      <c r="BB74" s="243"/>
      <c r="BC74" s="14"/>
      <c r="BF74" s="39"/>
      <c r="BG74" s="40"/>
      <c r="BH74" s="40"/>
      <c r="BI74" s="27"/>
      <c r="BL74" s="1577"/>
      <c r="BM74" s="1685"/>
      <c r="BN74" s="1672">
        <v>27</v>
      </c>
      <c r="BO74" s="1557"/>
      <c r="BP74" s="1557"/>
      <c r="BQ74" s="1557"/>
      <c r="BR74" s="1557"/>
      <c r="BS74" s="1557"/>
      <c r="BT74" s="1557"/>
      <c r="BU74" s="1557"/>
      <c r="BV74" s="1557"/>
      <c r="BW74" s="1557"/>
      <c r="BX74" s="1557"/>
      <c r="BY74" s="1557"/>
      <c r="BZ74" s="1557"/>
      <c r="CA74" s="1557"/>
      <c r="CB74" s="1557"/>
      <c r="CC74" s="1557"/>
      <c r="CD74" s="1557"/>
      <c r="CE74" s="1557"/>
      <c r="CF74" s="1686"/>
      <c r="CG74" s="1556"/>
      <c r="CH74" s="1687"/>
      <c r="CI74" s="1643" t="b">
        <f>IF(CO57=27,21)</f>
        <v>0</v>
      </c>
      <c r="CJ74" s="1640"/>
      <c r="CK74" s="1640"/>
      <c r="CL74" s="1639"/>
      <c r="CM74" s="1640"/>
      <c r="CN74" s="1640"/>
      <c r="CO74" s="1640"/>
      <c r="CP74" s="1640"/>
      <c r="CQ74" s="1640"/>
      <c r="CR74" s="1639"/>
      <c r="CS74" s="1689"/>
      <c r="CT74" s="1689"/>
      <c r="CU74" s="1636" t="b">
        <f>IF(CO57=27,33)</f>
        <v>0</v>
      </c>
      <c r="CV74" s="1554"/>
      <c r="CW74" s="1554"/>
      <c r="CX74" s="1554"/>
      <c r="CY74" s="1554"/>
      <c r="CZ74" s="1554"/>
      <c r="DA74" s="1557"/>
      <c r="DB74" s="1557"/>
    </row>
    <row r="75" spans="2:142" ht="21.6" hidden="1" thickBot="1" x14ac:dyDescent="0.45">
      <c r="B75" s="85"/>
      <c r="C75" s="85"/>
      <c r="D75" s="85"/>
      <c r="E75" s="85"/>
      <c r="F75" s="85"/>
      <c r="G75" s="85"/>
      <c r="H75" s="243"/>
      <c r="I75" s="243"/>
      <c r="J75" s="243"/>
      <c r="K75" s="243"/>
      <c r="L75" s="243"/>
      <c r="M75" s="243"/>
      <c r="N75" s="243"/>
      <c r="O75" s="243"/>
      <c r="P75" s="243"/>
      <c r="Q75" s="243"/>
      <c r="R75" s="243"/>
      <c r="S75" s="243"/>
      <c r="T75" s="243"/>
      <c r="U75" s="86"/>
      <c r="V75" s="243"/>
      <c r="W75" s="243"/>
      <c r="X75" s="243"/>
      <c r="Y75" s="243"/>
      <c r="Z75" s="243"/>
      <c r="AA75" s="243"/>
      <c r="AB75" s="86"/>
      <c r="AC75" s="86"/>
      <c r="AD75" s="86"/>
      <c r="AE75" s="86"/>
      <c r="AF75" s="243"/>
      <c r="AG75" s="243"/>
      <c r="AH75" s="243"/>
      <c r="AI75" s="243"/>
      <c r="AJ75" s="243"/>
      <c r="AK75" s="243"/>
      <c r="AL75" s="243"/>
      <c r="AM75" s="243"/>
      <c r="AN75" s="243"/>
      <c r="AO75" s="243"/>
      <c r="AP75" s="243"/>
      <c r="AQ75" s="243"/>
      <c r="AR75" s="243"/>
      <c r="AS75" s="243"/>
      <c r="AT75" s="243"/>
      <c r="AU75" s="243"/>
      <c r="AV75" s="243"/>
      <c r="AW75" s="243"/>
      <c r="AX75" s="243"/>
      <c r="AY75" s="243"/>
      <c r="AZ75" s="243"/>
      <c r="BA75" s="243"/>
      <c r="BB75" s="243"/>
      <c r="BC75" s="14"/>
      <c r="BF75" s="41"/>
      <c r="BG75" s="40"/>
      <c r="BH75" s="40"/>
      <c r="BI75" s="27"/>
      <c r="BL75" s="1577"/>
      <c r="BM75" s="1551"/>
      <c r="BN75" s="1672">
        <v>26</v>
      </c>
      <c r="BO75" s="1557"/>
      <c r="BP75" s="1557"/>
      <c r="BQ75" s="1557"/>
      <c r="BR75" s="1557"/>
      <c r="BS75" s="1557"/>
      <c r="BT75" s="1557"/>
      <c r="BU75" s="1557"/>
      <c r="BV75" s="1557"/>
      <c r="BW75" s="1557"/>
      <c r="BX75" s="1557"/>
      <c r="BY75" s="1557"/>
      <c r="BZ75" s="1557"/>
      <c r="CA75" s="1557"/>
      <c r="CB75" s="1557"/>
      <c r="CC75" s="1557"/>
      <c r="CD75" s="1557"/>
      <c r="CE75" s="1557"/>
      <c r="CF75" s="1686"/>
      <c r="CG75" s="1556"/>
      <c r="CH75" s="1687"/>
      <c r="CI75" s="1643" t="b">
        <f>IF(CN57=26,21)</f>
        <v>0</v>
      </c>
      <c r="CJ75" s="1639"/>
      <c r="CK75" s="1640"/>
      <c r="CL75" s="1640"/>
      <c r="CM75" s="1640"/>
      <c r="CN75" s="1640"/>
      <c r="CO75" s="1640"/>
      <c r="CP75" s="1640"/>
      <c r="CQ75" s="1640"/>
      <c r="CR75" s="1639"/>
      <c r="CS75" s="1636" t="b">
        <f>IF(CN57=26,31)</f>
        <v>0</v>
      </c>
      <c r="CT75" s="1554"/>
      <c r="CU75" s="1554"/>
      <c r="CV75" s="1554"/>
      <c r="CW75" s="1554"/>
      <c r="CX75" s="1554"/>
      <c r="CY75" s="1554"/>
      <c r="CZ75" s="1554"/>
      <c r="DA75" s="1557"/>
      <c r="DB75" s="1557"/>
    </row>
    <row r="76" spans="2:142" ht="21.6" hidden="1" thickBot="1" x14ac:dyDescent="0.45">
      <c r="B76" s="85"/>
      <c r="C76" s="85"/>
      <c r="D76" s="85"/>
      <c r="E76" s="85"/>
      <c r="F76" s="85"/>
      <c r="G76" s="85"/>
      <c r="H76" s="243"/>
      <c r="I76" s="243"/>
      <c r="J76" s="243"/>
      <c r="K76" s="243"/>
      <c r="L76" s="243"/>
      <c r="M76" s="243"/>
      <c r="N76" s="243"/>
      <c r="O76" s="243"/>
      <c r="P76" s="243"/>
      <c r="Q76" s="243"/>
      <c r="R76" s="243"/>
      <c r="S76" s="243"/>
      <c r="T76" s="243"/>
      <c r="U76" s="86"/>
      <c r="V76" s="243"/>
      <c r="W76" s="243"/>
      <c r="X76" s="243"/>
      <c r="Y76" s="243"/>
      <c r="Z76" s="243"/>
      <c r="AA76" s="243"/>
      <c r="AB76" s="86"/>
      <c r="AC76" s="86"/>
      <c r="AD76" s="86"/>
      <c r="AE76" s="86"/>
      <c r="AF76" s="243"/>
      <c r="AG76" s="243"/>
      <c r="AH76" s="243"/>
      <c r="AI76" s="243"/>
      <c r="AJ76" s="243"/>
      <c r="AK76" s="243"/>
      <c r="AL76" s="243"/>
      <c r="AM76" s="243"/>
      <c r="AN76" s="243"/>
      <c r="AO76" s="243"/>
      <c r="AP76" s="243"/>
      <c r="AQ76" s="243"/>
      <c r="AR76" s="243"/>
      <c r="AS76" s="243"/>
      <c r="AT76" s="243"/>
      <c r="AU76" s="243"/>
      <c r="AV76" s="243"/>
      <c r="AW76" s="243"/>
      <c r="AX76" s="243"/>
      <c r="AY76" s="243"/>
      <c r="AZ76" s="243"/>
      <c r="BA76" s="243"/>
      <c r="BB76" s="243"/>
      <c r="BC76" s="14"/>
      <c r="BF76" s="40"/>
      <c r="BG76" s="40"/>
      <c r="BH76" s="40"/>
      <c r="BI76" s="27"/>
      <c r="BL76" s="1577"/>
      <c r="BM76" s="1691"/>
      <c r="BN76" s="1672">
        <v>25</v>
      </c>
      <c r="BO76" s="1557"/>
      <c r="BP76" s="1557"/>
      <c r="BQ76" s="1557"/>
      <c r="BR76" s="1557"/>
      <c r="BS76" s="1557"/>
      <c r="BT76" s="1557"/>
      <c r="BU76" s="1557"/>
      <c r="BV76" s="1557"/>
      <c r="BW76" s="1557"/>
      <c r="BX76" s="1557"/>
      <c r="BY76" s="1557"/>
      <c r="CA76" s="1557"/>
      <c r="CB76" s="1557"/>
      <c r="CC76" s="1557"/>
      <c r="CD76" s="1557"/>
      <c r="CE76" s="1557"/>
      <c r="CF76" s="1686"/>
      <c r="CG76" s="1556"/>
      <c r="CI76" s="1692" t="b">
        <f>IF(CM57=25,21)</f>
        <v>0</v>
      </c>
      <c r="CJ76" s="1640"/>
      <c r="CK76" s="1640"/>
      <c r="CL76" s="1640"/>
      <c r="CM76" s="1640"/>
      <c r="CN76" s="1640"/>
      <c r="CO76" s="1640"/>
      <c r="CP76" s="1640"/>
      <c r="CQ76" s="1636" t="b">
        <f>IF(CM57=25,29)</f>
        <v>0</v>
      </c>
      <c r="CS76" s="1554"/>
      <c r="CT76" s="1554"/>
      <c r="CU76" s="1554"/>
      <c r="CV76" s="1554"/>
      <c r="CW76" s="1554"/>
      <c r="CX76" s="1554"/>
      <c r="CY76" s="1554"/>
      <c r="CZ76" s="1554"/>
      <c r="DA76" s="1557"/>
      <c r="DB76" s="1557"/>
    </row>
    <row r="77" spans="2:142" ht="21.6" hidden="1" thickBot="1" x14ac:dyDescent="0.45">
      <c r="B77" s="85"/>
      <c r="C77" s="85"/>
      <c r="D77" s="85"/>
      <c r="E77" s="85"/>
      <c r="F77" s="85"/>
      <c r="G77" s="85"/>
      <c r="H77" s="243"/>
      <c r="I77" s="243"/>
      <c r="J77" s="243"/>
      <c r="K77" s="243"/>
      <c r="L77" s="243"/>
      <c r="M77" s="243"/>
      <c r="N77" s="243"/>
      <c r="O77" s="243"/>
      <c r="P77" s="243"/>
      <c r="Q77" s="243"/>
      <c r="R77" s="243"/>
      <c r="S77" s="243"/>
      <c r="T77" s="243"/>
      <c r="U77" s="86"/>
      <c r="V77" s="243"/>
      <c r="W77" s="243"/>
      <c r="X77" s="243"/>
      <c r="Y77" s="243"/>
      <c r="Z77" s="243"/>
      <c r="AA77" s="243"/>
      <c r="AB77" s="86"/>
      <c r="AC77" s="86"/>
      <c r="AD77" s="86"/>
      <c r="AE77" s="86"/>
      <c r="AF77" s="243"/>
      <c r="AG77" s="243"/>
      <c r="AH77" s="243"/>
      <c r="AI77" s="243"/>
      <c r="AJ77" s="243"/>
      <c r="AK77" s="243"/>
      <c r="AL77" s="243"/>
      <c r="AM77" s="243"/>
      <c r="AN77" s="243"/>
      <c r="AO77" s="243"/>
      <c r="AP77" s="243"/>
      <c r="AQ77" s="243"/>
      <c r="AR77" s="243"/>
      <c r="AS77" s="243"/>
      <c r="AT77" s="243"/>
      <c r="AU77" s="243"/>
      <c r="AV77" s="243"/>
      <c r="AW77" s="243"/>
      <c r="AX77" s="243"/>
      <c r="AY77" s="243"/>
      <c r="AZ77" s="243"/>
      <c r="BA77" s="243"/>
      <c r="BB77" s="243"/>
      <c r="BC77" s="14"/>
      <c r="BF77" s="40"/>
      <c r="BG77" s="40"/>
      <c r="BH77" s="40"/>
      <c r="BI77" s="27"/>
      <c r="BL77" s="1577"/>
      <c r="BM77" s="1691"/>
      <c r="BN77" s="1693">
        <v>24</v>
      </c>
      <c r="BO77" s="1557"/>
      <c r="BP77" s="1557"/>
      <c r="BQ77" s="1557"/>
      <c r="BR77" s="1557"/>
      <c r="BS77" s="1557"/>
      <c r="BT77" s="1557"/>
      <c r="BU77" s="1557"/>
      <c r="BV77" s="1557"/>
      <c r="BW77" s="1557"/>
      <c r="BX77" s="1557"/>
      <c r="BY77" s="1557"/>
      <c r="BZ77" s="1632" t="b">
        <f>IF(CL57=24,12)</f>
        <v>0</v>
      </c>
      <c r="CA77" s="1642"/>
      <c r="CB77" s="1642"/>
      <c r="CC77" s="1642"/>
      <c r="CD77" s="1642"/>
      <c r="CE77" s="1642"/>
      <c r="CF77" s="1641"/>
      <c r="CG77" s="1642"/>
      <c r="CH77" s="1694"/>
      <c r="CI77" s="1642"/>
      <c r="CJ77" s="1642"/>
      <c r="CK77" s="1642"/>
      <c r="CL77" s="1642"/>
      <c r="CM77" s="1642"/>
      <c r="CN77" s="1642"/>
      <c r="CO77" s="1642"/>
      <c r="CP77" s="1642"/>
      <c r="CQ77" s="1642"/>
      <c r="CR77" s="1641"/>
      <c r="CS77" s="1688"/>
      <c r="CT77" s="1688"/>
      <c r="CU77" s="1688"/>
      <c r="CV77" s="1688"/>
      <c r="CW77" s="1688"/>
      <c r="CX77" s="1634" t="b">
        <f>IF(CL57=24,36)</f>
        <v>0</v>
      </c>
      <c r="CY77" s="1554"/>
      <c r="CZ77" s="1554"/>
      <c r="DA77" s="1557"/>
      <c r="DB77" s="1557"/>
    </row>
    <row r="78" spans="2:142" ht="21.6" hidden="1" thickBot="1" x14ac:dyDescent="0.45">
      <c r="B78" s="85"/>
      <c r="C78" s="85"/>
      <c r="D78" s="85"/>
      <c r="E78" s="85"/>
      <c r="F78" s="85"/>
      <c r="G78" s="85"/>
      <c r="H78" s="243"/>
      <c r="I78" s="243"/>
      <c r="J78" s="243"/>
      <c r="K78" s="243"/>
      <c r="L78" s="243"/>
      <c r="M78" s="243"/>
      <c r="N78" s="243"/>
      <c r="O78" s="243"/>
      <c r="P78" s="243"/>
      <c r="Q78" s="243"/>
      <c r="R78" s="243"/>
      <c r="S78" s="243"/>
      <c r="T78" s="243"/>
      <c r="U78" s="86"/>
      <c r="V78" s="243"/>
      <c r="W78" s="243"/>
      <c r="X78" s="243"/>
      <c r="Y78" s="243"/>
      <c r="Z78" s="243"/>
      <c r="AA78" s="243"/>
      <c r="AB78" s="86"/>
      <c r="AC78" s="86"/>
      <c r="AD78" s="86"/>
      <c r="AE78" s="86"/>
      <c r="AF78" s="243"/>
      <c r="AG78" s="243"/>
      <c r="AH78" s="243"/>
      <c r="AI78" s="243"/>
      <c r="AJ78" s="243"/>
      <c r="AK78" s="243"/>
      <c r="AL78" s="243"/>
      <c r="AM78" s="243"/>
      <c r="AN78" s="243"/>
      <c r="AO78" s="243"/>
      <c r="AP78" s="243"/>
      <c r="AQ78" s="243"/>
      <c r="AR78" s="243"/>
      <c r="AS78" s="243"/>
      <c r="AT78" s="243"/>
      <c r="AU78" s="243"/>
      <c r="AV78" s="243"/>
      <c r="AW78" s="243"/>
      <c r="AX78" s="243"/>
      <c r="AY78" s="243"/>
      <c r="AZ78" s="243"/>
      <c r="BA78" s="243"/>
      <c r="BB78" s="243"/>
      <c r="BC78" s="14"/>
      <c r="BF78" s="40"/>
      <c r="BG78" s="40"/>
      <c r="BH78" s="40"/>
      <c r="BI78" s="27"/>
      <c r="BL78" s="1577"/>
      <c r="BM78" s="1691"/>
      <c r="BN78" s="1693">
        <v>23</v>
      </c>
      <c r="BO78" s="1557"/>
      <c r="BP78" s="1557"/>
      <c r="BQ78" s="1557"/>
      <c r="BR78" s="1557"/>
      <c r="BS78" s="1557"/>
      <c r="BT78" s="1557"/>
      <c r="BU78" s="1557"/>
      <c r="BV78" s="1557"/>
      <c r="BW78" s="1557"/>
      <c r="BX78" s="1557"/>
      <c r="BY78" s="1557"/>
      <c r="BZ78" s="1643" t="b">
        <f>IF(CK57=23,12)</f>
        <v>0</v>
      </c>
      <c r="CA78" s="1640"/>
      <c r="CB78" s="1640"/>
      <c r="CC78" s="1640"/>
      <c r="CD78" s="1639"/>
      <c r="CE78" s="1640"/>
      <c r="CF78" s="1695"/>
      <c r="CG78" s="1640"/>
      <c r="CH78" s="1696"/>
      <c r="CI78" s="1640"/>
      <c r="CJ78" s="1640"/>
      <c r="CK78" s="1640"/>
      <c r="CL78" s="1640"/>
      <c r="CM78" s="1640"/>
      <c r="CN78" s="1640"/>
      <c r="CO78" s="1640"/>
      <c r="CP78" s="1640"/>
      <c r="CQ78" s="1640"/>
      <c r="CR78" s="1639"/>
      <c r="CS78" s="1689"/>
      <c r="CT78" s="1689"/>
      <c r="CU78" s="1689"/>
      <c r="CV78" s="1636" t="b">
        <f>IF(CK57=23,34)</f>
        <v>0</v>
      </c>
      <c r="CW78" s="1554"/>
      <c r="CX78" s="1554"/>
      <c r="CY78" s="1554"/>
      <c r="CZ78" s="1554"/>
      <c r="DA78" s="1557"/>
      <c r="DB78" s="1557"/>
    </row>
    <row r="79" spans="2:142" ht="21.6" hidden="1" thickBot="1" x14ac:dyDescent="0.45">
      <c r="B79" s="85"/>
      <c r="C79" s="85"/>
      <c r="D79" s="85"/>
      <c r="E79" s="85"/>
      <c r="F79" s="85"/>
      <c r="G79" s="85"/>
      <c r="H79" s="243"/>
      <c r="I79" s="243"/>
      <c r="J79" s="243"/>
      <c r="K79" s="243"/>
      <c r="L79" s="243"/>
      <c r="M79" s="243"/>
      <c r="N79" s="243"/>
      <c r="O79" s="243"/>
      <c r="P79" s="243"/>
      <c r="Q79" s="243"/>
      <c r="R79" s="243"/>
      <c r="S79" s="243"/>
      <c r="T79" s="243"/>
      <c r="U79" s="86"/>
      <c r="V79" s="243"/>
      <c r="W79" s="243"/>
      <c r="X79" s="243"/>
      <c r="Y79" s="243"/>
      <c r="Z79" s="243"/>
      <c r="AA79" s="243"/>
      <c r="AB79" s="86"/>
      <c r="AC79" s="86"/>
      <c r="AD79" s="86"/>
      <c r="AE79" s="86"/>
      <c r="AF79" s="243"/>
      <c r="AG79" s="243"/>
      <c r="AH79" s="243"/>
      <c r="AI79" s="243"/>
      <c r="AJ79" s="243"/>
      <c r="AK79" s="243"/>
      <c r="AL79" s="243"/>
      <c r="AM79" s="243"/>
      <c r="AN79" s="243"/>
      <c r="AO79" s="243"/>
      <c r="AP79" s="243"/>
      <c r="AQ79" s="243"/>
      <c r="AR79" s="243"/>
      <c r="AS79" s="243"/>
      <c r="AT79" s="243"/>
      <c r="AU79" s="243"/>
      <c r="AV79" s="243"/>
      <c r="AW79" s="243"/>
      <c r="AX79" s="243"/>
      <c r="AY79" s="243"/>
      <c r="AZ79" s="243"/>
      <c r="BA79" s="243"/>
      <c r="BB79" s="243"/>
      <c r="BC79" s="14"/>
      <c r="BF79" s="40"/>
      <c r="BG79" s="40"/>
      <c r="BH79" s="40"/>
      <c r="BI79" s="27"/>
      <c r="BL79" s="1577"/>
      <c r="BM79" s="1691"/>
      <c r="BN79" s="1693">
        <v>22</v>
      </c>
      <c r="BO79" s="1554"/>
      <c r="BP79" s="1554"/>
      <c r="BQ79" s="1554"/>
      <c r="BR79" s="1554"/>
      <c r="BS79" s="1554"/>
      <c r="BT79" s="1554"/>
      <c r="BU79" s="1554"/>
      <c r="BV79" s="1554"/>
      <c r="BW79" s="1554"/>
      <c r="BX79" s="1554"/>
      <c r="BY79" s="1554"/>
      <c r="BZ79" s="1643" t="b">
        <f>IF(CJ57=22,12)</f>
        <v>0</v>
      </c>
      <c r="CA79" s="1689"/>
      <c r="CB79" s="1689"/>
      <c r="CC79" s="1689"/>
      <c r="CD79" s="1639"/>
      <c r="CE79" s="1689"/>
      <c r="CF79" s="1697"/>
      <c r="CG79" s="1689"/>
      <c r="CH79" s="1698"/>
      <c r="CI79" s="1689"/>
      <c r="CJ79" s="1689"/>
      <c r="CK79" s="1689"/>
      <c r="CL79" s="1689"/>
      <c r="CM79" s="1640"/>
      <c r="CN79" s="1640"/>
      <c r="CO79" s="1639"/>
      <c r="CP79" s="1640"/>
      <c r="CQ79" s="1640"/>
      <c r="CR79" s="1640"/>
      <c r="CS79" s="1640"/>
      <c r="CT79" s="1636" t="b">
        <f>IF(CJ57=22,32)</f>
        <v>0</v>
      </c>
      <c r="CU79" s="1557"/>
      <c r="CV79" s="1557"/>
      <c r="CW79" s="1557"/>
      <c r="CX79" s="1557"/>
      <c r="CY79" s="1557"/>
      <c r="CZ79" s="1557"/>
      <c r="DA79" s="1557"/>
      <c r="DB79" s="1557"/>
    </row>
    <row r="80" spans="2:142" ht="21.6" hidden="1" thickBot="1" x14ac:dyDescent="0.45">
      <c r="B80" s="85"/>
      <c r="C80" s="85"/>
      <c r="D80" s="85"/>
      <c r="E80" s="85"/>
      <c r="F80" s="85"/>
      <c r="G80" s="85"/>
      <c r="H80" s="243"/>
      <c r="I80" s="243"/>
      <c r="J80" s="243"/>
      <c r="K80" s="243"/>
      <c r="L80" s="243"/>
      <c r="M80" s="243"/>
      <c r="N80" s="243"/>
      <c r="O80" s="243"/>
      <c r="P80" s="243"/>
      <c r="Q80" s="243"/>
      <c r="R80" s="243"/>
      <c r="S80" s="243"/>
      <c r="T80" s="243"/>
      <c r="U80" s="86"/>
      <c r="V80" s="243"/>
      <c r="W80" s="243"/>
      <c r="X80" s="243"/>
      <c r="Y80" s="243"/>
      <c r="Z80" s="243"/>
      <c r="AA80" s="243"/>
      <c r="AB80" s="86"/>
      <c r="AC80" s="86"/>
      <c r="AD80" s="86"/>
      <c r="AE80" s="86"/>
      <c r="AF80" s="243"/>
      <c r="AG80" s="243"/>
      <c r="AH80" s="243"/>
      <c r="AI80" s="243"/>
      <c r="AJ80" s="243"/>
      <c r="AK80" s="243"/>
      <c r="AL80" s="243"/>
      <c r="AM80" s="243"/>
      <c r="AN80" s="243"/>
      <c r="AO80" s="243"/>
      <c r="AP80" s="243"/>
      <c r="AQ80" s="243"/>
      <c r="AR80" s="243"/>
      <c r="AS80" s="243"/>
      <c r="AT80" s="243"/>
      <c r="AU80" s="243"/>
      <c r="AV80" s="243"/>
      <c r="AW80" s="243"/>
      <c r="AX80" s="243"/>
      <c r="AY80" s="243"/>
      <c r="AZ80" s="243"/>
      <c r="BA80" s="243"/>
      <c r="BB80" s="243"/>
      <c r="BC80" s="14"/>
      <c r="BF80" s="40"/>
      <c r="BG80" s="40"/>
      <c r="BH80" s="40"/>
      <c r="BI80" s="27"/>
      <c r="BL80" s="1577"/>
      <c r="BM80" s="1691"/>
      <c r="BN80" s="1693">
        <v>21</v>
      </c>
      <c r="BO80" s="1557"/>
      <c r="BP80" s="1557"/>
      <c r="BQ80" s="1557"/>
      <c r="BR80" s="1557"/>
      <c r="BS80" s="1557"/>
      <c r="BT80" s="1557"/>
      <c r="BU80" s="1557"/>
      <c r="BV80" s="1557"/>
      <c r="BW80" s="1557"/>
      <c r="BX80" s="1557"/>
      <c r="BY80" s="1557"/>
      <c r="BZ80" s="1643" t="b">
        <f>IF(CI57=21,12)</f>
        <v>0</v>
      </c>
      <c r="CA80" s="1640"/>
      <c r="CB80" s="1640"/>
      <c r="CC80" s="1640"/>
      <c r="CD80" s="1640"/>
      <c r="CE80" s="1640"/>
      <c r="CF80" s="1695"/>
      <c r="CG80" s="1640"/>
      <c r="CH80" s="1696"/>
      <c r="CI80" s="1640"/>
      <c r="CJ80" s="1640"/>
      <c r="CK80" s="1640"/>
      <c r="CL80" s="1640"/>
      <c r="CM80" s="1640"/>
      <c r="CN80" s="1640"/>
      <c r="CO80" s="1640"/>
      <c r="CP80" s="1640"/>
      <c r="CQ80" s="1640"/>
      <c r="CR80" s="1636" t="b">
        <f>IF(CI57=21,30)</f>
        <v>0</v>
      </c>
      <c r="CS80" s="1554"/>
      <c r="CT80" s="1554"/>
      <c r="CU80" s="1554"/>
      <c r="CV80" s="1554"/>
      <c r="CW80" s="1554"/>
      <c r="CX80" s="1554"/>
      <c r="CY80" s="1554"/>
      <c r="CZ80" s="1554"/>
      <c r="DA80" s="1557"/>
      <c r="DB80" s="1557"/>
      <c r="DE80" s="1994"/>
      <c r="DF80" s="1994"/>
      <c r="DG80" s="182"/>
      <c r="DH80" s="182"/>
      <c r="DI80" s="183"/>
      <c r="DJ80" s="184"/>
      <c r="DK80" s="184"/>
      <c r="DL80" s="184"/>
      <c r="DM80" s="184"/>
      <c r="DN80" s="184"/>
      <c r="DO80" s="184"/>
      <c r="DP80" s="184"/>
      <c r="DQ80" s="184"/>
      <c r="DR80" s="184"/>
      <c r="DS80" s="184"/>
      <c r="DT80" s="184"/>
      <c r="DU80" s="184"/>
      <c r="DV80" s="184"/>
      <c r="DW80" s="184"/>
      <c r="DX80" s="184"/>
      <c r="DY80" s="184"/>
      <c r="DZ80" s="184"/>
      <c r="EA80" s="184"/>
      <c r="EB80" s="184"/>
      <c r="EC80" s="185"/>
      <c r="ED80" s="185"/>
      <c r="EE80" s="185"/>
      <c r="EF80" s="185"/>
      <c r="EG80" s="185"/>
      <c r="EH80" s="185"/>
      <c r="EI80" s="185"/>
      <c r="EJ80" s="185"/>
      <c r="EK80" s="143"/>
      <c r="EL80" s="143"/>
    </row>
    <row r="81" spans="2:140" ht="21.6" hidden="1" thickBot="1" x14ac:dyDescent="0.45">
      <c r="B81" s="85"/>
      <c r="C81" s="85"/>
      <c r="D81" s="85"/>
      <c r="E81" s="85"/>
      <c r="G81" s="85"/>
      <c r="H81" s="243"/>
      <c r="I81" s="243"/>
      <c r="J81" s="243"/>
      <c r="K81" s="243"/>
      <c r="L81" s="243"/>
      <c r="M81" s="243"/>
      <c r="N81" s="243"/>
      <c r="O81" s="243"/>
      <c r="P81" s="243"/>
      <c r="Q81" s="243"/>
      <c r="R81" s="243"/>
      <c r="S81" s="243"/>
      <c r="T81" s="243"/>
      <c r="U81" s="86"/>
      <c r="V81" s="243"/>
      <c r="W81" s="243"/>
      <c r="X81" s="243"/>
      <c r="Y81" s="243"/>
      <c r="Z81" s="243"/>
      <c r="AA81" s="243"/>
      <c r="AB81" s="86"/>
      <c r="AC81" s="86"/>
      <c r="AD81" s="86"/>
      <c r="AE81" s="86"/>
      <c r="AF81" s="243"/>
      <c r="AG81" s="243"/>
      <c r="AH81" s="243"/>
      <c r="AI81" s="243"/>
      <c r="AJ81" s="243"/>
      <c r="AK81" s="243"/>
      <c r="AL81" s="243"/>
      <c r="AM81" s="243"/>
      <c r="AN81" s="243"/>
      <c r="AO81" s="243"/>
      <c r="AP81" s="243"/>
      <c r="AQ81" s="243"/>
      <c r="AR81" s="243"/>
      <c r="AS81" s="243"/>
      <c r="AT81" s="243"/>
      <c r="AU81" s="243"/>
      <c r="AV81" s="243"/>
      <c r="AW81" s="243"/>
      <c r="AX81" s="243"/>
      <c r="AY81" s="243"/>
      <c r="AZ81" s="243"/>
      <c r="BA81" s="243"/>
      <c r="BB81" s="243"/>
      <c r="BC81" s="14"/>
      <c r="BF81" s="40"/>
      <c r="BG81" s="40"/>
      <c r="BH81" s="40"/>
      <c r="BI81" s="27"/>
      <c r="BL81" s="1577"/>
      <c r="BM81" s="1699"/>
      <c r="BN81" s="1693">
        <v>20</v>
      </c>
      <c r="BO81" s="1557"/>
      <c r="BP81" s="1557"/>
      <c r="BQ81" s="1557"/>
      <c r="BR81" s="1557"/>
      <c r="BS81" s="1557"/>
      <c r="BT81" s="1557"/>
      <c r="BU81" s="1557"/>
      <c r="BV81" s="1557"/>
      <c r="BY81" s="1700"/>
      <c r="BZ81" s="1632" t="b">
        <f>IF(CH57=20,12)</f>
        <v>0</v>
      </c>
      <c r="CA81" s="1642"/>
      <c r="CB81" s="1642"/>
      <c r="CC81" s="1642"/>
      <c r="CD81" s="1642"/>
      <c r="CE81" s="1642"/>
      <c r="CF81" s="1701"/>
      <c r="CG81" s="1642"/>
      <c r="CH81" s="1694"/>
      <c r="CI81" s="1642"/>
      <c r="CJ81" s="1642"/>
      <c r="CK81" s="1642"/>
      <c r="CL81" s="1642"/>
      <c r="CM81" s="1642"/>
      <c r="CN81" s="1642"/>
      <c r="CO81" s="1642"/>
      <c r="CP81" s="1634" t="b">
        <f>IF(CH57=20,28)</f>
        <v>0</v>
      </c>
      <c r="CQ81" s="1700"/>
      <c r="CS81" s="1554"/>
      <c r="CT81" s="1554"/>
      <c r="CU81" s="1554"/>
      <c r="CV81" s="1554"/>
      <c r="CW81" s="1554"/>
      <c r="CX81" s="1554"/>
      <c r="CY81" s="1554"/>
      <c r="CZ81" s="1554"/>
      <c r="DA81" s="1557"/>
      <c r="DB81" s="1557"/>
      <c r="EI81" s="185"/>
      <c r="EJ81" s="185"/>
    </row>
    <row r="82" spans="2:140" ht="21.6" hidden="1" thickBot="1" x14ac:dyDescent="0.45">
      <c r="B82" s="85"/>
      <c r="C82" s="85"/>
      <c r="D82" s="85"/>
      <c r="E82" s="85"/>
      <c r="H82" s="243"/>
      <c r="I82" s="243"/>
      <c r="J82" s="243"/>
      <c r="K82" s="243"/>
      <c r="L82" s="243"/>
      <c r="M82" s="243"/>
      <c r="N82" s="243"/>
      <c r="O82" s="243"/>
      <c r="P82" s="243"/>
      <c r="Q82" s="243"/>
      <c r="R82" s="243"/>
      <c r="S82" s="243"/>
      <c r="T82" s="243"/>
      <c r="U82" s="86"/>
      <c r="V82" s="243"/>
      <c r="W82" s="243"/>
      <c r="X82" s="243"/>
      <c r="Y82" s="243"/>
      <c r="Z82" s="243"/>
      <c r="AA82" s="243"/>
      <c r="AB82" s="86"/>
      <c r="AC82" s="86"/>
      <c r="AD82" s="86"/>
      <c r="AE82" s="86"/>
      <c r="AF82" s="243"/>
      <c r="AG82" s="243"/>
      <c r="AH82" s="243"/>
      <c r="AI82" s="243"/>
      <c r="AJ82" s="243"/>
      <c r="AK82" s="243"/>
      <c r="AL82" s="243"/>
      <c r="AM82" s="243"/>
      <c r="AN82" s="243"/>
      <c r="AO82" s="243"/>
      <c r="AP82" s="243"/>
      <c r="AQ82" s="243"/>
      <c r="AR82" s="243"/>
      <c r="AS82" s="243"/>
      <c r="AT82" s="243"/>
      <c r="AU82" s="243"/>
      <c r="AV82" s="243"/>
      <c r="AW82" s="243"/>
      <c r="AX82" s="243"/>
      <c r="AY82" s="243"/>
      <c r="AZ82" s="243"/>
      <c r="BA82" s="243"/>
      <c r="BB82" s="243"/>
      <c r="BC82" s="14"/>
      <c r="BF82" s="40"/>
      <c r="BG82" s="40"/>
      <c r="BH82" s="40"/>
      <c r="BI82" s="27"/>
      <c r="BL82" s="1577"/>
      <c r="BM82" s="1699"/>
      <c r="BN82" s="1693">
        <v>19</v>
      </c>
      <c r="BO82" s="1557"/>
      <c r="BP82" s="1557"/>
      <c r="BQ82" s="1557"/>
      <c r="BR82" s="1557"/>
      <c r="BS82" s="1557"/>
      <c r="BT82" s="1557"/>
      <c r="BU82" s="1557"/>
      <c r="BV82" s="1557"/>
      <c r="BX82" s="1702"/>
      <c r="BY82" s="1702"/>
      <c r="BZ82" s="1632" t="b">
        <f>IF(CG57=19,12)</f>
        <v>0</v>
      </c>
      <c r="CA82" s="1688"/>
      <c r="CB82" s="1688"/>
      <c r="CC82" s="1641"/>
      <c r="CD82" s="1688"/>
      <c r="CE82" s="1688"/>
      <c r="CF82" s="1703"/>
      <c r="CG82" s="1688"/>
      <c r="CH82" s="1704"/>
      <c r="CI82" s="1641"/>
      <c r="CJ82" s="1688"/>
      <c r="CK82" s="1688"/>
      <c r="CL82" s="1688"/>
      <c r="CM82" s="1642"/>
      <c r="CN82" s="1634" t="b">
        <f>IF(CG57=19,26)</f>
        <v>0</v>
      </c>
      <c r="CO82" s="1705"/>
      <c r="CP82" s="1700"/>
      <c r="CR82" s="1557"/>
      <c r="CS82" s="1557"/>
      <c r="CT82" s="1557"/>
      <c r="CU82" s="1557"/>
      <c r="CV82" s="1557"/>
      <c r="CW82" s="1557"/>
      <c r="CX82" s="1557"/>
      <c r="CY82" s="1557"/>
      <c r="CZ82" s="1557"/>
      <c r="DA82" s="1557"/>
      <c r="DB82" s="1557"/>
      <c r="EI82" s="185"/>
      <c r="EJ82" s="185"/>
    </row>
    <row r="83" spans="2:140" ht="21.6" hidden="1" thickBot="1" x14ac:dyDescent="0.45">
      <c r="B83" s="85"/>
      <c r="C83" s="85"/>
      <c r="D83" s="85"/>
      <c r="E83" s="85"/>
      <c r="H83" s="243"/>
      <c r="I83" s="243"/>
      <c r="J83" s="243"/>
      <c r="K83" s="243"/>
      <c r="L83" s="243"/>
      <c r="M83" s="243"/>
      <c r="N83" s="243"/>
      <c r="O83" s="243"/>
      <c r="P83" s="243"/>
      <c r="Q83" s="243"/>
      <c r="R83" s="243"/>
      <c r="S83" s="243"/>
      <c r="T83" s="243"/>
      <c r="U83" s="86"/>
      <c r="V83" s="243"/>
      <c r="W83" s="243"/>
      <c r="X83" s="243"/>
      <c r="Y83" s="243"/>
      <c r="Z83" s="243"/>
      <c r="AA83" s="243"/>
      <c r="AB83" s="86"/>
      <c r="AC83" s="86"/>
      <c r="AD83" s="86"/>
      <c r="AE83" s="86"/>
      <c r="AF83" s="243"/>
      <c r="AG83" s="243"/>
      <c r="AH83" s="243"/>
      <c r="AI83" s="243"/>
      <c r="AJ83" s="243"/>
      <c r="AK83" s="243"/>
      <c r="AL83" s="243"/>
      <c r="AM83" s="243"/>
      <c r="AN83" s="243"/>
      <c r="AO83" s="243"/>
      <c r="AP83" s="243"/>
      <c r="AQ83" s="243"/>
      <c r="AR83" s="243"/>
      <c r="AS83" s="243"/>
      <c r="AT83" s="243"/>
      <c r="AU83" s="243"/>
      <c r="AV83" s="243"/>
      <c r="AW83" s="243"/>
      <c r="AX83" s="243"/>
      <c r="AY83" s="243"/>
      <c r="AZ83" s="243"/>
      <c r="BA83" s="243"/>
      <c r="BB83" s="243"/>
      <c r="BC83" s="14"/>
      <c r="BF83" s="40"/>
      <c r="BG83" s="40"/>
      <c r="BH83" s="40"/>
      <c r="BI83" s="27"/>
      <c r="BL83" s="1577"/>
      <c r="BM83" s="1699"/>
      <c r="BN83" s="1693">
        <v>18</v>
      </c>
      <c r="BO83" s="1554"/>
      <c r="BP83" s="1554"/>
      <c r="BQ83" s="1554"/>
      <c r="BR83" s="1554"/>
      <c r="BS83" s="1554"/>
      <c r="BT83" s="1554"/>
      <c r="BU83" s="1554"/>
      <c r="BV83" s="1554"/>
      <c r="BX83" s="1632" t="b">
        <f>IF(CF57=18,10)</f>
        <v>0</v>
      </c>
      <c r="BY83" s="1688"/>
      <c r="BZ83" s="1688"/>
      <c r="CA83" s="1688"/>
      <c r="CB83" s="1688"/>
      <c r="CC83" s="1641"/>
      <c r="CD83" s="1688"/>
      <c r="CE83" s="1688"/>
      <c r="CF83" s="1703"/>
      <c r="CG83" s="1688"/>
      <c r="CH83" s="1704"/>
      <c r="CI83" s="1641"/>
      <c r="CJ83" s="1688"/>
      <c r="CK83" s="1688"/>
      <c r="CL83" s="1688"/>
      <c r="CM83" s="1642"/>
      <c r="CN83" s="1634" t="b">
        <f>IF(CF57=18,26)</f>
        <v>0</v>
      </c>
      <c r="CP83" s="1557"/>
      <c r="CQ83" s="1557"/>
      <c r="CR83" s="1557"/>
      <c r="CS83" s="1557"/>
      <c r="CT83" s="1557"/>
      <c r="CU83" s="1557"/>
      <c r="CV83" s="1557"/>
      <c r="CW83" s="1557"/>
      <c r="CX83" s="1557"/>
      <c r="CY83" s="1557"/>
      <c r="CZ83" s="1557"/>
      <c r="DA83" s="1557"/>
      <c r="DB83" s="1557"/>
      <c r="EI83" s="185"/>
      <c r="EJ83" s="185"/>
    </row>
    <row r="84" spans="2:140" ht="21.6" hidden="1" thickBot="1" x14ac:dyDescent="0.45">
      <c r="B84" s="85"/>
      <c r="C84" s="85"/>
      <c r="D84" s="85"/>
      <c r="E84" s="85"/>
      <c r="G84" s="85"/>
      <c r="H84" s="243"/>
      <c r="I84" s="243"/>
      <c r="J84" s="243"/>
      <c r="K84" s="243"/>
      <c r="L84" s="243"/>
      <c r="M84" s="243"/>
      <c r="N84" s="243"/>
      <c r="O84" s="243"/>
      <c r="P84" s="243"/>
      <c r="Q84" s="243"/>
      <c r="R84" s="243"/>
      <c r="S84" s="243"/>
      <c r="T84" s="243"/>
      <c r="U84" s="86"/>
      <c r="V84" s="243"/>
      <c r="W84" s="243"/>
      <c r="X84" s="243"/>
      <c r="Y84" s="243"/>
      <c r="Z84" s="243"/>
      <c r="AA84" s="243"/>
      <c r="AB84" s="86"/>
      <c r="AC84" s="86"/>
      <c r="AD84" s="86"/>
      <c r="AE84" s="86"/>
      <c r="AF84" s="243"/>
      <c r="AG84" s="243"/>
      <c r="AH84" s="243"/>
      <c r="AI84" s="243"/>
      <c r="AJ84" s="243"/>
      <c r="AK84" s="243"/>
      <c r="AL84" s="243"/>
      <c r="AM84" s="243"/>
      <c r="AN84" s="243"/>
      <c r="AO84" s="243"/>
      <c r="AP84" s="243"/>
      <c r="AQ84" s="243"/>
      <c r="AR84" s="243"/>
      <c r="AS84" s="243"/>
      <c r="AT84" s="243"/>
      <c r="AU84" s="243"/>
      <c r="AV84" s="243"/>
      <c r="AW84" s="243"/>
      <c r="AX84" s="243"/>
      <c r="AY84" s="243"/>
      <c r="AZ84" s="243"/>
      <c r="BA84" s="243"/>
      <c r="BB84" s="243"/>
      <c r="BC84" s="14"/>
      <c r="BF84" s="40"/>
      <c r="BG84" s="40"/>
      <c r="BH84" s="40"/>
      <c r="BI84" s="27"/>
      <c r="BL84" s="1577"/>
      <c r="BM84" s="1699"/>
      <c r="BN84" s="1706">
        <v>17</v>
      </c>
      <c r="BO84" s="1554"/>
      <c r="BP84" s="1554"/>
      <c r="BQ84" s="1554"/>
      <c r="BR84" s="1554"/>
      <c r="BS84" s="1554"/>
      <c r="BT84" s="1554"/>
      <c r="BU84" s="1554"/>
      <c r="BV84" s="1632" t="b">
        <f>IF(CE57=17,8)</f>
        <v>0</v>
      </c>
      <c r="BW84" s="1641"/>
      <c r="BX84" s="1641"/>
      <c r="BY84" s="1688"/>
      <c r="BZ84" s="1688"/>
      <c r="CA84" s="1688"/>
      <c r="CB84" s="1688"/>
      <c r="CC84" s="1688"/>
      <c r="CD84" s="1688"/>
      <c r="CE84" s="1688"/>
      <c r="CF84" s="1703"/>
      <c r="CG84" s="1688"/>
      <c r="CH84" s="1704"/>
      <c r="CI84" s="1688"/>
      <c r="CJ84" s="1688"/>
      <c r="CK84" s="1688"/>
      <c r="CL84" s="1641"/>
      <c r="CM84" s="1641"/>
      <c r="CN84" s="1634" t="b">
        <f>IF(CE57=17,26)</f>
        <v>0</v>
      </c>
      <c r="CO84" s="1557"/>
      <c r="CP84" s="1557"/>
      <c r="CQ84" s="1557"/>
      <c r="CR84" s="1557"/>
      <c r="CS84" s="1557"/>
      <c r="CT84" s="1557"/>
      <c r="CU84" s="1557"/>
      <c r="CV84" s="1557"/>
      <c r="CW84" s="1557"/>
      <c r="CX84" s="1557"/>
      <c r="CY84" s="1557"/>
      <c r="CZ84" s="1557"/>
      <c r="DA84" s="1557"/>
      <c r="DB84" s="1557"/>
      <c r="EI84" s="185"/>
      <c r="EJ84" s="185"/>
    </row>
    <row r="85" spans="2:140" ht="21.6" hidden="1" thickBot="1" x14ac:dyDescent="0.45">
      <c r="B85" s="85"/>
      <c r="C85" s="85"/>
      <c r="D85" s="85"/>
      <c r="E85" s="85"/>
      <c r="G85" s="85"/>
      <c r="H85" s="243"/>
      <c r="I85" s="243"/>
      <c r="J85" s="243"/>
      <c r="K85" s="243"/>
      <c r="L85" s="243"/>
      <c r="M85" s="243"/>
      <c r="N85" s="243"/>
      <c r="O85" s="243"/>
      <c r="P85" s="243"/>
      <c r="Q85" s="243"/>
      <c r="R85" s="243"/>
      <c r="S85" s="243"/>
      <c r="T85" s="243"/>
      <c r="U85" s="86"/>
      <c r="V85" s="243"/>
      <c r="W85" s="243"/>
      <c r="X85" s="243"/>
      <c r="Y85" s="243"/>
      <c r="Z85" s="243"/>
      <c r="AA85" s="243"/>
      <c r="AB85" s="86"/>
      <c r="AC85" s="86"/>
      <c r="AD85" s="86"/>
      <c r="AE85" s="86"/>
      <c r="AF85" s="243"/>
      <c r="AG85" s="243"/>
      <c r="AH85" s="243"/>
      <c r="AI85" s="243"/>
      <c r="AJ85" s="243"/>
      <c r="AK85" s="243"/>
      <c r="AL85" s="243"/>
      <c r="AM85" s="243"/>
      <c r="AN85" s="243"/>
      <c r="AO85" s="243"/>
      <c r="AP85" s="243"/>
      <c r="AQ85" s="243"/>
      <c r="AR85" s="243"/>
      <c r="AS85" s="243"/>
      <c r="AT85" s="243"/>
      <c r="AU85" s="243"/>
      <c r="AV85" s="243"/>
      <c r="AW85" s="243"/>
      <c r="AX85" s="243"/>
      <c r="AY85" s="243"/>
      <c r="AZ85" s="243"/>
      <c r="BA85" s="243"/>
      <c r="BB85" s="243"/>
      <c r="BC85" s="14"/>
      <c r="BF85" s="40"/>
      <c r="BG85" s="40"/>
      <c r="BH85" s="40"/>
      <c r="BI85" s="27"/>
      <c r="BL85" s="1577"/>
      <c r="BM85" s="1699"/>
      <c r="BN85" s="1706">
        <v>16</v>
      </c>
      <c r="BO85" s="1554"/>
      <c r="BP85" s="1554"/>
      <c r="BQ85" s="1554"/>
      <c r="BR85" s="1554"/>
      <c r="BS85" s="1554"/>
      <c r="BT85" s="1707" t="b">
        <f>IF(CD57=16,6)</f>
        <v>0</v>
      </c>
      <c r="BU85" s="1708"/>
      <c r="BV85" s="1709"/>
      <c r="BW85" s="1709"/>
      <c r="BX85" s="1708"/>
      <c r="BY85" s="1708"/>
      <c r="BZ85" s="1708"/>
      <c r="CA85" s="1708"/>
      <c r="CB85" s="1708"/>
      <c r="CC85" s="1708"/>
      <c r="CD85" s="1708"/>
      <c r="CE85" s="1708"/>
      <c r="CF85" s="1710"/>
      <c r="CG85" s="1708"/>
      <c r="CH85" s="1711"/>
      <c r="CI85" s="1708"/>
      <c r="CJ85" s="1708"/>
      <c r="CK85" s="1709"/>
      <c r="CL85" s="1709"/>
      <c r="CM85" s="1712"/>
      <c r="CN85" s="1713" t="b">
        <f>IF(CD57=16,26)</f>
        <v>0</v>
      </c>
      <c r="CO85" s="1557"/>
      <c r="CP85" s="1557"/>
      <c r="CQ85" s="1557"/>
      <c r="CR85" s="1557"/>
      <c r="CS85" s="1557"/>
      <c r="CT85" s="1557"/>
      <c r="CU85" s="1557"/>
      <c r="CV85" s="1557"/>
      <c r="CW85" s="1557"/>
      <c r="CX85" s="1557"/>
      <c r="CY85" s="1557"/>
      <c r="CZ85" s="1557"/>
      <c r="DA85" s="1557"/>
      <c r="DB85" s="1557"/>
      <c r="DE85" s="198"/>
      <c r="DF85" s="198"/>
      <c r="DG85" s="198"/>
      <c r="DH85" s="198"/>
      <c r="DI85" s="198"/>
      <c r="DJ85" s="199"/>
      <c r="DK85" s="198"/>
      <c r="DL85" s="198"/>
      <c r="DM85" s="198"/>
      <c r="DN85" s="198"/>
      <c r="DO85" s="198"/>
      <c r="DP85" s="198"/>
      <c r="DQ85" s="198"/>
      <c r="DR85" s="198"/>
      <c r="DS85" s="198"/>
      <c r="DT85" s="198"/>
      <c r="DU85" s="198"/>
      <c r="DV85" s="198"/>
      <c r="DW85" s="198"/>
      <c r="DX85" s="198"/>
      <c r="DY85" s="198"/>
      <c r="DZ85" s="198"/>
      <c r="EA85" s="198"/>
      <c r="EB85" s="199"/>
      <c r="EC85" s="185"/>
      <c r="ED85" s="185"/>
      <c r="EE85" s="185"/>
      <c r="EF85" s="185"/>
      <c r="EG85" s="185"/>
      <c r="EH85" s="185"/>
      <c r="EI85" s="185"/>
      <c r="EJ85" s="185"/>
    </row>
    <row r="86" spans="2:140" ht="21.6" hidden="1" thickBot="1" x14ac:dyDescent="0.45">
      <c r="B86" s="85"/>
      <c r="C86" s="85"/>
      <c r="D86" s="85"/>
      <c r="E86" s="85"/>
      <c r="F86" s="85"/>
      <c r="G86" s="85"/>
      <c r="H86" s="243"/>
      <c r="I86" s="243"/>
      <c r="J86" s="243"/>
      <c r="K86" s="243"/>
      <c r="L86" s="243"/>
      <c r="M86" s="243"/>
      <c r="N86" s="243"/>
      <c r="O86" s="243"/>
      <c r="P86" s="243"/>
      <c r="Q86" s="243"/>
      <c r="R86" s="243"/>
      <c r="S86" s="243"/>
      <c r="T86" s="243"/>
      <c r="U86" s="86"/>
      <c r="V86" s="243"/>
      <c r="W86" s="243"/>
      <c r="X86" s="243"/>
      <c r="Y86" s="243"/>
      <c r="Z86" s="243"/>
      <c r="AA86" s="243"/>
      <c r="AB86" s="86"/>
      <c r="AC86" s="86"/>
      <c r="AD86" s="86"/>
      <c r="AE86" s="86"/>
      <c r="AF86" s="243"/>
      <c r="AG86" s="243"/>
      <c r="AH86" s="243"/>
      <c r="AI86" s="243"/>
      <c r="AJ86" s="243"/>
      <c r="AK86" s="243"/>
      <c r="AL86" s="243"/>
      <c r="AM86" s="243"/>
      <c r="AN86" s="243"/>
      <c r="AO86" s="243"/>
      <c r="AP86" s="243"/>
      <c r="AQ86" s="243"/>
      <c r="AR86" s="243"/>
      <c r="AS86" s="243"/>
      <c r="AT86" s="243"/>
      <c r="AU86" s="243"/>
      <c r="AV86" s="243"/>
      <c r="AW86" s="243"/>
      <c r="AX86" s="243"/>
      <c r="AY86" s="243"/>
      <c r="AZ86" s="243"/>
      <c r="BA86" s="243"/>
      <c r="BB86" s="243"/>
      <c r="BC86" s="14"/>
      <c r="BF86" s="40"/>
      <c r="BG86" s="40"/>
      <c r="BH86" s="40"/>
      <c r="BI86" s="27"/>
      <c r="BL86" s="1577"/>
      <c r="BM86" s="1699"/>
      <c r="BN86" s="1693">
        <v>15</v>
      </c>
      <c r="BO86" s="1554"/>
      <c r="BP86" s="1554"/>
      <c r="BQ86" s="1554"/>
      <c r="BR86" s="1632">
        <f>IF(CC57=15,4)</f>
        <v>4</v>
      </c>
      <c r="BS86" s="1688"/>
      <c r="BT86" s="1688"/>
      <c r="BU86" s="1688"/>
      <c r="BV86" s="1641"/>
      <c r="BW86" s="1688"/>
      <c r="BX86" s="1688"/>
      <c r="BY86" s="1641"/>
      <c r="BZ86" s="1688"/>
      <c r="CA86" s="1688"/>
      <c r="CB86" s="1688"/>
      <c r="CC86" s="1688"/>
      <c r="CD86" s="1688"/>
      <c r="CE86" s="1688"/>
      <c r="CF86" s="1703"/>
      <c r="CG86" s="1641"/>
      <c r="CH86" s="1704"/>
      <c r="CI86" s="1688"/>
      <c r="CJ86" s="1641"/>
      <c r="CK86" s="1688"/>
      <c r="CL86" s="1688"/>
      <c r="CM86" s="1642"/>
      <c r="CN86" s="1634">
        <f>IF(CC57=15,26)</f>
        <v>26</v>
      </c>
      <c r="CO86" s="1557"/>
      <c r="CP86" s="1557"/>
      <c r="CQ86" s="1557"/>
      <c r="CR86" s="1557"/>
      <c r="CS86" s="1557"/>
      <c r="CT86" s="1557"/>
      <c r="CU86" s="1557"/>
      <c r="CV86" s="1557"/>
      <c r="CW86" s="1557"/>
      <c r="CX86" s="1557"/>
      <c r="CY86" s="1557"/>
      <c r="CZ86" s="1557"/>
      <c r="DA86" s="1557"/>
      <c r="DB86" s="1557"/>
      <c r="DE86" s="198"/>
      <c r="DF86" s="198"/>
      <c r="DG86" s="198"/>
      <c r="DH86" s="198"/>
      <c r="DI86" s="198"/>
      <c r="DJ86" s="199"/>
      <c r="DK86" s="198"/>
      <c r="DL86" s="198"/>
      <c r="DM86" s="198"/>
      <c r="DN86" s="198"/>
      <c r="DO86" s="198"/>
      <c r="DP86" s="198"/>
      <c r="DQ86" s="198"/>
      <c r="DR86" s="198"/>
      <c r="DS86" s="198"/>
      <c r="DT86" s="198"/>
      <c r="DU86" s="198"/>
      <c r="DV86" s="198"/>
      <c r="DW86" s="198"/>
      <c r="DX86" s="198"/>
      <c r="DY86" s="198"/>
      <c r="DZ86" s="198"/>
      <c r="EA86" s="198"/>
      <c r="EB86" s="199"/>
      <c r="EC86" s="185"/>
      <c r="ED86" s="185"/>
      <c r="EE86" s="185"/>
      <c r="EF86" s="185"/>
      <c r="EG86" s="185"/>
      <c r="EH86" s="185"/>
      <c r="EI86" s="185"/>
      <c r="EJ86" s="185"/>
    </row>
    <row r="87" spans="2:140" ht="21.6" hidden="1" thickBot="1" x14ac:dyDescent="0.45">
      <c r="B87" s="85"/>
      <c r="C87" s="85"/>
      <c r="D87" s="85"/>
      <c r="E87" s="85"/>
      <c r="F87" s="85"/>
      <c r="G87" s="85"/>
      <c r="H87" s="243"/>
      <c r="I87" s="243"/>
      <c r="J87" s="243"/>
      <c r="K87" s="243"/>
      <c r="L87" s="243"/>
      <c r="M87" s="243"/>
      <c r="N87" s="243"/>
      <c r="O87" s="243"/>
      <c r="P87" s="243"/>
      <c r="Q87" s="243"/>
      <c r="R87" s="243"/>
      <c r="S87" s="243"/>
      <c r="T87" s="243"/>
      <c r="U87" s="86"/>
      <c r="V87" s="243"/>
      <c r="W87" s="243"/>
      <c r="X87" s="243"/>
      <c r="Y87" s="243"/>
      <c r="Z87" s="243"/>
      <c r="AA87" s="243"/>
      <c r="AB87" s="86"/>
      <c r="AC87" s="86"/>
      <c r="AD87" s="86"/>
      <c r="AE87" s="86"/>
      <c r="AF87" s="243"/>
      <c r="AG87" s="243"/>
      <c r="AH87" s="243"/>
      <c r="AI87" s="243"/>
      <c r="AJ87" s="243"/>
      <c r="AK87" s="243"/>
      <c r="AL87" s="243"/>
      <c r="AM87" s="243"/>
      <c r="AN87" s="243"/>
      <c r="AO87" s="243"/>
      <c r="AP87" s="243"/>
      <c r="AQ87" s="243"/>
      <c r="AR87" s="243"/>
      <c r="AS87" s="243"/>
      <c r="AT87" s="243"/>
      <c r="AU87" s="243"/>
      <c r="AV87" s="243"/>
      <c r="AW87" s="243"/>
      <c r="AX87" s="243"/>
      <c r="AY87" s="243"/>
      <c r="AZ87" s="243"/>
      <c r="BA87" s="243"/>
      <c r="BB87" s="243"/>
      <c r="BC87" s="14"/>
      <c r="BF87" s="40"/>
      <c r="BG87" s="40"/>
      <c r="BI87" s="27"/>
      <c r="BL87" s="1577"/>
      <c r="BM87" s="1699"/>
      <c r="BN87" s="1693">
        <v>14</v>
      </c>
      <c r="BO87" s="1554"/>
      <c r="BP87" s="1632" t="b">
        <f>IF(CB57=14,2)</f>
        <v>0</v>
      </c>
      <c r="BQ87" s="1688"/>
      <c r="BR87" s="1688"/>
      <c r="BS87" s="1688"/>
      <c r="BT87" s="1641"/>
      <c r="BU87" s="1688"/>
      <c r="BV87" s="1688"/>
      <c r="BW87" s="1641"/>
      <c r="BX87" s="1688"/>
      <c r="BY87" s="1688"/>
      <c r="BZ87" s="1688"/>
      <c r="CA87" s="1688"/>
      <c r="CB87" s="1688"/>
      <c r="CC87" s="1688"/>
      <c r="CD87" s="1688"/>
      <c r="CE87" s="1688"/>
      <c r="CF87" s="1703"/>
      <c r="CG87" s="1641"/>
      <c r="CH87" s="1704"/>
      <c r="CI87" s="1688"/>
      <c r="CJ87" s="1641"/>
      <c r="CK87" s="1688"/>
      <c r="CL87" s="1688"/>
      <c r="CM87" s="1642"/>
      <c r="CN87" s="1634" t="b">
        <f>IF(CB57=14,26)</f>
        <v>0</v>
      </c>
      <c r="CO87" s="1557"/>
      <c r="CP87" s="1557"/>
      <c r="CQ87" s="1557"/>
      <c r="CR87" s="1557"/>
      <c r="CS87" s="1557"/>
      <c r="CT87" s="1557"/>
      <c r="CU87" s="1557"/>
      <c r="CV87" s="1557"/>
      <c r="CW87" s="1557"/>
      <c r="CX87" s="1557"/>
      <c r="CY87" s="1557"/>
      <c r="CZ87" s="1557"/>
      <c r="DA87" s="1557"/>
      <c r="DB87" s="1557"/>
      <c r="EI87" s="185"/>
      <c r="EJ87" s="185"/>
    </row>
    <row r="88" spans="2:140" ht="21.6" hidden="1" thickBot="1" x14ac:dyDescent="0.45">
      <c r="B88" s="84"/>
      <c r="C88" s="84"/>
      <c r="F88" s="85"/>
      <c r="G88" s="85"/>
      <c r="H88" s="243"/>
      <c r="I88" s="243"/>
      <c r="J88" s="243"/>
      <c r="K88" s="243"/>
      <c r="L88" s="243"/>
      <c r="M88" s="243"/>
      <c r="N88" s="243"/>
      <c r="O88" s="243"/>
      <c r="P88" s="243"/>
      <c r="Q88" s="243"/>
      <c r="R88" s="243"/>
      <c r="S88" s="243"/>
      <c r="T88" s="243"/>
      <c r="U88" s="86"/>
      <c r="V88" s="243"/>
      <c r="W88" s="243"/>
      <c r="X88" s="243"/>
      <c r="Y88" s="243"/>
      <c r="Z88" s="243"/>
      <c r="AA88" s="243"/>
      <c r="AB88" s="86"/>
      <c r="AC88" s="86"/>
      <c r="AD88" s="86"/>
      <c r="AE88" s="86"/>
      <c r="AF88" s="243"/>
      <c r="AG88" s="243"/>
      <c r="AH88" s="243"/>
      <c r="AI88" s="243"/>
      <c r="AJ88" s="243"/>
      <c r="AK88" s="243"/>
      <c r="AL88" s="243"/>
      <c r="AM88" s="243"/>
      <c r="AN88" s="243"/>
      <c r="AO88" s="243"/>
      <c r="AP88" s="243"/>
      <c r="AQ88" s="243"/>
      <c r="AR88" s="243"/>
      <c r="AS88" s="243"/>
      <c r="AT88" s="243"/>
      <c r="AU88" s="243"/>
      <c r="AV88" s="243"/>
      <c r="AW88" s="243"/>
      <c r="AX88" s="243"/>
      <c r="AY88" s="243"/>
      <c r="AZ88" s="243"/>
      <c r="BA88" s="243"/>
      <c r="BB88" s="243"/>
      <c r="BC88" s="14"/>
      <c r="BF88" s="40"/>
      <c r="BG88" s="40"/>
      <c r="BI88" s="27"/>
      <c r="BL88" s="1577"/>
      <c r="BM88" s="1699"/>
      <c r="BN88" s="1693">
        <v>13</v>
      </c>
      <c r="BO88" s="1554"/>
      <c r="BP88" s="1554"/>
      <c r="BQ88" s="1554"/>
      <c r="BS88" s="1714"/>
      <c r="BT88" s="1714"/>
      <c r="BU88" s="1715"/>
      <c r="BV88" s="1714"/>
      <c r="BW88" s="1643" t="b">
        <f>IF(CA57=13,9)</f>
        <v>0</v>
      </c>
      <c r="BX88" s="1689"/>
      <c r="BY88" s="1689"/>
      <c r="BZ88" s="1689"/>
      <c r="CA88" s="1689"/>
      <c r="CB88" s="1689"/>
      <c r="CC88" s="1689"/>
      <c r="CD88" s="1689"/>
      <c r="CE88" s="1636" t="b">
        <f>IF(CA57=13,17)</f>
        <v>0</v>
      </c>
      <c r="CF88" s="1716"/>
      <c r="CG88" s="1715"/>
      <c r="CH88" s="1717"/>
      <c r="CI88" s="1714"/>
      <c r="CK88" s="1554"/>
      <c r="CL88" s="1554"/>
      <c r="CM88" s="1557"/>
      <c r="CN88" s="1557"/>
      <c r="CO88" s="1557"/>
      <c r="CP88" s="1557"/>
      <c r="CQ88" s="1557"/>
      <c r="CR88" s="1557"/>
      <c r="CS88" s="1557"/>
      <c r="CT88" s="1557"/>
      <c r="CU88" s="1557"/>
      <c r="CV88" s="1557"/>
      <c r="CW88" s="1557"/>
      <c r="CX88" s="1557"/>
      <c r="CY88" s="1557"/>
      <c r="CZ88" s="1557"/>
      <c r="DA88" s="1557"/>
      <c r="DB88" s="1557"/>
      <c r="EI88" s="185"/>
      <c r="EJ88" s="185"/>
    </row>
    <row r="89" spans="2:140" ht="21.6" hidden="1" thickBot="1" x14ac:dyDescent="0.45">
      <c r="B89" s="84"/>
      <c r="C89" s="84"/>
      <c r="G89" s="85"/>
      <c r="H89" s="243"/>
      <c r="I89" s="243"/>
      <c r="J89" s="243"/>
      <c r="K89" s="243"/>
      <c r="L89" s="243"/>
      <c r="M89" s="243"/>
      <c r="N89" s="243"/>
      <c r="O89" s="243"/>
      <c r="P89" s="243"/>
      <c r="Q89" s="243"/>
      <c r="R89" s="243"/>
      <c r="S89" s="243"/>
      <c r="T89" s="243"/>
      <c r="U89" s="86"/>
      <c r="V89" s="243"/>
      <c r="W89" s="243"/>
      <c r="X89" s="243"/>
      <c r="Y89" s="243"/>
      <c r="Z89" s="243"/>
      <c r="AA89" s="243"/>
      <c r="AB89" s="86"/>
      <c r="AC89" s="86"/>
      <c r="AD89" s="86"/>
      <c r="AE89" s="86"/>
      <c r="AF89" s="243"/>
      <c r="AG89" s="243"/>
      <c r="AH89" s="243"/>
      <c r="AI89" s="243"/>
      <c r="AJ89" s="243"/>
      <c r="AK89" s="243"/>
      <c r="AL89" s="243"/>
      <c r="AM89" s="243"/>
      <c r="AN89" s="243"/>
      <c r="AO89" s="243"/>
      <c r="AP89" s="243"/>
      <c r="AQ89" s="243"/>
      <c r="AR89" s="243"/>
      <c r="AS89" s="243"/>
      <c r="AT89" s="243"/>
      <c r="AU89" s="243"/>
      <c r="AV89" s="243"/>
      <c r="AW89" s="243"/>
      <c r="AX89" s="243"/>
      <c r="AY89" s="243"/>
      <c r="AZ89" s="243"/>
      <c r="BA89" s="243"/>
      <c r="BB89" s="243"/>
      <c r="BC89" s="14"/>
      <c r="BF89" s="40"/>
      <c r="BG89" s="40"/>
      <c r="BI89" s="27"/>
      <c r="BL89" s="1577"/>
      <c r="BM89" s="1699"/>
      <c r="BN89" s="1693">
        <v>12</v>
      </c>
      <c r="BO89" s="1554"/>
      <c r="BQ89" s="1702"/>
      <c r="BR89" s="1702"/>
      <c r="BS89" s="1705"/>
      <c r="BT89" s="1702"/>
      <c r="BU89" s="1632" t="b">
        <f>IF(BZ57=12,7)</f>
        <v>0</v>
      </c>
      <c r="BV89" s="1688"/>
      <c r="BW89" s="1688"/>
      <c r="BX89" s="1688"/>
      <c r="BY89" s="1688"/>
      <c r="BZ89" s="1688"/>
      <c r="CA89" s="1688"/>
      <c r="CB89" s="1688"/>
      <c r="CC89" s="1688"/>
      <c r="CD89" s="1688"/>
      <c r="CE89" s="1634" t="b">
        <f>IF(BZ57=12,17)</f>
        <v>0</v>
      </c>
      <c r="CF89" s="1718"/>
      <c r="CG89" s="1705"/>
      <c r="CH89" s="1719"/>
      <c r="CI89" s="1702"/>
      <c r="CK89" s="1554"/>
      <c r="CL89" s="1554"/>
      <c r="CM89" s="1557"/>
      <c r="CN89" s="1557"/>
      <c r="CO89" s="1557"/>
      <c r="CP89" s="1557"/>
      <c r="CQ89" s="1557"/>
      <c r="CR89" s="1557"/>
      <c r="CS89" s="1557"/>
      <c r="CT89" s="1557"/>
      <c r="CU89" s="1557"/>
      <c r="CV89" s="1557"/>
      <c r="CW89" s="1557"/>
      <c r="CX89" s="1557"/>
      <c r="CY89" s="1557"/>
      <c r="CZ89" s="1557"/>
      <c r="DA89" s="1557"/>
      <c r="DB89" s="1557"/>
      <c r="EI89" s="185"/>
      <c r="EJ89" s="185"/>
    </row>
    <row r="90" spans="2:140" ht="21.6" hidden="1" thickBot="1" x14ac:dyDescent="0.45">
      <c r="C90" s="666"/>
      <c r="G90" s="85"/>
      <c r="H90" s="243"/>
      <c r="I90" s="243"/>
      <c r="J90" s="243"/>
      <c r="K90" s="243"/>
      <c r="L90" s="243"/>
      <c r="M90" s="243"/>
      <c r="N90" s="243"/>
      <c r="O90" s="243"/>
      <c r="P90" s="243"/>
      <c r="Q90" s="243"/>
      <c r="R90" s="243"/>
      <c r="S90" s="243"/>
      <c r="T90" s="243"/>
      <c r="U90" s="86"/>
      <c r="V90" s="243"/>
      <c r="W90" s="243"/>
      <c r="X90" s="243"/>
      <c r="Y90" s="243"/>
      <c r="Z90" s="243"/>
      <c r="AA90" s="243"/>
      <c r="AB90" s="86"/>
      <c r="AC90" s="86"/>
      <c r="AD90" s="86"/>
      <c r="AE90" s="86"/>
      <c r="AF90" s="243"/>
      <c r="AG90" s="243"/>
      <c r="AH90" s="243"/>
      <c r="AI90" s="243"/>
      <c r="AJ90" s="243"/>
      <c r="AK90" s="243"/>
      <c r="AL90" s="243"/>
      <c r="AM90" s="243"/>
      <c r="AN90" s="243"/>
      <c r="AO90" s="243"/>
      <c r="AP90" s="243"/>
      <c r="AQ90" s="243"/>
      <c r="AR90" s="243"/>
      <c r="AS90" s="243"/>
      <c r="AT90" s="243"/>
      <c r="AU90" s="243"/>
      <c r="AV90" s="243"/>
      <c r="AW90" s="243"/>
      <c r="AX90" s="243"/>
      <c r="AY90" s="243"/>
      <c r="AZ90" s="243"/>
      <c r="BA90" s="243"/>
      <c r="BB90" s="243"/>
      <c r="BC90" s="14"/>
      <c r="BF90" s="40"/>
      <c r="BG90" s="40"/>
      <c r="BI90" s="27"/>
      <c r="BL90" s="1577"/>
      <c r="BM90" s="1699"/>
      <c r="BN90" s="1693">
        <v>11</v>
      </c>
      <c r="BP90" s="1714"/>
      <c r="BQ90" s="1715"/>
      <c r="BR90" s="1714"/>
      <c r="BS90" s="1632" t="b">
        <f>IF(BY57=11,5)</f>
        <v>0</v>
      </c>
      <c r="BT90" s="1688"/>
      <c r="BU90" s="1688"/>
      <c r="BV90" s="1688"/>
      <c r="BW90" s="1688"/>
      <c r="BX90" s="1688"/>
      <c r="BY90" s="1688"/>
      <c r="BZ90" s="1688"/>
      <c r="CA90" s="1688"/>
      <c r="CB90" s="1688"/>
      <c r="CC90" s="1688"/>
      <c r="CD90" s="1688"/>
      <c r="CE90" s="1634" t="b">
        <f>IF(BY57=11,17)</f>
        <v>0</v>
      </c>
      <c r="CF90" s="1716"/>
      <c r="CG90" s="1715"/>
      <c r="CH90" s="1717"/>
      <c r="CJ90" s="1554"/>
      <c r="CK90" s="1554"/>
      <c r="CL90" s="1554"/>
      <c r="CM90" s="1557"/>
      <c r="CN90" s="1557"/>
      <c r="CO90" s="1557"/>
      <c r="CP90" s="1557"/>
      <c r="CQ90" s="1557"/>
      <c r="CR90" s="1557"/>
      <c r="CS90" s="1557"/>
      <c r="CT90" s="1557"/>
      <c r="CU90" s="1557"/>
      <c r="CV90" s="1557"/>
      <c r="CW90" s="1557"/>
      <c r="CX90" s="1557"/>
      <c r="CY90" s="1557"/>
      <c r="CZ90" s="1557"/>
      <c r="DA90" s="1557"/>
      <c r="DB90" s="1557"/>
      <c r="EI90" s="185"/>
      <c r="EJ90" s="185"/>
    </row>
    <row r="91" spans="2:140" ht="21.6" hidden="1" thickBot="1" x14ac:dyDescent="0.45">
      <c r="G91" s="85"/>
      <c r="H91" s="243"/>
      <c r="I91" s="243"/>
      <c r="J91" s="243"/>
      <c r="K91" s="243"/>
      <c r="L91" s="243"/>
      <c r="M91" s="243"/>
      <c r="N91" s="243"/>
      <c r="O91" s="243"/>
      <c r="P91" s="243"/>
      <c r="Q91" s="243"/>
      <c r="R91" s="243"/>
      <c r="S91" s="243"/>
      <c r="T91" s="243"/>
      <c r="U91" s="86"/>
      <c r="V91" s="243"/>
      <c r="W91" s="243"/>
      <c r="X91" s="243"/>
      <c r="Y91" s="243"/>
      <c r="Z91" s="243"/>
      <c r="AA91" s="243"/>
      <c r="AB91" s="86"/>
      <c r="AC91" s="86"/>
      <c r="AD91" s="86"/>
      <c r="AE91" s="86"/>
      <c r="AF91" s="243"/>
      <c r="AG91" s="243"/>
      <c r="AH91" s="243"/>
      <c r="AI91" s="243"/>
      <c r="AJ91" s="243"/>
      <c r="AK91" s="243"/>
      <c r="AL91" s="243"/>
      <c r="AM91" s="243"/>
      <c r="AN91" s="243"/>
      <c r="AO91" s="243"/>
      <c r="AP91" s="243"/>
      <c r="AQ91" s="243"/>
      <c r="AR91" s="243"/>
      <c r="AS91" s="243"/>
      <c r="AT91" s="243"/>
      <c r="AU91" s="243"/>
      <c r="AV91" s="243"/>
      <c r="AW91" s="243"/>
      <c r="AX91" s="243"/>
      <c r="AY91" s="243"/>
      <c r="AZ91" s="243"/>
      <c r="BA91" s="243"/>
      <c r="BB91" s="243"/>
      <c r="BC91" s="14"/>
      <c r="BF91" s="40"/>
      <c r="BG91" s="40"/>
      <c r="BI91" s="27"/>
      <c r="BL91" s="1577"/>
      <c r="BM91" s="1699"/>
      <c r="BN91" s="1693">
        <v>10</v>
      </c>
      <c r="BP91" s="1714"/>
      <c r="BQ91" s="1632" t="b">
        <f>IF(BX57=10,3)</f>
        <v>0</v>
      </c>
      <c r="BR91" s="1688"/>
      <c r="BS91" s="1688"/>
      <c r="BT91" s="1688"/>
      <c r="BU91" s="1688"/>
      <c r="BV91" s="1688"/>
      <c r="BW91" s="1688"/>
      <c r="BX91" s="1688"/>
      <c r="BY91" s="1688"/>
      <c r="BZ91" s="1688"/>
      <c r="CA91" s="1688"/>
      <c r="CB91" s="1688"/>
      <c r="CC91" s="1688"/>
      <c r="CD91" s="1688"/>
      <c r="CE91" s="1634" t="b">
        <f>IF(BX57=10,17)</f>
        <v>0</v>
      </c>
      <c r="CF91" s="1716"/>
      <c r="CH91" s="1720"/>
      <c r="CI91" s="1554"/>
      <c r="CJ91" s="1554"/>
      <c r="CK91" s="1554"/>
      <c r="CL91" s="1554"/>
      <c r="CM91" s="1557"/>
      <c r="CN91" s="1557"/>
      <c r="CO91" s="1557"/>
      <c r="CP91" s="1557"/>
      <c r="CQ91" s="1557"/>
      <c r="CR91" s="1557"/>
      <c r="CS91" s="1557"/>
      <c r="CT91" s="1557"/>
      <c r="CU91" s="1557"/>
      <c r="CV91" s="1557"/>
      <c r="CW91" s="1557"/>
      <c r="CX91" s="1557"/>
      <c r="CY91" s="1557"/>
      <c r="CZ91" s="1557"/>
      <c r="DA91" s="1557"/>
      <c r="DB91" s="1557"/>
      <c r="EI91" s="185"/>
      <c r="EJ91" s="185"/>
    </row>
    <row r="92" spans="2:140" ht="21.6" hidden="1" thickBot="1" x14ac:dyDescent="0.45">
      <c r="B92" s="55"/>
      <c r="C92" s="55"/>
      <c r="D92" s="56"/>
      <c r="E92" s="56"/>
      <c r="F92" s="56"/>
      <c r="G92" s="56"/>
      <c r="BG92" s="4"/>
      <c r="BH92" s="4"/>
      <c r="BI92" s="27"/>
      <c r="BL92" s="1577"/>
      <c r="BM92" s="1699"/>
      <c r="BN92" s="1693">
        <v>9</v>
      </c>
      <c r="BO92" s="1632" t="b">
        <f>IF(BW57=9,1)</f>
        <v>0</v>
      </c>
      <c r="BP92" s="1688"/>
      <c r="BQ92" s="1688"/>
      <c r="BR92" s="1688"/>
      <c r="BS92" s="1688"/>
      <c r="BT92" s="1688"/>
      <c r="BU92" s="1688"/>
      <c r="BV92" s="1688"/>
      <c r="BW92" s="1688"/>
      <c r="BX92" s="1688"/>
      <c r="BY92" s="1688"/>
      <c r="BZ92" s="1688"/>
      <c r="CA92" s="1688"/>
      <c r="CB92" s="1688"/>
      <c r="CC92" s="1688"/>
      <c r="CD92" s="1688"/>
      <c r="CE92" s="1634" t="b">
        <f>IF(BW57=9,17)</f>
        <v>0</v>
      </c>
      <c r="CF92" s="1554"/>
      <c r="CG92" s="1554"/>
      <c r="CH92" s="1720"/>
      <c r="CI92" s="1554"/>
      <c r="CJ92" s="1554"/>
      <c r="CK92" s="1554"/>
      <c r="CL92" s="1554"/>
      <c r="CM92" s="1557"/>
      <c r="CN92" s="1557"/>
      <c r="CO92" s="1557"/>
      <c r="CP92" s="1557"/>
      <c r="CQ92" s="1557"/>
      <c r="CR92" s="1557"/>
      <c r="CS92" s="1557"/>
      <c r="CT92" s="1557"/>
      <c r="CU92" s="1557"/>
      <c r="CV92" s="1557"/>
      <c r="CW92" s="1557"/>
      <c r="CX92" s="1557"/>
      <c r="CY92" s="1557"/>
      <c r="CZ92" s="1557"/>
      <c r="DA92" s="1557"/>
      <c r="DB92" s="1557"/>
      <c r="DC92" s="4"/>
      <c r="EI92" s="185"/>
      <c r="EJ92" s="185"/>
    </row>
    <row r="93" spans="2:140" ht="21.6" hidden="1" thickBot="1" x14ac:dyDescent="0.45">
      <c r="BG93" s="27"/>
      <c r="BH93" s="27"/>
      <c r="BI93" s="27"/>
      <c r="BL93" s="1577"/>
      <c r="BM93" s="1699"/>
      <c r="BN93" s="1693">
        <v>8</v>
      </c>
      <c r="BO93" s="1632" t="b">
        <f>IF(BV57=8,1)</f>
        <v>0</v>
      </c>
      <c r="BP93" s="1688"/>
      <c r="BQ93" s="1641"/>
      <c r="BR93" s="1688"/>
      <c r="BS93" s="1688"/>
      <c r="BT93" s="1688"/>
      <c r="BU93" s="1688"/>
      <c r="BV93" s="1688"/>
      <c r="BW93" s="1688"/>
      <c r="BX93" s="1688"/>
      <c r="BY93" s="1688"/>
      <c r="BZ93" s="1688"/>
      <c r="CA93" s="1641"/>
      <c r="CB93" s="1688"/>
      <c r="CC93" s="1634" t="b">
        <f>IF(BV57=8,15)</f>
        <v>0</v>
      </c>
      <c r="CD93" s="1554"/>
      <c r="CE93" s="1554"/>
      <c r="CF93" s="1721"/>
      <c r="CG93" s="1554"/>
      <c r="CH93" s="1720"/>
      <c r="CI93" s="1554"/>
      <c r="CJ93" s="1554"/>
      <c r="CK93" s="1554"/>
      <c r="CL93" s="1554"/>
      <c r="CM93" s="1557"/>
      <c r="CN93" s="1557"/>
      <c r="CO93" s="1557"/>
      <c r="CP93" s="1557"/>
      <c r="CQ93" s="1557"/>
      <c r="CR93" s="1557"/>
      <c r="CS93" s="1557"/>
      <c r="CT93" s="1557"/>
      <c r="CU93" s="1557"/>
      <c r="CV93" s="1557"/>
      <c r="CW93" s="1557"/>
      <c r="CX93" s="1557"/>
      <c r="CY93" s="1557"/>
      <c r="CZ93" s="1557"/>
      <c r="DA93" s="1557"/>
      <c r="DB93" s="1557"/>
      <c r="DC93" s="4"/>
      <c r="EI93" s="185"/>
      <c r="EJ93" s="185"/>
    </row>
    <row r="94" spans="2:140" ht="21.6" hidden="1" thickBot="1" x14ac:dyDescent="0.45">
      <c r="B94" s="14"/>
      <c r="BG94" s="27"/>
      <c r="BH94" s="27"/>
      <c r="BI94" s="27"/>
      <c r="BL94" s="1577"/>
      <c r="BM94" s="1699"/>
      <c r="BN94" s="1693">
        <v>7</v>
      </c>
      <c r="BO94" s="1632" t="b">
        <f>IF(BU57=7,1)</f>
        <v>0</v>
      </c>
      <c r="BP94" s="1641"/>
      <c r="BQ94" s="1688"/>
      <c r="BR94" s="1688"/>
      <c r="BS94" s="1688"/>
      <c r="BT94" s="1688"/>
      <c r="BU94" s="1688"/>
      <c r="BV94" s="1688"/>
      <c r="BW94" s="1688"/>
      <c r="BX94" s="1688"/>
      <c r="BY94" s="1641"/>
      <c r="BZ94" s="1641"/>
      <c r="CA94" s="1634" t="b">
        <f>IF(BU57=7,13)</f>
        <v>0</v>
      </c>
      <c r="CB94" s="1554"/>
      <c r="CC94" s="1554"/>
      <c r="CD94" s="1554"/>
      <c r="CE94" s="1554"/>
      <c r="CF94" s="1721"/>
      <c r="CG94" s="1554"/>
      <c r="CH94" s="1720"/>
      <c r="CI94" s="1554"/>
      <c r="CJ94" s="1554"/>
      <c r="CK94" s="1554"/>
      <c r="CL94" s="1554"/>
      <c r="CM94" s="1557"/>
      <c r="CN94" s="1557"/>
      <c r="CO94" s="1557"/>
      <c r="CP94" s="1557"/>
      <c r="CQ94" s="1557"/>
      <c r="CR94" s="1557"/>
      <c r="CS94" s="1557"/>
      <c r="CT94" s="1557"/>
      <c r="CU94" s="1557"/>
      <c r="CV94" s="1557"/>
      <c r="CW94" s="1557"/>
      <c r="CX94" s="1557"/>
      <c r="CY94" s="1557"/>
      <c r="CZ94" s="1557"/>
      <c r="DA94" s="1557"/>
      <c r="DB94" s="1557"/>
      <c r="DC94" s="4"/>
      <c r="EI94" s="185"/>
      <c r="EJ94" s="185"/>
    </row>
    <row r="95" spans="2:140" ht="21.6" hidden="1" thickBot="1" x14ac:dyDescent="0.45">
      <c r="B95" s="55"/>
      <c r="C95" s="55"/>
      <c r="D95" s="56"/>
      <c r="E95" s="56"/>
      <c r="F95" s="56"/>
      <c r="G95" s="56"/>
      <c r="BG95" s="27"/>
      <c r="BH95" s="27"/>
      <c r="BI95" s="27"/>
      <c r="BL95" s="1577"/>
      <c r="BM95" s="1699"/>
      <c r="BN95" s="1693">
        <v>6</v>
      </c>
      <c r="BO95" s="1643" t="b">
        <f>IF(BT57=6,1)</f>
        <v>0</v>
      </c>
      <c r="BP95" s="1689"/>
      <c r="BQ95" s="1689"/>
      <c r="BR95" s="1689"/>
      <c r="BS95" s="1689"/>
      <c r="BT95" s="1689"/>
      <c r="BU95" s="1689"/>
      <c r="BV95" s="1689"/>
      <c r="BW95" s="1689"/>
      <c r="BX95" s="1689"/>
      <c r="BY95" s="1636" t="b">
        <f>IF(BT57=6,11)</f>
        <v>0</v>
      </c>
      <c r="BZ95" s="1554"/>
      <c r="CA95" s="1554"/>
      <c r="CB95" s="1554"/>
      <c r="CC95" s="1554"/>
      <c r="CD95" s="1554"/>
      <c r="CE95" s="1554"/>
      <c r="CF95" s="1721"/>
      <c r="CG95" s="1554"/>
      <c r="CH95" s="1720"/>
      <c r="CI95" s="1554"/>
      <c r="CJ95" s="1554"/>
      <c r="CK95" s="1554"/>
      <c r="CL95" s="1554"/>
      <c r="CM95" s="1557"/>
      <c r="CN95" s="1557"/>
      <c r="CO95" s="1557"/>
      <c r="CP95" s="1557"/>
      <c r="CQ95" s="1557"/>
      <c r="CR95" s="1557"/>
      <c r="CS95" s="1557"/>
      <c r="CT95" s="1557"/>
      <c r="CU95" s="1557"/>
      <c r="CV95" s="1557"/>
      <c r="CW95" s="1557"/>
      <c r="CX95" s="1557"/>
      <c r="CY95" s="1557"/>
      <c r="CZ95" s="1557"/>
      <c r="DA95" s="1557"/>
      <c r="DB95" s="1557"/>
      <c r="DC95" s="4"/>
      <c r="EI95" s="185"/>
      <c r="EJ95" s="185"/>
    </row>
    <row r="96" spans="2:140" ht="21.6" hidden="1" thickBot="1" x14ac:dyDescent="0.45">
      <c r="B96" s="55"/>
      <c r="C96" s="55"/>
      <c r="D96" s="56"/>
      <c r="E96" s="56"/>
      <c r="F96" s="56"/>
      <c r="G96" s="56"/>
      <c r="H96" s="244"/>
      <c r="I96" s="244"/>
      <c r="J96" s="244"/>
      <c r="K96" s="244"/>
      <c r="L96" s="244"/>
      <c r="M96" s="244"/>
      <c r="N96" s="244"/>
      <c r="O96" s="244"/>
      <c r="P96" s="244"/>
      <c r="Q96" s="244"/>
      <c r="R96" s="244"/>
      <c r="AB96" s="244"/>
      <c r="AC96" s="244"/>
      <c r="AD96" s="244"/>
      <c r="AE96" s="244"/>
      <c r="AF96" s="244"/>
      <c r="AG96" s="244"/>
      <c r="AH96" s="244"/>
      <c r="AI96" s="244"/>
      <c r="AJ96" s="244"/>
      <c r="AK96" s="244"/>
      <c r="AL96" s="244"/>
      <c r="AM96" s="244"/>
      <c r="AN96" s="244"/>
      <c r="AO96" s="244"/>
      <c r="AP96" s="244"/>
      <c r="AQ96" s="244"/>
      <c r="AR96" s="244"/>
      <c r="AS96" s="244"/>
      <c r="AT96" s="244"/>
      <c r="AU96" s="244"/>
      <c r="AV96" s="244"/>
      <c r="AW96" s="244"/>
      <c r="AX96" s="244"/>
      <c r="AY96" s="244"/>
      <c r="AZ96" s="244"/>
      <c r="BA96" s="244"/>
      <c r="BB96" s="244"/>
      <c r="BC96" s="7"/>
      <c r="BG96" s="27"/>
      <c r="BL96" s="1577"/>
      <c r="BM96" s="1699"/>
      <c r="BN96" s="1693">
        <v>5</v>
      </c>
      <c r="BO96" s="1643" t="b">
        <f>IF(BS57=5,1)</f>
        <v>0</v>
      </c>
      <c r="BP96" s="1639"/>
      <c r="BQ96" s="1689"/>
      <c r="BR96" s="1689"/>
      <c r="BS96" s="1689"/>
      <c r="BT96" s="1689"/>
      <c r="BU96" s="1689"/>
      <c r="BV96" s="1639"/>
      <c r="BW96" s="1636" t="b">
        <f>IF(BS57=5,9)</f>
        <v>0</v>
      </c>
      <c r="BX96" s="1554"/>
      <c r="BY96" s="1554"/>
      <c r="BZ96" s="1554"/>
      <c r="CA96" s="1554"/>
      <c r="CB96" s="1554"/>
      <c r="CC96" s="1554"/>
      <c r="CD96" s="1554"/>
      <c r="CE96" s="1554"/>
      <c r="CF96" s="1721"/>
      <c r="CG96" s="1554"/>
      <c r="CH96" s="1720"/>
      <c r="CI96" s="1554"/>
      <c r="CJ96" s="1554"/>
      <c r="CK96" s="1554"/>
      <c r="CL96" s="1554"/>
      <c r="CM96" s="1557"/>
      <c r="CN96" s="1557"/>
      <c r="CO96" s="1557"/>
      <c r="CP96" s="1557"/>
      <c r="CQ96" s="1557"/>
      <c r="CR96" s="1557"/>
      <c r="CS96" s="1557"/>
      <c r="CT96" s="1557"/>
      <c r="CU96" s="1557"/>
      <c r="CV96" s="1557"/>
      <c r="CW96" s="1557"/>
      <c r="CX96" s="1557"/>
      <c r="CY96" s="1557"/>
      <c r="CZ96" s="1557"/>
      <c r="DA96" s="1557"/>
      <c r="DB96" s="1557"/>
      <c r="DC96" s="4"/>
      <c r="EI96" s="185"/>
      <c r="EJ96" s="185"/>
    </row>
    <row r="97" spans="2:140" ht="21.6" hidden="1" thickBot="1" x14ac:dyDescent="0.45">
      <c r="B97" s="24"/>
      <c r="C97" s="24"/>
      <c r="D97" s="15"/>
      <c r="E97" s="15"/>
      <c r="F97" s="15"/>
      <c r="G97" s="15"/>
      <c r="H97" s="244"/>
      <c r="I97" s="244"/>
      <c r="J97" s="244"/>
      <c r="K97" s="244"/>
      <c r="L97" s="244"/>
      <c r="M97" s="244"/>
      <c r="N97" s="244"/>
      <c r="O97" s="244"/>
      <c r="P97" s="244"/>
      <c r="Q97" s="244"/>
      <c r="R97" s="244"/>
      <c r="AF97" s="244"/>
      <c r="AG97" s="244"/>
      <c r="AH97" s="244"/>
      <c r="AI97" s="244"/>
      <c r="AJ97" s="244"/>
      <c r="AK97" s="244"/>
      <c r="AL97" s="244"/>
      <c r="AM97" s="244"/>
      <c r="AN97" s="244"/>
      <c r="AO97" s="244"/>
      <c r="AP97" s="244"/>
      <c r="AQ97" s="244"/>
      <c r="AR97" s="244"/>
      <c r="AS97" s="244"/>
      <c r="AT97" s="244"/>
      <c r="AU97" s="244"/>
      <c r="AV97" s="244"/>
      <c r="AW97" s="244"/>
      <c r="AX97" s="244"/>
      <c r="AY97" s="244"/>
      <c r="AZ97" s="244"/>
      <c r="BA97" s="244"/>
      <c r="BB97" s="244"/>
      <c r="BC97" s="7"/>
      <c r="BG97" s="27"/>
      <c r="BL97" s="1577"/>
      <c r="BM97" s="1699"/>
      <c r="BN97" s="1693">
        <v>4</v>
      </c>
      <c r="BO97" s="1643" t="b">
        <f>IF(BR57=4,1)</f>
        <v>0</v>
      </c>
      <c r="BP97" s="1689"/>
      <c r="BQ97" s="1689"/>
      <c r="BR97" s="1689"/>
      <c r="BS97" s="1689"/>
      <c r="BT97" s="1689"/>
      <c r="BU97" s="1636" t="b">
        <f>IF(BR57=4,7)</f>
        <v>0</v>
      </c>
      <c r="BV97" s="1554"/>
      <c r="BW97" s="1722"/>
      <c r="BX97" s="1722"/>
      <c r="BY97" s="1554"/>
      <c r="BZ97" s="1722"/>
      <c r="CA97" s="1554"/>
      <c r="CB97" s="1554"/>
      <c r="CC97" s="1554"/>
      <c r="CD97" s="1554"/>
      <c r="CE97" s="1554"/>
      <c r="CF97" s="1721"/>
      <c r="CG97" s="1554"/>
      <c r="CH97" s="1720"/>
      <c r="CI97" s="1554"/>
      <c r="CJ97" s="1554"/>
      <c r="CK97" s="1554"/>
      <c r="CL97" s="1554"/>
      <c r="CM97" s="1557"/>
      <c r="CN97" s="1557"/>
      <c r="CO97" s="1557"/>
      <c r="CP97" s="1557"/>
      <c r="CQ97" s="1557"/>
      <c r="CR97" s="1557"/>
      <c r="CS97" s="1557"/>
      <c r="CT97" s="1557"/>
      <c r="CU97" s="1557"/>
      <c r="CV97" s="1557"/>
      <c r="CW97" s="1557"/>
      <c r="CX97" s="1557"/>
      <c r="CY97" s="1557"/>
      <c r="CZ97" s="1557"/>
      <c r="DA97" s="1557"/>
      <c r="DB97" s="1557"/>
      <c r="DC97" s="27"/>
      <c r="EI97" s="185"/>
      <c r="EJ97" s="185"/>
    </row>
    <row r="98" spans="2:140" ht="21.6" hidden="1" thickBot="1" x14ac:dyDescent="0.45">
      <c r="B98" s="25"/>
      <c r="C98" s="25"/>
      <c r="D98" s="15"/>
      <c r="E98" s="15"/>
      <c r="F98" s="15"/>
      <c r="G98" s="15"/>
      <c r="H98" s="244"/>
      <c r="I98" s="244"/>
      <c r="J98" s="244"/>
      <c r="K98" s="244"/>
      <c r="L98" s="244"/>
      <c r="M98" s="244"/>
      <c r="N98" s="244"/>
      <c r="O98" s="244"/>
      <c r="P98" s="244"/>
      <c r="Q98" s="244"/>
      <c r="R98" s="244"/>
      <c r="U98" s="149"/>
      <c r="V98" s="149"/>
      <c r="W98" s="149"/>
      <c r="X98" s="149"/>
      <c r="Y98" s="149"/>
      <c r="Z98" s="149"/>
      <c r="AA98" s="149"/>
      <c r="AF98" s="149"/>
      <c r="AG98" s="149"/>
      <c r="AH98" s="149"/>
      <c r="AI98" s="149"/>
      <c r="AJ98" s="149"/>
      <c r="AK98" s="149"/>
      <c r="AL98" s="149"/>
      <c r="AM98" s="149"/>
      <c r="AN98" s="149"/>
      <c r="AO98" s="149"/>
      <c r="AP98" s="149"/>
      <c r="AQ98" s="149"/>
      <c r="AR98" s="149"/>
      <c r="AS98" s="149"/>
      <c r="AT98" s="149"/>
      <c r="AU98" s="149"/>
      <c r="AV98" s="149"/>
      <c r="AW98" s="149"/>
      <c r="AX98" s="149"/>
      <c r="AY98" s="149"/>
      <c r="AZ98" s="149"/>
      <c r="BA98" s="149"/>
      <c r="BB98" s="149"/>
      <c r="BC98" s="10"/>
      <c r="BG98" s="27"/>
      <c r="BL98" s="1577"/>
      <c r="BM98" s="1699"/>
      <c r="BN98" s="1693">
        <v>3</v>
      </c>
      <c r="BO98" s="1643" t="b">
        <f>IF(BQ57=3,1)</f>
        <v>0</v>
      </c>
      <c r="BP98" s="1689"/>
      <c r="BQ98" s="1689"/>
      <c r="BR98" s="1689"/>
      <c r="BS98" s="1636" t="b">
        <f>IF(BQ57=3,5)</f>
        <v>0</v>
      </c>
      <c r="BT98" s="1554"/>
      <c r="BU98" s="1554"/>
      <c r="BV98" s="1554"/>
      <c r="BW98" s="1554"/>
      <c r="BX98" s="1554"/>
      <c r="BY98" s="1554"/>
      <c r="BZ98" s="1554"/>
      <c r="CA98" s="1554"/>
      <c r="CB98" s="1554"/>
      <c r="CC98" s="1554"/>
      <c r="CD98" s="1554"/>
      <c r="CE98" s="1554"/>
      <c r="CF98" s="1721"/>
      <c r="CG98" s="1554"/>
      <c r="CH98" s="1720"/>
      <c r="CI98" s="1554"/>
      <c r="CJ98" s="1554"/>
      <c r="CK98" s="1554"/>
      <c r="CL98" s="1554"/>
      <c r="CM98" s="1557"/>
      <c r="CN98" s="1557"/>
      <c r="CO98" s="1557"/>
      <c r="CP98" s="1557"/>
      <c r="CQ98" s="1557"/>
      <c r="CR98" s="1557"/>
      <c r="CS98" s="1557"/>
      <c r="CT98" s="1557"/>
      <c r="CU98" s="1557"/>
      <c r="CV98" s="1557"/>
      <c r="CW98" s="1557"/>
      <c r="CX98" s="1557"/>
      <c r="CY98" s="1557"/>
      <c r="CZ98" s="1557"/>
      <c r="DA98" s="1557"/>
      <c r="DB98" s="1557"/>
      <c r="DC98" s="27"/>
      <c r="EI98" s="185"/>
      <c r="EJ98" s="185"/>
    </row>
    <row r="99" spans="2:140" ht="21.6" hidden="1" thickBot="1" x14ac:dyDescent="0.45">
      <c r="B99" s="25"/>
      <c r="D99" s="416" t="str">
        <f>IF(BJ110&gt;0," ","change the angle of frame or of cabinets")</f>
        <v xml:space="preserve"> </v>
      </c>
      <c r="E99" s="114"/>
      <c r="F99" s="114"/>
      <c r="G99" s="114"/>
      <c r="H99" s="244"/>
      <c r="I99" s="244"/>
      <c r="J99" s="244"/>
      <c r="K99" s="244"/>
      <c r="L99" s="244"/>
      <c r="M99" s="244"/>
      <c r="N99" s="244"/>
      <c r="O99" s="244"/>
      <c r="P99" s="244"/>
      <c r="Q99" s="244"/>
      <c r="R99" s="244"/>
      <c r="S99" s="244"/>
      <c r="T99" s="244"/>
      <c r="V99" s="244"/>
      <c r="W99" s="244"/>
      <c r="X99" s="244"/>
      <c r="Y99" s="244"/>
      <c r="Z99" s="244"/>
      <c r="AA99" s="244"/>
      <c r="AF99" s="244"/>
      <c r="AG99" s="244"/>
      <c r="AH99" s="244"/>
      <c r="AI99" s="244"/>
      <c r="AJ99" s="244"/>
      <c r="AK99" s="244"/>
      <c r="AL99" s="244"/>
      <c r="AM99" s="244"/>
      <c r="AN99" s="244"/>
      <c r="AO99" s="244"/>
      <c r="AP99" s="244"/>
      <c r="AQ99" s="244"/>
      <c r="AR99" s="244"/>
      <c r="AS99" s="244"/>
      <c r="AT99" s="244"/>
      <c r="AU99" s="244"/>
      <c r="AV99" s="244"/>
      <c r="AW99" s="244"/>
      <c r="AX99" s="244"/>
      <c r="AY99" s="244"/>
      <c r="AZ99" s="244"/>
      <c r="BA99" s="244"/>
      <c r="BB99" s="244"/>
      <c r="BC99" s="7"/>
      <c r="BG99" s="27"/>
      <c r="BL99" s="1577"/>
      <c r="BM99" s="1699"/>
      <c r="BN99" s="1693">
        <v>2</v>
      </c>
      <c r="BO99" s="1723" t="b">
        <f>IF(BP57=2,1)</f>
        <v>0</v>
      </c>
      <c r="BP99" s="1724"/>
      <c r="BQ99" s="1725" t="b">
        <f>IF(BP57=2,3)</f>
        <v>0</v>
      </c>
      <c r="BR99" s="1554"/>
      <c r="BS99" s="1554"/>
      <c r="BT99" s="1554"/>
      <c r="BU99" s="1554"/>
      <c r="BV99" s="1554"/>
      <c r="BW99" s="1554"/>
      <c r="BX99" s="1554"/>
      <c r="BY99" s="1554"/>
      <c r="BZ99" s="1554"/>
      <c r="CA99" s="1554"/>
      <c r="CB99" s="1554"/>
      <c r="CC99" s="1554"/>
      <c r="CD99" s="1554"/>
      <c r="CE99" s="1554"/>
      <c r="CF99" s="1721"/>
      <c r="CG99" s="1554"/>
      <c r="CH99" s="1720"/>
      <c r="CI99" s="1554"/>
      <c r="CJ99" s="1554"/>
      <c r="CK99" s="1554"/>
      <c r="CL99" s="1554"/>
      <c r="CM99" s="1557"/>
      <c r="CN99" s="1557"/>
      <c r="CO99" s="1557"/>
      <c r="CP99" s="1557"/>
      <c r="CQ99" s="1557"/>
      <c r="CR99" s="1557"/>
      <c r="CS99" s="1557"/>
      <c r="CT99" s="1557"/>
      <c r="CU99" s="1557"/>
      <c r="CV99" s="1557"/>
      <c r="CW99" s="1557"/>
      <c r="CX99" s="1557"/>
      <c r="CY99" s="1557"/>
      <c r="CZ99" s="1557"/>
      <c r="DA99" s="1557"/>
      <c r="DB99" s="1557"/>
      <c r="DC99" s="27"/>
      <c r="EI99" s="185"/>
      <c r="EJ99" s="185"/>
    </row>
    <row r="100" spans="2:140" ht="21.6" hidden="1" thickBot="1" x14ac:dyDescent="0.45">
      <c r="B100" s="25"/>
      <c r="D100" s="416"/>
      <c r="E100" s="114"/>
      <c r="F100" s="114"/>
      <c r="G100" s="114"/>
      <c r="H100" s="244"/>
      <c r="I100" s="244"/>
      <c r="J100" s="244"/>
      <c r="K100" s="244"/>
      <c r="L100" s="244"/>
      <c r="M100" s="244"/>
      <c r="N100" s="244"/>
      <c r="O100" s="244"/>
      <c r="P100" s="244"/>
      <c r="Q100" s="244"/>
      <c r="R100" s="244"/>
      <c r="S100" s="244"/>
      <c r="T100" s="244"/>
      <c r="V100" s="244"/>
      <c r="W100" s="244"/>
      <c r="X100" s="244"/>
      <c r="Y100" s="244"/>
      <c r="Z100" s="244"/>
      <c r="AA100" s="244"/>
      <c r="AF100" s="244"/>
      <c r="AG100" s="244"/>
      <c r="AH100" s="244"/>
      <c r="AI100" s="244"/>
      <c r="AJ100" s="244"/>
      <c r="AK100" s="244"/>
      <c r="AL100" s="244"/>
      <c r="AM100" s="244"/>
      <c r="AN100" s="244"/>
      <c r="AO100" s="244"/>
      <c r="AP100" s="244"/>
      <c r="AQ100" s="244"/>
      <c r="AR100" s="244"/>
      <c r="AS100" s="244"/>
      <c r="AT100" s="244"/>
      <c r="AU100" s="244"/>
      <c r="AV100" s="244"/>
      <c r="AW100" s="244"/>
      <c r="AX100" s="244"/>
      <c r="AY100" s="244"/>
      <c r="AZ100" s="244"/>
      <c r="BA100" s="244"/>
      <c r="BB100" s="244"/>
      <c r="BC100" s="7"/>
      <c r="BG100" s="27"/>
      <c r="BL100" s="1577"/>
      <c r="BM100" s="1699"/>
      <c r="BN100" s="1693"/>
      <c r="BO100" s="1727">
        <f t="shared" ref="BO100:CE100" si="3">SUM(BO65:BO99)</f>
        <v>0</v>
      </c>
      <c r="BP100" s="1727">
        <f t="shared" si="3"/>
        <v>0</v>
      </c>
      <c r="BQ100" s="1727">
        <f t="shared" si="3"/>
        <v>0</v>
      </c>
      <c r="BR100" s="1727">
        <f t="shared" si="3"/>
        <v>4</v>
      </c>
      <c r="BS100" s="1727">
        <f t="shared" si="3"/>
        <v>0</v>
      </c>
      <c r="BT100" s="1727">
        <f t="shared" si="3"/>
        <v>0</v>
      </c>
      <c r="BU100" s="1727">
        <f t="shared" si="3"/>
        <v>0</v>
      </c>
      <c r="BV100" s="1727">
        <f t="shared" si="3"/>
        <v>0</v>
      </c>
      <c r="BW100" s="1727">
        <f t="shared" si="3"/>
        <v>0</v>
      </c>
      <c r="BX100" s="1727">
        <f t="shared" si="3"/>
        <v>0</v>
      </c>
      <c r="BY100" s="1727">
        <f t="shared" si="3"/>
        <v>0</v>
      </c>
      <c r="BZ100" s="1727">
        <f t="shared" si="3"/>
        <v>0</v>
      </c>
      <c r="CA100" s="1727">
        <f t="shared" si="3"/>
        <v>0</v>
      </c>
      <c r="CB100" s="1727">
        <f t="shared" si="3"/>
        <v>0</v>
      </c>
      <c r="CC100" s="1727">
        <f t="shared" si="3"/>
        <v>0</v>
      </c>
      <c r="CD100" s="1727">
        <f t="shared" si="3"/>
        <v>0</v>
      </c>
      <c r="CE100" s="1728">
        <f t="shared" si="3"/>
        <v>0</v>
      </c>
      <c r="CF100" s="1729"/>
      <c r="CG100" s="1730"/>
      <c r="CH100" s="1731"/>
      <c r="CI100" s="1732">
        <f t="shared" ref="CI100:CY100" si="4">SUM(CI65:CI99)</f>
        <v>0</v>
      </c>
      <c r="CJ100" s="1727">
        <f t="shared" si="4"/>
        <v>0</v>
      </c>
      <c r="CK100" s="1727">
        <f t="shared" si="4"/>
        <v>0</v>
      </c>
      <c r="CL100" s="1727">
        <f t="shared" si="4"/>
        <v>0</v>
      </c>
      <c r="CM100" s="1727">
        <f t="shared" si="4"/>
        <v>0</v>
      </c>
      <c r="CN100" s="1727">
        <f t="shared" si="4"/>
        <v>26</v>
      </c>
      <c r="CO100" s="1727">
        <f t="shared" si="4"/>
        <v>0</v>
      </c>
      <c r="CP100" s="1727">
        <f t="shared" si="4"/>
        <v>0</v>
      </c>
      <c r="CQ100" s="1727">
        <f t="shared" si="4"/>
        <v>0</v>
      </c>
      <c r="CR100" s="1727">
        <f t="shared" si="4"/>
        <v>0</v>
      </c>
      <c r="CS100" s="1727">
        <f t="shared" si="4"/>
        <v>0</v>
      </c>
      <c r="CT100" s="1727">
        <f t="shared" si="4"/>
        <v>0</v>
      </c>
      <c r="CU100" s="1727">
        <f t="shared" si="4"/>
        <v>0</v>
      </c>
      <c r="CV100" s="1727">
        <f t="shared" si="4"/>
        <v>0</v>
      </c>
      <c r="CW100" s="1727">
        <f t="shared" si="4"/>
        <v>0</v>
      </c>
      <c r="CX100" s="1727">
        <f t="shared" si="4"/>
        <v>0</v>
      </c>
      <c r="CY100" s="1727">
        <f t="shared" si="4"/>
        <v>0</v>
      </c>
      <c r="CZ100" s="1557"/>
      <c r="DA100" s="1557"/>
      <c r="DB100" s="1557"/>
      <c r="DC100" s="27"/>
      <c r="EI100" s="185"/>
      <c r="EJ100" s="185"/>
    </row>
    <row r="101" spans="2:140" ht="47.25" customHeight="1" thickBot="1" x14ac:dyDescent="0.4">
      <c r="B101" s="25"/>
      <c r="D101" s="416"/>
      <c r="E101" s="114"/>
      <c r="F101" s="114"/>
      <c r="G101" s="114"/>
      <c r="H101" s="244"/>
      <c r="I101" s="244"/>
      <c r="J101" s="244"/>
      <c r="K101" s="244"/>
      <c r="L101" s="244"/>
      <c r="M101" s="244"/>
      <c r="N101" s="244"/>
      <c r="O101" s="244"/>
      <c r="P101" s="244"/>
      <c r="Q101" s="244"/>
      <c r="R101" s="244"/>
      <c r="S101" s="244"/>
      <c r="T101" s="244"/>
      <c r="V101" s="244"/>
      <c r="W101" s="244"/>
      <c r="X101" s="244"/>
      <c r="Y101" s="244"/>
      <c r="Z101" s="244"/>
      <c r="AA101" s="244"/>
      <c r="AF101" s="244"/>
      <c r="AG101" s="244"/>
      <c r="AH101" s="244"/>
      <c r="AI101" s="244"/>
      <c r="AJ101" s="244"/>
      <c r="AK101" s="244"/>
      <c r="AL101" s="244"/>
      <c r="AM101" s="244"/>
      <c r="AN101" s="244"/>
      <c r="AO101" s="244"/>
      <c r="AP101" s="244"/>
      <c r="AQ101" s="244"/>
      <c r="AR101" s="244"/>
      <c r="AS101" s="244"/>
      <c r="AT101" s="244"/>
      <c r="AU101" s="244"/>
      <c r="AV101" s="244"/>
      <c r="AW101" s="244"/>
      <c r="AX101" s="244"/>
      <c r="AY101" s="244"/>
      <c r="AZ101" s="244"/>
      <c r="BA101" s="244"/>
      <c r="BB101" s="244"/>
      <c r="BC101" s="7"/>
      <c r="BG101" s="27"/>
      <c r="BL101" s="1577"/>
      <c r="BM101" s="1699"/>
      <c r="BN101" s="1693"/>
      <c r="CZ101" s="1557"/>
      <c r="DA101" s="1557"/>
      <c r="DB101" s="1557"/>
      <c r="DC101" s="27"/>
      <c r="EI101" s="185"/>
      <c r="EJ101" s="185"/>
    </row>
    <row r="102" spans="2:140" ht="47.25" customHeight="1" thickBot="1" x14ac:dyDescent="0.4">
      <c r="B102" s="2043" t="s">
        <v>226</v>
      </c>
      <c r="D102" s="416" t="str">
        <f>IF(DB110&lt;0," ","change the angle of frame or of cabinets")</f>
        <v xml:space="preserve"> </v>
      </c>
      <c r="E102" s="114"/>
      <c r="F102" s="114"/>
      <c r="G102" s="114"/>
      <c r="H102" s="244"/>
      <c r="I102" s="244"/>
      <c r="J102" s="244"/>
      <c r="K102" s="244"/>
      <c r="L102" s="244"/>
      <c r="M102" s="244"/>
      <c r="N102" s="244"/>
      <c r="O102" s="244"/>
      <c r="P102" s="244"/>
      <c r="Q102" s="244"/>
      <c r="R102" s="244"/>
      <c r="S102" s="244"/>
      <c r="T102" s="244"/>
      <c r="V102" s="313"/>
      <c r="W102" s="313"/>
      <c r="X102" s="313"/>
      <c r="Y102" s="313"/>
      <c r="Z102" s="313"/>
      <c r="AA102" s="313"/>
      <c r="AF102" s="266"/>
      <c r="AG102" s="266"/>
      <c r="AH102" s="266"/>
      <c r="AI102" s="266"/>
      <c r="AJ102" s="266"/>
      <c r="AK102" s="266"/>
      <c r="AL102" s="266"/>
      <c r="AM102" s="266"/>
      <c r="AN102" s="266"/>
      <c r="AO102" s="266"/>
      <c r="AP102" s="266"/>
      <c r="AQ102" s="266"/>
      <c r="AR102" s="266"/>
      <c r="AS102" s="266"/>
      <c r="AT102" s="266"/>
      <c r="AU102" s="266"/>
      <c r="AV102" s="266"/>
      <c r="AW102" s="266"/>
      <c r="AX102" s="266"/>
      <c r="AY102" s="266"/>
      <c r="AZ102" s="266"/>
      <c r="BA102" s="266"/>
      <c r="BB102" s="266"/>
      <c r="BC102" s="32"/>
      <c r="BG102" s="27"/>
      <c r="BL102" s="1577"/>
      <c r="BM102" s="1699"/>
      <c r="BN102" s="1726"/>
      <c r="CZ102" s="1557"/>
      <c r="DA102" s="1557"/>
      <c r="DB102" s="1557"/>
      <c r="DC102" s="27"/>
      <c r="EI102" s="185"/>
      <c r="EJ102" s="185"/>
    </row>
    <row r="103" spans="2:140" ht="47.25" customHeight="1" thickBot="1" x14ac:dyDescent="0.5">
      <c r="B103" s="2044"/>
      <c r="C103" s="749"/>
      <c r="D103" s="1775" t="str">
        <f>IF(BJ110&gt;(+COS(($B$104*-1)*3.14159265358979/180)*451.5)," ","USE EXBAR AR AT THE FRONT")</f>
        <v xml:space="preserve"> </v>
      </c>
      <c r="E103" s="114"/>
      <c r="F103" s="114"/>
      <c r="G103" s="114"/>
      <c r="H103" s="244"/>
      <c r="I103" s="244"/>
      <c r="J103" s="244"/>
      <c r="K103" s="244"/>
      <c r="L103" s="244"/>
      <c r="M103" s="244"/>
      <c r="N103" s="244"/>
      <c r="O103" s="244"/>
      <c r="P103" s="244"/>
      <c r="Q103" s="244"/>
      <c r="R103" s="244"/>
      <c r="S103" s="244"/>
      <c r="T103" s="244"/>
      <c r="AF103" s="244"/>
      <c r="AG103" s="244"/>
      <c r="AH103" s="244"/>
      <c r="AI103" s="244"/>
      <c r="AJ103" s="244"/>
      <c r="AK103" s="244"/>
      <c r="AL103" s="244"/>
      <c r="AM103" s="244"/>
      <c r="AN103" s="244"/>
      <c r="AO103" s="244"/>
      <c r="AP103" s="244"/>
      <c r="AQ103" s="244"/>
      <c r="AR103" s="244"/>
      <c r="AS103" s="244"/>
      <c r="AT103" s="244"/>
      <c r="AU103" s="244"/>
      <c r="AV103" s="244"/>
      <c r="AW103" s="244"/>
      <c r="AX103" s="244"/>
      <c r="AY103" s="244"/>
      <c r="AZ103" s="244"/>
      <c r="BA103" s="244"/>
      <c r="BB103" s="244"/>
      <c r="BC103" s="7"/>
      <c r="BG103" s="27"/>
      <c r="BL103" s="1577"/>
      <c r="BM103" s="1699"/>
      <c r="BN103" s="1726"/>
      <c r="BO103" s="1733"/>
      <c r="BP103" s="1733"/>
      <c r="BQ103" s="1733"/>
      <c r="BR103" s="1733"/>
      <c r="BS103" s="1733"/>
      <c r="BT103" s="1733"/>
      <c r="BU103" s="1733"/>
      <c r="BV103" s="1733"/>
      <c r="BW103" s="1733"/>
      <c r="BX103" s="1733"/>
      <c r="BY103" s="1733"/>
      <c r="BZ103" s="1733"/>
      <c r="CA103" s="1733"/>
      <c r="CB103" s="1733"/>
      <c r="CC103" s="1733"/>
      <c r="CD103" s="1733"/>
      <c r="CE103" s="1733"/>
      <c r="CF103" s="1733"/>
      <c r="CG103" s="1733"/>
      <c r="CH103" s="1733"/>
      <c r="CI103" s="1733"/>
      <c r="CJ103" s="1733"/>
      <c r="CK103" s="1733"/>
      <c r="CL103" s="1733"/>
      <c r="CM103" s="1733"/>
      <c r="CN103" s="1733"/>
      <c r="CO103" s="1733"/>
      <c r="CP103" s="1733"/>
      <c r="CQ103" s="1733"/>
      <c r="CR103" s="1733"/>
      <c r="CS103" s="1733"/>
      <c r="CT103" s="1733"/>
      <c r="CU103" s="1733"/>
      <c r="CV103" s="1733"/>
      <c r="CW103" s="1733"/>
      <c r="CX103" s="1733"/>
      <c r="CY103" s="1733"/>
      <c r="CZ103" s="1557"/>
      <c r="DA103" s="1557"/>
      <c r="DB103" s="1557"/>
      <c r="DC103" s="27"/>
      <c r="EI103" s="185"/>
      <c r="EJ103" s="185"/>
    </row>
    <row r="104" spans="2:140" ht="47.25" customHeight="1" thickBot="1" x14ac:dyDescent="0.45">
      <c r="B104" s="741">
        <v>0</v>
      </c>
      <c r="C104" s="749"/>
      <c r="D104" s="1776" t="str">
        <f>IF(DB110&lt;-(+COS(($B$104*-1)*3.14159265358979/180)*365.5)," ","USE EXBAR AR AT THE BACK")</f>
        <v xml:space="preserve"> </v>
      </c>
      <c r="E104" s="114"/>
      <c r="F104" s="114"/>
      <c r="G104" s="114"/>
      <c r="AF104" s="244"/>
      <c r="AG104" s="244"/>
      <c r="AH104" s="244"/>
      <c r="AI104" s="244"/>
      <c r="AJ104" s="244"/>
      <c r="AK104" s="244"/>
      <c r="AL104" s="244"/>
      <c r="AM104" s="244"/>
      <c r="AN104" s="244"/>
      <c r="AO104" s="244"/>
      <c r="AP104" s="244"/>
      <c r="AQ104" s="244"/>
      <c r="AR104" s="244"/>
      <c r="AS104" s="244"/>
      <c r="AT104" s="244"/>
      <c r="AU104" s="244"/>
      <c r="AV104" s="244"/>
      <c r="AW104" s="244"/>
      <c r="AX104" s="244"/>
      <c r="AY104" s="244"/>
      <c r="AZ104" s="244"/>
      <c r="BA104" s="244"/>
      <c r="BB104" s="244"/>
      <c r="BC104" s="7"/>
      <c r="BG104" s="27"/>
      <c r="BL104" s="1577"/>
      <c r="BM104" s="1561" t="s">
        <v>227</v>
      </c>
      <c r="BN104" s="1734" t="s">
        <v>234</v>
      </c>
      <c r="BO104" s="1735" t="str">
        <f>IF(BO100=1,"17","")</f>
        <v/>
      </c>
      <c r="BP104" s="1736" t="str">
        <f>IF(BP100=2,"16","")</f>
        <v/>
      </c>
      <c r="BQ104" s="1736" t="str">
        <f>IF(BQ100=3,"15","")</f>
        <v/>
      </c>
      <c r="BR104" s="1736" t="str">
        <f>IF(BR100=4,"14","")</f>
        <v>14</v>
      </c>
      <c r="BS104" s="1736" t="str">
        <f>IF(BS100=5,"13","")</f>
        <v/>
      </c>
      <c r="BT104" s="1736" t="str">
        <f>IF(BT100=6,"12","")</f>
        <v/>
      </c>
      <c r="BU104" s="1736" t="str">
        <f>IF(BU100=7,"11","")</f>
        <v/>
      </c>
      <c r="BV104" s="1736" t="str">
        <f>IF(BV100=8,"10","")</f>
        <v/>
      </c>
      <c r="BW104" s="1736" t="str">
        <f>IF(BW100=9,"9","")</f>
        <v/>
      </c>
      <c r="BX104" s="1736" t="str">
        <f>IF(BX100=10,"8","")</f>
        <v/>
      </c>
      <c r="BY104" s="1736" t="str">
        <f>IF(BY100=11,"7","")</f>
        <v/>
      </c>
      <c r="BZ104" s="1737" t="str">
        <f>IF(BZ100=12,"6  ADS ","")</f>
        <v/>
      </c>
      <c r="CA104" s="1736" t="str">
        <f>IF(CA100=13,"5","")</f>
        <v/>
      </c>
      <c r="CB104" s="1736" t="str">
        <f>IF(CB100=14,"4","")</f>
        <v/>
      </c>
      <c r="CC104" s="1736" t="str">
        <f>IF(CC100=15,"3","")</f>
        <v/>
      </c>
      <c r="CD104" s="1736" t="str">
        <f>IF(CD100=16,"2","")</f>
        <v/>
      </c>
      <c r="CE104" s="1736" t="str">
        <f>IF(CE100=17,"1","")</f>
        <v/>
      </c>
      <c r="CF104" s="1738"/>
      <c r="CG104" s="1739"/>
      <c r="CH104" s="1740"/>
      <c r="CI104" s="1741" t="str">
        <f>IF(CI100=21,"1 ","")</f>
        <v/>
      </c>
      <c r="CJ104" s="1742" t="str">
        <f>IF(CJ100=22,"2 ","")</f>
        <v/>
      </c>
      <c r="CK104" s="1742" t="str">
        <f>IF(CK100=23,"3 ","")</f>
        <v/>
      </c>
      <c r="CL104" s="1742" t="str">
        <f>IF(CL100=24,"4 ","")</f>
        <v/>
      </c>
      <c r="CM104" s="1742" t="str">
        <f>IF(CM100=25,"5 ","")</f>
        <v/>
      </c>
      <c r="CN104" s="1743" t="str">
        <f>IF(CN100=26,"6  ADS ","")</f>
        <v xml:space="preserve">6  ADS </v>
      </c>
      <c r="CO104" s="1742" t="str">
        <f>IF(CO100=27,"7 ","")</f>
        <v/>
      </c>
      <c r="CP104" s="1742" t="str">
        <f>IF(CP100=28,"8 ","")</f>
        <v/>
      </c>
      <c r="CQ104" s="1742" t="str">
        <f>IF(CQ100=29,"9 ","")</f>
        <v/>
      </c>
      <c r="CR104" s="1742" t="str">
        <f>IF(CR100=30,"10 ","")</f>
        <v/>
      </c>
      <c r="CS104" s="1742" t="str">
        <f>IF(CS100=31,"11 ","")</f>
        <v/>
      </c>
      <c r="CT104" s="1742" t="str">
        <f>IF(CT100=32,"12 ","")</f>
        <v/>
      </c>
      <c r="CU104" s="1742" t="str">
        <f>IF(CU100=33,"13 ","")</f>
        <v/>
      </c>
      <c r="CV104" s="1742" t="str">
        <f>IF(CV100=34,"14 ","")</f>
        <v/>
      </c>
      <c r="CW104" s="1742" t="str">
        <f>IF(CW100=35,"15 ","")</f>
        <v/>
      </c>
      <c r="CX104" s="1742" t="str">
        <f>IF(CX100=36,"16 ","")</f>
        <v/>
      </c>
      <c r="CY104" s="1744" t="str">
        <f>IF(CY100=37,"17 ","")</f>
        <v/>
      </c>
      <c r="CZ104" s="1745"/>
      <c r="DA104" s="1557"/>
      <c r="DB104" s="1557"/>
      <c r="DC104" s="27"/>
      <c r="EI104" s="185"/>
      <c r="EJ104" s="185"/>
    </row>
    <row r="105" spans="2:140" ht="45.75" customHeight="1" thickBot="1" x14ac:dyDescent="0.45">
      <c r="AF105" s="244"/>
      <c r="AG105" s="244"/>
      <c r="AH105" s="244"/>
      <c r="AI105" s="244"/>
      <c r="AJ105" s="244"/>
      <c r="AK105" s="244"/>
      <c r="AL105" s="244"/>
      <c r="AM105" s="244"/>
      <c r="AN105" s="244"/>
      <c r="AO105" s="244"/>
      <c r="AP105" s="244"/>
      <c r="AQ105" s="244"/>
      <c r="AR105" s="244"/>
      <c r="AS105" s="244"/>
      <c r="AT105" s="244"/>
      <c r="AU105" s="244"/>
      <c r="AV105" s="244"/>
      <c r="AW105" s="244"/>
      <c r="AX105" s="244"/>
      <c r="AY105" s="244"/>
      <c r="AZ105" s="244"/>
      <c r="BA105" s="244"/>
      <c r="BB105" s="244"/>
      <c r="BC105" s="7"/>
      <c r="BG105" s="27"/>
      <c r="BK105" s="1550" t="b">
        <f>AND(BM105&gt;=10,$BA$110&gt;=10,$BB$110&gt;=10)</f>
        <v>1</v>
      </c>
      <c r="BL105" s="1570" t="str">
        <f>IF(BK105=TRUE,"O K","OVERLOAD")</f>
        <v>O K</v>
      </c>
      <c r="BM105" s="1571">
        <f>+$D$20/(BO25/2)</f>
        <v>67.940552016985137</v>
      </c>
      <c r="BN105" s="1667" t="s">
        <v>233</v>
      </c>
      <c r="BO105" s="1668">
        <v>-10</v>
      </c>
      <c r="BP105" s="1668">
        <v>-9</v>
      </c>
      <c r="BQ105" s="1668">
        <v>-8</v>
      </c>
      <c r="BR105" s="1668">
        <v>-7</v>
      </c>
      <c r="BS105" s="1668">
        <v>-6</v>
      </c>
      <c r="BT105" s="1668">
        <v>-5</v>
      </c>
      <c r="BU105" s="1668">
        <v>-4</v>
      </c>
      <c r="BV105" s="1668">
        <v>-3</v>
      </c>
      <c r="BW105" s="1668">
        <v>-2</v>
      </c>
      <c r="BX105" s="1668">
        <v>-1</v>
      </c>
      <c r="BY105" s="1668">
        <v>0</v>
      </c>
      <c r="BZ105" s="1668">
        <v>1</v>
      </c>
      <c r="CA105" s="1668">
        <v>2</v>
      </c>
      <c r="CB105" s="1668">
        <v>3</v>
      </c>
      <c r="CC105" s="1668">
        <v>4</v>
      </c>
      <c r="CD105" s="1668">
        <v>5</v>
      </c>
      <c r="CE105" s="1668">
        <v>6</v>
      </c>
      <c r="CF105" s="1668">
        <v>7</v>
      </c>
      <c r="CG105" s="1668">
        <v>8</v>
      </c>
      <c r="CH105" s="1668">
        <v>9</v>
      </c>
      <c r="CI105" s="1668">
        <v>10</v>
      </c>
      <c r="CJ105" s="1668">
        <v>11</v>
      </c>
      <c r="CK105" s="1668">
        <v>12</v>
      </c>
      <c r="CL105" s="1668">
        <v>13</v>
      </c>
      <c r="CM105" s="1668">
        <v>14</v>
      </c>
      <c r="CN105" s="1668">
        <v>15</v>
      </c>
      <c r="CO105" s="1668">
        <v>16</v>
      </c>
      <c r="CP105" s="1668">
        <v>17</v>
      </c>
      <c r="CQ105" s="1668">
        <v>18</v>
      </c>
      <c r="CR105" s="1668">
        <v>19</v>
      </c>
      <c r="CS105" s="1668">
        <v>20</v>
      </c>
      <c r="CT105" s="1668">
        <v>21</v>
      </c>
      <c r="CU105" s="1668">
        <v>22</v>
      </c>
      <c r="CV105" s="1668">
        <v>23</v>
      </c>
      <c r="CW105" s="1668">
        <v>24</v>
      </c>
      <c r="CX105" s="1668">
        <v>25</v>
      </c>
      <c r="CY105" s="1670">
        <v>26</v>
      </c>
      <c r="CZ105" s="1557"/>
      <c r="DA105" s="1557"/>
      <c r="DB105" s="1557"/>
      <c r="DC105" s="27"/>
      <c r="EI105" s="185"/>
      <c r="EJ105" s="185"/>
    </row>
    <row r="106" spans="2:140" ht="64.2" thickTop="1" thickBot="1" x14ac:dyDescent="0.45">
      <c r="B106" s="695" t="s">
        <v>42</v>
      </c>
      <c r="C106" s="707"/>
      <c r="D106" s="708"/>
      <c r="E106" s="74"/>
      <c r="F106" s="74"/>
      <c r="G106" s="74"/>
      <c r="H106" s="248"/>
      <c r="I106" s="248"/>
      <c r="J106" s="248"/>
      <c r="K106" s="248"/>
      <c r="L106" s="248"/>
      <c r="M106" s="248"/>
      <c r="N106" s="248"/>
      <c r="O106" s="248"/>
      <c r="P106" s="248"/>
      <c r="Q106" s="248"/>
      <c r="R106" s="248"/>
      <c r="S106" s="255" t="s">
        <v>105</v>
      </c>
      <c r="T106" s="255">
        <f>SUM(V110:V133)/B107</f>
        <v>146.5</v>
      </c>
      <c r="U106" s="295"/>
      <c r="V106" s="245"/>
      <c r="AB106" s="245"/>
      <c r="AC106" s="245"/>
      <c r="AD106" s="245"/>
      <c r="AE106" s="245"/>
      <c r="AF106" s="245"/>
      <c r="AG106" s="245"/>
      <c r="AH106" s="245"/>
      <c r="AI106" s="245"/>
      <c r="AJ106" s="245"/>
      <c r="AK106" s="245"/>
      <c r="AL106" s="245"/>
      <c r="AM106" s="245"/>
      <c r="AN106" s="245"/>
      <c r="AO106" s="245"/>
      <c r="AP106" s="245"/>
      <c r="AQ106" s="245"/>
      <c r="AR106" s="245"/>
      <c r="AS106" s="245"/>
      <c r="AT106" s="245"/>
      <c r="AU106" s="245"/>
      <c r="AV106" s="245"/>
      <c r="AW106" s="245"/>
      <c r="AX106" s="245"/>
      <c r="AY106" s="245"/>
      <c r="AZ106" s="245"/>
      <c r="BA106" s="245"/>
      <c r="BB106" s="245"/>
      <c r="BC106" s="4"/>
      <c r="BD106" s="36"/>
      <c r="BE106" s="36"/>
      <c r="BF106" s="36"/>
      <c r="BG106" s="27"/>
      <c r="BJ106" s="1623"/>
      <c r="BK106" s="1623"/>
      <c r="BL106" s="1623"/>
      <c r="BM106" s="1623"/>
      <c r="BN106" s="1557"/>
      <c r="BO106" s="1671"/>
      <c r="BP106" s="1671"/>
      <c r="BQ106" s="1671"/>
      <c r="BR106" s="1671"/>
      <c r="BS106" s="1671"/>
      <c r="BT106" s="1671"/>
      <c r="BU106" s="1671"/>
      <c r="BV106" s="1671"/>
      <c r="BW106" s="1671"/>
      <c r="BX106" s="1671"/>
      <c r="BY106" s="1671"/>
      <c r="BZ106" s="1746"/>
      <c r="CA106" s="1671"/>
      <c r="CB106" s="1671"/>
      <c r="CC106" s="1671"/>
      <c r="CD106" s="1671"/>
      <c r="CE106" s="1671"/>
      <c r="CF106" s="1671"/>
      <c r="CG106" s="1671"/>
      <c r="CH106" s="1671"/>
      <c r="CI106" s="1671"/>
      <c r="CJ106" s="1671"/>
      <c r="CK106" s="1671"/>
      <c r="CL106" s="1671"/>
      <c r="CM106" s="1671"/>
      <c r="CN106" s="1671"/>
      <c r="CO106" s="1671"/>
      <c r="CP106" s="1671"/>
      <c r="CQ106" s="1671"/>
      <c r="CR106" s="1671"/>
      <c r="CS106" s="1671"/>
      <c r="CT106" s="1671"/>
      <c r="CU106" s="1671"/>
      <c r="CV106" s="1671"/>
      <c r="CW106" s="1671"/>
      <c r="CX106" s="1671"/>
      <c r="CY106" s="1671"/>
      <c r="CZ106" s="1671"/>
    </row>
    <row r="107" spans="2:140" ht="25.8" thickTop="1" thickBot="1" x14ac:dyDescent="0.45">
      <c r="B107" s="743">
        <v>1</v>
      </c>
      <c r="C107" s="671"/>
      <c r="D107" s="704" t="s">
        <v>71</v>
      </c>
      <c r="E107" s="445"/>
      <c r="F107" s="445"/>
      <c r="G107" s="445"/>
      <c r="H107" s="246"/>
      <c r="I107" s="247"/>
      <c r="J107" s="247"/>
      <c r="K107" s="247"/>
      <c r="L107" s="247"/>
      <c r="M107" s="247"/>
      <c r="N107" s="247"/>
      <c r="O107" s="247"/>
      <c r="P107" s="247"/>
      <c r="Q107" s="247"/>
      <c r="R107" s="247"/>
      <c r="S107" s="303"/>
      <c r="T107" s="304"/>
      <c r="U107" s="266"/>
      <c r="V107" s="296"/>
      <c r="W107" s="2047" t="s">
        <v>178</v>
      </c>
      <c r="X107" s="2047"/>
      <c r="Y107" s="2047"/>
      <c r="Z107" s="2047"/>
      <c r="AA107" s="2047"/>
      <c r="AB107" s="296"/>
      <c r="AC107" s="296"/>
      <c r="AD107" s="296"/>
      <c r="AE107" s="296"/>
      <c r="AF107" s="296"/>
      <c r="AG107" s="296"/>
      <c r="AH107" s="296"/>
      <c r="AI107" s="296"/>
      <c r="AJ107" s="296"/>
      <c r="AK107" s="296"/>
      <c r="AL107" s="296"/>
      <c r="AM107" s="296"/>
      <c r="AN107" s="296"/>
      <c r="AO107" s="296"/>
      <c r="AP107" s="296"/>
      <c r="AQ107" s="296"/>
      <c r="AR107" s="296"/>
      <c r="AS107" s="296"/>
      <c r="AT107" s="296"/>
      <c r="AU107" s="296"/>
      <c r="AV107" s="296"/>
      <c r="AW107" s="296"/>
      <c r="AX107" s="296"/>
      <c r="AY107" s="296"/>
      <c r="AZ107" s="296"/>
      <c r="BA107" s="2045" t="s">
        <v>68</v>
      </c>
      <c r="BB107" s="2046"/>
      <c r="BC107" s="5"/>
      <c r="BD107" s="33"/>
      <c r="BE107" s="33"/>
      <c r="BF107" s="33"/>
      <c r="BG107" s="27"/>
      <c r="BH107" s="27"/>
      <c r="BJ107" s="1623"/>
      <c r="BK107" s="1623"/>
      <c r="BL107" s="1623"/>
      <c r="BM107" s="1623"/>
      <c r="BN107" s="1554"/>
      <c r="BO107" s="1554"/>
      <c r="BP107" s="1554"/>
      <c r="BQ107" s="1554"/>
      <c r="BR107" s="1554"/>
      <c r="BS107" s="1554"/>
      <c r="BT107" s="1747"/>
      <c r="BU107" s="1747"/>
      <c r="BV107" s="1747"/>
      <c r="BW107" s="1747"/>
      <c r="BX107" s="1747"/>
      <c r="BY107" s="1747"/>
      <c r="BZ107" s="1747"/>
      <c r="CA107" s="1747"/>
      <c r="CB107" s="1747"/>
      <c r="CC107" s="1747"/>
      <c r="CD107" s="1747"/>
      <c r="CE107" s="1747"/>
      <c r="CF107" s="1747"/>
      <c r="CG107" s="1747"/>
      <c r="CH107" s="1556"/>
      <c r="CI107" s="1557"/>
      <c r="CJ107" s="1557"/>
      <c r="CK107" s="1557"/>
      <c r="CL107" s="1557"/>
      <c r="CM107" s="1557"/>
      <c r="CN107" s="1557"/>
      <c r="CO107" s="1557"/>
      <c r="CP107" s="1557"/>
      <c r="CQ107" s="1557"/>
      <c r="CR107" s="1557"/>
      <c r="CS107" s="1557"/>
      <c r="CT107" s="1557"/>
      <c r="CU107" s="1557"/>
      <c r="CV107" s="1557"/>
      <c r="CW107" s="1557"/>
      <c r="CX107" s="1557"/>
      <c r="CY107" s="1557"/>
      <c r="CZ107" s="1557"/>
      <c r="DA107" s="1557"/>
      <c r="DB107" s="1557"/>
    </row>
    <row r="108" spans="2:140" ht="18.600000000000001" hidden="1" thickTop="1" thickBot="1" x14ac:dyDescent="0.35">
      <c r="B108" s="358"/>
      <c r="C108" s="76"/>
      <c r="D108" s="698" t="s">
        <v>13</v>
      </c>
      <c r="E108" s="15"/>
      <c r="F108" s="15"/>
      <c r="G108" s="15"/>
      <c r="H108" s="297" t="s">
        <v>4</v>
      </c>
      <c r="I108" s="297" t="s">
        <v>1</v>
      </c>
      <c r="J108" s="248" t="s">
        <v>0</v>
      </c>
      <c r="K108" s="248" t="s">
        <v>2</v>
      </c>
      <c r="L108" s="248" t="s">
        <v>3</v>
      </c>
      <c r="M108" s="248" t="s">
        <v>8</v>
      </c>
      <c r="N108" s="248" t="s">
        <v>5</v>
      </c>
      <c r="O108" s="248" t="s">
        <v>6</v>
      </c>
      <c r="P108" s="248" t="s">
        <v>7</v>
      </c>
      <c r="Q108" s="248" t="s">
        <v>9</v>
      </c>
      <c r="R108" s="316" t="s">
        <v>10</v>
      </c>
      <c r="S108" s="248" t="s">
        <v>11</v>
      </c>
      <c r="T108" s="249" t="s">
        <v>12</v>
      </c>
      <c r="U108" s="265"/>
      <c r="V108" s="273"/>
      <c r="W108" s="309" t="s">
        <v>185</v>
      </c>
      <c r="X108" s="447" t="s">
        <v>179</v>
      </c>
      <c r="Y108" s="309" t="s">
        <v>187</v>
      </c>
      <c r="Z108" s="448" t="s">
        <v>186</v>
      </c>
      <c r="AA108" s="448" t="s">
        <v>181</v>
      </c>
      <c r="AB108" s="273"/>
      <c r="AC108" s="255" t="s">
        <v>184</v>
      </c>
      <c r="AD108" s="255"/>
      <c r="AE108" s="255"/>
      <c r="AF108" s="273"/>
      <c r="AG108" s="273"/>
      <c r="AH108" s="273"/>
      <c r="AI108" s="273"/>
      <c r="AJ108" s="273"/>
      <c r="AK108" s="273"/>
      <c r="AL108" s="273"/>
      <c r="AM108" s="273"/>
      <c r="AN108" s="273"/>
      <c r="AO108" s="273"/>
      <c r="AP108" s="273"/>
      <c r="AQ108" s="273"/>
      <c r="AR108" s="273"/>
      <c r="AS108" s="273"/>
      <c r="AT108" s="273"/>
      <c r="AU108" s="273" t="s">
        <v>108</v>
      </c>
      <c r="AV108" s="273"/>
      <c r="AW108" s="273"/>
      <c r="AX108" s="273"/>
      <c r="AY108" s="272"/>
      <c r="AZ108" s="273"/>
      <c r="BA108" s="273"/>
      <c r="BB108" s="273"/>
      <c r="BC108" s="6"/>
      <c r="BD108" s="16"/>
      <c r="BE108" s="7"/>
      <c r="BF108" s="7"/>
      <c r="BG108" s="27"/>
      <c r="BH108" s="27"/>
      <c r="BJ108" s="1623"/>
      <c r="BK108" s="1623"/>
      <c r="BL108" s="1623"/>
      <c r="BM108" s="1623"/>
      <c r="BN108" s="1748"/>
      <c r="BO108" s="1748"/>
      <c r="BP108" s="1748"/>
      <c r="BQ108" s="1748"/>
      <c r="BR108" s="1748"/>
      <c r="BS108" s="1748"/>
      <c r="BT108" s="1749"/>
      <c r="BU108" s="1749"/>
      <c r="BV108" s="1749"/>
      <c r="BW108" s="1749"/>
      <c r="BX108" s="1749"/>
      <c r="BY108" s="1749"/>
      <c r="BZ108" s="1749"/>
      <c r="CA108" s="1749"/>
      <c r="CB108" s="1749"/>
      <c r="CC108" s="1749"/>
      <c r="CD108" s="1749"/>
      <c r="CE108" s="1749"/>
      <c r="CF108" s="1749"/>
      <c r="CG108" s="1749"/>
      <c r="CH108" s="1750"/>
    </row>
    <row r="109" spans="2:140" ht="46.5" customHeight="1" thickTop="1" thickBot="1" x14ac:dyDescent="0.45">
      <c r="B109" s="384"/>
      <c r="C109" s="29"/>
      <c r="D109" s="709" t="s">
        <v>24</v>
      </c>
      <c r="E109" s="445"/>
      <c r="F109" s="385" t="s">
        <v>58</v>
      </c>
      <c r="G109" s="50"/>
      <c r="H109" s="298"/>
      <c r="I109" s="317"/>
      <c r="J109" s="244"/>
      <c r="K109" s="244"/>
      <c r="L109" s="244"/>
      <c r="M109" s="244"/>
      <c r="N109" s="244"/>
      <c r="O109" s="244"/>
      <c r="P109" s="244"/>
      <c r="Q109" s="244"/>
      <c r="R109" s="316"/>
      <c r="S109" s="244"/>
      <c r="T109" s="250"/>
      <c r="U109" s="265"/>
      <c r="V109" s="273"/>
      <c r="W109" s="273"/>
      <c r="X109" s="273"/>
      <c r="Y109" s="273"/>
      <c r="Z109" s="273"/>
      <c r="AA109" s="273"/>
      <c r="AB109" s="273"/>
      <c r="AC109" s="456">
        <f>SUM(AC110:AC133)</f>
        <v>146.5</v>
      </c>
      <c r="AD109" s="162"/>
      <c r="AE109" s="162"/>
      <c r="AF109" s="273" t="s">
        <v>51</v>
      </c>
      <c r="AG109" s="273"/>
      <c r="AH109" s="274" t="s">
        <v>44</v>
      </c>
      <c r="AI109" s="386"/>
      <c r="AJ109" s="387" t="s">
        <v>96</v>
      </c>
      <c r="AK109" s="275" t="s">
        <v>45</v>
      </c>
      <c r="AL109" s="388" t="s">
        <v>46</v>
      </c>
      <c r="AM109" s="389" t="s">
        <v>97</v>
      </c>
      <c r="AN109" s="276" t="s">
        <v>47</v>
      </c>
      <c r="AO109" s="388" t="s">
        <v>48</v>
      </c>
      <c r="AP109" s="277" t="s">
        <v>61</v>
      </c>
      <c r="AQ109" s="390" t="s">
        <v>49</v>
      </c>
      <c r="AR109" s="277" t="s">
        <v>115</v>
      </c>
      <c r="AS109" s="278" t="s">
        <v>50</v>
      </c>
      <c r="AT109" s="278" t="s">
        <v>52</v>
      </c>
      <c r="AU109" s="277" t="s">
        <v>117</v>
      </c>
      <c r="AV109" s="278"/>
      <c r="AW109" s="279" t="s">
        <v>54</v>
      </c>
      <c r="AX109" s="279" t="s">
        <v>55</v>
      </c>
      <c r="AY109" s="280" t="s">
        <v>25</v>
      </c>
      <c r="AZ109" s="280" t="s">
        <v>26</v>
      </c>
      <c r="BA109" s="391" t="s">
        <v>25</v>
      </c>
      <c r="BB109" s="391" t="s">
        <v>26</v>
      </c>
      <c r="BC109" s="7"/>
      <c r="BD109" s="16"/>
      <c r="BE109" s="7"/>
      <c r="BF109" s="7"/>
      <c r="BG109" s="27"/>
      <c r="BH109" s="27"/>
      <c r="BJ109" s="1751" t="s">
        <v>95</v>
      </c>
      <c r="BK109" s="1623"/>
      <c r="BL109" s="1752"/>
      <c r="BM109" s="1623"/>
      <c r="BN109" s="1552"/>
      <c r="BQ109" s="1748"/>
      <c r="BR109" s="1748"/>
      <c r="BS109" s="1748"/>
      <c r="BT109" s="1749"/>
      <c r="BU109" s="1749"/>
      <c r="BV109" s="1749"/>
      <c r="BW109" s="1749"/>
      <c r="BX109" s="1749"/>
      <c r="BY109" s="1749"/>
      <c r="BZ109" s="1749"/>
      <c r="CA109" s="1749"/>
      <c r="CB109" s="1749"/>
      <c r="CC109" s="1749"/>
      <c r="CD109" s="1749"/>
      <c r="CE109" s="1749"/>
      <c r="CF109" s="1749"/>
      <c r="CG109" s="1749"/>
      <c r="CH109" s="1750"/>
      <c r="CP109" s="1552"/>
      <c r="DB109" s="1751" t="s">
        <v>94</v>
      </c>
    </row>
    <row r="110" spans="2:140" ht="21" customHeight="1" thickBot="1" x14ac:dyDescent="0.35">
      <c r="B110" s="87">
        <v>1</v>
      </c>
      <c r="C110" s="668">
        <f>+(B104*-1)+D110</f>
        <v>0</v>
      </c>
      <c r="D110" s="738">
        <v>0</v>
      </c>
      <c r="E110" s="333" t="s">
        <v>73</v>
      </c>
      <c r="F110" s="81">
        <f>+G110</f>
        <v>0</v>
      </c>
      <c r="G110" s="81">
        <f>+D110</f>
        <v>0</v>
      </c>
      <c r="H110" s="392">
        <v>190.76</v>
      </c>
      <c r="I110" s="393">
        <v>79.651040199999997</v>
      </c>
      <c r="J110" s="394">
        <f>+I110-C110</f>
        <v>79.651040199999997</v>
      </c>
      <c r="K110" s="394">
        <f>+J110/2</f>
        <v>39.825520099999999</v>
      </c>
      <c r="L110" s="394">
        <f t="shared" ref="L110:L133" si="5">SIN(K110*3.14159265358979/180)</f>
        <v>0.64045183696587837</v>
      </c>
      <c r="M110" s="394">
        <f t="shared" ref="M110:M133" si="6">+L110*H110</f>
        <v>122.17259241961095</v>
      </c>
      <c r="N110" s="394">
        <f t="shared" ref="N110:N133" si="7">+M110*2</f>
        <v>244.3451848392219</v>
      </c>
      <c r="O110" s="394">
        <f>+C110/2</f>
        <v>0</v>
      </c>
      <c r="P110" s="394">
        <f t="shared" ref="P110:P133" si="8">SIN(O110*3.14159265358979/180)</f>
        <v>0</v>
      </c>
      <c r="Q110" s="394">
        <f t="shared" ref="Q110:Q133" si="9">+P110*N110</f>
        <v>0</v>
      </c>
      <c r="R110" s="395">
        <v>146.5</v>
      </c>
      <c r="S110" s="394">
        <f>+R110+Q110</f>
        <v>146.5</v>
      </c>
      <c r="T110" s="396">
        <f t="shared" ref="T110:T133" si="10">+S110</f>
        <v>146.5</v>
      </c>
      <c r="U110" s="248"/>
      <c r="V110" s="397">
        <f t="shared" ref="V110:V133" si="11">IF(B110&lt;($B$107+1),T110,0)</f>
        <v>146.5</v>
      </c>
      <c r="W110" s="458">
        <v>39.825520099999999</v>
      </c>
      <c r="X110" s="397">
        <f>+W110+AI135</f>
        <v>39.825520099999999</v>
      </c>
      <c r="Y110" s="458">
        <v>190.75559999999999</v>
      </c>
      <c r="Z110" s="448">
        <f>+COS(X110*3.14159265358979/180)*Y110</f>
        <v>146.49998343586765</v>
      </c>
      <c r="AA110" s="459">
        <f>+AC109-Z110</f>
        <v>1.6564132351959415E-5</v>
      </c>
      <c r="AB110" s="300" t="str">
        <f t="shared" ref="AB110:AB133" si="12">IF(AZ110&lt;0,"pin in groundstacking hole"," ")</f>
        <v xml:space="preserve"> </v>
      </c>
      <c r="AC110" s="457">
        <f>IF(AD110=1,AF110)</f>
        <v>146.5</v>
      </c>
      <c r="AD110" s="457">
        <f>MAX(AE$110:AE$133)</f>
        <v>1</v>
      </c>
      <c r="AE110" s="457">
        <f>IF(V110=0,0,1)</f>
        <v>1</v>
      </c>
      <c r="AF110" s="397">
        <f>SUM(V110:V133)/($B$107)</f>
        <v>146.5</v>
      </c>
      <c r="AG110" s="397"/>
      <c r="AH110" s="398">
        <f>C110</f>
        <v>0</v>
      </c>
      <c r="AI110" s="399">
        <f>IF(B110&lt;($B$107+1),AH110)</f>
        <v>0</v>
      </c>
      <c r="AJ110" s="400">
        <f>69.3447148-AH110</f>
        <v>69.344714800000006</v>
      </c>
      <c r="AK110" s="401">
        <f t="shared" ref="AK110:AK133" si="13">SIN(AJ110*3.14159265358979/180)</f>
        <v>0.93571960494171247</v>
      </c>
      <c r="AL110" s="402">
        <f>+AK110*192.42</f>
        <v>180.0511663828843</v>
      </c>
      <c r="AM110" s="400">
        <f>50.1744799+AH110</f>
        <v>50.174479900000001</v>
      </c>
      <c r="AN110" s="403">
        <f>SIN(AM110*3.14159265358979/180)</f>
        <v>0.76799833627881664</v>
      </c>
      <c r="AO110" s="402">
        <f>+AN110*190.76</f>
        <v>146.50336262854705</v>
      </c>
      <c r="AP110" s="404">
        <f>+((AF110*AQ110)+($AG$143*$AQ$143)+($AQ$164*$AG$164))/AR110</f>
        <v>161.01782840453484</v>
      </c>
      <c r="AQ110" s="402">
        <f>25.5*B107</f>
        <v>25.5</v>
      </c>
      <c r="AR110" s="404">
        <f>+AQ110+$AQ$164+$AQ$143+30+30</f>
        <v>168</v>
      </c>
      <c r="AS110" s="405">
        <f>+AO110+AL110</f>
        <v>326.55452901143133</v>
      </c>
      <c r="AT110" s="406">
        <f>+V110-AO110</f>
        <v>-3.3626285470518269E-3</v>
      </c>
      <c r="AU110" s="407">
        <f>+AP110-AT110</f>
        <v>161.02119103308189</v>
      </c>
      <c r="AV110" s="406"/>
      <c r="AW110" s="408">
        <f>+((AS110-AU110)/AS110)*AR110</f>
        <v>85.160664788664448</v>
      </c>
      <c r="AX110" s="408">
        <f>+(AU110/AS110)*AR110</f>
        <v>82.839335211335552</v>
      </c>
      <c r="AY110" s="292">
        <f t="shared" ref="AY110:AY133" si="14">2*$C$18/AW110</f>
        <v>136.21312173626961</v>
      </c>
      <c r="AZ110" s="292">
        <f t="shared" ref="AZ110:AZ133" si="15">$D$18/AX110</f>
        <v>120.71559935251173</v>
      </c>
      <c r="BA110" s="294">
        <f>ABS(AY110)</f>
        <v>136.21312173626961</v>
      </c>
      <c r="BB110" s="294">
        <f>ABS(AZ110)</f>
        <v>120.71559935251173</v>
      </c>
      <c r="BC110" s="2" t="s">
        <v>56</v>
      </c>
      <c r="BD110" s="11"/>
      <c r="BG110" s="27"/>
      <c r="BH110" s="27"/>
      <c r="BJ110" s="1751">
        <f>-+BL194</f>
        <v>586.51781470193191</v>
      </c>
      <c r="BK110" s="1623"/>
      <c r="BL110" s="1752"/>
      <c r="BM110" s="1623"/>
      <c r="BN110" s="1552"/>
      <c r="BQ110" s="1748"/>
      <c r="BR110" s="1748"/>
      <c r="BS110" s="1748"/>
      <c r="BT110" s="1749"/>
      <c r="BU110" s="1749"/>
      <c r="BV110" s="1749"/>
      <c r="BW110" s="1749"/>
      <c r="BX110" s="1749"/>
      <c r="BY110" s="1749"/>
      <c r="BZ110" s="1749"/>
      <c r="CA110" s="1749"/>
      <c r="CB110" s="1749"/>
      <c r="CC110" s="1749"/>
      <c r="CD110" s="1749"/>
      <c r="CE110" s="1749"/>
      <c r="CF110" s="1749"/>
      <c r="CG110" s="1749"/>
      <c r="CH110" s="1750"/>
      <c r="CN110" s="1753"/>
      <c r="CP110" s="1552"/>
      <c r="DB110" s="1751">
        <f>+-BL230</f>
        <v>-961.48218529806809</v>
      </c>
    </row>
    <row r="111" spans="2:140" ht="21" customHeight="1" thickBot="1" x14ac:dyDescent="0.35">
      <c r="B111" s="88">
        <v>2</v>
      </c>
      <c r="C111" s="20"/>
      <c r="D111" s="738">
        <v>0</v>
      </c>
      <c r="E111" s="333" t="s">
        <v>72</v>
      </c>
      <c r="F111" s="81" t="e">
        <f t="shared" ref="F111:F133" si="16">+G111</f>
        <v>#DIV/0!</v>
      </c>
      <c r="G111" s="81" t="e">
        <f>+D111+BC111</f>
        <v>#DIV/0!</v>
      </c>
      <c r="H111" s="299">
        <v>190.76</v>
      </c>
      <c r="I111" s="318">
        <v>79.651040199999997</v>
      </c>
      <c r="J111" s="251">
        <f t="shared" ref="J111:J133" si="17">+I111-D111</f>
        <v>79.651040199999997</v>
      </c>
      <c r="K111" s="251">
        <f t="shared" ref="K111:K133" si="18">+J111/2</f>
        <v>39.825520099999999</v>
      </c>
      <c r="L111" s="251">
        <f t="shared" si="5"/>
        <v>0.64045183696587837</v>
      </c>
      <c r="M111" s="251">
        <f t="shared" si="6"/>
        <v>122.17259241961095</v>
      </c>
      <c r="N111" s="251">
        <f t="shared" si="7"/>
        <v>244.3451848392219</v>
      </c>
      <c r="O111" s="251">
        <f>+C110+(D111/2)</f>
        <v>0</v>
      </c>
      <c r="P111" s="251">
        <f t="shared" si="8"/>
        <v>0</v>
      </c>
      <c r="Q111" s="251">
        <f t="shared" si="9"/>
        <v>0</v>
      </c>
      <c r="R111" s="251">
        <f t="shared" ref="R111:R133" si="19">+T110</f>
        <v>146.5</v>
      </c>
      <c r="S111" s="251">
        <f>+R111+Q111</f>
        <v>146.5</v>
      </c>
      <c r="T111" s="252">
        <f t="shared" si="10"/>
        <v>146.5</v>
      </c>
      <c r="U111" s="244"/>
      <c r="V111" s="282">
        <f t="shared" si="11"/>
        <v>0</v>
      </c>
      <c r="W111" s="282"/>
      <c r="X111" s="282"/>
      <c r="Y111" s="282"/>
      <c r="Z111" s="282"/>
      <c r="AA111" s="282"/>
      <c r="AB111" s="300" t="e">
        <f t="shared" si="12"/>
        <v>#DIV/0!</v>
      </c>
      <c r="AC111" s="457" t="b">
        <f>IF(AD111=2,AF111)</f>
        <v>0</v>
      </c>
      <c r="AD111" s="457">
        <f t="shared" ref="AD111:AD133" si="20">MAX(AE$110:AE$133)</f>
        <v>1</v>
      </c>
      <c r="AE111" s="457">
        <f>IF(V111=0,0,2)</f>
        <v>0</v>
      </c>
      <c r="AF111" s="282" t="e">
        <f>SUM(V111:V133)/($B$107-B110)</f>
        <v>#DIV/0!</v>
      </c>
      <c r="AG111" s="282"/>
      <c r="AH111" s="301">
        <f>SUM(D111)+$C$110</f>
        <v>0</v>
      </c>
      <c r="AI111" s="399" t="b">
        <f t="shared" ref="AI111:AI133" si="21">IF(B111&lt;($B$107+1),AH111)</f>
        <v>0</v>
      </c>
      <c r="AJ111" s="173">
        <f t="shared" ref="AJ111:AJ133" si="22">69.3447148-AH111</f>
        <v>69.344714800000006</v>
      </c>
      <c r="AK111" s="284">
        <f t="shared" si="13"/>
        <v>0.93571960494171247</v>
      </c>
      <c r="AL111" s="174">
        <f t="shared" ref="AL111:AL133" si="23">+AK111*192.42</f>
        <v>180.0511663828843</v>
      </c>
      <c r="AM111" s="173">
        <f t="shared" ref="AM111:AM133" si="24">50.1744799+AH111</f>
        <v>50.174479900000001</v>
      </c>
      <c r="AN111" s="285">
        <f t="shared" ref="AN111:AN133" si="25">SIN(AM111*3.14159265358979/180)</f>
        <v>0.76799833627881664</v>
      </c>
      <c r="AO111" s="174">
        <f t="shared" ref="AO111:AO133" si="26">+AN111*190.76</f>
        <v>146.50336262854705</v>
      </c>
      <c r="AP111" s="404" t="e">
        <f t="shared" ref="AP111:AP133" si="27">+((AF111*AQ111)+($AG$143*$AQ$143)+($AQ$164*$AG$164))/AR111</f>
        <v>#DIV/0!</v>
      </c>
      <c r="AQ111" s="174">
        <f t="shared" ref="AQ111:AQ133" si="28">25.5*($B$107-B110)</f>
        <v>0</v>
      </c>
      <c r="AR111" s="287">
        <f t="shared" ref="AR111:AR133" si="29">+AQ111+$AQ$164+$AQ$143+30+30</f>
        <v>142.5</v>
      </c>
      <c r="AS111" s="288">
        <f t="shared" ref="AS111:AS133" si="30">+AO111+AL111</f>
        <v>326.55452901143133</v>
      </c>
      <c r="AT111" s="289">
        <f>+V111-AO111</f>
        <v>-146.50336262854705</v>
      </c>
      <c r="AU111" s="290" t="e">
        <f t="shared" ref="AU111:AU133" si="31">+AP111-AT111</f>
        <v>#DIV/0!</v>
      </c>
      <c r="AV111" s="289"/>
      <c r="AW111" s="291" t="e">
        <f t="shared" ref="AW111:AW133" si="32">+((AS111-AU111)/AS111)*AR111</f>
        <v>#DIV/0!</v>
      </c>
      <c r="AX111" s="291" t="e">
        <f t="shared" ref="AX111:AX133" si="33">+(AU111/AS111)*AR111</f>
        <v>#DIV/0!</v>
      </c>
      <c r="AY111" s="292" t="e">
        <f t="shared" si="14"/>
        <v>#DIV/0!</v>
      </c>
      <c r="AZ111" s="292" t="e">
        <f t="shared" si="15"/>
        <v>#DIV/0!</v>
      </c>
      <c r="BA111" s="294" t="e">
        <f t="shared" ref="BA111:BB133" si="34">ABS(AY111)</f>
        <v>#DIV/0!</v>
      </c>
      <c r="BB111" s="294" t="e">
        <f t="shared" si="34"/>
        <v>#DIV/0!</v>
      </c>
      <c r="BC111" t="e">
        <f t="shared" ref="BC111:BC133" si="35">IF(AZ111&lt;0,0.3,0)</f>
        <v>#DIV/0!</v>
      </c>
      <c r="BG111" s="27"/>
      <c r="BH111" s="27"/>
      <c r="BK111" s="1623"/>
      <c r="BL111" s="1623"/>
      <c r="BM111" s="1623"/>
      <c r="BN111" s="1748"/>
      <c r="BO111" s="1748"/>
      <c r="BP111" s="1748"/>
      <c r="BQ111" s="1748"/>
      <c r="BR111" s="1748"/>
      <c r="BS111" s="1748"/>
      <c r="BT111" s="1749"/>
      <c r="BU111" s="1749"/>
      <c r="BV111" s="1749"/>
      <c r="BW111" s="1749"/>
      <c r="BX111" s="1749"/>
      <c r="BY111" s="1749"/>
      <c r="BZ111" s="1749"/>
      <c r="CA111" s="1749"/>
      <c r="CB111" s="1749"/>
      <c r="CC111" s="1749"/>
      <c r="CD111" s="1749"/>
      <c r="CE111" s="1749"/>
      <c r="CF111" s="1749"/>
      <c r="CG111" s="1749"/>
      <c r="CH111" s="1750"/>
    </row>
    <row r="112" spans="2:140" ht="21" customHeight="1" thickBot="1" x14ac:dyDescent="0.5">
      <c r="B112" s="88">
        <v>3</v>
      </c>
      <c r="C112" s="20"/>
      <c r="D112" s="738">
        <v>0</v>
      </c>
      <c r="E112" s="333" t="s">
        <v>72</v>
      </c>
      <c r="F112" s="81">
        <f t="shared" si="16"/>
        <v>0</v>
      </c>
      <c r="G112" s="81">
        <f>+D112+BC112</f>
        <v>0</v>
      </c>
      <c r="H112" s="299">
        <v>190.76</v>
      </c>
      <c r="I112" s="318">
        <v>79.651040199999997</v>
      </c>
      <c r="J112" s="251">
        <f t="shared" si="17"/>
        <v>79.651040199999997</v>
      </c>
      <c r="K112" s="251">
        <f t="shared" si="18"/>
        <v>39.825520099999999</v>
      </c>
      <c r="L112" s="251">
        <f t="shared" si="5"/>
        <v>0.64045183696587837</v>
      </c>
      <c r="M112" s="251">
        <f t="shared" si="6"/>
        <v>122.17259241961095</v>
      </c>
      <c r="N112" s="251">
        <f t="shared" si="7"/>
        <v>244.3451848392219</v>
      </c>
      <c r="O112" s="251">
        <f>+C110+D111+(D112/2)</f>
        <v>0</v>
      </c>
      <c r="P112" s="251">
        <f t="shared" si="8"/>
        <v>0</v>
      </c>
      <c r="Q112" s="251">
        <f t="shared" si="9"/>
        <v>0</v>
      </c>
      <c r="R112" s="251">
        <f t="shared" si="19"/>
        <v>146.5</v>
      </c>
      <c r="S112" s="251">
        <f t="shared" ref="S112:S133" si="36">+S111+Q112</f>
        <v>146.5</v>
      </c>
      <c r="T112" s="252">
        <f t="shared" si="10"/>
        <v>146.5</v>
      </c>
      <c r="U112" s="244"/>
      <c r="V112" s="282">
        <f t="shared" si="11"/>
        <v>0</v>
      </c>
      <c r="W112" s="282"/>
      <c r="X112" s="282"/>
      <c r="Y112" s="282"/>
      <c r="Z112" s="282"/>
      <c r="AA112" s="282"/>
      <c r="AB112" s="300" t="str">
        <f t="shared" si="12"/>
        <v xml:space="preserve"> </v>
      </c>
      <c r="AC112" s="457" t="b">
        <f>IF(AD112=3,AF112)</f>
        <v>0</v>
      </c>
      <c r="AD112" s="457">
        <f t="shared" si="20"/>
        <v>1</v>
      </c>
      <c r="AE112" s="457">
        <f>IF(V112=0,0,3)</f>
        <v>0</v>
      </c>
      <c r="AF112" s="282">
        <f>SUM(V112:V133)/($B$107-B111)</f>
        <v>0</v>
      </c>
      <c r="AG112" s="282"/>
      <c r="AH112" s="301">
        <f>SUM(D111:D112)+$C$110</f>
        <v>0</v>
      </c>
      <c r="AI112" s="399" t="b">
        <f t="shared" si="21"/>
        <v>0</v>
      </c>
      <c r="AJ112" s="173">
        <f t="shared" si="22"/>
        <v>69.344714800000006</v>
      </c>
      <c r="AK112" s="284">
        <f t="shared" si="13"/>
        <v>0.93571960494171247</v>
      </c>
      <c r="AL112" s="174">
        <f t="shared" si="23"/>
        <v>180.0511663828843</v>
      </c>
      <c r="AM112" s="173">
        <f t="shared" si="24"/>
        <v>50.174479900000001</v>
      </c>
      <c r="AN112" s="285">
        <f t="shared" si="25"/>
        <v>0.76799833627881664</v>
      </c>
      <c r="AO112" s="174">
        <f t="shared" si="26"/>
        <v>146.50336262854705</v>
      </c>
      <c r="AP112" s="404">
        <f t="shared" si="27"/>
        <v>199.27559976035772</v>
      </c>
      <c r="AQ112" s="174">
        <f t="shared" si="28"/>
        <v>-25.5</v>
      </c>
      <c r="AR112" s="287">
        <f t="shared" si="29"/>
        <v>117</v>
      </c>
      <c r="AS112" s="288">
        <f t="shared" si="30"/>
        <v>326.55452901143133</v>
      </c>
      <c r="AT112" s="289">
        <f>+V112-AO112</f>
        <v>-146.50336262854705</v>
      </c>
      <c r="AU112" s="290">
        <f t="shared" si="31"/>
        <v>345.7789623889048</v>
      </c>
      <c r="AV112" s="289"/>
      <c r="AW112" s="291">
        <f t="shared" si="32"/>
        <v>-6.8878502833003399</v>
      </c>
      <c r="AX112" s="291">
        <f t="shared" si="33"/>
        <v>123.88785028330035</v>
      </c>
      <c r="AY112" s="292">
        <f t="shared" si="14"/>
        <v>-1684.1248753801042</v>
      </c>
      <c r="AZ112" s="292">
        <f t="shared" si="15"/>
        <v>80.71816547895952</v>
      </c>
      <c r="BA112" s="294">
        <f t="shared" si="34"/>
        <v>1684.1248753801042</v>
      </c>
      <c r="BB112" s="294">
        <f t="shared" si="34"/>
        <v>80.71816547895952</v>
      </c>
      <c r="BC112">
        <f t="shared" si="35"/>
        <v>0</v>
      </c>
      <c r="BG112" s="27"/>
      <c r="BH112" s="27"/>
      <c r="BK112" s="1754"/>
      <c r="BL112" s="1754"/>
      <c r="BM112" s="1754"/>
      <c r="BN112" s="1748"/>
      <c r="BO112" s="1748"/>
      <c r="BP112" s="1748"/>
      <c r="BQ112" s="1748"/>
      <c r="BR112" s="1748"/>
      <c r="BS112" s="1748"/>
      <c r="BT112" s="1749"/>
      <c r="BU112" s="1749"/>
      <c r="BV112" s="1749"/>
      <c r="BW112" s="1749"/>
      <c r="BX112" s="1749"/>
      <c r="BY112" s="1749"/>
      <c r="BZ112" s="1749"/>
      <c r="CA112" s="1749"/>
      <c r="CB112" s="1749"/>
      <c r="CC112" s="1749"/>
      <c r="CD112" s="1749"/>
      <c r="CE112" s="1749"/>
      <c r="CF112" s="1749"/>
      <c r="CG112" s="1749"/>
      <c r="CH112" s="1750"/>
    </row>
    <row r="113" spans="1:128" ht="21" customHeight="1" thickBot="1" x14ac:dyDescent="0.5">
      <c r="B113" s="88">
        <v>4</v>
      </c>
      <c r="C113" s="20"/>
      <c r="D113" s="738">
        <v>0</v>
      </c>
      <c r="E113" s="333" t="s">
        <v>72</v>
      </c>
      <c r="F113" s="81">
        <f t="shared" si="16"/>
        <v>0</v>
      </c>
      <c r="G113" s="81">
        <f>+D113+BC113</f>
        <v>0</v>
      </c>
      <c r="H113" s="299">
        <v>190.76</v>
      </c>
      <c r="I113" s="318">
        <v>79.651040199999997</v>
      </c>
      <c r="J113" s="251">
        <f t="shared" si="17"/>
        <v>79.651040199999997</v>
      </c>
      <c r="K113" s="251">
        <f t="shared" si="18"/>
        <v>39.825520099999999</v>
      </c>
      <c r="L113" s="251">
        <f t="shared" si="5"/>
        <v>0.64045183696587837</v>
      </c>
      <c r="M113" s="251">
        <f t="shared" si="6"/>
        <v>122.17259241961095</v>
      </c>
      <c r="N113" s="251">
        <f t="shared" si="7"/>
        <v>244.3451848392219</v>
      </c>
      <c r="O113" s="251">
        <f>+C110+D111+D112+(D113/2)</f>
        <v>0</v>
      </c>
      <c r="P113" s="251">
        <f t="shared" si="8"/>
        <v>0</v>
      </c>
      <c r="Q113" s="251">
        <f t="shared" si="9"/>
        <v>0</v>
      </c>
      <c r="R113" s="251">
        <f t="shared" si="19"/>
        <v>146.5</v>
      </c>
      <c r="S113" s="251">
        <f t="shared" si="36"/>
        <v>146.5</v>
      </c>
      <c r="T113" s="252">
        <f t="shared" si="10"/>
        <v>146.5</v>
      </c>
      <c r="U113" s="244"/>
      <c r="V113" s="282">
        <f t="shared" si="11"/>
        <v>0</v>
      </c>
      <c r="W113" s="282"/>
      <c r="X113" s="282"/>
      <c r="Y113" s="282"/>
      <c r="Z113" s="282"/>
      <c r="AA113" s="282"/>
      <c r="AB113" s="300" t="str">
        <f t="shared" si="12"/>
        <v xml:space="preserve"> </v>
      </c>
      <c r="AC113" s="457" t="b">
        <f>IF(AD113=4,AF113)</f>
        <v>0</v>
      </c>
      <c r="AD113" s="457">
        <f t="shared" si="20"/>
        <v>1</v>
      </c>
      <c r="AE113" s="457">
        <f>IF(V113=0,0,4)</f>
        <v>0</v>
      </c>
      <c r="AF113" s="282">
        <f>SUM(V113:V133)/($B$107-B112)</f>
        <v>0</v>
      </c>
      <c r="AG113" s="282"/>
      <c r="AH113" s="301">
        <f>SUM(D111:D113)+$C$110</f>
        <v>0</v>
      </c>
      <c r="AI113" s="399" t="b">
        <f t="shared" si="21"/>
        <v>0</v>
      </c>
      <c r="AJ113" s="173">
        <f t="shared" si="22"/>
        <v>69.344714800000006</v>
      </c>
      <c r="AK113" s="284">
        <f t="shared" si="13"/>
        <v>0.93571960494171247</v>
      </c>
      <c r="AL113" s="174">
        <f t="shared" si="23"/>
        <v>180.0511663828843</v>
      </c>
      <c r="AM113" s="173">
        <f t="shared" si="24"/>
        <v>50.174479900000001</v>
      </c>
      <c r="AN113" s="285">
        <f t="shared" si="25"/>
        <v>0.76799833627881664</v>
      </c>
      <c r="AO113" s="174">
        <f t="shared" si="26"/>
        <v>146.50336262854705</v>
      </c>
      <c r="AP113" s="404">
        <f t="shared" si="27"/>
        <v>254.81142264439185</v>
      </c>
      <c r="AQ113" s="174">
        <f t="shared" si="28"/>
        <v>-51</v>
      </c>
      <c r="AR113" s="287">
        <f t="shared" si="29"/>
        <v>91.5</v>
      </c>
      <c r="AS113" s="288">
        <f t="shared" si="30"/>
        <v>326.55452901143133</v>
      </c>
      <c r="AT113" s="289">
        <f>+V113-AO113</f>
        <v>-146.50336262854705</v>
      </c>
      <c r="AU113" s="290">
        <f t="shared" si="31"/>
        <v>401.31478527293893</v>
      </c>
      <c r="AV113" s="289"/>
      <c r="AW113" s="291">
        <f t="shared" si="32"/>
        <v>-20.94769124359162</v>
      </c>
      <c r="AX113" s="291">
        <f t="shared" si="33"/>
        <v>112.44769124359162</v>
      </c>
      <c r="AY113" s="292">
        <f t="shared" si="14"/>
        <v>-553.76031015106287</v>
      </c>
      <c r="AZ113" s="292">
        <f t="shared" si="15"/>
        <v>88.930238490511456</v>
      </c>
      <c r="BA113" s="294">
        <f t="shared" si="34"/>
        <v>553.76031015106287</v>
      </c>
      <c r="BB113" s="294">
        <f t="shared" si="34"/>
        <v>88.930238490511456</v>
      </c>
      <c r="BC113">
        <f t="shared" si="35"/>
        <v>0</v>
      </c>
      <c r="BG113" s="27"/>
      <c r="BH113" s="27"/>
      <c r="BK113" s="1754"/>
      <c r="BL113" s="1754"/>
      <c r="BM113" s="1754"/>
      <c r="BN113" s="1748"/>
      <c r="BO113" s="1748"/>
      <c r="BP113" s="1748"/>
      <c r="BQ113" s="1748"/>
      <c r="BR113" s="1748"/>
      <c r="BS113" s="1748"/>
      <c r="BT113" s="1749"/>
      <c r="BU113" s="1749"/>
      <c r="BV113" s="1749"/>
      <c r="BW113" s="1749"/>
      <c r="BX113" s="1749"/>
      <c r="BY113" s="1749"/>
      <c r="BZ113" s="1749"/>
      <c r="CA113" s="1749"/>
      <c r="CB113" s="1749"/>
      <c r="CC113" s="1749"/>
      <c r="CD113" s="1749"/>
      <c r="CE113" s="1749"/>
      <c r="CF113" s="1749"/>
      <c r="CG113" s="1749"/>
      <c r="CH113" s="1750"/>
    </row>
    <row r="114" spans="1:128" ht="21" customHeight="1" thickBot="1" x14ac:dyDescent="0.5">
      <c r="B114" s="88">
        <v>5</v>
      </c>
      <c r="C114" s="20"/>
      <c r="D114" s="738">
        <v>0</v>
      </c>
      <c r="E114" s="333" t="s">
        <v>72</v>
      </c>
      <c r="F114" s="81">
        <f t="shared" si="16"/>
        <v>0</v>
      </c>
      <c r="G114" s="81">
        <f>+D114+BC114</f>
        <v>0</v>
      </c>
      <c r="H114" s="299">
        <v>190.76</v>
      </c>
      <c r="I114" s="318">
        <v>79.651040199999997</v>
      </c>
      <c r="J114" s="251">
        <f t="shared" si="17"/>
        <v>79.651040199999997</v>
      </c>
      <c r="K114" s="251">
        <f t="shared" si="18"/>
        <v>39.825520099999999</v>
      </c>
      <c r="L114" s="251">
        <f t="shared" si="5"/>
        <v>0.64045183696587837</v>
      </c>
      <c r="M114" s="251">
        <f t="shared" si="6"/>
        <v>122.17259241961095</v>
      </c>
      <c r="N114" s="251">
        <f t="shared" si="7"/>
        <v>244.3451848392219</v>
      </c>
      <c r="O114" s="251">
        <f>+C110+D111+D112+D113+(D114/2)</f>
        <v>0</v>
      </c>
      <c r="P114" s="251">
        <f t="shared" si="8"/>
        <v>0</v>
      </c>
      <c r="Q114" s="251">
        <f t="shared" si="9"/>
        <v>0</v>
      </c>
      <c r="R114" s="251">
        <f t="shared" si="19"/>
        <v>146.5</v>
      </c>
      <c r="S114" s="251">
        <f t="shared" si="36"/>
        <v>146.5</v>
      </c>
      <c r="T114" s="252">
        <f t="shared" si="10"/>
        <v>146.5</v>
      </c>
      <c r="U114" s="244"/>
      <c r="V114" s="282">
        <f t="shared" si="11"/>
        <v>0</v>
      </c>
      <c r="W114" s="282"/>
      <c r="X114" s="282"/>
      <c r="Y114" s="282"/>
      <c r="Z114" s="282"/>
      <c r="AA114" s="282"/>
      <c r="AB114" s="300" t="str">
        <f t="shared" si="12"/>
        <v xml:space="preserve"> </v>
      </c>
      <c r="AC114" s="457" t="b">
        <f>IF(AD114=5,AF114)</f>
        <v>0</v>
      </c>
      <c r="AD114" s="457">
        <f t="shared" si="20"/>
        <v>1</v>
      </c>
      <c r="AE114" s="457">
        <f>IF(V114=0,0,5)</f>
        <v>0</v>
      </c>
      <c r="AF114" s="282">
        <f>SUM(V114:V133)/($B$107-B113)</f>
        <v>0</v>
      </c>
      <c r="AG114" s="282"/>
      <c r="AH114" s="301">
        <f>SUM(D111:D114)+$C$110</f>
        <v>0</v>
      </c>
      <c r="AI114" s="399" t="b">
        <f t="shared" si="21"/>
        <v>0</v>
      </c>
      <c r="AJ114" s="173">
        <f t="shared" si="22"/>
        <v>69.344714800000006</v>
      </c>
      <c r="AK114" s="284">
        <f t="shared" si="13"/>
        <v>0.93571960494171247</v>
      </c>
      <c r="AL114" s="174">
        <f t="shared" si="23"/>
        <v>180.0511663828843</v>
      </c>
      <c r="AM114" s="173">
        <f t="shared" si="24"/>
        <v>50.174479900000001</v>
      </c>
      <c r="AN114" s="285">
        <f t="shared" si="25"/>
        <v>0.76799833627881664</v>
      </c>
      <c r="AO114" s="174">
        <f t="shared" si="26"/>
        <v>146.50336262854705</v>
      </c>
      <c r="AP114" s="404">
        <f t="shared" si="27"/>
        <v>353.26129048427055</v>
      </c>
      <c r="AQ114" s="174">
        <f t="shared" si="28"/>
        <v>-76.5</v>
      </c>
      <c r="AR114" s="287">
        <f t="shared" si="29"/>
        <v>66</v>
      </c>
      <c r="AS114" s="288">
        <f t="shared" si="30"/>
        <v>326.55452901143133</v>
      </c>
      <c r="AT114" s="289">
        <f t="shared" ref="AT114:AT133" si="37">+V114-AO114</f>
        <v>-146.50336262854705</v>
      </c>
      <c r="AU114" s="290">
        <f t="shared" si="31"/>
        <v>499.7646531128176</v>
      </c>
      <c r="AV114" s="289"/>
      <c r="AW114" s="291">
        <f t="shared" si="32"/>
        <v>-35.007532203882896</v>
      </c>
      <c r="AX114" s="291">
        <f t="shared" si="33"/>
        <v>101.0075322038829</v>
      </c>
      <c r="AY114" s="292">
        <f t="shared" si="14"/>
        <v>-331.35726141568398</v>
      </c>
      <c r="AZ114" s="292">
        <f t="shared" si="15"/>
        <v>99.002517751003751</v>
      </c>
      <c r="BA114" s="294">
        <f t="shared" si="34"/>
        <v>331.35726141568398</v>
      </c>
      <c r="BB114" s="294">
        <f t="shared" si="34"/>
        <v>99.002517751003751</v>
      </c>
      <c r="BC114">
        <f t="shared" si="35"/>
        <v>0</v>
      </c>
      <c r="BD114" s="10"/>
      <c r="BE114" s="10"/>
      <c r="BF114" s="10"/>
      <c r="BG114" s="27"/>
      <c r="BH114" s="27"/>
      <c r="BK114" s="1754"/>
      <c r="BL114" s="1754"/>
      <c r="BM114" s="1754"/>
      <c r="BN114" s="1748"/>
      <c r="BW114" s="1748"/>
      <c r="BX114" s="1748"/>
      <c r="BY114" s="1748"/>
      <c r="BZ114" s="1748"/>
      <c r="CA114" s="1748"/>
      <c r="CB114" s="1748"/>
      <c r="CC114" s="1748"/>
      <c r="CD114" s="1748"/>
      <c r="CE114" s="1748"/>
      <c r="CF114" s="1748"/>
      <c r="CG114" s="1748"/>
      <c r="CH114" s="1748"/>
      <c r="CI114" s="1748"/>
      <c r="CJ114" s="1748"/>
      <c r="CK114" s="1748"/>
      <c r="CL114" s="1748"/>
      <c r="CM114" s="1748"/>
      <c r="CN114" s="1748"/>
      <c r="CO114" s="1748"/>
      <c r="CP114" s="1748"/>
      <c r="CQ114" s="1748"/>
      <c r="CR114" s="1748"/>
      <c r="CS114" s="1748"/>
      <c r="CT114" s="1748"/>
      <c r="CU114" s="1748"/>
      <c r="CV114" s="1748"/>
      <c r="CW114" s="1748"/>
      <c r="CX114" s="1748"/>
      <c r="CY114" s="1748"/>
    </row>
    <row r="115" spans="1:128" ht="21" customHeight="1" thickBot="1" x14ac:dyDescent="0.5">
      <c r="B115" s="88">
        <v>6</v>
      </c>
      <c r="C115" s="20"/>
      <c r="D115" s="738">
        <v>0</v>
      </c>
      <c r="E115" s="333" t="s">
        <v>72</v>
      </c>
      <c r="F115" s="81">
        <f t="shared" si="16"/>
        <v>0</v>
      </c>
      <c r="G115" s="81">
        <f t="shared" ref="G115:G133" si="38">+D115+BC115</f>
        <v>0</v>
      </c>
      <c r="H115" s="299">
        <v>190.76</v>
      </c>
      <c r="I115" s="318">
        <v>79.651040199999997</v>
      </c>
      <c r="J115" s="251">
        <f t="shared" si="17"/>
        <v>79.651040199999997</v>
      </c>
      <c r="K115" s="251">
        <f t="shared" si="18"/>
        <v>39.825520099999999</v>
      </c>
      <c r="L115" s="251">
        <f t="shared" si="5"/>
        <v>0.64045183696587837</v>
      </c>
      <c r="M115" s="251">
        <f t="shared" si="6"/>
        <v>122.17259241961095</v>
      </c>
      <c r="N115" s="251">
        <f t="shared" si="7"/>
        <v>244.3451848392219</v>
      </c>
      <c r="O115" s="251">
        <f>+C110+D111+D112+D113+D114+(D115/2)</f>
        <v>0</v>
      </c>
      <c r="P115" s="251">
        <f t="shared" si="8"/>
        <v>0</v>
      </c>
      <c r="Q115" s="251">
        <f t="shared" si="9"/>
        <v>0</v>
      </c>
      <c r="R115" s="251">
        <f t="shared" si="19"/>
        <v>146.5</v>
      </c>
      <c r="S115" s="251">
        <f t="shared" si="36"/>
        <v>146.5</v>
      </c>
      <c r="T115" s="252">
        <f t="shared" si="10"/>
        <v>146.5</v>
      </c>
      <c r="U115" s="244"/>
      <c r="V115" s="282">
        <f t="shared" si="11"/>
        <v>0</v>
      </c>
      <c r="W115" s="282"/>
      <c r="X115" s="282"/>
      <c r="Y115" s="282"/>
      <c r="Z115" s="282"/>
      <c r="AA115" s="282"/>
      <c r="AB115" s="300" t="str">
        <f t="shared" si="12"/>
        <v xml:space="preserve"> </v>
      </c>
      <c r="AC115" s="457" t="b">
        <f>IF(AD115=6,AF115)</f>
        <v>0</v>
      </c>
      <c r="AD115" s="457">
        <f t="shared" si="20"/>
        <v>1</v>
      </c>
      <c r="AE115" s="457">
        <f>IF(V115=0,0,6)</f>
        <v>0</v>
      </c>
      <c r="AF115" s="282">
        <f>SUM(V115:V133)/($B$107-B114)</f>
        <v>0</v>
      </c>
      <c r="AG115" s="282"/>
      <c r="AH115" s="301">
        <f>SUM(D111:D115)+$C$110</f>
        <v>0</v>
      </c>
      <c r="AI115" s="399" t="b">
        <f t="shared" si="21"/>
        <v>0</v>
      </c>
      <c r="AJ115" s="173">
        <f t="shared" si="22"/>
        <v>69.344714800000006</v>
      </c>
      <c r="AK115" s="284">
        <f t="shared" si="13"/>
        <v>0.93571960494171247</v>
      </c>
      <c r="AL115" s="174">
        <f t="shared" si="23"/>
        <v>180.0511663828843</v>
      </c>
      <c r="AM115" s="173">
        <f t="shared" si="24"/>
        <v>50.174479900000001</v>
      </c>
      <c r="AN115" s="285">
        <f t="shared" si="25"/>
        <v>0.76799833627881664</v>
      </c>
      <c r="AO115" s="174">
        <f t="shared" si="26"/>
        <v>146.50336262854705</v>
      </c>
      <c r="AP115" s="404">
        <f t="shared" si="27"/>
        <v>575.68506597436681</v>
      </c>
      <c r="AQ115" s="174">
        <f t="shared" si="28"/>
        <v>-102</v>
      </c>
      <c r="AR115" s="287">
        <f t="shared" si="29"/>
        <v>40.5</v>
      </c>
      <c r="AS115" s="288">
        <f t="shared" si="30"/>
        <v>326.55452901143133</v>
      </c>
      <c r="AT115" s="289">
        <f t="shared" si="37"/>
        <v>-146.50336262854705</v>
      </c>
      <c r="AU115" s="290">
        <f t="shared" si="31"/>
        <v>722.18842860291386</v>
      </c>
      <c r="AV115" s="289"/>
      <c r="AW115" s="291">
        <f t="shared" si="32"/>
        <v>-49.067373164174178</v>
      </c>
      <c r="AX115" s="291">
        <f t="shared" si="33"/>
        <v>89.567373164174171</v>
      </c>
      <c r="AY115" s="292">
        <f t="shared" si="14"/>
        <v>-236.40963948054937</v>
      </c>
      <c r="AZ115" s="292">
        <f t="shared" si="15"/>
        <v>111.64779815156928</v>
      </c>
      <c r="BA115" s="294">
        <f t="shared" si="34"/>
        <v>236.40963948054937</v>
      </c>
      <c r="BB115" s="294">
        <f t="shared" si="34"/>
        <v>111.64779815156928</v>
      </c>
      <c r="BC115">
        <f t="shared" si="35"/>
        <v>0</v>
      </c>
      <c r="BD115" s="10"/>
      <c r="BE115" s="10"/>
      <c r="BF115" s="10"/>
      <c r="BG115" s="27"/>
      <c r="BH115" s="27"/>
      <c r="BK115" s="1754"/>
      <c r="BL115" s="1754"/>
      <c r="BM115" s="1754"/>
      <c r="CG115" s="1755"/>
      <c r="CH115" s="1755"/>
      <c r="CI115" s="1755"/>
      <c r="CJ115" s="1755"/>
      <c r="CK115" s="1755"/>
      <c r="CL115" s="1755"/>
    </row>
    <row r="116" spans="1:128" ht="21" customHeight="1" thickBot="1" x14ac:dyDescent="0.5">
      <c r="B116" s="88">
        <v>7</v>
      </c>
      <c r="C116" s="20"/>
      <c r="D116" s="738">
        <v>0</v>
      </c>
      <c r="E116" s="333" t="s">
        <v>72</v>
      </c>
      <c r="F116" s="81">
        <f t="shared" si="16"/>
        <v>0</v>
      </c>
      <c r="G116" s="81">
        <f t="shared" si="38"/>
        <v>0</v>
      </c>
      <c r="H116" s="299">
        <v>190.76</v>
      </c>
      <c r="I116" s="318">
        <v>79.651040199999997</v>
      </c>
      <c r="J116" s="251">
        <f t="shared" si="17"/>
        <v>79.651040199999997</v>
      </c>
      <c r="K116" s="251">
        <f t="shared" si="18"/>
        <v>39.825520099999999</v>
      </c>
      <c r="L116" s="251">
        <f t="shared" si="5"/>
        <v>0.64045183696587837</v>
      </c>
      <c r="M116" s="251">
        <f t="shared" si="6"/>
        <v>122.17259241961095</v>
      </c>
      <c r="N116" s="251">
        <f t="shared" si="7"/>
        <v>244.3451848392219</v>
      </c>
      <c r="O116" s="251">
        <f>+C110+D111+D112+D113+D114+D115+(D116/2)</f>
        <v>0</v>
      </c>
      <c r="P116" s="251">
        <f t="shared" si="8"/>
        <v>0</v>
      </c>
      <c r="Q116" s="251">
        <f t="shared" si="9"/>
        <v>0</v>
      </c>
      <c r="R116" s="251">
        <f t="shared" si="19"/>
        <v>146.5</v>
      </c>
      <c r="S116" s="251">
        <f t="shared" si="36"/>
        <v>146.5</v>
      </c>
      <c r="T116" s="252">
        <f t="shared" si="10"/>
        <v>146.5</v>
      </c>
      <c r="U116" s="244"/>
      <c r="V116" s="282">
        <f t="shared" si="11"/>
        <v>0</v>
      </c>
      <c r="W116" s="282"/>
      <c r="X116" s="282"/>
      <c r="Y116" s="282"/>
      <c r="Z116" s="282"/>
      <c r="AA116" s="282"/>
      <c r="AB116" s="300" t="str">
        <f t="shared" si="12"/>
        <v xml:space="preserve"> </v>
      </c>
      <c r="AC116" s="457" t="b">
        <f>IF(AD116=7,AF116)</f>
        <v>0</v>
      </c>
      <c r="AD116" s="457">
        <f t="shared" si="20"/>
        <v>1</v>
      </c>
      <c r="AE116" s="457">
        <f>IF(V116=0,0,7)</f>
        <v>0</v>
      </c>
      <c r="AF116" s="282">
        <f>SUM(V116:V133)/($B$107-B115)</f>
        <v>0</v>
      </c>
      <c r="AG116" s="282"/>
      <c r="AH116" s="301">
        <f>SUM(D111:D116)+$C$110</f>
        <v>0</v>
      </c>
      <c r="AI116" s="399" t="b">
        <f t="shared" si="21"/>
        <v>0</v>
      </c>
      <c r="AJ116" s="173">
        <f t="shared" si="22"/>
        <v>69.344714800000006</v>
      </c>
      <c r="AK116" s="284">
        <f t="shared" si="13"/>
        <v>0.93571960494171247</v>
      </c>
      <c r="AL116" s="174">
        <f t="shared" si="23"/>
        <v>180.0511663828843</v>
      </c>
      <c r="AM116" s="173">
        <f t="shared" si="24"/>
        <v>50.174479900000001</v>
      </c>
      <c r="AN116" s="285">
        <f t="shared" si="25"/>
        <v>0.76799833627881664</v>
      </c>
      <c r="AO116" s="174">
        <f t="shared" si="26"/>
        <v>146.50336262854705</v>
      </c>
      <c r="AP116" s="404">
        <f t="shared" si="27"/>
        <v>1554.3496781307904</v>
      </c>
      <c r="AQ116" s="174">
        <f t="shared" si="28"/>
        <v>-127.5</v>
      </c>
      <c r="AR116" s="287">
        <f t="shared" si="29"/>
        <v>15</v>
      </c>
      <c r="AS116" s="288">
        <f t="shared" si="30"/>
        <v>326.55452901143133</v>
      </c>
      <c r="AT116" s="289">
        <f t="shared" si="37"/>
        <v>-146.50336262854705</v>
      </c>
      <c r="AU116" s="290">
        <f t="shared" si="31"/>
        <v>1700.8530407593375</v>
      </c>
      <c r="AV116" s="289"/>
      <c r="AW116" s="291">
        <f t="shared" si="32"/>
        <v>-63.127214124465461</v>
      </c>
      <c r="AX116" s="291">
        <f t="shared" si="33"/>
        <v>78.127214124465468</v>
      </c>
      <c r="AY116" s="292">
        <f t="shared" si="14"/>
        <v>-183.75593095441744</v>
      </c>
      <c r="AZ116" s="292">
        <f t="shared" si="15"/>
        <v>127.99637248128253</v>
      </c>
      <c r="BA116" s="294">
        <f t="shared" si="34"/>
        <v>183.75593095441744</v>
      </c>
      <c r="BB116" s="294">
        <f t="shared" si="34"/>
        <v>127.99637248128253</v>
      </c>
      <c r="BC116">
        <f t="shared" si="35"/>
        <v>0</v>
      </c>
      <c r="BG116" s="27"/>
      <c r="BH116" s="27"/>
      <c r="BK116" s="1754"/>
      <c r="BL116" s="1754"/>
      <c r="BM116" s="1754"/>
    </row>
    <row r="117" spans="1:128" ht="21" customHeight="1" thickBot="1" x14ac:dyDescent="0.5">
      <c r="B117" s="88">
        <v>8</v>
      </c>
      <c r="C117" s="20"/>
      <c r="D117" s="738">
        <v>0</v>
      </c>
      <c r="E117" s="333" t="s">
        <v>72</v>
      </c>
      <c r="F117" s="81">
        <f t="shared" si="16"/>
        <v>0</v>
      </c>
      <c r="G117" s="81">
        <f t="shared" si="38"/>
        <v>0</v>
      </c>
      <c r="H117" s="299">
        <v>190.76</v>
      </c>
      <c r="I117" s="318">
        <v>79.651040199999997</v>
      </c>
      <c r="J117" s="251">
        <f t="shared" si="17"/>
        <v>79.651040199999997</v>
      </c>
      <c r="K117" s="251">
        <f t="shared" si="18"/>
        <v>39.825520099999999</v>
      </c>
      <c r="L117" s="251">
        <f t="shared" si="5"/>
        <v>0.64045183696587837</v>
      </c>
      <c r="M117" s="251">
        <f t="shared" si="6"/>
        <v>122.17259241961095</v>
      </c>
      <c r="N117" s="251">
        <f t="shared" si="7"/>
        <v>244.3451848392219</v>
      </c>
      <c r="O117" s="251">
        <f>+C110+D111+D112+D113+D114+D115+D116+(D117/2)</f>
        <v>0</v>
      </c>
      <c r="P117" s="251">
        <f t="shared" si="8"/>
        <v>0</v>
      </c>
      <c r="Q117" s="251">
        <f t="shared" si="9"/>
        <v>0</v>
      </c>
      <c r="R117" s="251">
        <f t="shared" si="19"/>
        <v>146.5</v>
      </c>
      <c r="S117" s="251">
        <f t="shared" si="36"/>
        <v>146.5</v>
      </c>
      <c r="T117" s="252">
        <f t="shared" si="10"/>
        <v>146.5</v>
      </c>
      <c r="U117" s="244"/>
      <c r="V117" s="282">
        <f t="shared" si="11"/>
        <v>0</v>
      </c>
      <c r="W117" s="282"/>
      <c r="X117" s="282"/>
      <c r="Y117" s="282"/>
      <c r="Z117" s="282"/>
      <c r="AA117" s="282"/>
      <c r="AB117" s="300" t="str">
        <f t="shared" si="12"/>
        <v xml:space="preserve"> </v>
      </c>
      <c r="AC117" s="457" t="b">
        <f>IF(AD117=8,AF117)</f>
        <v>0</v>
      </c>
      <c r="AD117" s="457">
        <f t="shared" si="20"/>
        <v>1</v>
      </c>
      <c r="AE117" s="457">
        <f>IF(V117=0,0,8)</f>
        <v>0</v>
      </c>
      <c r="AF117" s="282">
        <f>SUM(V117:V133)/($B$107-B116)</f>
        <v>0</v>
      </c>
      <c r="AG117" s="282"/>
      <c r="AH117" s="301">
        <f>SUM(D111:D117)+$C$110</f>
        <v>0</v>
      </c>
      <c r="AI117" s="399" t="b">
        <f t="shared" si="21"/>
        <v>0</v>
      </c>
      <c r="AJ117" s="173">
        <f t="shared" si="22"/>
        <v>69.344714800000006</v>
      </c>
      <c r="AK117" s="284">
        <f t="shared" si="13"/>
        <v>0.93571960494171247</v>
      </c>
      <c r="AL117" s="174">
        <f t="shared" si="23"/>
        <v>180.0511663828843</v>
      </c>
      <c r="AM117" s="173">
        <f t="shared" si="24"/>
        <v>50.174479900000001</v>
      </c>
      <c r="AN117" s="285">
        <f t="shared" si="25"/>
        <v>0.76799833627881664</v>
      </c>
      <c r="AO117" s="174">
        <f t="shared" si="26"/>
        <v>146.50336262854705</v>
      </c>
      <c r="AP117" s="404">
        <f t="shared" si="27"/>
        <v>-2220.4995401868432</v>
      </c>
      <c r="AQ117" s="174">
        <f t="shared" si="28"/>
        <v>-153</v>
      </c>
      <c r="AR117" s="287">
        <f t="shared" si="29"/>
        <v>-10.5</v>
      </c>
      <c r="AS117" s="288">
        <f t="shared" si="30"/>
        <v>326.55452901143133</v>
      </c>
      <c r="AT117" s="289">
        <f t="shared" si="37"/>
        <v>-146.50336262854705</v>
      </c>
      <c r="AU117" s="290">
        <f t="shared" si="31"/>
        <v>-2073.996177558296</v>
      </c>
      <c r="AV117" s="289"/>
      <c r="AW117" s="291">
        <f t="shared" si="32"/>
        <v>-77.187055084756722</v>
      </c>
      <c r="AX117" s="291">
        <f t="shared" si="33"/>
        <v>66.687055084756722</v>
      </c>
      <c r="AY117" s="292">
        <f t="shared" si="14"/>
        <v>-150.28426706087436</v>
      </c>
      <c r="AZ117" s="292">
        <f t="shared" si="15"/>
        <v>149.95414008446434</v>
      </c>
      <c r="BA117" s="294">
        <f t="shared" si="34"/>
        <v>150.28426706087436</v>
      </c>
      <c r="BB117" s="294">
        <f t="shared" si="34"/>
        <v>149.95414008446434</v>
      </c>
      <c r="BC117">
        <f t="shared" si="35"/>
        <v>0</v>
      </c>
      <c r="BG117" s="27"/>
      <c r="BH117" s="27"/>
      <c r="BK117" s="1754"/>
      <c r="BL117" s="1754"/>
      <c r="BM117" s="1754"/>
    </row>
    <row r="118" spans="1:128" ht="21" customHeight="1" thickBot="1" x14ac:dyDescent="0.5">
      <c r="B118" s="88">
        <v>9</v>
      </c>
      <c r="C118" s="20"/>
      <c r="D118" s="738">
        <v>0</v>
      </c>
      <c r="E118" s="333" t="s">
        <v>72</v>
      </c>
      <c r="F118" s="81">
        <f t="shared" si="16"/>
        <v>0</v>
      </c>
      <c r="G118" s="81">
        <f t="shared" si="38"/>
        <v>0</v>
      </c>
      <c r="H118" s="299">
        <v>190.76</v>
      </c>
      <c r="I118" s="318">
        <v>79.651040199999997</v>
      </c>
      <c r="J118" s="251">
        <f t="shared" si="17"/>
        <v>79.651040199999997</v>
      </c>
      <c r="K118" s="251">
        <f t="shared" si="18"/>
        <v>39.825520099999999</v>
      </c>
      <c r="L118" s="251">
        <f t="shared" si="5"/>
        <v>0.64045183696587837</v>
      </c>
      <c r="M118" s="251">
        <f t="shared" si="6"/>
        <v>122.17259241961095</v>
      </c>
      <c r="N118" s="251">
        <f t="shared" si="7"/>
        <v>244.3451848392219</v>
      </c>
      <c r="O118" s="251">
        <f>+C110+D111+D112+D113+D114+D115+D116+D117+(D118/2)</f>
        <v>0</v>
      </c>
      <c r="P118" s="251">
        <f t="shared" si="8"/>
        <v>0</v>
      </c>
      <c r="Q118" s="251">
        <f t="shared" si="9"/>
        <v>0</v>
      </c>
      <c r="R118" s="251">
        <f t="shared" si="19"/>
        <v>146.5</v>
      </c>
      <c r="S118" s="251">
        <f t="shared" si="36"/>
        <v>146.5</v>
      </c>
      <c r="T118" s="252">
        <f t="shared" si="10"/>
        <v>146.5</v>
      </c>
      <c r="U118" s="244"/>
      <c r="V118" s="282">
        <f t="shared" si="11"/>
        <v>0</v>
      </c>
      <c r="W118" s="282"/>
      <c r="X118" s="282"/>
      <c r="Y118" s="282"/>
      <c r="Z118" s="282"/>
      <c r="AA118" s="282"/>
      <c r="AB118" s="300" t="str">
        <f t="shared" si="12"/>
        <v xml:space="preserve"> </v>
      </c>
      <c r="AC118" s="457" t="b">
        <f>IF(AD118=9,AF118)</f>
        <v>0</v>
      </c>
      <c r="AD118" s="457">
        <f t="shared" si="20"/>
        <v>1</v>
      </c>
      <c r="AE118" s="457">
        <f>IF(V118=0,0,9)</f>
        <v>0</v>
      </c>
      <c r="AF118" s="282">
        <f>SUM(V118:V133)/($B$107-B117)</f>
        <v>0</v>
      </c>
      <c r="AG118" s="282"/>
      <c r="AH118" s="301">
        <f>SUM(D111:D118)+$C$110</f>
        <v>0</v>
      </c>
      <c r="AI118" s="399" t="b">
        <f t="shared" si="21"/>
        <v>0</v>
      </c>
      <c r="AJ118" s="173">
        <f t="shared" si="22"/>
        <v>69.344714800000006</v>
      </c>
      <c r="AK118" s="284">
        <f t="shared" si="13"/>
        <v>0.93571960494171247</v>
      </c>
      <c r="AL118" s="174">
        <f t="shared" si="23"/>
        <v>180.0511663828843</v>
      </c>
      <c r="AM118" s="173">
        <f t="shared" si="24"/>
        <v>50.174479900000001</v>
      </c>
      <c r="AN118" s="285">
        <f t="shared" si="25"/>
        <v>0.76799833627881664</v>
      </c>
      <c r="AO118" s="174">
        <f t="shared" si="26"/>
        <v>146.50336262854705</v>
      </c>
      <c r="AP118" s="404">
        <f t="shared" si="27"/>
        <v>-647.64569922116266</v>
      </c>
      <c r="AQ118" s="174">
        <f t="shared" si="28"/>
        <v>-178.5</v>
      </c>
      <c r="AR118" s="287">
        <f t="shared" si="29"/>
        <v>-36</v>
      </c>
      <c r="AS118" s="288">
        <f t="shared" si="30"/>
        <v>326.55452901143133</v>
      </c>
      <c r="AT118" s="289">
        <f t="shared" si="37"/>
        <v>-146.50336262854705</v>
      </c>
      <c r="AU118" s="290">
        <f t="shared" si="31"/>
        <v>-501.14233659261561</v>
      </c>
      <c r="AV118" s="289"/>
      <c r="AW118" s="291">
        <f t="shared" si="32"/>
        <v>-91.246896045048004</v>
      </c>
      <c r="AX118" s="291">
        <f t="shared" si="33"/>
        <v>55.246896045048011</v>
      </c>
      <c r="AY118" s="292">
        <f t="shared" si="14"/>
        <v>-127.12761203705115</v>
      </c>
      <c r="AZ118" s="292">
        <f t="shared" si="15"/>
        <v>181.0056440428084</v>
      </c>
      <c r="BA118" s="294">
        <f t="shared" si="34"/>
        <v>127.12761203705115</v>
      </c>
      <c r="BB118" s="294">
        <f t="shared" si="34"/>
        <v>181.0056440428084</v>
      </c>
      <c r="BC118">
        <f t="shared" si="35"/>
        <v>0</v>
      </c>
      <c r="BG118" s="27"/>
      <c r="BH118" s="27"/>
      <c r="BK118" s="1754"/>
      <c r="BL118" s="1754"/>
      <c r="BM118" s="1754"/>
    </row>
    <row r="119" spans="1:128" ht="21" customHeight="1" thickBot="1" x14ac:dyDescent="0.5">
      <c r="B119" s="88">
        <v>10</v>
      </c>
      <c r="C119" s="20"/>
      <c r="D119" s="738">
        <v>0</v>
      </c>
      <c r="E119" s="333" t="s">
        <v>72</v>
      </c>
      <c r="F119" s="81">
        <f t="shared" si="16"/>
        <v>0</v>
      </c>
      <c r="G119" s="81">
        <f t="shared" si="38"/>
        <v>0</v>
      </c>
      <c r="H119" s="299">
        <v>190.76</v>
      </c>
      <c r="I119" s="318">
        <v>79.651040199999997</v>
      </c>
      <c r="J119" s="251">
        <f t="shared" si="17"/>
        <v>79.651040199999997</v>
      </c>
      <c r="K119" s="251">
        <f t="shared" si="18"/>
        <v>39.825520099999999</v>
      </c>
      <c r="L119" s="251">
        <f t="shared" si="5"/>
        <v>0.64045183696587837</v>
      </c>
      <c r="M119" s="251">
        <f t="shared" si="6"/>
        <v>122.17259241961095</v>
      </c>
      <c r="N119" s="251">
        <f t="shared" si="7"/>
        <v>244.3451848392219</v>
      </c>
      <c r="O119" s="251">
        <f>+C110+D111+D112+D113+D114+D115+D116+D117+D118+(D119/2)</f>
        <v>0</v>
      </c>
      <c r="P119" s="251">
        <f t="shared" si="8"/>
        <v>0</v>
      </c>
      <c r="Q119" s="251">
        <f t="shared" si="9"/>
        <v>0</v>
      </c>
      <c r="R119" s="251">
        <f t="shared" si="19"/>
        <v>146.5</v>
      </c>
      <c r="S119" s="251">
        <f t="shared" si="36"/>
        <v>146.5</v>
      </c>
      <c r="T119" s="252">
        <f t="shared" si="10"/>
        <v>146.5</v>
      </c>
      <c r="U119" s="244"/>
      <c r="V119" s="282">
        <f t="shared" si="11"/>
        <v>0</v>
      </c>
      <c r="W119" s="282"/>
      <c r="X119" s="282"/>
      <c r="Y119" s="282"/>
      <c r="Z119" s="282"/>
      <c r="AA119" s="282"/>
      <c r="AB119" s="300" t="str">
        <f t="shared" si="12"/>
        <v xml:space="preserve"> </v>
      </c>
      <c r="AC119" s="457" t="b">
        <f>IF(AD119=10,AF119)</f>
        <v>0</v>
      </c>
      <c r="AD119" s="457">
        <f t="shared" si="20"/>
        <v>1</v>
      </c>
      <c r="AE119" s="457">
        <f>IF(V119=0,0,10)</f>
        <v>0</v>
      </c>
      <c r="AF119" s="282">
        <f>SUM(V119:V133)/($B$107-B118)</f>
        <v>0</v>
      </c>
      <c r="AG119" s="282"/>
      <c r="AH119" s="301">
        <f>SUM(D111:D119)+$C$110</f>
        <v>0</v>
      </c>
      <c r="AI119" s="399" t="b">
        <f t="shared" si="21"/>
        <v>0</v>
      </c>
      <c r="AJ119" s="173">
        <f t="shared" si="22"/>
        <v>69.344714800000006</v>
      </c>
      <c r="AK119" s="284">
        <f t="shared" si="13"/>
        <v>0.93571960494171247</v>
      </c>
      <c r="AL119" s="174">
        <f t="shared" si="23"/>
        <v>180.0511663828843</v>
      </c>
      <c r="AM119" s="173">
        <f t="shared" si="24"/>
        <v>50.174479900000001</v>
      </c>
      <c r="AN119" s="285">
        <f t="shared" si="25"/>
        <v>0.76799833627881664</v>
      </c>
      <c r="AO119" s="174">
        <f t="shared" si="26"/>
        <v>146.50336262854705</v>
      </c>
      <c r="AP119" s="404">
        <f t="shared" si="27"/>
        <v>-379.1096775928757</v>
      </c>
      <c r="AQ119" s="174">
        <f t="shared" si="28"/>
        <v>-204</v>
      </c>
      <c r="AR119" s="287">
        <f t="shared" si="29"/>
        <v>-61.5</v>
      </c>
      <c r="AS119" s="288">
        <f t="shared" si="30"/>
        <v>326.55452901143133</v>
      </c>
      <c r="AT119" s="289">
        <f t="shared" si="37"/>
        <v>-146.50336262854705</v>
      </c>
      <c r="AU119" s="290">
        <f t="shared" si="31"/>
        <v>-232.60631496432865</v>
      </c>
      <c r="AV119" s="289"/>
      <c r="AW119" s="291">
        <f t="shared" si="32"/>
        <v>-105.30673700533929</v>
      </c>
      <c r="AX119" s="291">
        <f t="shared" si="33"/>
        <v>43.806737005339286</v>
      </c>
      <c r="AY119" s="292">
        <f t="shared" si="14"/>
        <v>-110.15439590927458</v>
      </c>
      <c r="AZ119" s="292">
        <f t="shared" si="15"/>
        <v>228.27539058161699</v>
      </c>
      <c r="BA119" s="294">
        <f t="shared" si="34"/>
        <v>110.15439590927458</v>
      </c>
      <c r="BB119" s="294">
        <f t="shared" si="34"/>
        <v>228.27539058161699</v>
      </c>
      <c r="BC119">
        <f t="shared" si="35"/>
        <v>0</v>
      </c>
      <c r="BG119" s="27"/>
      <c r="BH119" s="27"/>
      <c r="BK119" s="1754"/>
      <c r="BL119" s="1754"/>
      <c r="BM119" s="1754"/>
      <c r="BN119" s="1551"/>
    </row>
    <row r="120" spans="1:128" ht="21" customHeight="1" thickBot="1" x14ac:dyDescent="0.5">
      <c r="A120" s="9"/>
      <c r="B120" s="88">
        <v>11</v>
      </c>
      <c r="C120" s="20"/>
      <c r="D120" s="738">
        <v>0</v>
      </c>
      <c r="E120" s="333" t="s">
        <v>72</v>
      </c>
      <c r="F120" s="81">
        <f t="shared" si="16"/>
        <v>0</v>
      </c>
      <c r="G120" s="81">
        <f t="shared" si="38"/>
        <v>0</v>
      </c>
      <c r="H120" s="299">
        <v>190.76</v>
      </c>
      <c r="I120" s="318">
        <v>79.651040199999997</v>
      </c>
      <c r="J120" s="251">
        <f t="shared" si="17"/>
        <v>79.651040199999997</v>
      </c>
      <c r="K120" s="251">
        <f t="shared" si="18"/>
        <v>39.825520099999999</v>
      </c>
      <c r="L120" s="251">
        <f t="shared" si="5"/>
        <v>0.64045183696587837</v>
      </c>
      <c r="M120" s="251">
        <f t="shared" si="6"/>
        <v>122.17259241961095</v>
      </c>
      <c r="N120" s="251">
        <f t="shared" si="7"/>
        <v>244.3451848392219</v>
      </c>
      <c r="O120" s="251">
        <f>+C110+D111+D112+D113+D114+D115+D116+D117+D118+D119+(D120/2)</f>
        <v>0</v>
      </c>
      <c r="P120" s="251">
        <f t="shared" si="8"/>
        <v>0</v>
      </c>
      <c r="Q120" s="251">
        <f t="shared" si="9"/>
        <v>0</v>
      </c>
      <c r="R120" s="251">
        <f t="shared" si="19"/>
        <v>146.5</v>
      </c>
      <c r="S120" s="251">
        <f t="shared" si="36"/>
        <v>146.5</v>
      </c>
      <c r="T120" s="252">
        <f t="shared" si="10"/>
        <v>146.5</v>
      </c>
      <c r="U120" s="244"/>
      <c r="V120" s="282">
        <f t="shared" si="11"/>
        <v>0</v>
      </c>
      <c r="W120" s="282"/>
      <c r="X120" s="282"/>
      <c r="Y120" s="282"/>
      <c r="Z120" s="282"/>
      <c r="AA120" s="282"/>
      <c r="AB120" s="300" t="str">
        <f t="shared" si="12"/>
        <v xml:space="preserve"> </v>
      </c>
      <c r="AC120" s="457" t="b">
        <f>IF(AD120=11,AF120)</f>
        <v>0</v>
      </c>
      <c r="AD120" s="457">
        <f t="shared" si="20"/>
        <v>1</v>
      </c>
      <c r="AE120" s="457">
        <f>IF(V120=0,0,11)</f>
        <v>0</v>
      </c>
      <c r="AF120" s="282">
        <f>SUM(V120:V133)/($B$107-B119)</f>
        <v>0</v>
      </c>
      <c r="AG120" s="282"/>
      <c r="AH120" s="301">
        <f>SUM(D111:D120)+$C$110</f>
        <v>0</v>
      </c>
      <c r="AI120" s="399" t="b">
        <f t="shared" si="21"/>
        <v>0</v>
      </c>
      <c r="AJ120" s="173">
        <f t="shared" si="22"/>
        <v>69.344714800000006</v>
      </c>
      <c r="AK120" s="284">
        <f t="shared" si="13"/>
        <v>0.93571960494171247</v>
      </c>
      <c r="AL120" s="174">
        <f t="shared" si="23"/>
        <v>180.0511663828843</v>
      </c>
      <c r="AM120" s="173">
        <f t="shared" si="24"/>
        <v>50.174479900000001</v>
      </c>
      <c r="AN120" s="285">
        <f t="shared" si="25"/>
        <v>0.76799833627881664</v>
      </c>
      <c r="AO120" s="174">
        <f t="shared" si="26"/>
        <v>146.50336262854705</v>
      </c>
      <c r="AP120" s="404">
        <f t="shared" si="27"/>
        <v>-267.99132381565352</v>
      </c>
      <c r="AQ120" s="174">
        <f t="shared" si="28"/>
        <v>-229.5</v>
      </c>
      <c r="AR120" s="287">
        <f t="shared" si="29"/>
        <v>-87</v>
      </c>
      <c r="AS120" s="288">
        <f t="shared" si="30"/>
        <v>326.55452901143133</v>
      </c>
      <c r="AT120" s="289">
        <f t="shared" si="37"/>
        <v>-146.50336262854705</v>
      </c>
      <c r="AU120" s="290">
        <f t="shared" si="31"/>
        <v>-121.48796118710646</v>
      </c>
      <c r="AV120" s="289"/>
      <c r="AW120" s="291">
        <f t="shared" si="32"/>
        <v>-119.36657796563057</v>
      </c>
      <c r="AX120" s="291">
        <f t="shared" si="33"/>
        <v>32.366577965630569</v>
      </c>
      <c r="AY120" s="292">
        <f t="shared" si="14"/>
        <v>-97.179630996374954</v>
      </c>
      <c r="AZ120" s="292">
        <f t="shared" si="15"/>
        <v>308.96068192994647</v>
      </c>
      <c r="BA120" s="294">
        <f t="shared" si="34"/>
        <v>97.179630996374954</v>
      </c>
      <c r="BB120" s="294">
        <f t="shared" si="34"/>
        <v>308.96068192994647</v>
      </c>
      <c r="BC120">
        <f t="shared" si="35"/>
        <v>0</v>
      </c>
      <c r="BG120" s="27"/>
      <c r="BH120" s="27"/>
      <c r="BK120" s="1754"/>
      <c r="BL120" s="1754"/>
      <c r="BM120" s="1754"/>
      <c r="BN120" s="1551"/>
    </row>
    <row r="121" spans="1:128" ht="21" customHeight="1" thickBot="1" x14ac:dyDescent="0.5">
      <c r="A121" s="9"/>
      <c r="B121" s="88">
        <v>12</v>
      </c>
      <c r="C121" s="20"/>
      <c r="D121" s="738">
        <v>0</v>
      </c>
      <c r="E121" s="333" t="s">
        <v>72</v>
      </c>
      <c r="F121" s="81">
        <f t="shared" si="16"/>
        <v>0</v>
      </c>
      <c r="G121" s="81">
        <f t="shared" si="38"/>
        <v>0</v>
      </c>
      <c r="H121" s="299">
        <v>190.76</v>
      </c>
      <c r="I121" s="318">
        <v>79.651040199999997</v>
      </c>
      <c r="J121" s="251">
        <f t="shared" si="17"/>
        <v>79.651040199999997</v>
      </c>
      <c r="K121" s="251">
        <f t="shared" si="18"/>
        <v>39.825520099999999</v>
      </c>
      <c r="L121" s="251">
        <f t="shared" si="5"/>
        <v>0.64045183696587837</v>
      </c>
      <c r="M121" s="251">
        <f t="shared" si="6"/>
        <v>122.17259241961095</v>
      </c>
      <c r="N121" s="251">
        <f t="shared" si="7"/>
        <v>244.3451848392219</v>
      </c>
      <c r="O121" s="251">
        <f>+C110+D111+D112+D113+D114+D115+D116+D117+D118+D119+D120+(D121/2)</f>
        <v>0</v>
      </c>
      <c r="P121" s="251">
        <f t="shared" si="8"/>
        <v>0</v>
      </c>
      <c r="Q121" s="251">
        <f t="shared" si="9"/>
        <v>0</v>
      </c>
      <c r="R121" s="251">
        <f t="shared" si="19"/>
        <v>146.5</v>
      </c>
      <c r="S121" s="251">
        <f t="shared" si="36"/>
        <v>146.5</v>
      </c>
      <c r="T121" s="252">
        <f t="shared" si="10"/>
        <v>146.5</v>
      </c>
      <c r="U121" s="244"/>
      <c r="V121" s="282">
        <f t="shared" si="11"/>
        <v>0</v>
      </c>
      <c r="W121" s="282"/>
      <c r="X121" s="282"/>
      <c r="Y121" s="282"/>
      <c r="Z121" s="282"/>
      <c r="AA121" s="282"/>
      <c r="AB121" s="300" t="str">
        <f t="shared" si="12"/>
        <v xml:space="preserve"> </v>
      </c>
      <c r="AC121" s="457" t="b">
        <f>IF(AD121=12,AF121)</f>
        <v>0</v>
      </c>
      <c r="AD121" s="457">
        <f t="shared" si="20"/>
        <v>1</v>
      </c>
      <c r="AE121" s="457">
        <f>IF(V121=0,0,12)</f>
        <v>0</v>
      </c>
      <c r="AF121" s="282">
        <f>SUM(V121:V133)/($B$107-B120)</f>
        <v>0</v>
      </c>
      <c r="AG121" s="282"/>
      <c r="AH121" s="301">
        <f>SUM(D111:D121)+$C$110</f>
        <v>0</v>
      </c>
      <c r="AI121" s="399" t="b">
        <f t="shared" si="21"/>
        <v>0</v>
      </c>
      <c r="AJ121" s="173">
        <f t="shared" si="22"/>
        <v>69.344714800000006</v>
      </c>
      <c r="AK121" s="284">
        <f t="shared" si="13"/>
        <v>0.93571960494171247</v>
      </c>
      <c r="AL121" s="174">
        <f t="shared" si="23"/>
        <v>180.0511663828843</v>
      </c>
      <c r="AM121" s="173">
        <f t="shared" si="24"/>
        <v>50.174479900000001</v>
      </c>
      <c r="AN121" s="285">
        <f t="shared" si="25"/>
        <v>0.76799833627881664</v>
      </c>
      <c r="AO121" s="174">
        <f t="shared" si="26"/>
        <v>146.50336262854705</v>
      </c>
      <c r="AP121" s="404">
        <f t="shared" si="27"/>
        <v>-207.24662375077205</v>
      </c>
      <c r="AQ121" s="174">
        <f t="shared" si="28"/>
        <v>-255</v>
      </c>
      <c r="AR121" s="287">
        <f t="shared" si="29"/>
        <v>-112.5</v>
      </c>
      <c r="AS121" s="288">
        <f t="shared" si="30"/>
        <v>326.55452901143133</v>
      </c>
      <c r="AT121" s="289">
        <f t="shared" si="37"/>
        <v>-146.50336262854705</v>
      </c>
      <c r="AU121" s="290">
        <f t="shared" si="31"/>
        <v>-60.743261122224993</v>
      </c>
      <c r="AV121" s="289"/>
      <c r="AW121" s="291">
        <f t="shared" si="32"/>
        <v>-133.42641892592187</v>
      </c>
      <c r="AX121" s="291">
        <f t="shared" si="33"/>
        <v>20.926418925921848</v>
      </c>
      <c r="AY121" s="292">
        <f t="shared" si="14"/>
        <v>-86.939304025241825</v>
      </c>
      <c r="AZ121" s="292">
        <f t="shared" si="15"/>
        <v>477.86484803727501</v>
      </c>
      <c r="BA121" s="294">
        <f t="shared" si="34"/>
        <v>86.939304025241825</v>
      </c>
      <c r="BB121" s="294">
        <f t="shared" si="34"/>
        <v>477.86484803727501</v>
      </c>
      <c r="BC121">
        <f t="shared" si="35"/>
        <v>0</v>
      </c>
      <c r="BG121" s="27"/>
      <c r="BH121" s="27"/>
      <c r="BK121" s="1754"/>
      <c r="BL121" s="1754"/>
      <c r="BM121" s="1754"/>
      <c r="BN121" s="1551"/>
    </row>
    <row r="122" spans="1:128" ht="21" customHeight="1" thickBot="1" x14ac:dyDescent="0.5">
      <c r="B122" s="88">
        <v>13</v>
      </c>
      <c r="C122" s="20"/>
      <c r="D122" s="738">
        <v>0</v>
      </c>
      <c r="E122" s="333" t="s">
        <v>72</v>
      </c>
      <c r="F122" s="81">
        <f t="shared" si="16"/>
        <v>0</v>
      </c>
      <c r="G122" s="81">
        <f t="shared" si="38"/>
        <v>0</v>
      </c>
      <c r="H122" s="299">
        <v>190.76</v>
      </c>
      <c r="I122" s="318">
        <v>79.651040199999997</v>
      </c>
      <c r="J122" s="251">
        <f t="shared" si="17"/>
        <v>79.651040199999997</v>
      </c>
      <c r="K122" s="251">
        <f t="shared" si="18"/>
        <v>39.825520099999999</v>
      </c>
      <c r="L122" s="251">
        <f t="shared" si="5"/>
        <v>0.64045183696587837</v>
      </c>
      <c r="M122" s="251">
        <f t="shared" si="6"/>
        <v>122.17259241961095</v>
      </c>
      <c r="N122" s="251">
        <f t="shared" si="7"/>
        <v>244.3451848392219</v>
      </c>
      <c r="O122" s="251">
        <f>+C110+D111+D112+D113+D114+D115+D116+D117+D118+D119+D120+D121+(D122/2)</f>
        <v>0</v>
      </c>
      <c r="P122" s="251">
        <f t="shared" si="8"/>
        <v>0</v>
      </c>
      <c r="Q122" s="251">
        <f t="shared" si="9"/>
        <v>0</v>
      </c>
      <c r="R122" s="251">
        <f t="shared" si="19"/>
        <v>146.5</v>
      </c>
      <c r="S122" s="251">
        <f t="shared" si="36"/>
        <v>146.5</v>
      </c>
      <c r="T122" s="252">
        <f t="shared" si="10"/>
        <v>146.5</v>
      </c>
      <c r="U122" s="244"/>
      <c r="V122" s="282">
        <f t="shared" si="11"/>
        <v>0</v>
      </c>
      <c r="W122" s="282"/>
      <c r="X122" s="282"/>
      <c r="Y122" s="282"/>
      <c r="Z122" s="282"/>
      <c r="AA122" s="282"/>
      <c r="AB122" s="300" t="str">
        <f t="shared" si="12"/>
        <v xml:space="preserve"> </v>
      </c>
      <c r="AC122" s="457" t="b">
        <f>IF(AD122=13,AF122)</f>
        <v>0</v>
      </c>
      <c r="AD122" s="457">
        <f t="shared" si="20"/>
        <v>1</v>
      </c>
      <c r="AE122" s="457">
        <f>IF(V122=0,0,13)</f>
        <v>0</v>
      </c>
      <c r="AF122" s="282">
        <f>SUM(V122:V133)/($B$107-B121)</f>
        <v>0</v>
      </c>
      <c r="AG122" s="282"/>
      <c r="AH122" s="301">
        <f>SUM(D111:D122)+$C$110</f>
        <v>0</v>
      </c>
      <c r="AI122" s="399" t="b">
        <f t="shared" si="21"/>
        <v>0</v>
      </c>
      <c r="AJ122" s="173">
        <f t="shared" si="22"/>
        <v>69.344714800000006</v>
      </c>
      <c r="AK122" s="284">
        <f t="shared" si="13"/>
        <v>0.93571960494171247</v>
      </c>
      <c r="AL122" s="174">
        <f t="shared" si="23"/>
        <v>180.0511663828843</v>
      </c>
      <c r="AM122" s="173">
        <f t="shared" si="24"/>
        <v>50.174479900000001</v>
      </c>
      <c r="AN122" s="285">
        <f t="shared" si="25"/>
        <v>0.76799833627881664</v>
      </c>
      <c r="AO122" s="174">
        <f t="shared" si="26"/>
        <v>146.50336262854705</v>
      </c>
      <c r="AP122" s="404">
        <f t="shared" si="27"/>
        <v>-168.95105197073809</v>
      </c>
      <c r="AQ122" s="174">
        <f t="shared" si="28"/>
        <v>-280.5</v>
      </c>
      <c r="AR122" s="287">
        <f t="shared" si="29"/>
        <v>-138</v>
      </c>
      <c r="AS122" s="288">
        <f t="shared" si="30"/>
        <v>326.55452901143133</v>
      </c>
      <c r="AT122" s="289">
        <f t="shared" si="37"/>
        <v>-146.50336262854705</v>
      </c>
      <c r="AU122" s="290">
        <f t="shared" si="31"/>
        <v>-22.44768934219104</v>
      </c>
      <c r="AV122" s="289"/>
      <c r="AW122" s="291">
        <f t="shared" si="32"/>
        <v>-147.48625988621313</v>
      </c>
      <c r="AX122" s="291">
        <f t="shared" si="33"/>
        <v>9.4862598862131318</v>
      </c>
      <c r="AY122" s="292">
        <f t="shared" si="14"/>
        <v>-78.651394434637481</v>
      </c>
      <c r="AZ122" s="292">
        <f t="shared" si="15"/>
        <v>1054.1562343799492</v>
      </c>
      <c r="BA122" s="294">
        <f t="shared" si="34"/>
        <v>78.651394434637481</v>
      </c>
      <c r="BB122" s="294">
        <f t="shared" si="34"/>
        <v>1054.1562343799492</v>
      </c>
      <c r="BC122">
        <f t="shared" si="35"/>
        <v>0</v>
      </c>
      <c r="BG122" s="27"/>
      <c r="BH122" s="27"/>
      <c r="BI122" s="27"/>
      <c r="BK122" s="1754"/>
      <c r="BL122" s="1754"/>
      <c r="BM122" s="1754"/>
      <c r="BN122" s="1551"/>
    </row>
    <row r="123" spans="1:128" ht="21" customHeight="1" thickBot="1" x14ac:dyDescent="0.5">
      <c r="B123" s="88">
        <v>14</v>
      </c>
      <c r="C123" s="20"/>
      <c r="D123" s="738">
        <v>0</v>
      </c>
      <c r="E123" s="333" t="s">
        <v>72</v>
      </c>
      <c r="F123" s="81">
        <f t="shared" si="16"/>
        <v>0.3</v>
      </c>
      <c r="G123" s="81">
        <f t="shared" si="38"/>
        <v>0.3</v>
      </c>
      <c r="H123" s="299">
        <v>190.76</v>
      </c>
      <c r="I123" s="318">
        <v>79.651040199999997</v>
      </c>
      <c r="J123" s="251">
        <f t="shared" si="17"/>
        <v>79.651040199999997</v>
      </c>
      <c r="K123" s="251">
        <f t="shared" si="18"/>
        <v>39.825520099999999</v>
      </c>
      <c r="L123" s="251">
        <f t="shared" si="5"/>
        <v>0.64045183696587837</v>
      </c>
      <c r="M123" s="251">
        <f t="shared" si="6"/>
        <v>122.17259241961095</v>
      </c>
      <c r="N123" s="251">
        <f t="shared" si="7"/>
        <v>244.3451848392219</v>
      </c>
      <c r="O123" s="251">
        <f>+C110+D111+D112+D113+D114+D115+D116+D117+D118+D119+D120+D121+D122+(D123/2)</f>
        <v>0</v>
      </c>
      <c r="P123" s="251">
        <f t="shared" si="8"/>
        <v>0</v>
      </c>
      <c r="Q123" s="251">
        <f t="shared" si="9"/>
        <v>0</v>
      </c>
      <c r="R123" s="251">
        <f t="shared" si="19"/>
        <v>146.5</v>
      </c>
      <c r="S123" s="251">
        <f t="shared" si="36"/>
        <v>146.5</v>
      </c>
      <c r="T123" s="252">
        <f t="shared" si="10"/>
        <v>146.5</v>
      </c>
      <c r="U123" s="244"/>
      <c r="V123" s="282">
        <f t="shared" si="11"/>
        <v>0</v>
      </c>
      <c r="W123" s="282"/>
      <c r="X123" s="282"/>
      <c r="Y123" s="282"/>
      <c r="Z123" s="282"/>
      <c r="AA123" s="282"/>
      <c r="AB123" s="300" t="str">
        <f t="shared" si="12"/>
        <v>pin in groundstacking hole</v>
      </c>
      <c r="AC123" s="457" t="b">
        <f>IF(AD123=14,AF123)</f>
        <v>0</v>
      </c>
      <c r="AD123" s="457">
        <f t="shared" si="20"/>
        <v>1</v>
      </c>
      <c r="AE123" s="457">
        <f>IF(V123=0,0,14)</f>
        <v>0</v>
      </c>
      <c r="AF123" s="282">
        <f>SUM(V123:V133)/($B$107-B122)</f>
        <v>0</v>
      </c>
      <c r="AG123" s="282"/>
      <c r="AH123" s="301">
        <f>SUM(D111:D123)+$C$110</f>
        <v>0</v>
      </c>
      <c r="AI123" s="399" t="b">
        <f t="shared" si="21"/>
        <v>0</v>
      </c>
      <c r="AJ123" s="173">
        <f t="shared" si="22"/>
        <v>69.344714800000006</v>
      </c>
      <c r="AK123" s="284">
        <f t="shared" si="13"/>
        <v>0.93571960494171247</v>
      </c>
      <c r="AL123" s="174">
        <f t="shared" si="23"/>
        <v>180.0511663828843</v>
      </c>
      <c r="AM123" s="173">
        <f t="shared" si="24"/>
        <v>50.174479900000001</v>
      </c>
      <c r="AN123" s="285">
        <f t="shared" si="25"/>
        <v>0.76799833627881664</v>
      </c>
      <c r="AO123" s="174">
        <f t="shared" si="26"/>
        <v>146.50336262854705</v>
      </c>
      <c r="AP123" s="404">
        <f t="shared" si="27"/>
        <v>-142.60088790190736</v>
      </c>
      <c r="AQ123" s="174">
        <f t="shared" si="28"/>
        <v>-306</v>
      </c>
      <c r="AR123" s="287">
        <f t="shared" si="29"/>
        <v>-163.5</v>
      </c>
      <c r="AS123" s="288">
        <f t="shared" si="30"/>
        <v>326.55452901143133</v>
      </c>
      <c r="AT123" s="289">
        <f t="shared" si="37"/>
        <v>-146.50336262854705</v>
      </c>
      <c r="AU123" s="290">
        <f t="shared" si="31"/>
        <v>3.9024747266396957</v>
      </c>
      <c r="AV123" s="289"/>
      <c r="AW123" s="291">
        <f t="shared" si="32"/>
        <v>-161.5461008465044</v>
      </c>
      <c r="AX123" s="291">
        <f t="shared" si="33"/>
        <v>-1.9538991534956007</v>
      </c>
      <c r="AY123" s="292">
        <f t="shared" si="14"/>
        <v>-71.806128029186695</v>
      </c>
      <c r="AZ123" s="292">
        <f t="shared" si="15"/>
        <v>-5117.9714071269318</v>
      </c>
      <c r="BA123" s="294">
        <f t="shared" si="34"/>
        <v>71.806128029186695</v>
      </c>
      <c r="BB123" s="294">
        <f t="shared" si="34"/>
        <v>5117.9714071269318</v>
      </c>
      <c r="BC123">
        <f t="shared" si="35"/>
        <v>0.3</v>
      </c>
      <c r="BG123" s="27"/>
      <c r="BH123" s="27"/>
      <c r="BI123" s="35"/>
      <c r="BK123" s="1754"/>
      <c r="BL123" s="1754"/>
      <c r="BM123" s="1754"/>
      <c r="BN123" s="1551"/>
    </row>
    <row r="124" spans="1:128" ht="21" customHeight="1" thickBot="1" x14ac:dyDescent="0.5">
      <c r="B124" s="88">
        <v>15</v>
      </c>
      <c r="C124" s="20"/>
      <c r="D124" s="738">
        <v>0</v>
      </c>
      <c r="E124" s="333" t="s">
        <v>72</v>
      </c>
      <c r="F124" s="81">
        <f t="shared" si="16"/>
        <v>0.3</v>
      </c>
      <c r="G124" s="81">
        <f t="shared" si="38"/>
        <v>0.3</v>
      </c>
      <c r="H124" s="299">
        <v>190.76</v>
      </c>
      <c r="I124" s="318">
        <v>79.651040199999997</v>
      </c>
      <c r="J124" s="251">
        <f t="shared" si="17"/>
        <v>79.651040199999997</v>
      </c>
      <c r="K124" s="251">
        <f t="shared" si="18"/>
        <v>39.825520099999999</v>
      </c>
      <c r="L124" s="251">
        <f t="shared" si="5"/>
        <v>0.64045183696587837</v>
      </c>
      <c r="M124" s="251">
        <f t="shared" si="6"/>
        <v>122.17259241961095</v>
      </c>
      <c r="N124" s="251">
        <f t="shared" si="7"/>
        <v>244.3451848392219</v>
      </c>
      <c r="O124" s="251">
        <f>+C110+D111+D112+D113+D114+D115+D116+D117+D118+D119+D120+D121+D122+D123+(D124/2)</f>
        <v>0</v>
      </c>
      <c r="P124" s="251">
        <f t="shared" si="8"/>
        <v>0</v>
      </c>
      <c r="Q124" s="251">
        <f t="shared" si="9"/>
        <v>0</v>
      </c>
      <c r="R124" s="251">
        <f t="shared" si="19"/>
        <v>146.5</v>
      </c>
      <c r="S124" s="251">
        <f t="shared" si="36"/>
        <v>146.5</v>
      </c>
      <c r="T124" s="252">
        <f t="shared" si="10"/>
        <v>146.5</v>
      </c>
      <c r="U124" s="244"/>
      <c r="V124" s="282">
        <f t="shared" si="11"/>
        <v>0</v>
      </c>
      <c r="W124" s="282"/>
      <c r="X124" s="282"/>
      <c r="Y124" s="282"/>
      <c r="Z124" s="282"/>
      <c r="AA124" s="282"/>
      <c r="AB124" s="300" t="str">
        <f t="shared" si="12"/>
        <v>pin in groundstacking hole</v>
      </c>
      <c r="AC124" s="457" t="b">
        <f>IF(AD124=15,AF124)</f>
        <v>0</v>
      </c>
      <c r="AD124" s="457">
        <f t="shared" si="20"/>
        <v>1</v>
      </c>
      <c r="AE124" s="457">
        <f>IF(V124=0,0,15)</f>
        <v>0</v>
      </c>
      <c r="AF124" s="282">
        <f>SUM(V124:V133)/($B$107-B123)</f>
        <v>0</v>
      </c>
      <c r="AG124" s="282"/>
      <c r="AH124" s="301">
        <f>SUM(D111:D124)+$C$110</f>
        <v>0</v>
      </c>
      <c r="AI124" s="399" t="b">
        <f t="shared" si="21"/>
        <v>0</v>
      </c>
      <c r="AJ124" s="173">
        <f t="shared" si="22"/>
        <v>69.344714800000006</v>
      </c>
      <c r="AK124" s="284">
        <f t="shared" si="13"/>
        <v>0.93571960494171247</v>
      </c>
      <c r="AL124" s="174">
        <f t="shared" si="23"/>
        <v>180.0511663828843</v>
      </c>
      <c r="AM124" s="173">
        <f t="shared" si="24"/>
        <v>50.174479900000001</v>
      </c>
      <c r="AN124" s="285">
        <f t="shared" si="25"/>
        <v>0.76799833627881664</v>
      </c>
      <c r="AO124" s="174">
        <f t="shared" si="26"/>
        <v>146.50336262854705</v>
      </c>
      <c r="AP124" s="404">
        <f t="shared" si="27"/>
        <v>-123.36108556593574</v>
      </c>
      <c r="AQ124" s="174">
        <f t="shared" si="28"/>
        <v>-331.5</v>
      </c>
      <c r="AR124" s="287">
        <f t="shared" si="29"/>
        <v>-189</v>
      </c>
      <c r="AS124" s="288">
        <f t="shared" si="30"/>
        <v>326.55452901143133</v>
      </c>
      <c r="AT124" s="289">
        <f t="shared" si="37"/>
        <v>-146.50336262854705</v>
      </c>
      <c r="AU124" s="290">
        <f t="shared" si="31"/>
        <v>23.142277062611313</v>
      </c>
      <c r="AV124" s="289"/>
      <c r="AW124" s="291">
        <f t="shared" si="32"/>
        <v>-175.6059418067957</v>
      </c>
      <c r="AX124" s="291">
        <f t="shared" si="33"/>
        <v>-13.394058193204316</v>
      </c>
      <c r="AY124" s="292">
        <f t="shared" si="14"/>
        <v>-66.056990331013367</v>
      </c>
      <c r="AZ124" s="292">
        <f t="shared" si="15"/>
        <v>-746.59971277963064</v>
      </c>
      <c r="BA124" s="294">
        <f t="shared" si="34"/>
        <v>66.056990331013367</v>
      </c>
      <c r="BB124" s="294">
        <f t="shared" si="34"/>
        <v>746.59971277963064</v>
      </c>
      <c r="BC124">
        <f t="shared" si="35"/>
        <v>0.3</v>
      </c>
      <c r="BG124" s="27"/>
      <c r="BH124" s="27"/>
      <c r="BI124" s="33"/>
      <c r="BK124" s="1754"/>
      <c r="BL124" s="1754"/>
      <c r="BM124" s="1754"/>
      <c r="BN124" s="1551"/>
    </row>
    <row r="125" spans="1:128" ht="21" customHeight="1" thickBot="1" x14ac:dyDescent="0.5">
      <c r="B125" s="88">
        <v>16</v>
      </c>
      <c r="C125" s="20"/>
      <c r="D125" s="738">
        <v>0</v>
      </c>
      <c r="E125" s="333" t="s">
        <v>72</v>
      </c>
      <c r="F125" s="81">
        <f t="shared" si="16"/>
        <v>0.3</v>
      </c>
      <c r="G125" s="81">
        <f t="shared" si="38"/>
        <v>0.3</v>
      </c>
      <c r="H125" s="299">
        <v>190.76</v>
      </c>
      <c r="I125" s="318">
        <v>79.651040199999997</v>
      </c>
      <c r="J125" s="251">
        <f t="shared" si="17"/>
        <v>79.651040199999997</v>
      </c>
      <c r="K125" s="251">
        <f t="shared" si="18"/>
        <v>39.825520099999999</v>
      </c>
      <c r="L125" s="251">
        <f t="shared" si="5"/>
        <v>0.64045183696587837</v>
      </c>
      <c r="M125" s="251">
        <f t="shared" si="6"/>
        <v>122.17259241961095</v>
      </c>
      <c r="N125" s="251">
        <f t="shared" si="7"/>
        <v>244.3451848392219</v>
      </c>
      <c r="O125" s="251">
        <f>+C110+D111+D112+D113+D114+D115+D116+D117+D118+D119+D120+D121+D122+D123+D124+(D125/2)</f>
        <v>0</v>
      </c>
      <c r="P125" s="251">
        <f t="shared" si="8"/>
        <v>0</v>
      </c>
      <c r="Q125" s="251">
        <f t="shared" si="9"/>
        <v>0</v>
      </c>
      <c r="R125" s="251">
        <f t="shared" si="19"/>
        <v>146.5</v>
      </c>
      <c r="S125" s="251">
        <f t="shared" si="36"/>
        <v>146.5</v>
      </c>
      <c r="T125" s="252">
        <f t="shared" si="10"/>
        <v>146.5</v>
      </c>
      <c r="U125" s="244"/>
      <c r="V125" s="282">
        <f t="shared" si="11"/>
        <v>0</v>
      </c>
      <c r="W125" s="282"/>
      <c r="X125" s="282"/>
      <c r="Y125" s="282"/>
      <c r="Z125" s="282"/>
      <c r="AA125" s="282"/>
      <c r="AB125" s="300" t="str">
        <f t="shared" si="12"/>
        <v>pin in groundstacking hole</v>
      </c>
      <c r="AC125" s="457" t="b">
        <f>IF(AD125=16,AF125)</f>
        <v>0</v>
      </c>
      <c r="AD125" s="457">
        <f t="shared" si="20"/>
        <v>1</v>
      </c>
      <c r="AE125" s="457">
        <f>IF(V125=0,0,16)</f>
        <v>0</v>
      </c>
      <c r="AF125" s="282">
        <f>SUM(V125:V133)/($B$107-B124)</f>
        <v>0</v>
      </c>
      <c r="AG125" s="282"/>
      <c r="AH125" s="301">
        <f>SUM(D111:D125)+$C$110</f>
        <v>0</v>
      </c>
      <c r="AI125" s="399" t="b">
        <f t="shared" si="21"/>
        <v>0</v>
      </c>
      <c r="AJ125" s="173">
        <f t="shared" si="22"/>
        <v>69.344714800000006</v>
      </c>
      <c r="AK125" s="284">
        <f t="shared" si="13"/>
        <v>0.93571960494171247</v>
      </c>
      <c r="AL125" s="174">
        <f t="shared" si="23"/>
        <v>180.0511663828843</v>
      </c>
      <c r="AM125" s="173">
        <f t="shared" si="24"/>
        <v>50.174479900000001</v>
      </c>
      <c r="AN125" s="285">
        <f t="shared" si="25"/>
        <v>0.76799833627881664</v>
      </c>
      <c r="AO125" s="174">
        <f t="shared" si="26"/>
        <v>146.50336262854705</v>
      </c>
      <c r="AP125" s="404">
        <f t="shared" si="27"/>
        <v>-108.69578168746786</v>
      </c>
      <c r="AQ125" s="174">
        <f t="shared" si="28"/>
        <v>-357</v>
      </c>
      <c r="AR125" s="287">
        <f t="shared" si="29"/>
        <v>-214.5</v>
      </c>
      <c r="AS125" s="288">
        <f t="shared" si="30"/>
        <v>326.55452901143133</v>
      </c>
      <c r="AT125" s="289">
        <f t="shared" si="37"/>
        <v>-146.50336262854705</v>
      </c>
      <c r="AU125" s="290">
        <f t="shared" si="31"/>
        <v>37.807580941079195</v>
      </c>
      <c r="AV125" s="289"/>
      <c r="AW125" s="291">
        <f t="shared" si="32"/>
        <v>-189.66578276708694</v>
      </c>
      <c r="AX125" s="291">
        <f t="shared" si="33"/>
        <v>-24.834217232913034</v>
      </c>
      <c r="AY125" s="292">
        <f t="shared" si="14"/>
        <v>-61.160214724893279</v>
      </c>
      <c r="AZ125" s="292">
        <f t="shared" si="15"/>
        <v>-402.67023140745107</v>
      </c>
      <c r="BA125" s="294">
        <f t="shared" si="34"/>
        <v>61.160214724893279</v>
      </c>
      <c r="BB125" s="294">
        <f t="shared" si="34"/>
        <v>402.67023140745107</v>
      </c>
      <c r="BC125">
        <f t="shared" si="35"/>
        <v>0.3</v>
      </c>
      <c r="BG125" s="27"/>
      <c r="BH125" s="27"/>
      <c r="BI125" s="33"/>
      <c r="BK125" s="1754"/>
      <c r="BL125" s="1754"/>
      <c r="BM125" s="1754"/>
      <c r="BN125" s="1551"/>
    </row>
    <row r="126" spans="1:128" ht="21" customHeight="1" thickBot="1" x14ac:dyDescent="0.5">
      <c r="B126" s="88">
        <v>17</v>
      </c>
      <c r="C126" s="20"/>
      <c r="D126" s="738">
        <v>0</v>
      </c>
      <c r="E126" s="333" t="s">
        <v>72</v>
      </c>
      <c r="F126" s="81">
        <f t="shared" si="16"/>
        <v>0.3</v>
      </c>
      <c r="G126" s="81">
        <f t="shared" si="38"/>
        <v>0.3</v>
      </c>
      <c r="H126" s="299">
        <v>190.76</v>
      </c>
      <c r="I126" s="318">
        <v>79.651040199999997</v>
      </c>
      <c r="J126" s="251">
        <f t="shared" si="17"/>
        <v>79.651040199999997</v>
      </c>
      <c r="K126" s="251">
        <f t="shared" si="18"/>
        <v>39.825520099999999</v>
      </c>
      <c r="L126" s="251">
        <f t="shared" si="5"/>
        <v>0.64045183696587837</v>
      </c>
      <c r="M126" s="251">
        <f t="shared" si="6"/>
        <v>122.17259241961095</v>
      </c>
      <c r="N126" s="251">
        <f t="shared" si="7"/>
        <v>244.3451848392219</v>
      </c>
      <c r="O126" s="251">
        <f>+C110+D111+D112+D113+D114+D115+D116+D117+D118+D119+D120+D121+D122+D123+D124+D125+(D126/2)</f>
        <v>0</v>
      </c>
      <c r="P126" s="251">
        <f t="shared" si="8"/>
        <v>0</v>
      </c>
      <c r="Q126" s="251">
        <f t="shared" si="9"/>
        <v>0</v>
      </c>
      <c r="R126" s="251">
        <f t="shared" si="19"/>
        <v>146.5</v>
      </c>
      <c r="S126" s="251">
        <f t="shared" si="36"/>
        <v>146.5</v>
      </c>
      <c r="T126" s="252">
        <f t="shared" si="10"/>
        <v>146.5</v>
      </c>
      <c r="U126" s="244"/>
      <c r="V126" s="282">
        <f t="shared" si="11"/>
        <v>0</v>
      </c>
      <c r="W126" s="282"/>
      <c r="X126" s="282"/>
      <c r="Y126" s="282"/>
      <c r="Z126" s="282"/>
      <c r="AA126" s="282"/>
      <c r="AB126" s="300" t="str">
        <f t="shared" si="12"/>
        <v>pin in groundstacking hole</v>
      </c>
      <c r="AC126" s="457" t="b">
        <f>IF(AD126=17,AF126)</f>
        <v>0</v>
      </c>
      <c r="AD126" s="457">
        <f t="shared" si="20"/>
        <v>1</v>
      </c>
      <c r="AE126" s="457">
        <f>IF(V126=0,0,17)</f>
        <v>0</v>
      </c>
      <c r="AF126" s="282">
        <f>SUM(V126:V133)/($B$107-B125)</f>
        <v>0</v>
      </c>
      <c r="AG126" s="282"/>
      <c r="AH126" s="301">
        <f>SUM(D111:D126)+$C$110</f>
        <v>0</v>
      </c>
      <c r="AI126" s="399" t="b">
        <f t="shared" si="21"/>
        <v>0</v>
      </c>
      <c r="AJ126" s="173">
        <f t="shared" si="22"/>
        <v>69.344714800000006</v>
      </c>
      <c r="AK126" s="284">
        <f t="shared" si="13"/>
        <v>0.93571960494171247</v>
      </c>
      <c r="AL126" s="174">
        <f t="shared" si="23"/>
        <v>180.0511663828843</v>
      </c>
      <c r="AM126" s="173">
        <f t="shared" si="24"/>
        <v>50.174479900000001</v>
      </c>
      <c r="AN126" s="285">
        <f t="shared" si="25"/>
        <v>0.76799833627881664</v>
      </c>
      <c r="AO126" s="174">
        <f t="shared" si="26"/>
        <v>146.50336262854705</v>
      </c>
      <c r="AP126" s="404">
        <f t="shared" si="27"/>
        <v>-97.146854883174399</v>
      </c>
      <c r="AQ126" s="174">
        <f t="shared" si="28"/>
        <v>-382.5</v>
      </c>
      <c r="AR126" s="287">
        <f t="shared" si="29"/>
        <v>-240</v>
      </c>
      <c r="AS126" s="288">
        <f t="shared" si="30"/>
        <v>326.55452901143133</v>
      </c>
      <c r="AT126" s="289">
        <f t="shared" si="37"/>
        <v>-146.50336262854705</v>
      </c>
      <c r="AU126" s="290">
        <f t="shared" si="31"/>
        <v>49.356507745372653</v>
      </c>
      <c r="AV126" s="289"/>
      <c r="AW126" s="291">
        <f t="shared" si="32"/>
        <v>-203.72562372737826</v>
      </c>
      <c r="AX126" s="291">
        <f t="shared" si="33"/>
        <v>-36.274376272621758</v>
      </c>
      <c r="AY126" s="292">
        <f t="shared" si="14"/>
        <v>-56.939327453098869</v>
      </c>
      <c r="AZ126" s="292">
        <f t="shared" si="15"/>
        <v>-275.67669047827411</v>
      </c>
      <c r="BA126" s="294">
        <f t="shared" si="34"/>
        <v>56.939327453098869</v>
      </c>
      <c r="BB126" s="294">
        <f t="shared" si="34"/>
        <v>275.67669047827411</v>
      </c>
      <c r="BC126">
        <f t="shared" si="35"/>
        <v>0.3</v>
      </c>
      <c r="BG126" s="27"/>
      <c r="BH126" s="27"/>
      <c r="BK126" s="1754"/>
      <c r="BL126" s="1754"/>
      <c r="BM126" s="1754"/>
      <c r="DC126" s="27"/>
      <c r="DD126" s="10"/>
      <c r="DE126" s="10"/>
      <c r="DF126" s="10"/>
      <c r="DG126" s="10"/>
      <c r="DH126" s="10"/>
      <c r="DI126" s="10"/>
      <c r="DJ126" s="49"/>
      <c r="DK126" s="49"/>
      <c r="DL126" s="49"/>
      <c r="DM126" s="49"/>
      <c r="DN126" s="49"/>
      <c r="DO126" s="49"/>
      <c r="DP126" s="49"/>
      <c r="DQ126" s="49"/>
      <c r="DR126" s="49"/>
      <c r="DS126" s="49"/>
      <c r="DT126" s="49"/>
      <c r="DU126" s="49"/>
      <c r="DV126" s="49"/>
      <c r="DW126" s="49"/>
      <c r="DX126" s="7"/>
    </row>
    <row r="127" spans="1:128" ht="21" customHeight="1" thickBot="1" x14ac:dyDescent="0.5">
      <c r="B127" s="88">
        <v>18</v>
      </c>
      <c r="C127" s="20"/>
      <c r="D127" s="738">
        <v>0</v>
      </c>
      <c r="E127" s="333" t="s">
        <v>72</v>
      </c>
      <c r="F127" s="81">
        <f t="shared" si="16"/>
        <v>0.3</v>
      </c>
      <c r="G127" s="81">
        <f t="shared" si="38"/>
        <v>0.3</v>
      </c>
      <c r="H127" s="299">
        <v>190.76</v>
      </c>
      <c r="I127" s="318">
        <v>79.651040199999997</v>
      </c>
      <c r="J127" s="251">
        <f t="shared" si="17"/>
        <v>79.651040199999997</v>
      </c>
      <c r="K127" s="251">
        <f t="shared" si="18"/>
        <v>39.825520099999999</v>
      </c>
      <c r="L127" s="251">
        <f t="shared" si="5"/>
        <v>0.64045183696587837</v>
      </c>
      <c r="M127" s="251">
        <f t="shared" si="6"/>
        <v>122.17259241961095</v>
      </c>
      <c r="N127" s="251">
        <f t="shared" si="7"/>
        <v>244.3451848392219</v>
      </c>
      <c r="O127" s="251">
        <f>+C110+D111+D112+D113+D114+D115+D116+D117+D118+D119+D120+D121+D122+D123+D124+D125+D126+(D127/2)</f>
        <v>0</v>
      </c>
      <c r="P127" s="251">
        <f t="shared" si="8"/>
        <v>0</v>
      </c>
      <c r="Q127" s="251">
        <f t="shared" si="9"/>
        <v>0</v>
      </c>
      <c r="R127" s="251">
        <f t="shared" si="19"/>
        <v>146.5</v>
      </c>
      <c r="S127" s="251">
        <f t="shared" si="36"/>
        <v>146.5</v>
      </c>
      <c r="T127" s="252">
        <f t="shared" si="10"/>
        <v>146.5</v>
      </c>
      <c r="U127" s="244"/>
      <c r="V127" s="282">
        <f t="shared" si="11"/>
        <v>0</v>
      </c>
      <c r="W127" s="282"/>
      <c r="X127" s="282"/>
      <c r="Y127" s="282"/>
      <c r="Z127" s="282"/>
      <c r="AA127" s="282"/>
      <c r="AB127" s="300" t="str">
        <f t="shared" si="12"/>
        <v>pin in groundstacking hole</v>
      </c>
      <c r="AC127" s="457" t="b">
        <f>IF(AD127=18,AF127)</f>
        <v>0</v>
      </c>
      <c r="AD127" s="457">
        <f t="shared" si="20"/>
        <v>1</v>
      </c>
      <c r="AE127" s="457">
        <f>IF(V127=0,0,18)</f>
        <v>0</v>
      </c>
      <c r="AF127" s="282">
        <f>SUM(V127:V133)/($B$107-B126)</f>
        <v>0</v>
      </c>
      <c r="AG127" s="282"/>
      <c r="AH127" s="301">
        <f>SUM(D111:D127)+$C$110</f>
        <v>0</v>
      </c>
      <c r="AI127" s="399" t="b">
        <f t="shared" si="21"/>
        <v>0</v>
      </c>
      <c r="AJ127" s="173">
        <f t="shared" si="22"/>
        <v>69.344714800000006</v>
      </c>
      <c r="AK127" s="284">
        <f t="shared" si="13"/>
        <v>0.93571960494171247</v>
      </c>
      <c r="AL127" s="174">
        <f t="shared" si="23"/>
        <v>180.0511663828843</v>
      </c>
      <c r="AM127" s="173">
        <f t="shared" si="24"/>
        <v>50.174479900000001</v>
      </c>
      <c r="AN127" s="285">
        <f t="shared" si="25"/>
        <v>0.76799833627881664</v>
      </c>
      <c r="AO127" s="174">
        <f t="shared" si="26"/>
        <v>146.50336262854705</v>
      </c>
      <c r="AP127" s="404">
        <f t="shared" si="27"/>
        <v>-87.816365996089843</v>
      </c>
      <c r="AQ127" s="174">
        <f t="shared" si="28"/>
        <v>-408</v>
      </c>
      <c r="AR127" s="287">
        <f t="shared" si="29"/>
        <v>-265.5</v>
      </c>
      <c r="AS127" s="288">
        <f t="shared" si="30"/>
        <v>326.55452901143133</v>
      </c>
      <c r="AT127" s="289">
        <f t="shared" si="37"/>
        <v>-146.50336262854705</v>
      </c>
      <c r="AU127" s="290">
        <f t="shared" si="31"/>
        <v>58.686996632457209</v>
      </c>
      <c r="AV127" s="289"/>
      <c r="AW127" s="291">
        <f t="shared" si="32"/>
        <v>-217.78546468766956</v>
      </c>
      <c r="AX127" s="291">
        <f t="shared" si="33"/>
        <v>-47.714535312330476</v>
      </c>
      <c r="AY127" s="292">
        <f t="shared" si="14"/>
        <v>-53.263426081422786</v>
      </c>
      <c r="AZ127" s="292">
        <f t="shared" si="15"/>
        <v>-209.57974199144684</v>
      </c>
      <c r="BA127" s="294">
        <f t="shared" si="34"/>
        <v>53.263426081422786</v>
      </c>
      <c r="BB127" s="294">
        <f t="shared" si="34"/>
        <v>209.57974199144684</v>
      </c>
      <c r="BC127">
        <f t="shared" si="35"/>
        <v>0.3</v>
      </c>
      <c r="BG127" s="27"/>
      <c r="BH127" s="27"/>
      <c r="BK127" s="1754"/>
      <c r="BL127" s="1754"/>
      <c r="BM127" s="1754"/>
      <c r="DC127" s="35"/>
      <c r="DD127" s="10"/>
      <c r="DE127" s="10"/>
      <c r="DF127" s="10"/>
      <c r="DG127" s="10"/>
      <c r="DH127" s="10"/>
      <c r="DI127" s="10"/>
      <c r="DJ127" s="49"/>
      <c r="DK127" s="49"/>
      <c r="DL127" s="49"/>
      <c r="DM127" s="49"/>
      <c r="DN127" s="49"/>
      <c r="DO127" s="49"/>
      <c r="DP127" s="49"/>
      <c r="DQ127" s="49"/>
      <c r="DR127" s="49"/>
      <c r="DS127" s="49"/>
      <c r="DT127" s="49"/>
      <c r="DU127" s="49"/>
      <c r="DV127" s="49"/>
      <c r="DW127" s="49"/>
      <c r="DX127" s="7"/>
    </row>
    <row r="128" spans="1:128" ht="21" customHeight="1" thickBot="1" x14ac:dyDescent="0.5">
      <c r="B128" s="710">
        <v>19</v>
      </c>
      <c r="C128" s="711"/>
      <c r="D128" s="744">
        <v>0</v>
      </c>
      <c r="E128" s="712" t="s">
        <v>72</v>
      </c>
      <c r="F128" s="713">
        <f t="shared" si="16"/>
        <v>0.3</v>
      </c>
      <c r="G128" s="713">
        <f t="shared" si="38"/>
        <v>0.3</v>
      </c>
      <c r="H128" s="714">
        <v>190.76</v>
      </c>
      <c r="I128" s="715">
        <v>79.651040199999997</v>
      </c>
      <c r="J128" s="716">
        <f t="shared" si="17"/>
        <v>79.651040199999997</v>
      </c>
      <c r="K128" s="716">
        <f t="shared" si="18"/>
        <v>39.825520099999999</v>
      </c>
      <c r="L128" s="716">
        <f t="shared" si="5"/>
        <v>0.64045183696587837</v>
      </c>
      <c r="M128" s="716">
        <f t="shared" si="6"/>
        <v>122.17259241961095</v>
      </c>
      <c r="N128" s="716">
        <f t="shared" si="7"/>
        <v>244.3451848392219</v>
      </c>
      <c r="O128" s="716">
        <f>+C110+D111+D112+D113+D114+D115+D116+D117+D118+D119+D120+D121+D122+D123+D124+D125+D126+D127+(D128/2)</f>
        <v>0</v>
      </c>
      <c r="P128" s="716">
        <f t="shared" si="8"/>
        <v>0</v>
      </c>
      <c r="Q128" s="716">
        <f t="shared" si="9"/>
        <v>0</v>
      </c>
      <c r="R128" s="716">
        <f t="shared" si="19"/>
        <v>146.5</v>
      </c>
      <c r="S128" s="716">
        <f t="shared" si="36"/>
        <v>146.5</v>
      </c>
      <c r="T128" s="717">
        <f t="shared" si="10"/>
        <v>146.5</v>
      </c>
      <c r="U128" s="718"/>
      <c r="V128" s="719">
        <f t="shared" si="11"/>
        <v>0</v>
      </c>
      <c r="W128" s="719"/>
      <c r="X128" s="719"/>
      <c r="Y128" s="719"/>
      <c r="Z128" s="719"/>
      <c r="AA128" s="719"/>
      <c r="AB128" s="720" t="str">
        <f t="shared" si="12"/>
        <v>pin in groundstacking hole</v>
      </c>
      <c r="AC128" s="721" t="b">
        <f>IF(AD128=19,AF128)</f>
        <v>0</v>
      </c>
      <c r="AD128" s="721">
        <f t="shared" si="20"/>
        <v>1</v>
      </c>
      <c r="AE128" s="721">
        <f>IF(V128=0,0,19)</f>
        <v>0</v>
      </c>
      <c r="AF128" s="719">
        <f>SUM(V128:V133)/($B$107-B127)</f>
        <v>0</v>
      </c>
      <c r="AG128" s="719"/>
      <c r="AH128" s="722">
        <f>SUM(D110:D128)+$C$110</f>
        <v>0</v>
      </c>
      <c r="AI128" s="723" t="b">
        <f t="shared" si="21"/>
        <v>0</v>
      </c>
      <c r="AJ128" s="724">
        <f t="shared" si="22"/>
        <v>69.344714800000006</v>
      </c>
      <c r="AK128" s="725">
        <f t="shared" si="13"/>
        <v>0.93571960494171247</v>
      </c>
      <c r="AL128" s="724">
        <f t="shared" si="23"/>
        <v>180.0511663828843</v>
      </c>
      <c r="AM128" s="724">
        <f t="shared" si="24"/>
        <v>50.174479900000001</v>
      </c>
      <c r="AN128" s="726">
        <f t="shared" si="25"/>
        <v>0.76799833627881664</v>
      </c>
      <c r="AO128" s="724">
        <f t="shared" si="26"/>
        <v>146.50336262854705</v>
      </c>
      <c r="AP128" s="727">
        <f t="shared" si="27"/>
        <v>-80.121117429422185</v>
      </c>
      <c r="AQ128" s="724">
        <f t="shared" si="28"/>
        <v>-433.5</v>
      </c>
      <c r="AR128" s="728">
        <f t="shared" si="29"/>
        <v>-291</v>
      </c>
      <c r="AS128" s="729">
        <f t="shared" si="30"/>
        <v>326.55452901143133</v>
      </c>
      <c r="AT128" s="719">
        <f t="shared" si="37"/>
        <v>-146.50336262854705</v>
      </c>
      <c r="AU128" s="730">
        <f t="shared" si="31"/>
        <v>66.382245199124867</v>
      </c>
      <c r="AV128" s="719"/>
      <c r="AW128" s="731">
        <f t="shared" si="32"/>
        <v>-231.8453056479608</v>
      </c>
      <c r="AX128" s="731">
        <f t="shared" si="33"/>
        <v>-59.154694352039201</v>
      </c>
      <c r="AY128" s="732">
        <f t="shared" si="14"/>
        <v>-50.033361545019609</v>
      </c>
      <c r="AZ128" s="732">
        <f t="shared" si="15"/>
        <v>-169.04829125628433</v>
      </c>
      <c r="BA128" s="733">
        <f t="shared" si="34"/>
        <v>50.033361545019609</v>
      </c>
      <c r="BB128" s="733">
        <f t="shared" si="34"/>
        <v>169.04829125628433</v>
      </c>
      <c r="BC128">
        <f t="shared" si="35"/>
        <v>0.3</v>
      </c>
      <c r="BG128" s="27"/>
      <c r="BH128" s="27"/>
      <c r="BI128" s="42"/>
      <c r="BK128" s="1754"/>
      <c r="BL128" s="1754"/>
      <c r="BM128" s="1754"/>
      <c r="DC128" s="33"/>
      <c r="DD128" s="10"/>
      <c r="DE128" s="10"/>
      <c r="DF128" s="10"/>
      <c r="DG128" s="10"/>
      <c r="DH128" s="10"/>
      <c r="DI128" s="10"/>
      <c r="DJ128" s="49"/>
      <c r="DK128" s="49"/>
      <c r="DL128" s="49"/>
      <c r="DM128" s="49"/>
      <c r="DN128" s="49"/>
      <c r="DO128" s="49"/>
      <c r="DP128" s="49"/>
      <c r="DQ128" s="49"/>
      <c r="DR128" s="49"/>
      <c r="DS128" s="49"/>
      <c r="DT128" s="49"/>
      <c r="DU128" s="49"/>
      <c r="DV128" s="49"/>
      <c r="DW128" s="49"/>
      <c r="DX128" s="7"/>
    </row>
    <row r="129" spans="2:140" ht="21" customHeight="1" thickBot="1" x14ac:dyDescent="0.5">
      <c r="B129" s="88">
        <v>20</v>
      </c>
      <c r="C129" s="20"/>
      <c r="D129" s="738">
        <v>0</v>
      </c>
      <c r="E129" s="333" t="s">
        <v>72</v>
      </c>
      <c r="F129" s="81">
        <f t="shared" si="16"/>
        <v>0.3</v>
      </c>
      <c r="G129" s="81">
        <f t="shared" si="38"/>
        <v>0.3</v>
      </c>
      <c r="H129" s="299">
        <v>190.76</v>
      </c>
      <c r="I129" s="318">
        <v>79.651040199999997</v>
      </c>
      <c r="J129" s="251">
        <f t="shared" si="17"/>
        <v>79.651040199999997</v>
      </c>
      <c r="K129" s="251">
        <f t="shared" si="18"/>
        <v>39.825520099999999</v>
      </c>
      <c r="L129" s="251">
        <f t="shared" si="5"/>
        <v>0.64045183696587837</v>
      </c>
      <c r="M129" s="251">
        <f t="shared" si="6"/>
        <v>122.17259241961095</v>
      </c>
      <c r="N129" s="251">
        <f t="shared" si="7"/>
        <v>244.3451848392219</v>
      </c>
      <c r="O129" s="251">
        <f>+C110+D111+D112+D113+D114+D115+D116+D117+D118+D119+D120+D121+D122+D123+D124+D125+D126+D127+D128+(D129/2)</f>
        <v>0</v>
      </c>
      <c r="P129" s="251">
        <f t="shared" si="8"/>
        <v>0</v>
      </c>
      <c r="Q129" s="251">
        <f t="shared" si="9"/>
        <v>0</v>
      </c>
      <c r="R129" s="251">
        <f t="shared" si="19"/>
        <v>146.5</v>
      </c>
      <c r="S129" s="251">
        <f t="shared" si="36"/>
        <v>146.5</v>
      </c>
      <c r="T129" s="252">
        <f t="shared" si="10"/>
        <v>146.5</v>
      </c>
      <c r="U129" s="244"/>
      <c r="V129" s="282">
        <f t="shared" si="11"/>
        <v>0</v>
      </c>
      <c r="W129" s="282"/>
      <c r="X129" s="282"/>
      <c r="Y129" s="282"/>
      <c r="Z129" s="282"/>
      <c r="AA129" s="282"/>
      <c r="AB129" s="300" t="str">
        <f t="shared" si="12"/>
        <v>pin in groundstacking hole</v>
      </c>
      <c r="AC129" s="457" t="b">
        <f>IF(AD129=20,AF129)</f>
        <v>0</v>
      </c>
      <c r="AD129" s="457">
        <f t="shared" si="20"/>
        <v>1</v>
      </c>
      <c r="AE129" s="457">
        <f>IF(V129=0,0,20)</f>
        <v>0</v>
      </c>
      <c r="AF129" s="282">
        <f>SUM(V129:V133)/($B$107-B128)</f>
        <v>0</v>
      </c>
      <c r="AG129" s="282"/>
      <c r="AH129" s="301">
        <f>SUM(D111:D129)+$C$110</f>
        <v>0</v>
      </c>
      <c r="AI129" s="399" t="b">
        <f t="shared" si="21"/>
        <v>0</v>
      </c>
      <c r="AJ129" s="173">
        <f t="shared" si="22"/>
        <v>69.344714800000006</v>
      </c>
      <c r="AK129" s="284">
        <f t="shared" si="13"/>
        <v>0.93571960494171247</v>
      </c>
      <c r="AL129" s="174">
        <f t="shared" si="23"/>
        <v>180.0511663828843</v>
      </c>
      <c r="AM129" s="173">
        <f t="shared" si="24"/>
        <v>50.174479900000001</v>
      </c>
      <c r="AN129" s="285">
        <f t="shared" si="25"/>
        <v>0.76799833627881664</v>
      </c>
      <c r="AO129" s="174">
        <f t="shared" si="26"/>
        <v>146.50336262854705</v>
      </c>
      <c r="AP129" s="404">
        <f t="shared" si="27"/>
        <v>-73.665861522786273</v>
      </c>
      <c r="AQ129" s="174">
        <f t="shared" si="28"/>
        <v>-459</v>
      </c>
      <c r="AR129" s="287">
        <f t="shared" si="29"/>
        <v>-316.5</v>
      </c>
      <c r="AS129" s="288">
        <f t="shared" si="30"/>
        <v>326.55452901143133</v>
      </c>
      <c r="AT129" s="289">
        <f t="shared" si="37"/>
        <v>-146.50336262854705</v>
      </c>
      <c r="AU129" s="290">
        <f t="shared" si="31"/>
        <v>72.837501105760779</v>
      </c>
      <c r="AV129" s="289"/>
      <c r="AW129" s="291">
        <f t="shared" si="32"/>
        <v>-245.90514660825204</v>
      </c>
      <c r="AX129" s="291">
        <f t="shared" si="33"/>
        <v>-70.594853391747918</v>
      </c>
      <c r="AY129" s="292">
        <f t="shared" si="14"/>
        <v>-47.172660515640992</v>
      </c>
      <c r="AZ129" s="292">
        <f t="shared" si="15"/>
        <v>-141.65338575756479</v>
      </c>
      <c r="BA129" s="294">
        <f t="shared" si="34"/>
        <v>47.172660515640992</v>
      </c>
      <c r="BB129" s="294">
        <f t="shared" si="34"/>
        <v>141.65338575756479</v>
      </c>
      <c r="BC129">
        <f t="shared" si="35"/>
        <v>0.3</v>
      </c>
      <c r="BG129" s="27"/>
      <c r="BH129" s="27"/>
      <c r="BI129" s="42"/>
      <c r="BK129" s="1754"/>
      <c r="BL129" s="1754"/>
      <c r="BM129" s="1754"/>
      <c r="DC129" s="33"/>
      <c r="DD129" s="10"/>
      <c r="DE129" s="10"/>
      <c r="DF129" s="10"/>
      <c r="DG129" s="10"/>
      <c r="DH129" s="10"/>
      <c r="DI129" s="10"/>
      <c r="DJ129" s="49"/>
      <c r="DK129" s="49"/>
      <c r="DL129" s="49"/>
      <c r="DM129" s="49"/>
      <c r="DN129" s="49"/>
      <c r="DO129" s="49"/>
      <c r="DP129" s="49"/>
      <c r="DQ129" s="49"/>
      <c r="DR129" s="49"/>
      <c r="DS129" s="49"/>
      <c r="DT129" s="49"/>
      <c r="DU129" s="49"/>
      <c r="DV129" s="49"/>
      <c r="DW129" s="49"/>
      <c r="DX129" s="7"/>
    </row>
    <row r="130" spans="2:140" ht="21" customHeight="1" thickBot="1" x14ac:dyDescent="0.5">
      <c r="B130" s="88">
        <v>21</v>
      </c>
      <c r="C130" s="20"/>
      <c r="D130" s="738">
        <v>0</v>
      </c>
      <c r="E130" s="333" t="s">
        <v>72</v>
      </c>
      <c r="F130" s="81">
        <f t="shared" si="16"/>
        <v>0.3</v>
      </c>
      <c r="G130" s="81">
        <f t="shared" si="38"/>
        <v>0.3</v>
      </c>
      <c r="H130" s="299">
        <v>190.76</v>
      </c>
      <c r="I130" s="318">
        <v>79.651040199999997</v>
      </c>
      <c r="J130" s="251">
        <f t="shared" si="17"/>
        <v>79.651040199999997</v>
      </c>
      <c r="K130" s="251">
        <f t="shared" si="18"/>
        <v>39.825520099999999</v>
      </c>
      <c r="L130" s="251">
        <f t="shared" si="5"/>
        <v>0.64045183696587837</v>
      </c>
      <c r="M130" s="251">
        <f t="shared" si="6"/>
        <v>122.17259241961095</v>
      </c>
      <c r="N130" s="251">
        <f t="shared" si="7"/>
        <v>244.3451848392219</v>
      </c>
      <c r="O130" s="251">
        <f>+C110+D111+D112+D113+D114+D115+D116+D117+D118+D119+D120+D121+D122+D123+D124+D125+D126+D127+D128+D129+(D130/2)</f>
        <v>0</v>
      </c>
      <c r="P130" s="251">
        <f t="shared" si="8"/>
        <v>0</v>
      </c>
      <c r="Q130" s="251">
        <f t="shared" si="9"/>
        <v>0</v>
      </c>
      <c r="R130" s="251">
        <f t="shared" si="19"/>
        <v>146.5</v>
      </c>
      <c r="S130" s="251">
        <f t="shared" si="36"/>
        <v>146.5</v>
      </c>
      <c r="T130" s="252">
        <f t="shared" si="10"/>
        <v>146.5</v>
      </c>
      <c r="U130" s="244"/>
      <c r="V130" s="282">
        <f t="shared" si="11"/>
        <v>0</v>
      </c>
      <c r="W130" s="282"/>
      <c r="X130" s="282"/>
      <c r="Y130" s="282"/>
      <c r="Z130" s="282"/>
      <c r="AA130" s="282"/>
      <c r="AB130" s="300" t="str">
        <f>IF(AZ130&lt;0,"pin in groundstacking hole"," ")</f>
        <v>pin in groundstacking hole</v>
      </c>
      <c r="AC130" s="457" t="b">
        <f>IF(AD130=21,AF130)</f>
        <v>0</v>
      </c>
      <c r="AD130" s="457">
        <f t="shared" si="20"/>
        <v>1</v>
      </c>
      <c r="AE130" s="457">
        <f>IF(V130=0,0,21)</f>
        <v>0</v>
      </c>
      <c r="AF130" s="282">
        <f>SUM(V130:V133)/($B$107-B129)</f>
        <v>0</v>
      </c>
      <c r="AG130" s="282"/>
      <c r="AH130" s="301">
        <f>SUM(D111:D130)+$C$110</f>
        <v>0</v>
      </c>
      <c r="AI130" s="399" t="b">
        <f t="shared" si="21"/>
        <v>0</v>
      </c>
      <c r="AJ130" s="173">
        <f t="shared" si="22"/>
        <v>69.344714800000006</v>
      </c>
      <c r="AK130" s="284">
        <f t="shared" si="13"/>
        <v>0.93571960494171247</v>
      </c>
      <c r="AL130" s="174">
        <f t="shared" si="23"/>
        <v>180.0511663828843</v>
      </c>
      <c r="AM130" s="173">
        <f t="shared" si="24"/>
        <v>50.174479900000001</v>
      </c>
      <c r="AN130" s="285">
        <f t="shared" si="25"/>
        <v>0.76799833627881664</v>
      </c>
      <c r="AO130" s="174">
        <f t="shared" si="26"/>
        <v>146.50336262854705</v>
      </c>
      <c r="AP130" s="404">
        <f t="shared" si="27"/>
        <v>-68.17323149696449</v>
      </c>
      <c r="AQ130" s="174">
        <f t="shared" si="28"/>
        <v>-484.5</v>
      </c>
      <c r="AR130" s="287">
        <f t="shared" si="29"/>
        <v>-342</v>
      </c>
      <c r="AS130" s="288">
        <f t="shared" si="30"/>
        <v>326.55452901143133</v>
      </c>
      <c r="AT130" s="289">
        <f t="shared" si="37"/>
        <v>-146.50336262854705</v>
      </c>
      <c r="AU130" s="290">
        <f t="shared" si="31"/>
        <v>78.330131131582561</v>
      </c>
      <c r="AV130" s="289"/>
      <c r="AW130" s="291">
        <f t="shared" si="32"/>
        <v>-259.96498756854339</v>
      </c>
      <c r="AX130" s="291">
        <f t="shared" si="33"/>
        <v>-82.035012431456636</v>
      </c>
      <c r="AY130" s="292">
        <f t="shared" si="14"/>
        <v>-44.621393474925149</v>
      </c>
      <c r="AZ130" s="292">
        <f t="shared" si="15"/>
        <v>-121.89917089797943</v>
      </c>
      <c r="BA130" s="294">
        <f t="shared" si="34"/>
        <v>44.621393474925149</v>
      </c>
      <c r="BB130" s="294">
        <f t="shared" si="34"/>
        <v>121.89917089797943</v>
      </c>
      <c r="BC130">
        <f t="shared" si="35"/>
        <v>0.3</v>
      </c>
      <c r="BG130" s="27"/>
      <c r="BH130" s="27"/>
      <c r="BI130" s="42"/>
      <c r="BK130" s="1754"/>
      <c r="BL130" s="1754"/>
      <c r="BM130" s="1754"/>
      <c r="DW130" s="60"/>
      <c r="DX130" s="60"/>
      <c r="DY130" s="60"/>
      <c r="DZ130" s="60"/>
      <c r="EA130" s="60"/>
      <c r="EB130" s="60"/>
    </row>
    <row r="131" spans="2:140" ht="21" customHeight="1" thickBot="1" x14ac:dyDescent="0.5">
      <c r="B131" s="88">
        <v>22</v>
      </c>
      <c r="C131" s="20"/>
      <c r="D131" s="738">
        <v>0</v>
      </c>
      <c r="E131" s="333" t="s">
        <v>72</v>
      </c>
      <c r="F131" s="81">
        <f t="shared" si="16"/>
        <v>0.3</v>
      </c>
      <c r="G131" s="81">
        <f t="shared" si="38"/>
        <v>0.3</v>
      </c>
      <c r="H131" s="299">
        <v>190.76</v>
      </c>
      <c r="I131" s="318">
        <v>79.651040199999997</v>
      </c>
      <c r="J131" s="251">
        <f t="shared" si="17"/>
        <v>79.651040199999997</v>
      </c>
      <c r="K131" s="251">
        <f t="shared" si="18"/>
        <v>39.825520099999999</v>
      </c>
      <c r="L131" s="251">
        <f t="shared" si="5"/>
        <v>0.64045183696587837</v>
      </c>
      <c r="M131" s="251">
        <f t="shared" si="6"/>
        <v>122.17259241961095</v>
      </c>
      <c r="N131" s="251">
        <f t="shared" si="7"/>
        <v>244.3451848392219</v>
      </c>
      <c r="O131" s="251">
        <f>+C110+D111+D112+D113+D114+D115+D116+D117+D118+D119+D120+D121+D122+D123+D124+D125+D126+D127+D128+D129+D130+(D131/2)</f>
        <v>0</v>
      </c>
      <c r="P131" s="251">
        <f t="shared" si="8"/>
        <v>0</v>
      </c>
      <c r="Q131" s="251">
        <f t="shared" si="9"/>
        <v>0</v>
      </c>
      <c r="R131" s="251">
        <f t="shared" si="19"/>
        <v>146.5</v>
      </c>
      <c r="S131" s="251">
        <f t="shared" si="36"/>
        <v>146.5</v>
      </c>
      <c r="T131" s="252">
        <f t="shared" si="10"/>
        <v>146.5</v>
      </c>
      <c r="U131" s="244"/>
      <c r="V131" s="282">
        <f t="shared" si="11"/>
        <v>0</v>
      </c>
      <c r="W131" s="282"/>
      <c r="X131" s="282"/>
      <c r="Y131" s="282"/>
      <c r="Z131" s="282"/>
      <c r="AA131" s="282"/>
      <c r="AB131" s="300" t="str">
        <f t="shared" si="12"/>
        <v>pin in groundstacking hole</v>
      </c>
      <c r="AC131" s="457" t="b">
        <f>IF(AD131=22,AF131)</f>
        <v>0</v>
      </c>
      <c r="AD131" s="457">
        <f t="shared" si="20"/>
        <v>1</v>
      </c>
      <c r="AE131" s="457">
        <f>IF(V131=0,0,22)</f>
        <v>0</v>
      </c>
      <c r="AF131" s="282">
        <f>SUM(V131:V133)/($B$107-B130)</f>
        <v>0</v>
      </c>
      <c r="AG131" s="282"/>
      <c r="AH131" s="301">
        <f>SUM(D111:D131)+$C$110</f>
        <v>0</v>
      </c>
      <c r="AI131" s="399" t="b">
        <f t="shared" si="21"/>
        <v>0</v>
      </c>
      <c r="AJ131" s="173">
        <f t="shared" si="22"/>
        <v>69.344714800000006</v>
      </c>
      <c r="AK131" s="284">
        <f t="shared" si="13"/>
        <v>0.93571960494171247</v>
      </c>
      <c r="AL131" s="174">
        <f t="shared" si="23"/>
        <v>180.0511663828843</v>
      </c>
      <c r="AM131" s="173">
        <f t="shared" si="24"/>
        <v>50.174479900000001</v>
      </c>
      <c r="AN131" s="285">
        <f t="shared" si="25"/>
        <v>0.76799833627881664</v>
      </c>
      <c r="AO131" s="174">
        <f t="shared" si="26"/>
        <v>146.50336262854705</v>
      </c>
      <c r="AP131" s="404">
        <f t="shared" si="27"/>
        <v>-63.44284400533838</v>
      </c>
      <c r="AQ131" s="174">
        <f t="shared" si="28"/>
        <v>-510</v>
      </c>
      <c r="AR131" s="287">
        <f t="shared" si="29"/>
        <v>-367.5</v>
      </c>
      <c r="AS131" s="288">
        <f t="shared" si="30"/>
        <v>326.55452901143133</v>
      </c>
      <c r="AT131" s="289">
        <f t="shared" si="37"/>
        <v>-146.50336262854705</v>
      </c>
      <c r="AU131" s="290">
        <f t="shared" si="31"/>
        <v>83.060518623208679</v>
      </c>
      <c r="AV131" s="289"/>
      <c r="AW131" s="291">
        <f t="shared" si="32"/>
        <v>-274.02482852883463</v>
      </c>
      <c r="AX131" s="291">
        <f t="shared" si="33"/>
        <v>-93.475171471165382</v>
      </c>
      <c r="AY131" s="292">
        <f t="shared" si="14"/>
        <v>-42.331930512564391</v>
      </c>
      <c r="AZ131" s="292">
        <f t="shared" si="15"/>
        <v>-106.98027981777744</v>
      </c>
      <c r="BA131" s="294">
        <f t="shared" si="34"/>
        <v>42.331930512564391</v>
      </c>
      <c r="BB131" s="294">
        <f t="shared" si="34"/>
        <v>106.98027981777744</v>
      </c>
      <c r="BC131">
        <f t="shared" si="35"/>
        <v>0.3</v>
      </c>
      <c r="BG131" s="27"/>
      <c r="BH131" s="27"/>
      <c r="BI131" s="42"/>
      <c r="BK131" s="1754"/>
      <c r="BL131" s="1754"/>
      <c r="BM131" s="1754"/>
    </row>
    <row r="132" spans="2:140" ht="21" customHeight="1" thickBot="1" x14ac:dyDescent="0.35">
      <c r="B132" s="88">
        <v>23</v>
      </c>
      <c r="C132" s="20"/>
      <c r="D132" s="738">
        <v>0</v>
      </c>
      <c r="E132" s="333" t="s">
        <v>72</v>
      </c>
      <c r="F132" s="81">
        <f t="shared" si="16"/>
        <v>0.3</v>
      </c>
      <c r="G132" s="81">
        <f t="shared" si="38"/>
        <v>0.3</v>
      </c>
      <c r="H132" s="299">
        <v>190.76</v>
      </c>
      <c r="I132" s="318">
        <v>79.651040199999997</v>
      </c>
      <c r="J132" s="251">
        <f t="shared" si="17"/>
        <v>79.651040199999997</v>
      </c>
      <c r="K132" s="251">
        <f t="shared" si="18"/>
        <v>39.825520099999999</v>
      </c>
      <c r="L132" s="251">
        <f t="shared" si="5"/>
        <v>0.64045183696587837</v>
      </c>
      <c r="M132" s="251">
        <f t="shared" si="6"/>
        <v>122.17259241961095</v>
      </c>
      <c r="N132" s="251">
        <f t="shared" si="7"/>
        <v>244.3451848392219</v>
      </c>
      <c r="O132" s="251">
        <f>+C110+D111+D112+D113+D114+D115+D116+D117+D118+D119+D120+D121+D122+D123+D124+D125+D126+D127+D128+D129+D130+D131+(D132/2)</f>
        <v>0</v>
      </c>
      <c r="P132" s="251">
        <f t="shared" si="8"/>
        <v>0</v>
      </c>
      <c r="Q132" s="251">
        <f t="shared" si="9"/>
        <v>0</v>
      </c>
      <c r="R132" s="251">
        <f t="shared" si="19"/>
        <v>146.5</v>
      </c>
      <c r="S132" s="251">
        <f t="shared" si="36"/>
        <v>146.5</v>
      </c>
      <c r="T132" s="252">
        <f t="shared" si="10"/>
        <v>146.5</v>
      </c>
      <c r="U132" s="244"/>
      <c r="V132" s="282">
        <f t="shared" si="11"/>
        <v>0</v>
      </c>
      <c r="W132" s="282"/>
      <c r="X132" s="282"/>
      <c r="Y132" s="282"/>
      <c r="Z132" s="282"/>
      <c r="AA132" s="282"/>
      <c r="AB132" s="300" t="str">
        <f t="shared" si="12"/>
        <v>pin in groundstacking hole</v>
      </c>
      <c r="AC132" s="457" t="b">
        <f>IF(AD132=23,AF132)</f>
        <v>0</v>
      </c>
      <c r="AD132" s="457">
        <f t="shared" si="20"/>
        <v>1</v>
      </c>
      <c r="AE132" s="457">
        <f>IF(V132=0,0,23)</f>
        <v>0</v>
      </c>
      <c r="AF132" s="282">
        <f>SUM(V132:V133)/($B$107-B131)</f>
        <v>0</v>
      </c>
      <c r="AG132" s="282"/>
      <c r="AH132" s="301">
        <f>SUM(D111:D132)+$C$110</f>
        <v>0</v>
      </c>
      <c r="AI132" s="399" t="b">
        <f t="shared" si="21"/>
        <v>0</v>
      </c>
      <c r="AJ132" s="173">
        <f t="shared" si="22"/>
        <v>69.344714800000006</v>
      </c>
      <c r="AK132" s="284">
        <f t="shared" si="13"/>
        <v>0.93571960494171247</v>
      </c>
      <c r="AL132" s="174">
        <f t="shared" si="23"/>
        <v>180.0511663828843</v>
      </c>
      <c r="AM132" s="173">
        <f t="shared" si="24"/>
        <v>50.174479900000001</v>
      </c>
      <c r="AN132" s="285">
        <f t="shared" si="25"/>
        <v>0.76799833627881664</v>
      </c>
      <c r="AO132" s="174">
        <f t="shared" si="26"/>
        <v>146.50336262854705</v>
      </c>
      <c r="AP132" s="404">
        <f t="shared" si="27"/>
        <v>-59.326323592778259</v>
      </c>
      <c r="AQ132" s="174">
        <f t="shared" si="28"/>
        <v>-535.5</v>
      </c>
      <c r="AR132" s="287">
        <f t="shared" si="29"/>
        <v>-393</v>
      </c>
      <c r="AS132" s="288">
        <f t="shared" si="30"/>
        <v>326.55452901143133</v>
      </c>
      <c r="AT132" s="289">
        <f t="shared" si="37"/>
        <v>-146.50336262854705</v>
      </c>
      <c r="AU132" s="290">
        <f t="shared" si="31"/>
        <v>87.177039035768786</v>
      </c>
      <c r="AV132" s="289"/>
      <c r="AW132" s="291">
        <f t="shared" si="32"/>
        <v>-288.08466948912593</v>
      </c>
      <c r="AX132" s="291">
        <f t="shared" si="33"/>
        <v>-104.91533051087407</v>
      </c>
      <c r="AY132" s="292">
        <f t="shared" si="14"/>
        <v>-40.265939942485744</v>
      </c>
      <c r="AZ132" s="292">
        <f t="shared" si="15"/>
        <v>-95.314954938482884</v>
      </c>
      <c r="BA132" s="294">
        <f t="shared" si="34"/>
        <v>40.265939942485744</v>
      </c>
      <c r="BB132" s="294">
        <f t="shared" si="34"/>
        <v>95.314954938482884</v>
      </c>
      <c r="BC132">
        <f t="shared" si="35"/>
        <v>0.3</v>
      </c>
      <c r="BG132" s="27"/>
      <c r="BH132" s="27"/>
      <c r="DC132" s="42"/>
    </row>
    <row r="133" spans="2:140" ht="21" customHeight="1" thickBot="1" x14ac:dyDescent="0.35">
      <c r="B133" s="88">
        <v>24</v>
      </c>
      <c r="C133" s="20"/>
      <c r="D133" s="738">
        <v>0</v>
      </c>
      <c r="E133" s="333" t="s">
        <v>72</v>
      </c>
      <c r="F133" s="81">
        <f t="shared" si="16"/>
        <v>0.3</v>
      </c>
      <c r="G133" s="81">
        <f t="shared" si="38"/>
        <v>0.3</v>
      </c>
      <c r="H133" s="299">
        <v>190.76</v>
      </c>
      <c r="I133" s="318">
        <v>79.651040199999997</v>
      </c>
      <c r="J133" s="251">
        <f t="shared" si="17"/>
        <v>79.651040199999997</v>
      </c>
      <c r="K133" s="251">
        <f t="shared" si="18"/>
        <v>39.825520099999999</v>
      </c>
      <c r="L133" s="251">
        <f t="shared" si="5"/>
        <v>0.64045183696587837</v>
      </c>
      <c r="M133" s="251">
        <f t="shared" si="6"/>
        <v>122.17259241961095</v>
      </c>
      <c r="N133" s="251">
        <f t="shared" si="7"/>
        <v>244.3451848392219</v>
      </c>
      <c r="O133" s="251">
        <f>+SUM(D111:D132)+(D133/2)+C110</f>
        <v>0</v>
      </c>
      <c r="P133" s="251">
        <f t="shared" si="8"/>
        <v>0</v>
      </c>
      <c r="Q133" s="251">
        <f t="shared" si="9"/>
        <v>0</v>
      </c>
      <c r="R133" s="251">
        <f t="shared" si="19"/>
        <v>146.5</v>
      </c>
      <c r="S133" s="251">
        <f t="shared" si="36"/>
        <v>146.5</v>
      </c>
      <c r="T133" s="252">
        <f t="shared" si="10"/>
        <v>146.5</v>
      </c>
      <c r="U133" s="244"/>
      <c r="V133" s="282">
        <f t="shared" si="11"/>
        <v>0</v>
      </c>
      <c r="W133" s="282"/>
      <c r="X133" s="282"/>
      <c r="Y133" s="282"/>
      <c r="Z133" s="282"/>
      <c r="AA133" s="282"/>
      <c r="AB133" s="300" t="str">
        <f t="shared" si="12"/>
        <v>pin in groundstacking hole</v>
      </c>
      <c r="AC133" s="457" t="b">
        <f>IF(AD133=24,AF133)</f>
        <v>0</v>
      </c>
      <c r="AD133" s="457">
        <f t="shared" si="20"/>
        <v>1</v>
      </c>
      <c r="AE133" s="457">
        <f>IF(V133=0,0,24)</f>
        <v>0</v>
      </c>
      <c r="AF133" s="282">
        <f>SUM(V133)/($B$107-B132)</f>
        <v>0</v>
      </c>
      <c r="AG133" s="282"/>
      <c r="AH133" s="301">
        <f>SUM(D111:D133)+$C$110</f>
        <v>0</v>
      </c>
      <c r="AI133" s="399" t="b">
        <f t="shared" si="21"/>
        <v>0</v>
      </c>
      <c r="AJ133" s="173">
        <f t="shared" si="22"/>
        <v>69.344714800000006</v>
      </c>
      <c r="AK133" s="284">
        <f t="shared" si="13"/>
        <v>0.93571960494171247</v>
      </c>
      <c r="AL133" s="174">
        <f t="shared" si="23"/>
        <v>180.0511663828843</v>
      </c>
      <c r="AM133" s="173">
        <f t="shared" si="24"/>
        <v>50.174479900000001</v>
      </c>
      <c r="AN133" s="285">
        <f t="shared" si="25"/>
        <v>0.76799833627881664</v>
      </c>
      <c r="AO133" s="174">
        <f t="shared" si="26"/>
        <v>146.50336262854705</v>
      </c>
      <c r="AP133" s="404">
        <f t="shared" si="27"/>
        <v>-55.711457997519368</v>
      </c>
      <c r="AQ133" s="174">
        <f t="shared" si="28"/>
        <v>-561</v>
      </c>
      <c r="AR133" s="287">
        <f t="shared" si="29"/>
        <v>-418.5</v>
      </c>
      <c r="AS133" s="288">
        <f t="shared" si="30"/>
        <v>326.55452901143133</v>
      </c>
      <c r="AT133" s="289">
        <f t="shared" si="37"/>
        <v>-146.50336262854705</v>
      </c>
      <c r="AU133" s="290">
        <f t="shared" si="31"/>
        <v>90.791904631027677</v>
      </c>
      <c r="AV133" s="289"/>
      <c r="AW133" s="291">
        <f t="shared" si="32"/>
        <v>-302.14451044941717</v>
      </c>
      <c r="AX133" s="291">
        <f t="shared" si="33"/>
        <v>-116.35548955058279</v>
      </c>
      <c r="AY133" s="292">
        <f t="shared" si="14"/>
        <v>-38.392224908358834</v>
      </c>
      <c r="AZ133" s="292">
        <f t="shared" si="15"/>
        <v>-85.943517049556462</v>
      </c>
      <c r="BA133" s="294">
        <f t="shared" si="34"/>
        <v>38.392224908358834</v>
      </c>
      <c r="BB133" s="294">
        <f t="shared" si="34"/>
        <v>85.943517049556462</v>
      </c>
      <c r="BC133">
        <f t="shared" si="35"/>
        <v>0.3</v>
      </c>
      <c r="BG133" s="27"/>
      <c r="BH133" s="27"/>
      <c r="DC133" s="42"/>
    </row>
    <row r="134" spans="2:140" s="15" customFormat="1" ht="21" customHeight="1" thickBot="1" x14ac:dyDescent="0.35">
      <c r="B134" s="358"/>
      <c r="C134" s="358"/>
      <c r="D134" s="359"/>
      <c r="E134" s="359"/>
      <c r="F134" s="359"/>
      <c r="G134" s="359"/>
      <c r="H134" s="265"/>
      <c r="I134" s="265"/>
      <c r="J134" s="265"/>
      <c r="K134" s="265"/>
      <c r="L134" s="265"/>
      <c r="M134" s="265"/>
      <c r="N134" s="265"/>
      <c r="O134" s="265"/>
      <c r="P134" s="265"/>
      <c r="Q134" s="265"/>
      <c r="R134" s="265"/>
      <c r="S134" s="265"/>
      <c r="T134" s="265"/>
      <c r="U134" s="265"/>
      <c r="V134" s="360"/>
      <c r="W134" s="360"/>
      <c r="X134" s="360"/>
      <c r="Y134" s="360"/>
      <c r="Z134" s="360"/>
      <c r="AA134" s="360"/>
      <c r="AB134" s="361"/>
      <c r="AC134" s="361"/>
      <c r="AD134" s="361"/>
      <c r="AE134" s="361"/>
      <c r="AF134" s="360"/>
      <c r="AG134" s="360"/>
      <c r="AH134" s="360"/>
      <c r="AI134" s="360"/>
      <c r="AJ134" s="359"/>
      <c r="AK134" s="362"/>
      <c r="AL134" s="363"/>
      <c r="AM134" s="359"/>
      <c r="AN134" s="362"/>
      <c r="AO134" s="363"/>
      <c r="AP134" s="364"/>
      <c r="AQ134" s="363"/>
      <c r="AR134" s="364"/>
      <c r="AS134" s="364"/>
      <c r="AT134" s="364"/>
      <c r="AU134" s="364"/>
      <c r="AV134" s="364"/>
      <c r="AW134" s="364"/>
      <c r="AX134" s="364"/>
      <c r="AY134" s="365"/>
      <c r="AZ134" s="365"/>
      <c r="BA134" s="365"/>
      <c r="BB134" s="365"/>
      <c r="BG134" s="357"/>
      <c r="BH134" s="357"/>
      <c r="BI134"/>
      <c r="BJ134" s="1550"/>
      <c r="BK134" s="1550"/>
      <c r="BL134" s="1550"/>
      <c r="BM134" s="1550"/>
      <c r="BN134" s="1550"/>
      <c r="BO134" s="1550"/>
      <c r="BP134" s="1550"/>
      <c r="BQ134" s="1550"/>
      <c r="BR134" s="1550"/>
      <c r="BS134" s="1550"/>
      <c r="BT134" s="1550"/>
      <c r="BU134" s="1550"/>
      <c r="BV134" s="1550"/>
      <c r="BW134" s="1550"/>
      <c r="BX134" s="1550"/>
      <c r="BY134" s="1550"/>
      <c r="BZ134" s="1550"/>
      <c r="CA134" s="1550"/>
      <c r="CB134" s="1550"/>
      <c r="CC134" s="1550"/>
      <c r="CD134" s="1550"/>
      <c r="CE134" s="1550"/>
      <c r="CF134" s="1550"/>
      <c r="CG134" s="1550"/>
      <c r="CH134" s="1550"/>
      <c r="CI134" s="1550"/>
      <c r="CJ134" s="1550"/>
      <c r="CK134" s="1550"/>
      <c r="CL134" s="1550"/>
      <c r="CM134" s="1550"/>
      <c r="CN134" s="1550"/>
      <c r="CO134" s="1550"/>
      <c r="CP134" s="1550"/>
      <c r="CQ134" s="1550"/>
      <c r="CR134" s="1550"/>
      <c r="CS134" s="1550"/>
      <c r="CT134" s="1550"/>
      <c r="CU134" s="1550"/>
      <c r="CV134" s="1550"/>
      <c r="CW134" s="1550"/>
      <c r="CX134" s="1550"/>
      <c r="CY134" s="1550"/>
      <c r="CZ134" s="1550"/>
      <c r="DA134" s="1550"/>
      <c r="DB134" s="1550"/>
      <c r="DC134" s="356"/>
    </row>
    <row r="135" spans="2:140" s="15" customFormat="1" ht="41.25" customHeight="1" thickBot="1" x14ac:dyDescent="0.45">
      <c r="B135" s="2043" t="s">
        <v>248</v>
      </c>
      <c r="C135" s="358"/>
      <c r="D135" s="359"/>
      <c r="E135" s="359"/>
      <c r="F135" s="359"/>
      <c r="G135" s="359"/>
      <c r="H135" s="265"/>
      <c r="I135" s="265"/>
      <c r="J135" s="265"/>
      <c r="K135" s="265"/>
      <c r="L135" s="265"/>
      <c r="M135" s="265"/>
      <c r="N135" s="265"/>
      <c r="O135" s="265"/>
      <c r="P135" s="265"/>
      <c r="Q135" s="265"/>
      <c r="R135" s="265"/>
      <c r="S135" s="265"/>
      <c r="T135" s="265"/>
      <c r="U135" s="265"/>
      <c r="V135" s="360"/>
      <c r="W135" s="360"/>
      <c r="X135" s="360"/>
      <c r="Y135" s="360"/>
      <c r="Z135" s="360"/>
      <c r="AA135" s="360"/>
      <c r="AB135" s="361"/>
      <c r="AC135" s="361"/>
      <c r="AD135" s="361"/>
      <c r="AE135" s="361"/>
      <c r="AF135" s="360"/>
      <c r="AG135" s="360"/>
      <c r="AH135" s="383" t="s">
        <v>125</v>
      </c>
      <c r="AI135" s="371">
        <f>MAX(AI110:AI133)</f>
        <v>0</v>
      </c>
      <c r="AJ135" s="359"/>
      <c r="AK135" s="362"/>
      <c r="AL135" s="363"/>
      <c r="AM135" s="359"/>
      <c r="AN135" s="362"/>
      <c r="AO135" s="363"/>
      <c r="AP135" s="364"/>
      <c r="AQ135" s="363"/>
      <c r="AR135" s="364"/>
      <c r="AS135" s="364"/>
      <c r="AT135" s="364"/>
      <c r="AU135" s="364"/>
      <c r="AV135" s="364"/>
      <c r="AW135" s="364"/>
      <c r="AX135" s="364"/>
      <c r="AY135" s="365"/>
      <c r="AZ135" s="365"/>
      <c r="BA135" s="365"/>
      <c r="BB135" s="365"/>
      <c r="BG135" s="357"/>
      <c r="BH135" s="357"/>
      <c r="BI135"/>
      <c r="BJ135" s="1550"/>
      <c r="BK135" s="1550"/>
      <c r="BL135" s="1550"/>
      <c r="BM135" s="1550"/>
      <c r="BN135" s="1550"/>
      <c r="BO135" s="1550"/>
      <c r="BP135" s="1550"/>
      <c r="BQ135" s="1550"/>
      <c r="BR135" s="1550"/>
      <c r="BS135" s="1550"/>
      <c r="BT135" s="1550"/>
      <c r="BU135" s="1550"/>
      <c r="BV135" s="1550"/>
      <c r="BW135" s="1550"/>
      <c r="BX135" s="1550"/>
      <c r="BY135" s="1550"/>
      <c r="BZ135" s="1550"/>
      <c r="CA135" s="1550"/>
      <c r="CB135" s="1550"/>
      <c r="CC135" s="1550"/>
      <c r="CD135" s="1550"/>
      <c r="CE135" s="1550"/>
      <c r="CF135" s="1550"/>
      <c r="CG135" s="1550"/>
      <c r="CH135" s="1550"/>
      <c r="CI135" s="1550"/>
      <c r="CJ135" s="1550"/>
      <c r="CK135" s="1550"/>
      <c r="CL135" s="1550"/>
      <c r="CM135" s="1550"/>
      <c r="CN135" s="1550"/>
      <c r="CO135" s="1550"/>
      <c r="CP135" s="1550"/>
      <c r="CQ135" s="1550"/>
      <c r="CR135" s="1550"/>
      <c r="CS135" s="1550"/>
      <c r="CT135" s="1550"/>
      <c r="CU135" s="1550"/>
      <c r="CV135" s="1550"/>
      <c r="CW135" s="1550"/>
      <c r="CX135" s="1550"/>
      <c r="CY135" s="1550"/>
      <c r="CZ135" s="1550"/>
      <c r="DA135" s="1550"/>
      <c r="DB135" s="1550"/>
      <c r="DC135" s="356"/>
    </row>
    <row r="136" spans="2:140" s="15" customFormat="1" ht="37.5" customHeight="1" thickBot="1" x14ac:dyDescent="0.35">
      <c r="B136" s="2044"/>
      <c r="D136" s="359"/>
      <c r="E136" s="359"/>
      <c r="F136" s="359"/>
      <c r="G136" s="359"/>
      <c r="H136" s="265"/>
      <c r="I136" s="265"/>
      <c r="J136" s="265"/>
      <c r="K136" s="265"/>
      <c r="L136" s="265"/>
      <c r="M136" s="265"/>
      <c r="N136" s="265"/>
      <c r="O136" s="265"/>
      <c r="P136" s="265"/>
      <c r="Q136" s="265"/>
      <c r="R136" s="265"/>
      <c r="S136" s="265"/>
      <c r="T136" s="265"/>
      <c r="U136" s="265"/>
      <c r="V136" s="360"/>
      <c r="W136" s="360"/>
      <c r="X136" s="360"/>
      <c r="Y136" s="360"/>
      <c r="Z136" s="360"/>
      <c r="AA136" s="360"/>
      <c r="AB136" s="361"/>
      <c r="AC136" s="361"/>
      <c r="AD136" s="361"/>
      <c r="AE136" s="361"/>
      <c r="AF136" s="360"/>
      <c r="AG136" s="360"/>
      <c r="AH136" s="360"/>
      <c r="AI136" s="360"/>
      <c r="AJ136" s="359"/>
      <c r="AK136" s="362"/>
      <c r="AL136" s="363"/>
      <c r="AM136" s="359"/>
      <c r="AN136" s="362"/>
      <c r="AO136" s="363"/>
      <c r="AP136" s="364"/>
      <c r="AQ136" s="363"/>
      <c r="AR136" s="364"/>
      <c r="AS136" s="364"/>
      <c r="AT136" s="364"/>
      <c r="AU136" s="364"/>
      <c r="AV136" s="364"/>
      <c r="AW136" s="364"/>
      <c r="AX136" s="364"/>
      <c r="AY136" s="365"/>
      <c r="AZ136" s="365"/>
      <c r="BA136" s="365"/>
      <c r="BB136" s="365"/>
      <c r="BG136" s="357"/>
      <c r="BH136" s="357"/>
      <c r="BI136"/>
      <c r="BJ136" s="1550"/>
      <c r="BK136" s="1550"/>
      <c r="BL136" s="1550"/>
      <c r="BM136" s="1550"/>
      <c r="BN136" s="1550"/>
      <c r="BO136" s="1550"/>
      <c r="BP136" s="1550"/>
      <c r="BQ136" s="1550"/>
      <c r="BR136" s="1550"/>
      <c r="BS136" s="1550"/>
      <c r="BT136" s="1550"/>
      <c r="BU136" s="1550"/>
      <c r="BV136" s="1550"/>
      <c r="BW136" s="1550"/>
      <c r="BX136" s="1550"/>
      <c r="BY136" s="1550"/>
      <c r="BZ136" s="1550"/>
      <c r="CA136" s="1550"/>
      <c r="CB136" s="1550"/>
      <c r="CC136" s="1550"/>
      <c r="CD136" s="1550"/>
      <c r="CE136" s="1550"/>
      <c r="CF136" s="1550"/>
      <c r="CG136" s="1550"/>
      <c r="CH136" s="1550"/>
      <c r="CI136" s="1550"/>
      <c r="CJ136" s="1550"/>
      <c r="CK136" s="1550"/>
      <c r="CL136" s="1550"/>
      <c r="CM136" s="1550"/>
      <c r="CN136" s="1550"/>
      <c r="CO136" s="1550"/>
      <c r="CP136" s="1550"/>
      <c r="CQ136" s="1550"/>
      <c r="CR136" s="1550"/>
      <c r="CS136" s="1550"/>
      <c r="CT136" s="1550"/>
      <c r="CU136" s="1550"/>
      <c r="CV136" s="1550"/>
      <c r="CW136" s="1550"/>
      <c r="CX136" s="1550"/>
      <c r="CY136" s="1550"/>
      <c r="CZ136" s="1550"/>
      <c r="DA136" s="1550"/>
      <c r="DB136" s="1550"/>
      <c r="DC136" s="356"/>
    </row>
    <row r="137" spans="2:140" s="15" customFormat="1" ht="37.5" customHeight="1" thickBot="1" x14ac:dyDescent="0.35">
      <c r="B137" s="741">
        <v>0</v>
      </c>
      <c r="C137" s="358"/>
      <c r="D137" s="359"/>
      <c r="E137" s="359"/>
      <c r="F137" s="359"/>
      <c r="G137" s="359"/>
      <c r="H137" s="265"/>
      <c r="I137" s="265"/>
      <c r="J137" s="265"/>
      <c r="K137" s="265"/>
      <c r="L137" s="265"/>
      <c r="M137" s="265"/>
      <c r="N137" s="265"/>
      <c r="O137" s="265"/>
      <c r="P137" s="265"/>
      <c r="Q137" s="265"/>
      <c r="R137" s="265"/>
      <c r="S137" s="265"/>
      <c r="T137" s="265"/>
      <c r="U137" s="265"/>
      <c r="V137" s="360"/>
      <c r="W137" s="360"/>
      <c r="X137" s="360"/>
      <c r="Y137" s="360"/>
      <c r="Z137" s="360"/>
      <c r="AA137" s="360"/>
      <c r="AB137" s="361"/>
      <c r="AC137" s="361"/>
      <c r="AD137" s="361"/>
      <c r="AE137" s="361"/>
      <c r="AF137" s="360"/>
      <c r="AG137" s="360"/>
      <c r="AH137" s="360"/>
      <c r="AI137" s="360"/>
      <c r="AJ137" s="359"/>
      <c r="AK137" s="362"/>
      <c r="AL137" s="363"/>
      <c r="AM137" s="359"/>
      <c r="AN137" s="362"/>
      <c r="AO137" s="363"/>
      <c r="AP137" s="364"/>
      <c r="AQ137" s="363"/>
      <c r="AR137" s="364"/>
      <c r="AS137" s="364"/>
      <c r="AT137" s="364"/>
      <c r="AU137" s="364"/>
      <c r="AV137" s="364"/>
      <c r="AW137" s="364"/>
      <c r="AX137" s="364"/>
      <c r="AY137" s="365"/>
      <c r="AZ137" s="365"/>
      <c r="BA137" s="365"/>
      <c r="BB137" s="365"/>
      <c r="BG137" s="357"/>
      <c r="BH137" s="357"/>
      <c r="BI137"/>
      <c r="BJ137" s="1550"/>
      <c r="BK137" s="1550"/>
      <c r="BL137" s="1550"/>
      <c r="BM137" s="1550"/>
      <c r="BN137" s="1550"/>
      <c r="BO137" s="1550"/>
      <c r="BP137" s="1550"/>
      <c r="BQ137" s="1550"/>
      <c r="BR137" s="1550"/>
      <c r="BS137" s="1550"/>
      <c r="BT137" s="1550"/>
      <c r="BU137" s="1550"/>
      <c r="BV137" s="1550"/>
      <c r="BW137" s="1550"/>
      <c r="BX137" s="1550"/>
      <c r="BY137" s="1550"/>
      <c r="BZ137" s="1550"/>
      <c r="CA137" s="1550"/>
      <c r="CB137" s="1550"/>
      <c r="CC137" s="1550"/>
      <c r="CD137" s="1550"/>
      <c r="CE137" s="1550"/>
      <c r="CF137" s="1550"/>
      <c r="CG137" s="1550"/>
      <c r="CH137" s="1550"/>
      <c r="CI137" s="1550"/>
      <c r="CJ137" s="1550"/>
      <c r="CK137" s="1550"/>
      <c r="CL137" s="1550"/>
      <c r="CM137" s="1550"/>
      <c r="CN137" s="1550"/>
      <c r="CO137" s="1550"/>
      <c r="CP137" s="1550"/>
      <c r="CQ137" s="1550"/>
      <c r="CR137" s="1550"/>
      <c r="CS137" s="1550"/>
      <c r="CT137" s="1550"/>
      <c r="CU137" s="1550"/>
      <c r="CV137" s="1550"/>
      <c r="CW137" s="1550"/>
      <c r="CX137" s="1550"/>
      <c r="CY137" s="1550"/>
      <c r="CZ137" s="1550"/>
      <c r="DA137" s="1550"/>
      <c r="DB137" s="1550"/>
      <c r="DC137" s="356"/>
    </row>
    <row r="138" spans="2:140" s="15" customFormat="1" ht="21" customHeight="1" thickBot="1" x14ac:dyDescent="0.35">
      <c r="B138" s="358"/>
      <c r="C138" s="358"/>
      <c r="D138" s="359"/>
      <c r="E138" s="359"/>
      <c r="F138" s="359"/>
      <c r="G138" s="359"/>
      <c r="H138" s="265"/>
      <c r="I138" s="265"/>
      <c r="J138" s="265"/>
      <c r="K138" s="265"/>
      <c r="L138" s="265"/>
      <c r="M138" s="265"/>
      <c r="N138" s="265"/>
      <c r="O138" s="265"/>
      <c r="P138" s="265"/>
      <c r="Q138" s="265"/>
      <c r="R138" s="265"/>
      <c r="S138" s="265"/>
      <c r="T138" s="265"/>
      <c r="U138" s="265"/>
      <c r="V138" s="360"/>
      <c r="W138" s="360"/>
      <c r="X138" s="360"/>
      <c r="Y138" s="360"/>
      <c r="Z138" s="360"/>
      <c r="AA138" s="360"/>
      <c r="AB138" s="361"/>
      <c r="AC138" s="361"/>
      <c r="AD138" s="361"/>
      <c r="AE138" s="361"/>
      <c r="AF138" s="360"/>
      <c r="AG138" s="360"/>
      <c r="AH138" s="360"/>
      <c r="AI138" s="360"/>
      <c r="AJ138" s="359"/>
      <c r="AK138" s="362"/>
      <c r="AL138" s="363"/>
      <c r="AM138" s="359"/>
      <c r="AN138" s="362"/>
      <c r="AO138" s="363"/>
      <c r="AP138" s="364"/>
      <c r="AQ138" s="363"/>
      <c r="AR138" s="364"/>
      <c r="AS138" s="364"/>
      <c r="AT138" s="364"/>
      <c r="AU138" s="364"/>
      <c r="AV138" s="364"/>
      <c r="AW138" s="364"/>
      <c r="AX138" s="364"/>
      <c r="AY138" s="365"/>
      <c r="AZ138" s="365"/>
      <c r="BA138" s="365"/>
      <c r="BB138" s="365"/>
      <c r="BG138" s="357"/>
      <c r="BH138" s="357"/>
      <c r="BI138"/>
      <c r="BJ138" s="1550"/>
      <c r="BK138" s="1550"/>
      <c r="BL138" s="1550"/>
      <c r="BM138" s="1550"/>
      <c r="BN138" s="1550"/>
      <c r="BO138" s="1550"/>
      <c r="BP138" s="1550"/>
      <c r="BQ138" s="1550"/>
      <c r="BR138" s="1550"/>
      <c r="BS138" s="1550"/>
      <c r="BT138" s="1550"/>
      <c r="BU138" s="1550"/>
      <c r="BV138" s="1550"/>
      <c r="BW138" s="1550"/>
      <c r="BX138" s="1550"/>
      <c r="BY138" s="1550"/>
      <c r="BZ138" s="1550"/>
      <c r="CA138" s="1550"/>
      <c r="CB138" s="1550"/>
      <c r="CC138" s="1550"/>
      <c r="CD138" s="1550"/>
      <c r="CE138" s="1550"/>
      <c r="CF138" s="1550"/>
      <c r="CG138" s="1550"/>
      <c r="CH138" s="1550"/>
      <c r="CI138" s="1550"/>
      <c r="CJ138" s="1550"/>
      <c r="CK138" s="1550"/>
      <c r="CL138" s="1550"/>
      <c r="CM138" s="1550"/>
      <c r="CN138" s="1550"/>
      <c r="CO138" s="1550"/>
      <c r="CP138" s="1550"/>
      <c r="CQ138" s="1550"/>
      <c r="CR138" s="1550"/>
      <c r="CS138" s="1550"/>
      <c r="CT138" s="1550"/>
      <c r="CU138" s="1550"/>
      <c r="CV138" s="1550"/>
      <c r="CW138" s="1550"/>
      <c r="CX138" s="1550"/>
      <c r="CY138" s="1550"/>
      <c r="CZ138" s="1550"/>
      <c r="DA138" s="1550"/>
      <c r="DB138" s="1550"/>
      <c r="DC138" s="356"/>
    </row>
    <row r="139" spans="2:140" ht="79.5" customHeight="1" thickTop="1" thickBot="1" x14ac:dyDescent="0.45">
      <c r="B139" s="695" t="s">
        <v>43</v>
      </c>
      <c r="C139" s="136"/>
      <c r="D139" s="19"/>
      <c r="E139" s="19"/>
      <c r="F139" s="19"/>
      <c r="G139" s="19"/>
      <c r="T139" s="245"/>
      <c r="U139" s="244"/>
      <c r="V139" s="244"/>
      <c r="W139" s="244"/>
      <c r="X139" s="244"/>
      <c r="Y139" s="244"/>
      <c r="Z139" s="244"/>
      <c r="AA139" s="244"/>
      <c r="AB139" s="244"/>
      <c r="AC139" s="244"/>
      <c r="AD139" s="244"/>
      <c r="AE139" s="244"/>
      <c r="AF139" s="244"/>
      <c r="AG139" s="244"/>
      <c r="AH139" s="244"/>
      <c r="AI139" s="244"/>
      <c r="AJ139" s="244"/>
      <c r="AK139" s="244"/>
      <c r="AL139" s="244"/>
      <c r="AM139" s="244"/>
      <c r="AN139" s="244"/>
      <c r="AO139" s="244"/>
      <c r="AP139" s="244"/>
      <c r="AQ139" s="244"/>
      <c r="AR139" s="244"/>
      <c r="AS139" s="244"/>
      <c r="AT139" s="244"/>
      <c r="AU139" s="244"/>
      <c r="AV139" s="244"/>
      <c r="AW139" s="244"/>
      <c r="AX139" s="244"/>
      <c r="AY139" s="244"/>
      <c r="AZ139" s="244"/>
      <c r="BA139" s="244"/>
      <c r="BB139" s="244"/>
      <c r="BC139" s="7"/>
      <c r="BD139" s="7"/>
      <c r="DC139" s="27"/>
      <c r="EI139" s="185"/>
      <c r="EJ139" s="185"/>
    </row>
    <row r="140" spans="2:140" ht="25.8" thickTop="1" thickBot="1" x14ac:dyDescent="0.45">
      <c r="B140" s="743">
        <v>1</v>
      </c>
      <c r="C140" s="671"/>
      <c r="D140" s="704" t="s">
        <v>104</v>
      </c>
      <c r="E140" s="445"/>
      <c r="F140" s="445"/>
      <c r="G140" s="445"/>
      <c r="H140" s="1816" t="s">
        <v>172</v>
      </c>
      <c r="I140" s="1816" t="s">
        <v>173</v>
      </c>
      <c r="J140" s="1816" t="s">
        <v>174</v>
      </c>
      <c r="K140"/>
      <c r="L140"/>
      <c r="M140"/>
      <c r="N140"/>
      <c r="O140"/>
      <c r="P140" s="1816" t="s">
        <v>175</v>
      </c>
      <c r="Q140" s="1816" t="s">
        <v>176</v>
      </c>
      <c r="R140" s="445"/>
      <c r="S140" s="1816" t="s">
        <v>177</v>
      </c>
      <c r="T140" s="307"/>
      <c r="W140" s="2047" t="s">
        <v>178</v>
      </c>
      <c r="X140" s="2047"/>
      <c r="Y140" s="2047"/>
      <c r="Z140" s="2047"/>
      <c r="AA140" s="2047"/>
      <c r="AF140" s="244"/>
      <c r="AG140" s="244"/>
      <c r="AH140" s="244"/>
      <c r="AI140" s="244"/>
      <c r="AJ140" s="244"/>
      <c r="AK140" s="244"/>
      <c r="AL140" s="244"/>
      <c r="AM140" s="244"/>
      <c r="AN140" s="244"/>
      <c r="AO140" s="244"/>
      <c r="AP140" s="244"/>
      <c r="AQ140" s="244"/>
      <c r="AR140" s="244"/>
      <c r="AS140" s="244"/>
      <c r="AT140" s="244"/>
      <c r="AU140" s="244"/>
      <c r="AV140" s="244"/>
      <c r="AW140" s="244"/>
      <c r="AX140" s="244"/>
      <c r="AY140" s="244"/>
      <c r="AZ140" s="272"/>
      <c r="BA140" s="2045" t="s">
        <v>68</v>
      </c>
      <c r="BB140" s="2046"/>
      <c r="BC140" s="7"/>
      <c r="BD140" s="7"/>
      <c r="BG140" s="27"/>
      <c r="DC140" s="27"/>
      <c r="EI140" s="185"/>
      <c r="EJ140" s="185"/>
    </row>
    <row r="141" spans="2:140" ht="21.6" hidden="1" thickTop="1" thickBot="1" x14ac:dyDescent="0.4">
      <c r="B141" s="358"/>
      <c r="C141" s="76"/>
      <c r="D141" s="734" t="s">
        <v>13</v>
      </c>
      <c r="E141" s="15"/>
      <c r="F141" s="15"/>
      <c r="G141" s="15"/>
      <c r="H141" s="309" t="s">
        <v>4</v>
      </c>
      <c r="I141" s="309" t="s">
        <v>1</v>
      </c>
      <c r="J141" s="334" t="s">
        <v>119</v>
      </c>
      <c r="K141" s="305" t="s">
        <v>2</v>
      </c>
      <c r="L141" s="305" t="s">
        <v>3</v>
      </c>
      <c r="M141" s="305" t="s">
        <v>8</v>
      </c>
      <c r="N141" s="305" t="s">
        <v>5</v>
      </c>
      <c r="O141" s="305" t="s">
        <v>6</v>
      </c>
      <c r="P141" s="305" t="s">
        <v>7</v>
      </c>
      <c r="Q141" s="305" t="s">
        <v>9</v>
      </c>
      <c r="R141" s="309" t="s">
        <v>10</v>
      </c>
      <c r="S141" s="305" t="s">
        <v>11</v>
      </c>
      <c r="T141" s="306" t="s">
        <v>12</v>
      </c>
      <c r="W141" s="309" t="s">
        <v>182</v>
      </c>
      <c r="X141" s="447" t="s">
        <v>179</v>
      </c>
      <c r="Y141" s="309" t="s">
        <v>183</v>
      </c>
      <c r="Z141" s="448" t="s">
        <v>180</v>
      </c>
      <c r="AA141" s="448" t="s">
        <v>181</v>
      </c>
      <c r="AC141" s="305" t="s">
        <v>184</v>
      </c>
      <c r="AD141" s="305"/>
      <c r="AE141" s="305"/>
      <c r="AF141" s="273"/>
      <c r="AG141" s="273"/>
      <c r="AH141" s="273"/>
      <c r="AI141" s="273"/>
      <c r="AJ141" s="273"/>
      <c r="AK141" s="273"/>
      <c r="AL141" s="273"/>
      <c r="AM141" s="273"/>
      <c r="AN141" s="273"/>
      <c r="AO141" s="273"/>
      <c r="AP141" s="273" t="s">
        <v>108</v>
      </c>
      <c r="AQ141" s="273"/>
      <c r="AR141" s="273" t="s">
        <v>108</v>
      </c>
      <c r="AS141" s="273"/>
      <c r="AT141" s="273"/>
      <c r="AU141" s="273" t="s">
        <v>108</v>
      </c>
      <c r="AV141" s="273"/>
      <c r="AW141" s="273"/>
      <c r="AX141" s="273"/>
      <c r="AY141" s="272" t="s">
        <v>65</v>
      </c>
      <c r="AZ141" s="272"/>
      <c r="BA141" s="273"/>
      <c r="BB141" s="273"/>
      <c r="BC141" s="6"/>
      <c r="DC141" s="27"/>
      <c r="EI141" s="185"/>
      <c r="EJ141" s="185"/>
    </row>
    <row r="142" spans="2:140" ht="47.25" customHeight="1" thickTop="1" thickBot="1" x14ac:dyDescent="0.45">
      <c r="B142" s="90"/>
      <c r="C142" s="139"/>
      <c r="D142" s="735" t="s">
        <v>24</v>
      </c>
      <c r="E142" s="19"/>
      <c r="F142" s="445"/>
      <c r="G142" s="50"/>
      <c r="H142" s="309"/>
      <c r="I142" s="309"/>
      <c r="J142" s="334"/>
      <c r="K142" s="305"/>
      <c r="L142" s="305"/>
      <c r="M142" s="305"/>
      <c r="N142" s="305"/>
      <c r="O142" s="305"/>
      <c r="P142" s="305"/>
      <c r="Q142" s="305"/>
      <c r="R142" s="309"/>
      <c r="S142" s="305"/>
      <c r="T142" s="306"/>
      <c r="U142" s="265"/>
      <c r="V142" s="273"/>
      <c r="W142" s="273"/>
      <c r="X142" s="273"/>
      <c r="Y142" s="273"/>
      <c r="Z142" s="273"/>
      <c r="AA142" s="273"/>
      <c r="AB142" s="273"/>
      <c r="AC142" s="452">
        <f>SUM(AC143:AC154)</f>
        <v>343.49989132317432</v>
      </c>
      <c r="AD142" s="453"/>
      <c r="AE142" s="453"/>
      <c r="AF142" s="273" t="s">
        <v>51</v>
      </c>
      <c r="AG142" s="460" t="s">
        <v>188</v>
      </c>
      <c r="AH142" s="274" t="s">
        <v>44</v>
      </c>
      <c r="AI142" s="274"/>
      <c r="AJ142" s="310" t="s">
        <v>106</v>
      </c>
      <c r="AK142" s="275" t="s">
        <v>45</v>
      </c>
      <c r="AL142" s="310" t="s">
        <v>46</v>
      </c>
      <c r="AM142" s="175" t="s">
        <v>107</v>
      </c>
      <c r="AN142" s="276" t="s">
        <v>47</v>
      </c>
      <c r="AO142" s="310" t="s">
        <v>48</v>
      </c>
      <c r="AP142" s="277" t="s">
        <v>61</v>
      </c>
      <c r="AQ142" s="310" t="s">
        <v>60</v>
      </c>
      <c r="AR142" s="277" t="s">
        <v>62</v>
      </c>
      <c r="AS142" s="278" t="s">
        <v>59</v>
      </c>
      <c r="AT142" s="278" t="s">
        <v>118</v>
      </c>
      <c r="AU142" s="277" t="s">
        <v>116</v>
      </c>
      <c r="AV142" s="366"/>
      <c r="AW142" s="279" t="s">
        <v>54</v>
      </c>
      <c r="AX142" s="279" t="s">
        <v>55</v>
      </c>
      <c r="AY142" s="280" t="s">
        <v>25</v>
      </c>
      <c r="AZ142" s="280" t="s">
        <v>26</v>
      </c>
      <c r="BA142" s="281" t="s">
        <v>25</v>
      </c>
      <c r="BB142" s="281" t="s">
        <v>26</v>
      </c>
      <c r="BC142" s="7"/>
      <c r="BD142" s="12"/>
      <c r="DC142" s="27"/>
      <c r="EI142" s="185"/>
      <c r="EJ142" s="185"/>
    </row>
    <row r="143" spans="2:140" ht="21" customHeight="1" thickBot="1" x14ac:dyDescent="0.4">
      <c r="B143" s="409">
        <v>1</v>
      </c>
      <c r="C143" s="20">
        <f>+B137+AI135+D143</f>
        <v>0</v>
      </c>
      <c r="D143" s="738">
        <v>0</v>
      </c>
      <c r="E143" s="333" t="s">
        <v>126</v>
      </c>
      <c r="F143" s="81"/>
      <c r="G143" s="81"/>
      <c r="H143" s="1816">
        <v>421.92079999999999</v>
      </c>
      <c r="I143" s="1816">
        <v>35.4982179</v>
      </c>
      <c r="J143" s="1816">
        <f>+I143-C143</f>
        <v>35.4982179</v>
      </c>
      <c r="K143" s="117"/>
      <c r="L143" s="117"/>
      <c r="M143" s="117"/>
      <c r="N143" s="117"/>
      <c r="O143" s="117"/>
      <c r="P143" s="1816">
        <f>COS(J143*3.14159265358979/180)</f>
        <v>0.81413357986421708</v>
      </c>
      <c r="Q143" s="1816">
        <f>+P143*H143</f>
        <v>343.49989132317432</v>
      </c>
      <c r="R143" s="446">
        <v>343.5</v>
      </c>
      <c r="S143" s="1816">
        <f>+Q143</f>
        <v>343.49989132317432</v>
      </c>
      <c r="T143" s="81">
        <f t="shared" ref="T143:T154" si="39">+S143</f>
        <v>343.49989132317432</v>
      </c>
      <c r="U143" s="81"/>
      <c r="V143" s="81">
        <f>IF(B143&lt;($B$140+1),T143,0)</f>
        <v>343.49989132317432</v>
      </c>
      <c r="W143" s="446">
        <v>35.4982179</v>
      </c>
      <c r="X143" s="448">
        <f>+W143+AI155</f>
        <v>35.4982179</v>
      </c>
      <c r="Y143" s="309">
        <v>421.92079999999999</v>
      </c>
      <c r="Z143" s="448">
        <f>+COS(X143*3.14159265358979/180)*Y143</f>
        <v>343.49989132317432</v>
      </c>
      <c r="AA143" s="461">
        <f>+AC142-Z143</f>
        <v>0</v>
      </c>
      <c r="AB143" s="81"/>
      <c r="AC143" s="457">
        <f>IF(AD143=1,AF143)</f>
        <v>343.49989132317432</v>
      </c>
      <c r="AD143" s="457">
        <f>MAX(AE$143:AE$154)</f>
        <v>1</v>
      </c>
      <c r="AE143" s="457">
        <f>IF(V143=0,0,1)</f>
        <v>1</v>
      </c>
      <c r="AF143" s="282">
        <f>SUM(V143:V154)/($B$140)</f>
        <v>343.49989132317432</v>
      </c>
      <c r="AG143" s="282">
        <f>+AF143+$AA$110</f>
        <v>343.49990788730668</v>
      </c>
      <c r="AH143" s="301">
        <f>+D143+C143</f>
        <v>0</v>
      </c>
      <c r="AI143" s="370">
        <f>IF(B143&lt;($B$140+1),AH143)</f>
        <v>0</v>
      </c>
      <c r="AJ143" s="345">
        <f>54.5017821+AH143</f>
        <v>54.5017821</v>
      </c>
      <c r="AK143" s="368">
        <f>SIN(AJ143*3.14159265358979/180)</f>
        <v>0.81413357986421619</v>
      </c>
      <c r="AL143" s="345">
        <f>+AK143*421.92</f>
        <v>343.49924001631013</v>
      </c>
      <c r="AM143" s="345">
        <f>58.7344156-AH143</f>
        <v>58.734415599999998</v>
      </c>
      <c r="AN143" s="285">
        <f>SIN(AM143*3.14159265358979/180)</f>
        <v>0.85477073319485097</v>
      </c>
      <c r="AO143" s="312">
        <f>+AN143*472.06</f>
        <v>403.50307231196138</v>
      </c>
      <c r="AP143" s="287">
        <f>+((AF143*AQ143)+($AQ$164*($AF$164+$AA$143)))/AR143</f>
        <v>207.24661160374168</v>
      </c>
      <c r="AQ143" s="312">
        <f>57*B140</f>
        <v>57</v>
      </c>
      <c r="AR143" s="287">
        <f>+AQ143+$AQ$164+30</f>
        <v>112.5</v>
      </c>
      <c r="AS143" s="288">
        <f>+AO143+AL143</f>
        <v>747.0023123282715</v>
      </c>
      <c r="AT143" s="364">
        <f>+V143-AL143</f>
        <v>6.5130686419934136E-4</v>
      </c>
      <c r="AU143" s="290">
        <f>+AP143-AT143</f>
        <v>207.24596029687748</v>
      </c>
      <c r="AV143" s="367"/>
      <c r="AW143" s="291">
        <f>+((AS143-AU143)/AS143)*AR143</f>
        <v>81.288355606651962</v>
      </c>
      <c r="AX143" s="291">
        <f>+(AU143/AS143)*AR143</f>
        <v>31.211644393348038</v>
      </c>
      <c r="AY143" s="292">
        <f t="shared" ref="AY143:AY154" si="40">2*$C$18/AW143</f>
        <v>142.70186564151328</v>
      </c>
      <c r="AZ143" s="292">
        <f t="shared" ref="AZ143:AZ154" si="41">2*$D$18/AX143</f>
        <v>640.78648814358803</v>
      </c>
      <c r="BA143" s="294">
        <f>ABS(AY143)</f>
        <v>142.70186564151328</v>
      </c>
      <c r="BB143" s="294">
        <f>ABS(AZ143)</f>
        <v>640.78648814358803</v>
      </c>
      <c r="BC143" s="2"/>
      <c r="BD143" s="12"/>
      <c r="DC143" s="27"/>
      <c r="EI143" s="185"/>
      <c r="EJ143" s="185"/>
    </row>
    <row r="144" spans="2:140" ht="21" customHeight="1" thickBot="1" x14ac:dyDescent="0.4">
      <c r="B144" s="409">
        <v>2</v>
      </c>
      <c r="C144" s="20"/>
      <c r="D144" s="738">
        <v>0</v>
      </c>
      <c r="E144" s="333" t="s">
        <v>126</v>
      </c>
      <c r="F144" s="81"/>
      <c r="G144" s="81"/>
      <c r="H144" s="81">
        <v>472.06</v>
      </c>
      <c r="I144" s="81">
        <v>62.531168700000002</v>
      </c>
      <c r="J144" s="81">
        <f>+I144+D144</f>
        <v>62.531168700000002</v>
      </c>
      <c r="K144" s="81">
        <f t="shared" ref="K144:K154" si="42">+J144/2</f>
        <v>31.265584350000001</v>
      </c>
      <c r="L144" s="81">
        <f t="shared" ref="L144:L154" si="43">SIN(K144*3.14159265358979/180)</f>
        <v>0.51900577347391186</v>
      </c>
      <c r="M144" s="81">
        <f t="shared" ref="M144:M154" si="44">+L144*H144</f>
        <v>245.00186542609484</v>
      </c>
      <c r="N144" s="81">
        <f t="shared" ref="N144:N154" si="45">+M144*2</f>
        <v>490.00373085218968</v>
      </c>
      <c r="O144" s="81">
        <f>+C143+(D144/2)</f>
        <v>0</v>
      </c>
      <c r="P144" s="81">
        <f t="shared" ref="P144:P154" si="46">SIN(O144*3.14159265358979/180)</f>
        <v>0</v>
      </c>
      <c r="Q144" s="81">
        <f t="shared" ref="Q144:Q154" si="47">+P144*N144</f>
        <v>0</v>
      </c>
      <c r="R144" s="81">
        <f t="shared" ref="R144:R154" si="48">+T143</f>
        <v>343.49989132317432</v>
      </c>
      <c r="S144" s="81">
        <f>+R144+Q144</f>
        <v>343.49989132317432</v>
      </c>
      <c r="T144" s="81">
        <f t="shared" si="39"/>
        <v>343.49989132317432</v>
      </c>
      <c r="U144" s="81"/>
      <c r="V144" s="81">
        <f t="shared" ref="V144:V154" si="49">IF(B144&lt;($B$140+1),T144,0)</f>
        <v>0</v>
      </c>
      <c r="W144" s="81"/>
      <c r="X144" s="81"/>
      <c r="Y144" s="81"/>
      <c r="Z144" s="81"/>
      <c r="AA144" s="81"/>
      <c r="AB144" s="81"/>
      <c r="AC144" s="457" t="b">
        <f>IF(AD144=2,AF144)</f>
        <v>0</v>
      </c>
      <c r="AD144" s="457">
        <f t="shared" ref="AD144:AD154" si="50">MAX(AE$143:AE$154)</f>
        <v>1</v>
      </c>
      <c r="AE144" s="457">
        <f>IF(V144=0,0,2)</f>
        <v>0</v>
      </c>
      <c r="AF144" s="282" t="e">
        <f>SUM(V144:V154)/($B$140-B143)</f>
        <v>#DIV/0!</v>
      </c>
      <c r="AG144" s="282"/>
      <c r="AH144" s="301">
        <f>SUM(D144)+$C$143</f>
        <v>0</v>
      </c>
      <c r="AI144" s="370" t="b">
        <f t="shared" ref="AI144:AI154" si="51">IF(B144&lt;($B$140+1),AH144)</f>
        <v>0</v>
      </c>
      <c r="AJ144" s="345">
        <f t="shared" ref="AJ144:AJ154" si="52">54.5017821+AH144</f>
        <v>54.5017821</v>
      </c>
      <c r="AK144" s="368">
        <f>SIN(AJ144*3.14159265358979/180)</f>
        <v>0.81413357986421619</v>
      </c>
      <c r="AL144" s="345">
        <f t="shared" ref="AL144:AL154" si="53">+AK144*421.92</f>
        <v>343.49924001631013</v>
      </c>
      <c r="AM144" s="345">
        <f t="shared" ref="AM144:AM154" si="54">58.7344156-AH144</f>
        <v>58.734415599999998</v>
      </c>
      <c r="AN144" s="285">
        <f t="shared" ref="AN144:AN154" si="55">SIN(AM144*3.14159265358979/180)</f>
        <v>0.85477073319485097</v>
      </c>
      <c r="AO144" s="312">
        <f t="shared" ref="AO144:AO154" si="56">+AN144*472.06</f>
        <v>403.50307231196138</v>
      </c>
      <c r="AP144" s="287" t="e">
        <f t="shared" ref="AP144:AP154" si="57">+((AF144*AQ144)+($AQ$164*($AF$164+$AA$143)))/AR144</f>
        <v>#DIV/0!</v>
      </c>
      <c r="AQ144" s="312">
        <f t="shared" ref="AQ144:AQ154" si="58">57*($B$140-B143)</f>
        <v>0</v>
      </c>
      <c r="AR144" s="287">
        <f t="shared" ref="AR144:AR154" si="59">+AQ144+$AQ$164+30</f>
        <v>55.5</v>
      </c>
      <c r="AS144" s="288">
        <f t="shared" ref="AS144:AS154" si="60">+AO144+AL144</f>
        <v>747.0023123282715</v>
      </c>
      <c r="AT144" s="364">
        <f t="shared" ref="AT144:AT154" si="61">+V144-AL144</f>
        <v>-343.49924001631013</v>
      </c>
      <c r="AU144" s="290" t="e">
        <f t="shared" ref="AU144:AU154" si="62">+AP144-AT144</f>
        <v>#DIV/0!</v>
      </c>
      <c r="AV144" s="367"/>
      <c r="AW144" s="291" t="e">
        <f t="shared" ref="AW144:AW154" si="63">+((AS144-AU144)/AS144)*AR144</f>
        <v>#DIV/0!</v>
      </c>
      <c r="AX144" s="291" t="e">
        <f t="shared" ref="AX144:AX154" si="64">+(AU144/AS144)*AR144</f>
        <v>#DIV/0!</v>
      </c>
      <c r="AY144" s="292" t="e">
        <f t="shared" si="40"/>
        <v>#DIV/0!</v>
      </c>
      <c r="AZ144" s="292" t="e">
        <f t="shared" si="41"/>
        <v>#DIV/0!</v>
      </c>
      <c r="BA144" s="294" t="e">
        <f t="shared" ref="BA144:BB154" si="65">ABS(AY144)</f>
        <v>#DIV/0!</v>
      </c>
      <c r="BB144" s="294" t="e">
        <f t="shared" si="65"/>
        <v>#DIV/0!</v>
      </c>
      <c r="BD144" s="12"/>
      <c r="DC144" s="27"/>
      <c r="EI144" s="185"/>
      <c r="EJ144" s="185"/>
    </row>
    <row r="145" spans="2:140" ht="21" customHeight="1" thickBot="1" x14ac:dyDescent="0.4">
      <c r="B145" s="409">
        <v>3</v>
      </c>
      <c r="C145" s="20"/>
      <c r="D145" s="738">
        <v>0</v>
      </c>
      <c r="E145" s="333" t="s">
        <v>126</v>
      </c>
      <c r="F145" s="81"/>
      <c r="G145" s="81"/>
      <c r="H145" s="81">
        <v>472.06</v>
      </c>
      <c r="I145" s="81">
        <v>62.531168700000002</v>
      </c>
      <c r="J145" s="81">
        <f t="shared" ref="J145:J154" si="66">+I145+D145</f>
        <v>62.531168700000002</v>
      </c>
      <c r="K145" s="81">
        <f t="shared" si="42"/>
        <v>31.265584350000001</v>
      </c>
      <c r="L145" s="81">
        <f t="shared" si="43"/>
        <v>0.51900577347391186</v>
      </c>
      <c r="M145" s="81">
        <f t="shared" si="44"/>
        <v>245.00186542609484</v>
      </c>
      <c r="N145" s="81">
        <f t="shared" si="45"/>
        <v>490.00373085218968</v>
      </c>
      <c r="O145" s="81">
        <f>+C143+D144+(D145/2)</f>
        <v>0</v>
      </c>
      <c r="P145" s="81">
        <f t="shared" si="46"/>
        <v>0</v>
      </c>
      <c r="Q145" s="81">
        <f t="shared" si="47"/>
        <v>0</v>
      </c>
      <c r="R145" s="81">
        <f t="shared" si="48"/>
        <v>343.49989132317432</v>
      </c>
      <c r="S145" s="81">
        <f t="shared" ref="S145:S154" si="67">+S144+Q145</f>
        <v>343.49989132317432</v>
      </c>
      <c r="T145" s="81">
        <f t="shared" si="39"/>
        <v>343.49989132317432</v>
      </c>
      <c r="U145" s="81"/>
      <c r="V145" s="81">
        <f t="shared" si="49"/>
        <v>0</v>
      </c>
      <c r="W145" s="81"/>
      <c r="X145" s="81"/>
      <c r="Y145" s="81"/>
      <c r="Z145" s="81"/>
      <c r="AA145" s="81"/>
      <c r="AB145" s="81"/>
      <c r="AC145" s="457" t="b">
        <f>IF(AD145=3,AF145)</f>
        <v>0</v>
      </c>
      <c r="AD145" s="457">
        <f t="shared" si="50"/>
        <v>1</v>
      </c>
      <c r="AE145" s="457">
        <f>IF(V145=0,0,3)</f>
        <v>0</v>
      </c>
      <c r="AF145" s="282">
        <f>SUM(V145:V154)/($B$140-B144)</f>
        <v>0</v>
      </c>
      <c r="AG145" s="282"/>
      <c r="AH145" s="301">
        <f>SUM(D144:D145)+$C$143</f>
        <v>0</v>
      </c>
      <c r="AI145" s="370" t="b">
        <f t="shared" si="51"/>
        <v>0</v>
      </c>
      <c r="AJ145" s="345">
        <f t="shared" si="52"/>
        <v>54.5017821</v>
      </c>
      <c r="AK145" s="368">
        <f t="shared" ref="AK145:AK154" si="68">SIN(AJ145*3.14159265358979/180)</f>
        <v>0.81413357986421619</v>
      </c>
      <c r="AL145" s="345">
        <f t="shared" si="53"/>
        <v>343.49924001631013</v>
      </c>
      <c r="AM145" s="345">
        <f t="shared" si="54"/>
        <v>58.734415599999998</v>
      </c>
      <c r="AN145" s="285">
        <f t="shared" si="55"/>
        <v>0.85477073319485097</v>
      </c>
      <c r="AO145" s="312">
        <f t="shared" si="56"/>
        <v>403.50307231196138</v>
      </c>
      <c r="AP145" s="287">
        <f t="shared" si="57"/>
        <v>-2490.5</v>
      </c>
      <c r="AQ145" s="312">
        <f t="shared" si="58"/>
        <v>-57</v>
      </c>
      <c r="AR145" s="287">
        <f t="shared" si="59"/>
        <v>-1.5</v>
      </c>
      <c r="AS145" s="288">
        <f t="shared" si="60"/>
        <v>747.0023123282715</v>
      </c>
      <c r="AT145" s="364">
        <f t="shared" si="61"/>
        <v>-343.49924001631013</v>
      </c>
      <c r="AU145" s="290">
        <f t="shared" si="62"/>
        <v>-2147.0007599836899</v>
      </c>
      <c r="AV145" s="367"/>
      <c r="AW145" s="291">
        <f t="shared" si="63"/>
        <v>-5.8112331606281291</v>
      </c>
      <c r="AX145" s="291">
        <f t="shared" si="64"/>
        <v>4.3112331606281291</v>
      </c>
      <c r="AY145" s="292">
        <f t="shared" si="40"/>
        <v>-1996.1339838489926</v>
      </c>
      <c r="AZ145" s="292">
        <f t="shared" si="41"/>
        <v>4639.0439242877974</v>
      </c>
      <c r="BA145" s="294">
        <f t="shared" si="65"/>
        <v>1996.1339838489926</v>
      </c>
      <c r="BB145" s="294">
        <f t="shared" si="65"/>
        <v>4639.0439242877974</v>
      </c>
      <c r="BD145" s="12"/>
      <c r="DC145" s="27"/>
      <c r="EI145" s="185"/>
      <c r="EJ145" s="185"/>
    </row>
    <row r="146" spans="2:140" ht="21" customHeight="1" thickBot="1" x14ac:dyDescent="0.4">
      <c r="B146" s="409">
        <v>4</v>
      </c>
      <c r="C146" s="20"/>
      <c r="D146" s="738">
        <v>0</v>
      </c>
      <c r="E146" s="333" t="s">
        <v>126</v>
      </c>
      <c r="F146" s="81"/>
      <c r="G146" s="81"/>
      <c r="H146" s="81">
        <v>472.06</v>
      </c>
      <c r="I146" s="81">
        <v>62.531168700000002</v>
      </c>
      <c r="J146" s="81">
        <f t="shared" si="66"/>
        <v>62.531168700000002</v>
      </c>
      <c r="K146" s="81">
        <f t="shared" si="42"/>
        <v>31.265584350000001</v>
      </c>
      <c r="L146" s="81">
        <f t="shared" si="43"/>
        <v>0.51900577347391186</v>
      </c>
      <c r="M146" s="81">
        <f t="shared" si="44"/>
        <v>245.00186542609484</v>
      </c>
      <c r="N146" s="81">
        <f t="shared" si="45"/>
        <v>490.00373085218968</v>
      </c>
      <c r="O146" s="81">
        <f>+C143+D144+D145+(D146/2)</f>
        <v>0</v>
      </c>
      <c r="P146" s="81">
        <f t="shared" si="46"/>
        <v>0</v>
      </c>
      <c r="Q146" s="81">
        <f t="shared" si="47"/>
        <v>0</v>
      </c>
      <c r="R146" s="81">
        <f t="shared" si="48"/>
        <v>343.49989132317432</v>
      </c>
      <c r="S146" s="81">
        <f t="shared" si="67"/>
        <v>343.49989132317432</v>
      </c>
      <c r="T146" s="81">
        <f t="shared" si="39"/>
        <v>343.49989132317432</v>
      </c>
      <c r="U146" s="81"/>
      <c r="V146" s="81">
        <f t="shared" si="49"/>
        <v>0</v>
      </c>
      <c r="W146" s="81"/>
      <c r="X146" s="81"/>
      <c r="Y146" s="81"/>
      <c r="Z146" s="81"/>
      <c r="AA146" s="81"/>
      <c r="AB146" s="81"/>
      <c r="AC146" s="457" t="b">
        <f>IF(AD146=4,AF146)</f>
        <v>0</v>
      </c>
      <c r="AD146" s="457">
        <f t="shared" si="50"/>
        <v>1</v>
      </c>
      <c r="AE146" s="457">
        <f>IF(V146=0,0,4)</f>
        <v>0</v>
      </c>
      <c r="AF146" s="282">
        <f>SUM(V146:V154)/($B$140-B145)</f>
        <v>0</v>
      </c>
      <c r="AG146" s="282"/>
      <c r="AH146" s="301">
        <f>SUM(D144:D146)+$C$143</f>
        <v>0</v>
      </c>
      <c r="AI146" s="370" t="b">
        <f t="shared" si="51"/>
        <v>0</v>
      </c>
      <c r="AJ146" s="345">
        <f t="shared" si="52"/>
        <v>54.5017821</v>
      </c>
      <c r="AK146" s="368">
        <f t="shared" si="68"/>
        <v>0.81413357986421619</v>
      </c>
      <c r="AL146" s="345">
        <f t="shared" si="53"/>
        <v>343.49924001631013</v>
      </c>
      <c r="AM146" s="345">
        <f t="shared" si="54"/>
        <v>58.734415599999998</v>
      </c>
      <c r="AN146" s="285">
        <f t="shared" si="55"/>
        <v>0.85477073319485097</v>
      </c>
      <c r="AO146" s="312">
        <f t="shared" si="56"/>
        <v>403.50307231196138</v>
      </c>
      <c r="AP146" s="287">
        <f t="shared" si="57"/>
        <v>-63.858974358974358</v>
      </c>
      <c r="AQ146" s="312">
        <f t="shared" si="58"/>
        <v>-114</v>
      </c>
      <c r="AR146" s="287">
        <f t="shared" si="59"/>
        <v>-58.5</v>
      </c>
      <c r="AS146" s="288">
        <f t="shared" si="60"/>
        <v>747.0023123282715</v>
      </c>
      <c r="AT146" s="364">
        <f t="shared" si="61"/>
        <v>-343.49924001631013</v>
      </c>
      <c r="AU146" s="290">
        <f t="shared" si="62"/>
        <v>279.64026565733576</v>
      </c>
      <c r="AV146" s="367"/>
      <c r="AW146" s="291">
        <f t="shared" si="63"/>
        <v>-36.60052891273358</v>
      </c>
      <c r="AX146" s="291">
        <f t="shared" si="64"/>
        <v>-21.89947108726642</v>
      </c>
      <c r="AY146" s="292">
        <f t="shared" si="40"/>
        <v>-316.93531062509533</v>
      </c>
      <c r="AZ146" s="292">
        <f t="shared" si="41"/>
        <v>-913.26406561613817</v>
      </c>
      <c r="BA146" s="294">
        <f t="shared" si="65"/>
        <v>316.93531062509533</v>
      </c>
      <c r="BB146" s="294">
        <f t="shared" si="65"/>
        <v>913.26406561613817</v>
      </c>
      <c r="BD146" s="12"/>
      <c r="DC146" s="27"/>
      <c r="EI146" s="185"/>
      <c r="EJ146" s="185"/>
    </row>
    <row r="147" spans="2:140" ht="21" customHeight="1" thickBot="1" x14ac:dyDescent="0.4">
      <c r="B147" s="409">
        <v>5</v>
      </c>
      <c r="C147" s="20"/>
      <c r="D147" s="738">
        <v>0</v>
      </c>
      <c r="E147" s="333" t="s">
        <v>126</v>
      </c>
      <c r="F147" s="81"/>
      <c r="G147" s="81"/>
      <c r="H147" s="81">
        <v>472.06</v>
      </c>
      <c r="I147" s="81">
        <v>62.531168700000002</v>
      </c>
      <c r="J147" s="81">
        <f t="shared" si="66"/>
        <v>62.531168700000002</v>
      </c>
      <c r="K147" s="81">
        <f t="shared" si="42"/>
        <v>31.265584350000001</v>
      </c>
      <c r="L147" s="81">
        <f t="shared" si="43"/>
        <v>0.51900577347391186</v>
      </c>
      <c r="M147" s="81">
        <f t="shared" si="44"/>
        <v>245.00186542609484</v>
      </c>
      <c r="N147" s="81">
        <f t="shared" si="45"/>
        <v>490.00373085218968</v>
      </c>
      <c r="O147" s="81">
        <f>+C143+D144+D145+D146+(D147/2)</f>
        <v>0</v>
      </c>
      <c r="P147" s="81">
        <f t="shared" si="46"/>
        <v>0</v>
      </c>
      <c r="Q147" s="81">
        <f t="shared" si="47"/>
        <v>0</v>
      </c>
      <c r="R147" s="81">
        <f t="shared" si="48"/>
        <v>343.49989132317432</v>
      </c>
      <c r="S147" s="81">
        <f t="shared" si="67"/>
        <v>343.49989132317432</v>
      </c>
      <c r="T147" s="81">
        <f t="shared" si="39"/>
        <v>343.49989132317432</v>
      </c>
      <c r="U147" s="81"/>
      <c r="V147" s="81">
        <f t="shared" si="49"/>
        <v>0</v>
      </c>
      <c r="W147" s="81"/>
      <c r="X147" s="81"/>
      <c r="Y147" s="81"/>
      <c r="Z147" s="81"/>
      <c r="AA147" s="81"/>
      <c r="AB147" s="81"/>
      <c r="AC147" s="457" t="b">
        <f>IF(AD147=5,AF147)</f>
        <v>0</v>
      </c>
      <c r="AD147" s="457">
        <f t="shared" si="50"/>
        <v>1</v>
      </c>
      <c r="AE147" s="457">
        <f>IF(V147=0,0,5)</f>
        <v>0</v>
      </c>
      <c r="AF147" s="282">
        <f>SUM(V147:V154)/($B$140-B146)</f>
        <v>0</v>
      </c>
      <c r="AG147" s="282"/>
      <c r="AH147" s="301">
        <f>SUM(D144:D147)+$C$143</f>
        <v>0</v>
      </c>
      <c r="AI147" s="370" t="b">
        <f t="shared" si="51"/>
        <v>0</v>
      </c>
      <c r="AJ147" s="345">
        <f t="shared" si="52"/>
        <v>54.5017821</v>
      </c>
      <c r="AK147" s="368">
        <f t="shared" si="68"/>
        <v>0.81413357986421619</v>
      </c>
      <c r="AL147" s="345">
        <f t="shared" si="53"/>
        <v>343.49924001631013</v>
      </c>
      <c r="AM147" s="345">
        <f t="shared" si="54"/>
        <v>58.734415599999998</v>
      </c>
      <c r="AN147" s="285">
        <f t="shared" si="55"/>
        <v>0.85477073319485097</v>
      </c>
      <c r="AO147" s="312">
        <f t="shared" si="56"/>
        <v>403.50307231196138</v>
      </c>
      <c r="AP147" s="287">
        <f t="shared" si="57"/>
        <v>-32.344155844155843</v>
      </c>
      <c r="AQ147" s="312">
        <f t="shared" si="58"/>
        <v>-171</v>
      </c>
      <c r="AR147" s="287">
        <f t="shared" si="59"/>
        <v>-115.5</v>
      </c>
      <c r="AS147" s="288">
        <f t="shared" si="60"/>
        <v>747.0023123282715</v>
      </c>
      <c r="AT147" s="364">
        <f t="shared" si="61"/>
        <v>-343.49924001631013</v>
      </c>
      <c r="AU147" s="290">
        <f t="shared" si="62"/>
        <v>311.15508417215426</v>
      </c>
      <c r="AV147" s="367"/>
      <c r="AW147" s="291">
        <f t="shared" si="63"/>
        <v>-67.38982466483904</v>
      </c>
      <c r="AX147" s="291">
        <f t="shared" si="64"/>
        <v>-48.110175335160967</v>
      </c>
      <c r="AY147" s="292">
        <f t="shared" si="40"/>
        <v>-172.13281170699284</v>
      </c>
      <c r="AZ147" s="292">
        <f t="shared" si="41"/>
        <v>-415.71247372659536</v>
      </c>
      <c r="BA147" s="294">
        <f t="shared" si="65"/>
        <v>172.13281170699284</v>
      </c>
      <c r="BB147" s="294">
        <f t="shared" si="65"/>
        <v>415.71247372659536</v>
      </c>
      <c r="BD147" s="12"/>
      <c r="DC147" s="27"/>
      <c r="EI147" s="185"/>
      <c r="EJ147" s="185"/>
    </row>
    <row r="148" spans="2:140" ht="21" customHeight="1" thickBot="1" x14ac:dyDescent="0.4">
      <c r="B148" s="409">
        <v>6</v>
      </c>
      <c r="C148" s="20"/>
      <c r="D148" s="738">
        <v>0</v>
      </c>
      <c r="E148" s="333" t="s">
        <v>126</v>
      </c>
      <c r="F148" s="81"/>
      <c r="G148" s="81"/>
      <c r="H148" s="81">
        <v>472.06</v>
      </c>
      <c r="I148" s="81">
        <v>62.531168700000002</v>
      </c>
      <c r="J148" s="81">
        <f t="shared" si="66"/>
        <v>62.531168700000002</v>
      </c>
      <c r="K148" s="81">
        <f t="shared" si="42"/>
        <v>31.265584350000001</v>
      </c>
      <c r="L148" s="81">
        <f t="shared" si="43"/>
        <v>0.51900577347391186</v>
      </c>
      <c r="M148" s="81">
        <f t="shared" si="44"/>
        <v>245.00186542609484</v>
      </c>
      <c r="N148" s="81">
        <f t="shared" si="45"/>
        <v>490.00373085218968</v>
      </c>
      <c r="O148" s="81">
        <f>+C143+D144+D145+D146+D147+(D148/2)</f>
        <v>0</v>
      </c>
      <c r="P148" s="81">
        <f t="shared" si="46"/>
        <v>0</v>
      </c>
      <c r="Q148" s="81">
        <f t="shared" si="47"/>
        <v>0</v>
      </c>
      <c r="R148" s="81">
        <f t="shared" si="48"/>
        <v>343.49989132317432</v>
      </c>
      <c r="S148" s="81">
        <f t="shared" si="67"/>
        <v>343.49989132317432</v>
      </c>
      <c r="T148" s="81">
        <f t="shared" si="39"/>
        <v>343.49989132317432</v>
      </c>
      <c r="U148" s="81"/>
      <c r="V148" s="81">
        <f t="shared" si="49"/>
        <v>0</v>
      </c>
      <c r="W148" s="81"/>
      <c r="X148" s="81"/>
      <c r="Y148" s="81"/>
      <c r="Z148" s="81"/>
      <c r="AA148" s="81"/>
      <c r="AB148" s="81"/>
      <c r="AC148" s="457" t="b">
        <f>IF(AD148=6,AF148)</f>
        <v>0</v>
      </c>
      <c r="AD148" s="457">
        <f t="shared" si="50"/>
        <v>1</v>
      </c>
      <c r="AE148" s="457">
        <f>IF(V148=0,0,6)</f>
        <v>0</v>
      </c>
      <c r="AF148" s="282">
        <f>SUM(V148:V154)/($B$140-B147)</f>
        <v>0</v>
      </c>
      <c r="AG148" s="282"/>
      <c r="AH148" s="301">
        <f>SUM(D144:D148)+$C$143</f>
        <v>0</v>
      </c>
      <c r="AI148" s="370" t="b">
        <f t="shared" si="51"/>
        <v>0</v>
      </c>
      <c r="AJ148" s="345">
        <f t="shared" si="52"/>
        <v>54.5017821</v>
      </c>
      <c r="AK148" s="368">
        <f t="shared" si="68"/>
        <v>0.81413357986421619</v>
      </c>
      <c r="AL148" s="345">
        <f t="shared" si="53"/>
        <v>343.49924001631013</v>
      </c>
      <c r="AM148" s="345">
        <f t="shared" si="54"/>
        <v>58.734415599999998</v>
      </c>
      <c r="AN148" s="285">
        <f t="shared" si="55"/>
        <v>0.85477073319485097</v>
      </c>
      <c r="AO148" s="312">
        <f t="shared" si="56"/>
        <v>403.50307231196138</v>
      </c>
      <c r="AP148" s="287">
        <f t="shared" si="57"/>
        <v>-21.656521739130437</v>
      </c>
      <c r="AQ148" s="312">
        <f t="shared" si="58"/>
        <v>-228</v>
      </c>
      <c r="AR148" s="287">
        <f t="shared" si="59"/>
        <v>-172.5</v>
      </c>
      <c r="AS148" s="288">
        <f t="shared" si="60"/>
        <v>747.0023123282715</v>
      </c>
      <c r="AT148" s="364">
        <f t="shared" si="61"/>
        <v>-343.49924001631013</v>
      </c>
      <c r="AU148" s="290">
        <f t="shared" si="62"/>
        <v>321.8427182771797</v>
      </c>
      <c r="AV148" s="367"/>
      <c r="AW148" s="291">
        <f t="shared" si="63"/>
        <v>-98.179120416944485</v>
      </c>
      <c r="AX148" s="291">
        <f t="shared" si="64"/>
        <v>-74.320879583055529</v>
      </c>
      <c r="AY148" s="292">
        <f t="shared" si="40"/>
        <v>-118.15139462176303</v>
      </c>
      <c r="AZ148" s="292">
        <f t="shared" si="41"/>
        <v>-269.10338134049499</v>
      </c>
      <c r="BA148" s="294">
        <f t="shared" si="65"/>
        <v>118.15139462176303</v>
      </c>
      <c r="BB148" s="294">
        <f t="shared" si="65"/>
        <v>269.10338134049499</v>
      </c>
      <c r="BD148" s="12"/>
      <c r="DC148" s="27"/>
      <c r="EI148" s="185"/>
      <c r="EJ148" s="185"/>
    </row>
    <row r="149" spans="2:140" ht="21" customHeight="1" thickBot="1" x14ac:dyDescent="0.4">
      <c r="B149" s="409">
        <v>7</v>
      </c>
      <c r="C149" s="20"/>
      <c r="D149" s="738">
        <v>0</v>
      </c>
      <c r="E149" s="333" t="s">
        <v>126</v>
      </c>
      <c r="F149" s="81"/>
      <c r="G149" s="81"/>
      <c r="H149" s="81">
        <v>472.06</v>
      </c>
      <c r="I149" s="81">
        <v>62.531168700000002</v>
      </c>
      <c r="J149" s="81">
        <f t="shared" si="66"/>
        <v>62.531168700000002</v>
      </c>
      <c r="K149" s="81">
        <f t="shared" si="42"/>
        <v>31.265584350000001</v>
      </c>
      <c r="L149" s="81">
        <f t="shared" si="43"/>
        <v>0.51900577347391186</v>
      </c>
      <c r="M149" s="81">
        <f t="shared" si="44"/>
        <v>245.00186542609484</v>
      </c>
      <c r="N149" s="81">
        <f t="shared" si="45"/>
        <v>490.00373085218968</v>
      </c>
      <c r="O149" s="81">
        <f>+C143+D144+D145+D146+D147+D148+(D149/2)</f>
        <v>0</v>
      </c>
      <c r="P149" s="81">
        <f t="shared" si="46"/>
        <v>0</v>
      </c>
      <c r="Q149" s="81">
        <f t="shared" si="47"/>
        <v>0</v>
      </c>
      <c r="R149" s="81">
        <f t="shared" si="48"/>
        <v>343.49989132317432</v>
      </c>
      <c r="S149" s="81">
        <f t="shared" si="67"/>
        <v>343.49989132317432</v>
      </c>
      <c r="T149" s="81">
        <f t="shared" si="39"/>
        <v>343.49989132317432</v>
      </c>
      <c r="U149" s="81"/>
      <c r="V149" s="81">
        <f t="shared" si="49"/>
        <v>0</v>
      </c>
      <c r="W149" s="81"/>
      <c r="X149" s="81"/>
      <c r="Y149" s="81"/>
      <c r="Z149" s="81"/>
      <c r="AA149" s="81"/>
      <c r="AB149" s="81"/>
      <c r="AC149" s="457" t="b">
        <f>IF(AD149=7,AF149)</f>
        <v>0</v>
      </c>
      <c r="AD149" s="457">
        <f t="shared" si="50"/>
        <v>1</v>
      </c>
      <c r="AE149" s="457">
        <f>IF(V149=0,0,7)</f>
        <v>0</v>
      </c>
      <c r="AF149" s="282">
        <f>SUM(V149:V154)/($B$140-B148)</f>
        <v>0</v>
      </c>
      <c r="AG149" s="282"/>
      <c r="AH149" s="301">
        <f>SUM(D144:D149)+$C$143</f>
        <v>0</v>
      </c>
      <c r="AI149" s="370" t="b">
        <f t="shared" si="51"/>
        <v>0</v>
      </c>
      <c r="AJ149" s="345">
        <f t="shared" si="52"/>
        <v>54.5017821</v>
      </c>
      <c r="AK149" s="368">
        <f t="shared" si="68"/>
        <v>0.81413357986421619</v>
      </c>
      <c r="AL149" s="345">
        <f t="shared" si="53"/>
        <v>343.49924001631013</v>
      </c>
      <c r="AM149" s="345">
        <f t="shared" si="54"/>
        <v>58.734415599999998</v>
      </c>
      <c r="AN149" s="285">
        <f t="shared" si="55"/>
        <v>0.85477073319485097</v>
      </c>
      <c r="AO149" s="312">
        <f t="shared" si="56"/>
        <v>403.50307231196138</v>
      </c>
      <c r="AP149" s="287">
        <f t="shared" si="57"/>
        <v>-16.277777777777779</v>
      </c>
      <c r="AQ149" s="312">
        <f t="shared" si="58"/>
        <v>-285</v>
      </c>
      <c r="AR149" s="287">
        <f t="shared" si="59"/>
        <v>-229.5</v>
      </c>
      <c r="AS149" s="288">
        <f t="shared" si="60"/>
        <v>747.0023123282715</v>
      </c>
      <c r="AT149" s="364">
        <f t="shared" si="61"/>
        <v>-343.49924001631013</v>
      </c>
      <c r="AU149" s="290">
        <f t="shared" si="62"/>
        <v>327.22146223853235</v>
      </c>
      <c r="AV149" s="367"/>
      <c r="AW149" s="291">
        <f t="shared" si="63"/>
        <v>-128.96841616904993</v>
      </c>
      <c r="AX149" s="291">
        <f t="shared" si="64"/>
        <v>-100.53158383095007</v>
      </c>
      <c r="AY149" s="292">
        <f t="shared" si="40"/>
        <v>-89.944502263212172</v>
      </c>
      <c r="AZ149" s="292">
        <f t="shared" si="41"/>
        <v>-198.94245408120904</v>
      </c>
      <c r="BA149" s="294">
        <f t="shared" si="65"/>
        <v>89.944502263212172</v>
      </c>
      <c r="BB149" s="294">
        <f t="shared" si="65"/>
        <v>198.94245408120904</v>
      </c>
      <c r="BD149" s="12"/>
      <c r="DC149" s="27"/>
      <c r="EI149" s="185"/>
      <c r="EJ149" s="185"/>
    </row>
    <row r="150" spans="2:140" ht="21" customHeight="1" thickBot="1" x14ac:dyDescent="0.4">
      <c r="B150" s="409">
        <v>8</v>
      </c>
      <c r="C150" s="20"/>
      <c r="D150" s="738">
        <v>0</v>
      </c>
      <c r="E150" s="333" t="s">
        <v>126</v>
      </c>
      <c r="F150" s="81"/>
      <c r="G150" s="81"/>
      <c r="H150" s="81">
        <v>472.06</v>
      </c>
      <c r="I150" s="81">
        <v>62.531168700000002</v>
      </c>
      <c r="J150" s="81">
        <f t="shared" si="66"/>
        <v>62.531168700000002</v>
      </c>
      <c r="K150" s="81">
        <f t="shared" si="42"/>
        <v>31.265584350000001</v>
      </c>
      <c r="L150" s="81">
        <f t="shared" si="43"/>
        <v>0.51900577347391186</v>
      </c>
      <c r="M150" s="81">
        <f t="shared" si="44"/>
        <v>245.00186542609484</v>
      </c>
      <c r="N150" s="81">
        <f t="shared" si="45"/>
        <v>490.00373085218968</v>
      </c>
      <c r="O150" s="81">
        <f>+C143+D144+D145+D146+D147+D148+D149+(D150/2)</f>
        <v>0</v>
      </c>
      <c r="P150" s="81">
        <f t="shared" si="46"/>
        <v>0</v>
      </c>
      <c r="Q150" s="81">
        <f t="shared" si="47"/>
        <v>0</v>
      </c>
      <c r="R150" s="81">
        <f t="shared" si="48"/>
        <v>343.49989132317432</v>
      </c>
      <c r="S150" s="81">
        <f t="shared" si="67"/>
        <v>343.49989132317432</v>
      </c>
      <c r="T150" s="81">
        <f t="shared" si="39"/>
        <v>343.49989132317432</v>
      </c>
      <c r="U150" s="81"/>
      <c r="V150" s="81">
        <f t="shared" si="49"/>
        <v>0</v>
      </c>
      <c r="W150" s="81"/>
      <c r="X150" s="81"/>
      <c r="Y150" s="81"/>
      <c r="Z150" s="81"/>
      <c r="AA150" s="81"/>
      <c r="AB150" s="81"/>
      <c r="AC150" s="457" t="b">
        <f>IF(AD150=8,AF150)</f>
        <v>0</v>
      </c>
      <c r="AD150" s="457">
        <f t="shared" si="50"/>
        <v>1</v>
      </c>
      <c r="AE150" s="457">
        <f>IF(V150=0,0,8)</f>
        <v>0</v>
      </c>
      <c r="AF150" s="282">
        <f>SUM(V150:V154)/($B$140-B149)</f>
        <v>0</v>
      </c>
      <c r="AG150" s="282"/>
      <c r="AH150" s="301">
        <f>SUM(D144:D150)+$C$143</f>
        <v>0</v>
      </c>
      <c r="AI150" s="370" t="b">
        <f t="shared" si="51"/>
        <v>0</v>
      </c>
      <c r="AJ150" s="345">
        <f t="shared" si="52"/>
        <v>54.5017821</v>
      </c>
      <c r="AK150" s="368">
        <f t="shared" si="68"/>
        <v>0.81413357986421619</v>
      </c>
      <c r="AL150" s="345">
        <f t="shared" si="53"/>
        <v>343.49924001631013</v>
      </c>
      <c r="AM150" s="345">
        <f t="shared" si="54"/>
        <v>58.734415599999998</v>
      </c>
      <c r="AN150" s="285">
        <f t="shared" si="55"/>
        <v>0.85477073319485097</v>
      </c>
      <c r="AO150" s="312">
        <f t="shared" si="56"/>
        <v>403.50307231196138</v>
      </c>
      <c r="AP150" s="287">
        <f t="shared" si="57"/>
        <v>-13.039267015706807</v>
      </c>
      <c r="AQ150" s="312">
        <f t="shared" si="58"/>
        <v>-342</v>
      </c>
      <c r="AR150" s="287">
        <f t="shared" si="59"/>
        <v>-286.5</v>
      </c>
      <c r="AS150" s="288">
        <f t="shared" si="60"/>
        <v>747.0023123282715</v>
      </c>
      <c r="AT150" s="364">
        <f t="shared" si="61"/>
        <v>-343.49924001631013</v>
      </c>
      <c r="AU150" s="290">
        <f t="shared" si="62"/>
        <v>330.45997300060333</v>
      </c>
      <c r="AV150" s="367"/>
      <c r="AW150" s="291">
        <f t="shared" si="63"/>
        <v>-159.75771192115536</v>
      </c>
      <c r="AX150" s="291">
        <f t="shared" si="64"/>
        <v>-126.74228807884462</v>
      </c>
      <c r="AY150" s="292">
        <f t="shared" si="40"/>
        <v>-72.60995328804475</v>
      </c>
      <c r="AZ150" s="292">
        <f t="shared" si="41"/>
        <v>-157.80052816750694</v>
      </c>
      <c r="BA150" s="294">
        <f t="shared" si="65"/>
        <v>72.60995328804475</v>
      </c>
      <c r="BB150" s="294">
        <f t="shared" si="65"/>
        <v>157.80052816750694</v>
      </c>
      <c r="BD150" s="12"/>
      <c r="DC150" s="27"/>
      <c r="EI150" s="185"/>
      <c r="EJ150" s="185"/>
    </row>
    <row r="151" spans="2:140" ht="21" customHeight="1" thickBot="1" x14ac:dyDescent="0.4">
      <c r="B151" s="409">
        <v>9</v>
      </c>
      <c r="C151" s="20"/>
      <c r="D151" s="738">
        <v>0</v>
      </c>
      <c r="E151" s="333" t="s">
        <v>126</v>
      </c>
      <c r="F151" s="81"/>
      <c r="G151" s="81"/>
      <c r="H151" s="81">
        <v>472.06</v>
      </c>
      <c r="I151" s="81">
        <v>62.531168700000002</v>
      </c>
      <c r="J151" s="81">
        <f t="shared" si="66"/>
        <v>62.531168700000002</v>
      </c>
      <c r="K151" s="81">
        <f t="shared" si="42"/>
        <v>31.265584350000001</v>
      </c>
      <c r="L151" s="81">
        <f t="shared" si="43"/>
        <v>0.51900577347391186</v>
      </c>
      <c r="M151" s="81">
        <f t="shared" si="44"/>
        <v>245.00186542609484</v>
      </c>
      <c r="N151" s="81">
        <f t="shared" si="45"/>
        <v>490.00373085218968</v>
      </c>
      <c r="O151" s="81">
        <f>+C143+D144+D145+D146+D147+D148+D149+D150+(D151/2)</f>
        <v>0</v>
      </c>
      <c r="P151" s="81">
        <f t="shared" si="46"/>
        <v>0</v>
      </c>
      <c r="Q151" s="81">
        <f t="shared" si="47"/>
        <v>0</v>
      </c>
      <c r="R151" s="81">
        <f t="shared" si="48"/>
        <v>343.49989132317432</v>
      </c>
      <c r="S151" s="81">
        <f t="shared" si="67"/>
        <v>343.49989132317432</v>
      </c>
      <c r="T151" s="81">
        <f t="shared" si="39"/>
        <v>343.49989132317432</v>
      </c>
      <c r="U151" s="81"/>
      <c r="V151" s="81">
        <f t="shared" si="49"/>
        <v>0</v>
      </c>
      <c r="W151" s="81"/>
      <c r="X151" s="81"/>
      <c r="Y151" s="81"/>
      <c r="Z151" s="81"/>
      <c r="AA151" s="81"/>
      <c r="AB151" s="81"/>
      <c r="AC151" s="457" t="b">
        <f>IF(AD151=9,AF151)</f>
        <v>0</v>
      </c>
      <c r="AD151" s="457">
        <f t="shared" si="50"/>
        <v>1</v>
      </c>
      <c r="AE151" s="457">
        <f>IF(V151=0,0,9)</f>
        <v>0</v>
      </c>
      <c r="AF151" s="282">
        <f>SUM(V151:V154)/($B$140-B150)</f>
        <v>0</v>
      </c>
      <c r="AG151" s="282"/>
      <c r="AH151" s="301">
        <f>SUM(D144:D151)+$C$143</f>
        <v>0</v>
      </c>
      <c r="AI151" s="370" t="b">
        <f t="shared" si="51"/>
        <v>0</v>
      </c>
      <c r="AJ151" s="345">
        <f t="shared" si="52"/>
        <v>54.5017821</v>
      </c>
      <c r="AK151" s="368">
        <f t="shared" si="68"/>
        <v>0.81413357986421619</v>
      </c>
      <c r="AL151" s="345">
        <f t="shared" si="53"/>
        <v>343.49924001631013</v>
      </c>
      <c r="AM151" s="345">
        <f t="shared" si="54"/>
        <v>58.734415599999998</v>
      </c>
      <c r="AN151" s="285">
        <f t="shared" si="55"/>
        <v>0.85477073319485097</v>
      </c>
      <c r="AO151" s="312">
        <f t="shared" si="56"/>
        <v>403.50307231196138</v>
      </c>
      <c r="AP151" s="287">
        <f t="shared" si="57"/>
        <v>-10.875545851528384</v>
      </c>
      <c r="AQ151" s="312">
        <f t="shared" si="58"/>
        <v>-399</v>
      </c>
      <c r="AR151" s="287">
        <f t="shared" si="59"/>
        <v>-343.5</v>
      </c>
      <c r="AS151" s="288">
        <f t="shared" si="60"/>
        <v>747.0023123282715</v>
      </c>
      <c r="AT151" s="364">
        <f t="shared" si="61"/>
        <v>-343.49924001631013</v>
      </c>
      <c r="AU151" s="290">
        <f t="shared" si="62"/>
        <v>332.62369416478174</v>
      </c>
      <c r="AV151" s="367"/>
      <c r="AW151" s="291">
        <f t="shared" si="63"/>
        <v>-190.54700767326082</v>
      </c>
      <c r="AX151" s="291">
        <f t="shared" si="64"/>
        <v>-152.95299232673918</v>
      </c>
      <c r="AY151" s="292">
        <f t="shared" si="40"/>
        <v>-60.877366386624246</v>
      </c>
      <c r="AZ151" s="292">
        <f t="shared" si="41"/>
        <v>-130.75912864310538</v>
      </c>
      <c r="BA151" s="294">
        <f t="shared" si="65"/>
        <v>60.877366386624246</v>
      </c>
      <c r="BB151" s="294">
        <f t="shared" si="65"/>
        <v>130.75912864310538</v>
      </c>
      <c r="BD151" s="12"/>
      <c r="DC151" s="27"/>
      <c r="EI151" s="185"/>
      <c r="EJ151" s="185"/>
    </row>
    <row r="152" spans="2:140" ht="21" customHeight="1" thickBot="1" x14ac:dyDescent="0.4">
      <c r="B152" s="409">
        <v>10</v>
      </c>
      <c r="C152" s="20"/>
      <c r="D152" s="738">
        <v>0</v>
      </c>
      <c r="E152" s="333" t="s">
        <v>126</v>
      </c>
      <c r="F152" s="81"/>
      <c r="G152" s="81"/>
      <c r="H152" s="81">
        <v>472.06</v>
      </c>
      <c r="I152" s="81">
        <v>62.531168700000002</v>
      </c>
      <c r="J152" s="81">
        <f t="shared" si="66"/>
        <v>62.531168700000002</v>
      </c>
      <c r="K152" s="81">
        <f t="shared" si="42"/>
        <v>31.265584350000001</v>
      </c>
      <c r="L152" s="81">
        <f t="shared" si="43"/>
        <v>0.51900577347391186</v>
      </c>
      <c r="M152" s="81">
        <f>+L152*H152</f>
        <v>245.00186542609484</v>
      </c>
      <c r="N152" s="81">
        <f t="shared" si="45"/>
        <v>490.00373085218968</v>
      </c>
      <c r="O152" s="81">
        <f>+C143+D144+D145+D146+D147+D148+D149+D150+D151+(D152/2)</f>
        <v>0</v>
      </c>
      <c r="P152" s="81">
        <f t="shared" si="46"/>
        <v>0</v>
      </c>
      <c r="Q152" s="81">
        <f t="shared" si="47"/>
        <v>0</v>
      </c>
      <c r="R152" s="81">
        <f t="shared" si="48"/>
        <v>343.49989132317432</v>
      </c>
      <c r="S152" s="81">
        <f t="shared" si="67"/>
        <v>343.49989132317432</v>
      </c>
      <c r="T152" s="81">
        <f t="shared" si="39"/>
        <v>343.49989132317432</v>
      </c>
      <c r="U152" s="81"/>
      <c r="V152" s="81">
        <f t="shared" si="49"/>
        <v>0</v>
      </c>
      <c r="W152" s="81"/>
      <c r="X152" s="81"/>
      <c r="Y152" s="81"/>
      <c r="Z152" s="81"/>
      <c r="AA152" s="81"/>
      <c r="AB152" s="81"/>
      <c r="AC152" s="457" t="b">
        <f>IF(AD152=10,AF152)</f>
        <v>0</v>
      </c>
      <c r="AD152" s="457">
        <f t="shared" si="50"/>
        <v>1</v>
      </c>
      <c r="AE152" s="457">
        <f>IF(V152=0,0,10)</f>
        <v>0</v>
      </c>
      <c r="AF152" s="282">
        <f>SUM(V152:V154)/($B$140-B151)</f>
        <v>0</v>
      </c>
      <c r="AG152" s="282"/>
      <c r="AH152" s="301">
        <f>SUM(D144:D152)+$C$143</f>
        <v>0</v>
      </c>
      <c r="AI152" s="370" t="b">
        <f t="shared" si="51"/>
        <v>0</v>
      </c>
      <c r="AJ152" s="345">
        <f t="shared" si="52"/>
        <v>54.5017821</v>
      </c>
      <c r="AK152" s="368">
        <f t="shared" si="68"/>
        <v>0.81413357986421619</v>
      </c>
      <c r="AL152" s="345">
        <f t="shared" si="53"/>
        <v>343.49924001631013</v>
      </c>
      <c r="AM152" s="345">
        <f t="shared" si="54"/>
        <v>58.734415599999998</v>
      </c>
      <c r="AN152" s="285">
        <f t="shared" si="55"/>
        <v>0.85477073319485097</v>
      </c>
      <c r="AO152" s="312">
        <f t="shared" si="56"/>
        <v>403.50307231196138</v>
      </c>
      <c r="AP152" s="287">
        <f t="shared" si="57"/>
        <v>-9.3277153558052426</v>
      </c>
      <c r="AQ152" s="312">
        <f t="shared" si="58"/>
        <v>-456</v>
      </c>
      <c r="AR152" s="287">
        <f t="shared" si="59"/>
        <v>-400.5</v>
      </c>
      <c r="AS152" s="288">
        <f t="shared" si="60"/>
        <v>747.0023123282715</v>
      </c>
      <c r="AT152" s="364">
        <f t="shared" si="61"/>
        <v>-343.49924001631013</v>
      </c>
      <c r="AU152" s="290">
        <f t="shared" si="62"/>
        <v>334.17152466050487</v>
      </c>
      <c r="AV152" s="367"/>
      <c r="AW152" s="291">
        <f t="shared" si="63"/>
        <v>-221.33630342536628</v>
      </c>
      <c r="AX152" s="291">
        <f t="shared" si="64"/>
        <v>-179.16369657463372</v>
      </c>
      <c r="AY152" s="292">
        <f t="shared" si="40"/>
        <v>-52.408935273970876</v>
      </c>
      <c r="AZ152" s="292">
        <f t="shared" si="41"/>
        <v>-111.6297574920188</v>
      </c>
      <c r="BA152" s="294">
        <f t="shared" si="65"/>
        <v>52.408935273970876</v>
      </c>
      <c r="BB152" s="294">
        <f t="shared" si="65"/>
        <v>111.6297574920188</v>
      </c>
      <c r="BD152" s="12"/>
      <c r="DC152" s="27"/>
      <c r="EI152" s="185"/>
      <c r="EJ152" s="185"/>
    </row>
    <row r="153" spans="2:140" ht="21" customHeight="1" thickBot="1" x14ac:dyDescent="0.4">
      <c r="B153" s="409">
        <v>11</v>
      </c>
      <c r="C153" s="20"/>
      <c r="D153" s="738">
        <v>0</v>
      </c>
      <c r="E153" s="333" t="s">
        <v>126</v>
      </c>
      <c r="F153" s="81"/>
      <c r="G153" s="81"/>
      <c r="H153" s="81">
        <v>472.06</v>
      </c>
      <c r="I153" s="81">
        <v>62.531168700000002</v>
      </c>
      <c r="J153" s="81">
        <f t="shared" si="66"/>
        <v>62.531168700000002</v>
      </c>
      <c r="K153" s="81">
        <f t="shared" si="42"/>
        <v>31.265584350000001</v>
      </c>
      <c r="L153" s="81">
        <f t="shared" si="43"/>
        <v>0.51900577347391186</v>
      </c>
      <c r="M153" s="81">
        <f t="shared" si="44"/>
        <v>245.00186542609484</v>
      </c>
      <c r="N153" s="81">
        <f t="shared" si="45"/>
        <v>490.00373085218968</v>
      </c>
      <c r="O153" s="81">
        <f>+C143+D144+D145+D146+D147+D148+D149+D150+D151+D152+(D153/2)</f>
        <v>0</v>
      </c>
      <c r="P153" s="81">
        <f t="shared" si="46"/>
        <v>0</v>
      </c>
      <c r="Q153" s="81">
        <f t="shared" si="47"/>
        <v>0</v>
      </c>
      <c r="R153" s="81">
        <f t="shared" si="48"/>
        <v>343.49989132317432</v>
      </c>
      <c r="S153" s="81">
        <f t="shared" si="67"/>
        <v>343.49989132317432</v>
      </c>
      <c r="T153" s="81">
        <f t="shared" si="39"/>
        <v>343.49989132317432</v>
      </c>
      <c r="U153" s="81"/>
      <c r="V153" s="81">
        <f t="shared" si="49"/>
        <v>0</v>
      </c>
      <c r="W153" s="81"/>
      <c r="X153" s="81"/>
      <c r="Y153" s="81"/>
      <c r="Z153" s="81"/>
      <c r="AA153" s="81"/>
      <c r="AB153" s="81"/>
      <c r="AC153" s="457" t="b">
        <f>IF(AD153=11,AF153)</f>
        <v>0</v>
      </c>
      <c r="AD153" s="457">
        <f t="shared" si="50"/>
        <v>1</v>
      </c>
      <c r="AE153" s="457">
        <f>IF(V153=0,0,11)</f>
        <v>0</v>
      </c>
      <c r="AF153" s="282">
        <f>SUM(V153:V154)/($B$140-B152)</f>
        <v>0</v>
      </c>
      <c r="AG153" s="282"/>
      <c r="AH153" s="301">
        <f>SUM(D144:D153)+$C$143</f>
        <v>0</v>
      </c>
      <c r="AI153" s="370" t="b">
        <f t="shared" si="51"/>
        <v>0</v>
      </c>
      <c r="AJ153" s="345">
        <f t="shared" si="52"/>
        <v>54.5017821</v>
      </c>
      <c r="AK153" s="368">
        <f t="shared" si="68"/>
        <v>0.81413357986421619</v>
      </c>
      <c r="AL153" s="345">
        <f t="shared" si="53"/>
        <v>343.49924001631013</v>
      </c>
      <c r="AM153" s="345">
        <f t="shared" si="54"/>
        <v>58.734415599999998</v>
      </c>
      <c r="AN153" s="285">
        <f t="shared" si="55"/>
        <v>0.85477073319485097</v>
      </c>
      <c r="AO153" s="312">
        <f t="shared" si="56"/>
        <v>403.50307231196138</v>
      </c>
      <c r="AP153" s="287">
        <f t="shared" si="57"/>
        <v>-8.1655737704918039</v>
      </c>
      <c r="AQ153" s="312">
        <f t="shared" si="58"/>
        <v>-513</v>
      </c>
      <c r="AR153" s="287">
        <f t="shared" si="59"/>
        <v>-457.5</v>
      </c>
      <c r="AS153" s="288">
        <f t="shared" si="60"/>
        <v>747.0023123282715</v>
      </c>
      <c r="AT153" s="364">
        <f t="shared" si="61"/>
        <v>-343.49924001631013</v>
      </c>
      <c r="AU153" s="290">
        <f t="shared" si="62"/>
        <v>335.33366624581834</v>
      </c>
      <c r="AV153" s="367"/>
      <c r="AW153" s="291">
        <f t="shared" si="63"/>
        <v>-252.12559917747171</v>
      </c>
      <c r="AX153" s="291">
        <f t="shared" si="64"/>
        <v>-205.37440082252829</v>
      </c>
      <c r="AY153" s="292">
        <f t="shared" si="40"/>
        <v>-46.008814804381437</v>
      </c>
      <c r="AZ153" s="292">
        <f t="shared" si="41"/>
        <v>-97.383120388420508</v>
      </c>
      <c r="BA153" s="294">
        <f t="shared" si="65"/>
        <v>46.008814804381437</v>
      </c>
      <c r="BB153" s="294">
        <f t="shared" si="65"/>
        <v>97.383120388420508</v>
      </c>
      <c r="BD153" s="12"/>
      <c r="DC153" s="27"/>
      <c r="EI153" s="185"/>
      <c r="EJ153" s="185"/>
    </row>
    <row r="154" spans="2:140" ht="21" customHeight="1" thickBot="1" x14ac:dyDescent="0.4">
      <c r="B154" s="409">
        <v>12</v>
      </c>
      <c r="C154" s="20"/>
      <c r="D154" s="738">
        <v>0</v>
      </c>
      <c r="E154" s="333" t="s">
        <v>126</v>
      </c>
      <c r="F154" s="81"/>
      <c r="G154" s="81"/>
      <c r="H154" s="81">
        <v>472.06</v>
      </c>
      <c r="I154" s="81">
        <v>62.531168700000002</v>
      </c>
      <c r="J154" s="81">
        <f t="shared" si="66"/>
        <v>62.531168700000002</v>
      </c>
      <c r="K154" s="81">
        <f t="shared" si="42"/>
        <v>31.265584350000001</v>
      </c>
      <c r="L154" s="81">
        <f t="shared" si="43"/>
        <v>0.51900577347391186</v>
      </c>
      <c r="M154" s="81">
        <f t="shared" si="44"/>
        <v>245.00186542609484</v>
      </c>
      <c r="N154" s="81">
        <f t="shared" si="45"/>
        <v>490.00373085218968</v>
      </c>
      <c r="O154" s="81">
        <f>+C143+D144+D145+D146+D147+D148+D149+D150+D151+D152+D153+(D154/2)</f>
        <v>0</v>
      </c>
      <c r="P154" s="81">
        <f t="shared" si="46"/>
        <v>0</v>
      </c>
      <c r="Q154" s="81">
        <f t="shared" si="47"/>
        <v>0</v>
      </c>
      <c r="R154" s="81">
        <f t="shared" si="48"/>
        <v>343.49989132317432</v>
      </c>
      <c r="S154" s="81">
        <f t="shared" si="67"/>
        <v>343.49989132317432</v>
      </c>
      <c r="T154" s="81">
        <f t="shared" si="39"/>
        <v>343.49989132317432</v>
      </c>
      <c r="U154" s="81"/>
      <c r="V154" s="81">
        <f t="shared" si="49"/>
        <v>0</v>
      </c>
      <c r="W154" s="81"/>
      <c r="X154" s="81"/>
      <c r="Y154" s="81"/>
      <c r="Z154" s="81"/>
      <c r="AA154" s="81"/>
      <c r="AB154" s="81"/>
      <c r="AC154" s="457" t="b">
        <f>IF(AD154=12,AF154)</f>
        <v>0</v>
      </c>
      <c r="AD154" s="457">
        <f t="shared" si="50"/>
        <v>1</v>
      </c>
      <c r="AE154" s="457">
        <f>IF(V154=0,0,12)</f>
        <v>0</v>
      </c>
      <c r="AF154" s="282">
        <f>SUM(V154)/($B$140-B153)</f>
        <v>0</v>
      </c>
      <c r="AG154" s="282"/>
      <c r="AH154" s="301">
        <f>SUM(D144:D154)+$C$143</f>
        <v>0</v>
      </c>
      <c r="AI154" s="370" t="b">
        <f t="shared" si="51"/>
        <v>0</v>
      </c>
      <c r="AJ154" s="345">
        <f t="shared" si="52"/>
        <v>54.5017821</v>
      </c>
      <c r="AK154" s="368">
        <f t="shared" si="68"/>
        <v>0.81413357986421619</v>
      </c>
      <c r="AL154" s="345">
        <f t="shared" si="53"/>
        <v>343.49924001631013</v>
      </c>
      <c r="AM154" s="345">
        <f t="shared" si="54"/>
        <v>58.734415599999998</v>
      </c>
      <c r="AN154" s="285">
        <f t="shared" si="55"/>
        <v>0.85477073319485097</v>
      </c>
      <c r="AO154" s="312">
        <f t="shared" si="56"/>
        <v>403.50307231196138</v>
      </c>
      <c r="AP154" s="287">
        <f t="shared" si="57"/>
        <v>-7.2609329446064139</v>
      </c>
      <c r="AQ154" s="312">
        <f t="shared" si="58"/>
        <v>-570</v>
      </c>
      <c r="AR154" s="287">
        <f t="shared" si="59"/>
        <v>-514.5</v>
      </c>
      <c r="AS154" s="288">
        <f t="shared" si="60"/>
        <v>747.0023123282715</v>
      </c>
      <c r="AT154" s="364">
        <f t="shared" si="61"/>
        <v>-343.49924001631013</v>
      </c>
      <c r="AU154" s="290">
        <f t="shared" si="62"/>
        <v>336.23830707170373</v>
      </c>
      <c r="AV154" s="367"/>
      <c r="AW154" s="291">
        <f t="shared" si="63"/>
        <v>-282.9148949295772</v>
      </c>
      <c r="AX154" s="291">
        <f t="shared" si="64"/>
        <v>-231.58510507042283</v>
      </c>
      <c r="AY154" s="292">
        <f t="shared" si="40"/>
        <v>-41.0017295232457</v>
      </c>
      <c r="AZ154" s="292">
        <f t="shared" si="41"/>
        <v>-86.361340008970743</v>
      </c>
      <c r="BA154" s="294">
        <f t="shared" si="65"/>
        <v>41.0017295232457</v>
      </c>
      <c r="BB154" s="294">
        <f t="shared" si="65"/>
        <v>86.361340008970743</v>
      </c>
      <c r="BD154" s="12"/>
      <c r="DC154" s="27"/>
      <c r="EI154" s="185"/>
      <c r="EJ154" s="185"/>
    </row>
    <row r="155" spans="2:140" ht="21" x14ac:dyDescent="0.4">
      <c r="B155" s="24"/>
      <c r="C155" s="24"/>
      <c r="D155" s="15"/>
      <c r="E155" s="15"/>
      <c r="F155" s="15"/>
      <c r="G155" s="15"/>
      <c r="H155" s="244"/>
      <c r="I155" s="244"/>
      <c r="J155" s="244"/>
      <c r="K155" s="244"/>
      <c r="L155" s="244"/>
      <c r="M155" s="244"/>
      <c r="N155" s="244"/>
      <c r="O155" s="244"/>
      <c r="P155" s="244"/>
      <c r="Q155" s="244"/>
      <c r="R155" s="244"/>
      <c r="S155" s="244"/>
      <c r="T155" s="244"/>
      <c r="U155" s="12"/>
      <c r="V155" s="244"/>
      <c r="W155" s="244"/>
      <c r="X155" s="244"/>
      <c r="Y155" s="244"/>
      <c r="Z155" s="244"/>
      <c r="AA155" s="244"/>
      <c r="AB155" s="244"/>
      <c r="AC155" s="244"/>
      <c r="AD155" s="244"/>
      <c r="AE155" s="244"/>
      <c r="AF155" s="244"/>
      <c r="AG155" s="244"/>
      <c r="AH155" s="413" t="s">
        <v>125</v>
      </c>
      <c r="AI155" s="414">
        <f>MAX(AI143:AI154)</f>
        <v>0</v>
      </c>
      <c r="AJ155" s="244"/>
      <c r="AK155" s="244"/>
      <c r="AL155" s="244"/>
      <c r="AM155" s="244"/>
      <c r="AN155" s="244"/>
      <c r="AO155" s="244"/>
      <c r="AP155" s="244"/>
      <c r="AQ155" s="244"/>
      <c r="AR155" s="244"/>
      <c r="AS155" s="244"/>
      <c r="AT155" s="244"/>
      <c r="AU155" s="244"/>
      <c r="AV155" s="244"/>
      <c r="AW155" s="244"/>
      <c r="AX155" s="244"/>
      <c r="AY155" s="244"/>
      <c r="AZ155" s="244"/>
      <c r="BA155" s="244"/>
      <c r="BB155" s="244"/>
      <c r="BC155" s="7"/>
      <c r="BD155" s="12"/>
      <c r="DC155" s="27"/>
      <c r="EI155" s="185"/>
      <c r="EJ155" s="185"/>
    </row>
    <row r="156" spans="2:140" ht="18.600000000000001" hidden="1" thickBot="1" x14ac:dyDescent="0.4">
      <c r="B156" s="125"/>
      <c r="C156" s="24"/>
      <c r="D156" s="15"/>
      <c r="E156" s="15"/>
      <c r="F156" s="15"/>
      <c r="G156" s="15"/>
      <c r="H156" s="244"/>
      <c r="I156" s="244"/>
      <c r="J156" s="244"/>
      <c r="K156" s="244"/>
      <c r="L156" s="244"/>
      <c r="M156" s="244"/>
      <c r="N156" s="244"/>
      <c r="O156" s="244"/>
      <c r="P156" s="244"/>
      <c r="Q156" s="244"/>
      <c r="R156" s="244"/>
      <c r="S156" s="244"/>
      <c r="T156" s="244"/>
      <c r="U156" s="12"/>
      <c r="V156" s="244"/>
      <c r="W156" s="244"/>
      <c r="X156" s="244"/>
      <c r="Y156" s="244"/>
      <c r="Z156" s="244"/>
      <c r="AA156" s="244"/>
      <c r="AB156" s="244"/>
      <c r="AC156" s="244"/>
      <c r="AD156" s="244"/>
      <c r="AE156" s="244"/>
      <c r="AF156" s="244"/>
      <c r="AG156" s="244"/>
      <c r="AH156" s="244"/>
      <c r="AI156" s="244"/>
      <c r="AJ156" s="244"/>
      <c r="AK156" s="244"/>
      <c r="AL156" s="244"/>
      <c r="AM156" s="244"/>
      <c r="AN156" s="244"/>
      <c r="AO156" s="244"/>
      <c r="AP156" s="244"/>
      <c r="AQ156" s="244"/>
      <c r="AR156" s="244"/>
      <c r="AS156" s="244"/>
      <c r="AT156" s="244"/>
      <c r="AU156" s="244"/>
      <c r="AV156" s="244"/>
      <c r="AW156" s="244"/>
      <c r="AX156" s="244"/>
      <c r="AY156" s="244"/>
      <c r="AZ156" s="244"/>
      <c r="BA156" s="244"/>
      <c r="BB156" s="244"/>
      <c r="BC156" s="7"/>
      <c r="BD156" s="12"/>
    </row>
    <row r="157" spans="2:140" ht="21.6" hidden="1" thickBot="1" x14ac:dyDescent="0.45">
      <c r="B157" s="125"/>
      <c r="AB157" s="272"/>
      <c r="AC157" s="272"/>
      <c r="AD157" s="272"/>
      <c r="AE157" s="272"/>
      <c r="AH157" s="372" t="s">
        <v>125</v>
      </c>
      <c r="AI157" s="371">
        <f>MAX(AI143:AI155)</f>
        <v>0</v>
      </c>
      <c r="BG157" s="27"/>
      <c r="BQ157" s="1765"/>
      <c r="BR157" s="1765"/>
      <c r="BS157" s="1765"/>
      <c r="BT157" s="2010"/>
      <c r="BU157" s="2010"/>
      <c r="BV157" s="2010"/>
      <c r="BW157" s="1748"/>
      <c r="BX157" s="1750"/>
      <c r="BY157" s="1750"/>
      <c r="BZ157" s="1750"/>
      <c r="CA157" s="1750"/>
      <c r="CB157" s="1750"/>
      <c r="CC157" s="1750"/>
      <c r="CD157" s="1750"/>
      <c r="CE157" s="1750"/>
      <c r="CF157" s="1750"/>
      <c r="CG157" s="1750"/>
      <c r="CH157" s="1750"/>
      <c r="CI157" s="1750"/>
      <c r="CJ157" s="1750"/>
      <c r="CK157" s="1750"/>
      <c r="CL157" s="1750"/>
      <c r="CM157" s="1750"/>
    </row>
    <row r="158" spans="2:140" hidden="1" x14ac:dyDescent="0.3">
      <c r="V158" s="245"/>
      <c r="W158" s="245"/>
      <c r="X158" s="245"/>
      <c r="Y158" s="245"/>
      <c r="Z158" s="245"/>
      <c r="AA158" s="245"/>
      <c r="AB158" s="245"/>
      <c r="AC158" s="245"/>
      <c r="AD158" s="245"/>
      <c r="AE158" s="245"/>
      <c r="AF158" s="245"/>
      <c r="AG158" s="245"/>
      <c r="AH158" s="245"/>
      <c r="AI158" s="245"/>
      <c r="AJ158" s="245"/>
      <c r="AK158" s="245"/>
      <c r="AL158" s="245"/>
      <c r="AM158" s="245"/>
      <c r="AN158" s="245"/>
      <c r="AO158" s="245"/>
      <c r="AP158" s="245"/>
      <c r="AQ158" s="245"/>
      <c r="AR158" s="245"/>
      <c r="AS158" s="245"/>
      <c r="AT158" s="245">
        <f>+AS143-AP143</f>
        <v>539.75570072452979</v>
      </c>
      <c r="AU158" s="245"/>
      <c r="AV158" s="245"/>
      <c r="AW158" s="245"/>
      <c r="AX158" s="245"/>
      <c r="AY158" s="245"/>
      <c r="AZ158" s="245"/>
      <c r="BA158" s="245"/>
      <c r="BB158" s="245"/>
      <c r="BC158" s="4"/>
      <c r="BQ158" s="1750"/>
      <c r="BR158" s="1750"/>
      <c r="BS158" s="1750"/>
      <c r="BT158" s="1766"/>
      <c r="BU158" s="1750"/>
      <c r="BV158" s="1750"/>
      <c r="BW158" s="1750"/>
      <c r="BX158" s="1750"/>
      <c r="BY158" s="1750"/>
      <c r="BZ158" s="1750"/>
      <c r="CA158" s="1750"/>
      <c r="CB158" s="1750"/>
      <c r="CC158" s="1750"/>
      <c r="CD158" s="1750"/>
      <c r="CE158" s="1750"/>
      <c r="CF158" s="1750"/>
      <c r="CG158" s="1766"/>
      <c r="CH158" s="1750"/>
      <c r="CI158" s="1750"/>
      <c r="CJ158" s="1750"/>
      <c r="CK158" s="1750"/>
      <c r="CL158" s="1750"/>
      <c r="CM158" s="1750"/>
    </row>
    <row r="159" spans="2:140" ht="18" thickBot="1" x14ac:dyDescent="0.35">
      <c r="U159" s="243"/>
      <c r="V159" s="245"/>
      <c r="W159" s="245"/>
      <c r="X159" s="245"/>
      <c r="Y159" s="245"/>
      <c r="Z159" s="245"/>
      <c r="AA159" s="245"/>
      <c r="AB159" s="245"/>
      <c r="AC159" s="245"/>
      <c r="AD159" s="245"/>
      <c r="AE159" s="245"/>
      <c r="AF159" s="245"/>
      <c r="AG159" s="245"/>
      <c r="AH159" s="245"/>
      <c r="AI159" s="245"/>
      <c r="AJ159" s="245"/>
      <c r="AK159" s="245"/>
      <c r="AL159" s="245"/>
      <c r="AM159" s="245"/>
      <c r="AN159" s="245"/>
      <c r="AO159" s="245"/>
      <c r="AP159" s="245"/>
      <c r="AQ159" s="245"/>
      <c r="AR159" s="245"/>
      <c r="AS159" s="245"/>
      <c r="AT159" s="245"/>
      <c r="AU159" s="245"/>
      <c r="AV159" s="245"/>
      <c r="AW159" s="245"/>
      <c r="AX159" s="245"/>
      <c r="AY159" s="245"/>
      <c r="AZ159" s="245"/>
      <c r="BA159" s="245"/>
      <c r="BB159" s="245"/>
      <c r="BC159" s="4"/>
      <c r="BD159" s="14"/>
      <c r="BG159" s="27"/>
      <c r="BQ159" s="1767"/>
      <c r="BR159" s="1767"/>
      <c r="BS159" s="1767"/>
      <c r="BT159" s="2011"/>
      <c r="BU159" s="2011"/>
      <c r="BV159" s="1750"/>
      <c r="BW159" s="1750"/>
      <c r="BX159" s="1750"/>
      <c r="BY159" s="1750"/>
      <c r="BZ159" s="1750"/>
      <c r="CA159" s="1750"/>
      <c r="CB159" s="1750"/>
      <c r="CC159" s="1750"/>
      <c r="CD159" s="1750"/>
      <c r="CE159" s="1750"/>
      <c r="CF159" s="2012"/>
      <c r="CG159" s="2012"/>
      <c r="CH159" s="1750"/>
      <c r="CI159" s="1750"/>
      <c r="CJ159" s="1750"/>
      <c r="CK159" s="1750"/>
      <c r="CL159" s="1750"/>
      <c r="CM159" s="1750"/>
    </row>
    <row r="160" spans="2:140" ht="64.2" thickTop="1" thickBot="1" x14ac:dyDescent="0.45">
      <c r="B160" s="695" t="s">
        <v>42</v>
      </c>
      <c r="C160" s="707"/>
      <c r="D160" s="708"/>
      <c r="E160" s="74"/>
      <c r="F160" s="74"/>
      <c r="G160" s="74"/>
      <c r="H160" s="248"/>
      <c r="I160" s="248"/>
      <c r="J160" s="248"/>
      <c r="K160" s="248"/>
      <c r="L160" s="248"/>
      <c r="M160" s="248"/>
      <c r="N160" s="248"/>
      <c r="O160" s="248"/>
      <c r="P160" s="248"/>
      <c r="Q160" s="248"/>
      <c r="R160" s="248"/>
      <c r="S160" s="255" t="s">
        <v>105</v>
      </c>
      <c r="T160" s="255">
        <f>SUM(V164:V187)/B161</f>
        <v>146.5</v>
      </c>
      <c r="U160" s="295"/>
      <c r="V160" s="245"/>
      <c r="W160" s="245"/>
      <c r="X160" s="245"/>
      <c r="Y160" s="245"/>
      <c r="Z160" s="245"/>
      <c r="AA160" s="245"/>
      <c r="AB160" s="245"/>
      <c r="AC160" s="245"/>
      <c r="AD160" s="245"/>
      <c r="AE160" s="245"/>
      <c r="AF160" s="245"/>
      <c r="AG160" s="245"/>
      <c r="AH160" s="245"/>
      <c r="AI160" s="245"/>
      <c r="AJ160" s="245"/>
      <c r="AK160" s="245"/>
      <c r="AL160" s="245"/>
      <c r="AM160" s="245"/>
      <c r="AN160" s="245"/>
      <c r="AO160" s="245"/>
      <c r="AP160" s="245"/>
      <c r="AQ160" s="245"/>
      <c r="AR160" s="245"/>
      <c r="AS160" s="245"/>
      <c r="AT160" s="245"/>
      <c r="AU160" s="245"/>
      <c r="AV160" s="245"/>
      <c r="AW160" s="245"/>
      <c r="AX160" s="245"/>
      <c r="AY160" s="245"/>
      <c r="AZ160" s="245"/>
      <c r="BA160" s="245"/>
      <c r="BB160" s="245"/>
      <c r="BC160" s="4"/>
      <c r="BD160" s="36"/>
      <c r="BE160" s="36"/>
      <c r="BF160" s="36"/>
      <c r="BG160" s="27"/>
      <c r="BQ160" s="1750"/>
      <c r="BR160" s="1750"/>
      <c r="BS160" s="1750"/>
      <c r="BT160" s="1750"/>
      <c r="BU160" s="1750"/>
      <c r="BV160" s="1750"/>
      <c r="BW160" s="1750"/>
      <c r="BX160" s="1750"/>
      <c r="BY160" s="1750"/>
      <c r="BZ160" s="1750"/>
      <c r="CA160" s="1750"/>
      <c r="CB160" s="1750"/>
      <c r="CC160" s="1750"/>
      <c r="CD160" s="1750"/>
      <c r="CE160" s="1750"/>
      <c r="CF160" s="1750"/>
      <c r="CG160" s="1750"/>
      <c r="CH160" s="1750"/>
      <c r="CI160" s="1750"/>
      <c r="CJ160" s="1750"/>
      <c r="CK160" s="1750"/>
      <c r="CL160" s="1750"/>
      <c r="CM160" s="1750"/>
    </row>
    <row r="161" spans="1:91" ht="25.8" thickTop="1" thickBot="1" x14ac:dyDescent="0.45">
      <c r="B161" s="743">
        <v>1</v>
      </c>
      <c r="C161" s="671"/>
      <c r="D161" s="704" t="s">
        <v>71</v>
      </c>
      <c r="E161" s="445"/>
      <c r="F161" s="445"/>
      <c r="G161" s="445"/>
      <c r="H161" s="246"/>
      <c r="I161" s="247"/>
      <c r="J161" s="247"/>
      <c r="K161" s="247"/>
      <c r="L161" s="247"/>
      <c r="M161" s="247"/>
      <c r="N161" s="247"/>
      <c r="O161" s="247"/>
      <c r="P161" s="247"/>
      <c r="Q161" s="247"/>
      <c r="R161" s="247"/>
      <c r="S161" s="303"/>
      <c r="T161" s="304"/>
      <c r="U161" s="266"/>
      <c r="V161" s="296"/>
      <c r="W161" s="296"/>
      <c r="X161" s="296"/>
      <c r="Y161" s="296"/>
      <c r="Z161" s="296"/>
      <c r="AA161" s="296"/>
      <c r="AB161" s="296"/>
      <c r="AC161" s="296"/>
      <c r="AD161" s="296"/>
      <c r="AE161" s="296"/>
      <c r="AF161" s="296"/>
      <c r="AG161" s="296"/>
      <c r="AH161" s="296"/>
      <c r="AI161" s="296"/>
      <c r="AJ161" s="296"/>
      <c r="AK161" s="296"/>
      <c r="AL161" s="296"/>
      <c r="AM161" s="296"/>
      <c r="AN161" s="296"/>
      <c r="AO161" s="296"/>
      <c r="AP161" s="296"/>
      <c r="AQ161" s="296"/>
      <c r="AR161" s="296"/>
      <c r="AS161" s="296"/>
      <c r="AT161" s="296"/>
      <c r="AU161" s="296"/>
      <c r="AV161" s="296"/>
      <c r="AW161" s="296"/>
      <c r="AX161" s="296"/>
      <c r="AY161" s="296"/>
      <c r="AZ161" s="296"/>
      <c r="BA161" s="2045" t="s">
        <v>68</v>
      </c>
      <c r="BB161" s="2046"/>
      <c r="BC161" s="5"/>
      <c r="BD161" s="33"/>
      <c r="BE161" s="33"/>
      <c r="BF161" s="33"/>
      <c r="BG161" s="27"/>
      <c r="BH161" s="27"/>
      <c r="BQ161" s="1750"/>
      <c r="BR161" s="1750"/>
      <c r="BS161" s="1750"/>
      <c r="BT161" s="1750"/>
      <c r="BU161" s="1750"/>
      <c r="BV161" s="1750"/>
      <c r="BW161" s="1750"/>
      <c r="BX161" s="1750"/>
      <c r="BY161" s="1750"/>
      <c r="BZ161" s="1750"/>
      <c r="CA161" s="1750"/>
      <c r="CB161" s="1750"/>
      <c r="CC161" s="1750"/>
      <c r="CD161" s="1750"/>
      <c r="CE161" s="1750"/>
      <c r="CF161" s="1750"/>
      <c r="CG161" s="1750"/>
      <c r="CH161" s="1750"/>
      <c r="CI161" s="1750"/>
      <c r="CJ161" s="1750"/>
      <c r="CK161" s="1750"/>
      <c r="CL161" s="1750"/>
      <c r="CM161" s="1750"/>
    </row>
    <row r="162" spans="1:91" ht="18.600000000000001" hidden="1" thickTop="1" thickBot="1" x14ac:dyDescent="0.35">
      <c r="B162" s="358"/>
      <c r="C162" s="76"/>
      <c r="D162" s="698" t="s">
        <v>13</v>
      </c>
      <c r="E162" s="15"/>
      <c r="F162" s="15"/>
      <c r="G162" s="15"/>
      <c r="H162" s="297" t="s">
        <v>4</v>
      </c>
      <c r="I162" s="297" t="s">
        <v>1</v>
      </c>
      <c r="J162" s="248" t="s">
        <v>0</v>
      </c>
      <c r="K162" s="248" t="s">
        <v>2</v>
      </c>
      <c r="L162" s="248" t="s">
        <v>3</v>
      </c>
      <c r="M162" s="248" t="s">
        <v>8</v>
      </c>
      <c r="N162" s="248" t="s">
        <v>5</v>
      </c>
      <c r="O162" s="248" t="s">
        <v>6</v>
      </c>
      <c r="P162" s="248" t="s">
        <v>7</v>
      </c>
      <c r="Q162" s="248" t="s">
        <v>9</v>
      </c>
      <c r="R162" s="316" t="s">
        <v>10</v>
      </c>
      <c r="S162" s="248" t="s">
        <v>11</v>
      </c>
      <c r="T162" s="249" t="s">
        <v>12</v>
      </c>
      <c r="U162" s="265"/>
      <c r="V162" s="273"/>
      <c r="W162" s="273"/>
      <c r="X162" s="273"/>
      <c r="Y162" s="273"/>
      <c r="Z162" s="273"/>
      <c r="AA162" s="273"/>
      <c r="AB162" s="273"/>
      <c r="AC162" s="273"/>
      <c r="AD162" s="273"/>
      <c r="AE162" s="273"/>
      <c r="AF162" s="273"/>
      <c r="AG162" s="273"/>
      <c r="AH162" s="273"/>
      <c r="AI162" s="273"/>
      <c r="AJ162" s="273"/>
      <c r="AK162" s="273"/>
      <c r="AL162" s="273"/>
      <c r="AM162" s="273"/>
      <c r="AN162" s="273"/>
      <c r="AO162" s="273"/>
      <c r="AP162" s="273"/>
      <c r="AQ162" s="273"/>
      <c r="AR162" s="273"/>
      <c r="AS162" s="273"/>
      <c r="AT162" s="273"/>
      <c r="AU162" s="273"/>
      <c r="AV162" s="273"/>
      <c r="AW162" s="273"/>
      <c r="AX162" s="273"/>
      <c r="AY162" s="272"/>
      <c r="AZ162" s="273"/>
      <c r="BA162" s="273"/>
      <c r="BB162" s="273"/>
      <c r="BC162" s="6"/>
      <c r="BD162" s="16"/>
      <c r="BE162" s="7"/>
      <c r="BF162" s="7"/>
      <c r="BG162" s="27"/>
      <c r="BH162" s="27"/>
      <c r="BQ162" s="1750"/>
      <c r="BR162" s="1750"/>
      <c r="BS162" s="1750"/>
      <c r="BT162" s="1750"/>
      <c r="BU162" s="1750"/>
      <c r="BV162" s="1750"/>
      <c r="BW162" s="1750"/>
      <c r="BX162" s="1750"/>
      <c r="BY162" s="1750"/>
      <c r="BZ162" s="1750"/>
      <c r="CA162" s="1750"/>
      <c r="CB162" s="1750"/>
      <c r="CC162" s="1750"/>
      <c r="CD162" s="1750"/>
      <c r="CE162" s="1750"/>
      <c r="CF162" s="1750"/>
      <c r="CG162" s="1750"/>
      <c r="CH162" s="1750"/>
      <c r="CI162" s="1750"/>
      <c r="CJ162" s="1750"/>
      <c r="CK162" s="1750"/>
      <c r="CL162" s="1750"/>
      <c r="CM162" s="1750"/>
    </row>
    <row r="163" spans="1:91" ht="45" customHeight="1" thickTop="1" thickBot="1" x14ac:dyDescent="0.45">
      <c r="B163" s="90"/>
      <c r="C163" s="139"/>
      <c r="D163" s="735" t="s">
        <v>24</v>
      </c>
      <c r="E163" s="445"/>
      <c r="F163" s="30" t="s">
        <v>58</v>
      </c>
      <c r="G163" s="50"/>
      <c r="H163" s="298"/>
      <c r="I163" s="317"/>
      <c r="J163" s="244"/>
      <c r="K163" s="244"/>
      <c r="L163" s="244"/>
      <c r="M163" s="244"/>
      <c r="N163" s="244"/>
      <c r="O163" s="244"/>
      <c r="P163" s="244"/>
      <c r="Q163" s="244"/>
      <c r="R163" s="316"/>
      <c r="S163" s="244"/>
      <c r="T163" s="250"/>
      <c r="U163" s="265"/>
      <c r="V163" s="273"/>
      <c r="W163" s="273"/>
      <c r="X163" s="273"/>
      <c r="Y163" s="273"/>
      <c r="Z163" s="273"/>
      <c r="AA163" s="273"/>
      <c r="AB163" s="273"/>
      <c r="AC163" s="273"/>
      <c r="AD163" s="273"/>
      <c r="AE163" s="273"/>
      <c r="AF163" s="273" t="s">
        <v>51</v>
      </c>
      <c r="AG163" s="460" t="s">
        <v>189</v>
      </c>
      <c r="AH163" s="274" t="s">
        <v>44</v>
      </c>
      <c r="AI163" s="274"/>
      <c r="AJ163" s="175" t="s">
        <v>96</v>
      </c>
      <c r="AK163" s="275" t="s">
        <v>45</v>
      </c>
      <c r="AL163" s="172" t="s">
        <v>46</v>
      </c>
      <c r="AM163" s="175" t="s">
        <v>97</v>
      </c>
      <c r="AN163" s="276" t="s">
        <v>47</v>
      </c>
      <c r="AO163" s="172" t="s">
        <v>48</v>
      </c>
      <c r="AP163" s="276"/>
      <c r="AQ163" s="179" t="s">
        <v>49</v>
      </c>
      <c r="AR163" s="278"/>
      <c r="AS163" s="278" t="s">
        <v>50</v>
      </c>
      <c r="AT163" s="278" t="s">
        <v>52</v>
      </c>
      <c r="AU163" s="278"/>
      <c r="AV163" s="278" t="s">
        <v>53</v>
      </c>
      <c r="AW163" s="279" t="s">
        <v>54</v>
      </c>
      <c r="AX163" s="279" t="s">
        <v>55</v>
      </c>
      <c r="AY163" s="280" t="s">
        <v>25</v>
      </c>
      <c r="AZ163" s="280" t="s">
        <v>26</v>
      </c>
      <c r="BA163" s="281" t="s">
        <v>25</v>
      </c>
      <c r="BB163" s="281" t="s">
        <v>26</v>
      </c>
      <c r="BC163" s="7"/>
      <c r="BD163" s="16"/>
      <c r="BE163" s="7"/>
      <c r="BF163" s="7"/>
      <c r="BG163" s="27"/>
      <c r="BH163" s="27"/>
      <c r="BQ163" s="1750"/>
      <c r="BR163" s="1750"/>
      <c r="BS163" s="1750"/>
      <c r="BT163" s="1750"/>
      <c r="BU163" s="1750"/>
      <c r="BV163" s="1750"/>
      <c r="BW163" s="1750"/>
      <c r="BX163" s="1750"/>
      <c r="BY163" s="1750"/>
      <c r="BZ163" s="1750"/>
      <c r="CA163" s="1750"/>
      <c r="CB163" s="1750"/>
      <c r="CC163" s="1750"/>
      <c r="CD163" s="1750"/>
      <c r="CE163" s="1750"/>
      <c r="CF163" s="1750"/>
      <c r="CG163" s="1750"/>
      <c r="CH163" s="1750"/>
      <c r="CI163" s="1750"/>
      <c r="CJ163" s="1750"/>
      <c r="CK163" s="1750"/>
      <c r="CL163" s="1750"/>
      <c r="CM163" s="1750"/>
    </row>
    <row r="164" spans="1:91" ht="21" customHeight="1" thickBot="1" x14ac:dyDescent="0.35">
      <c r="B164" s="87">
        <v>1</v>
      </c>
      <c r="C164" s="668">
        <f>+AI157+D164</f>
        <v>0</v>
      </c>
      <c r="D164" s="738">
        <v>0</v>
      </c>
      <c r="E164" s="333" t="s">
        <v>73</v>
      </c>
      <c r="F164" s="81">
        <f>+G164</f>
        <v>0</v>
      </c>
      <c r="G164" s="81">
        <f>+D164</f>
        <v>0</v>
      </c>
      <c r="H164" s="392">
        <v>190.76</v>
      </c>
      <c r="I164" s="393">
        <v>79.651040199999997</v>
      </c>
      <c r="J164" s="394">
        <f>+I164-C164</f>
        <v>79.651040199999997</v>
      </c>
      <c r="K164" s="394">
        <f>+J164/2</f>
        <v>39.825520099999999</v>
      </c>
      <c r="L164" s="394">
        <f t="shared" ref="L164:L187" si="69">SIN(K164*3.14159265358979/180)</f>
        <v>0.64045183696587837</v>
      </c>
      <c r="M164" s="394">
        <f t="shared" ref="M164:M187" si="70">+L164*H164</f>
        <v>122.17259241961095</v>
      </c>
      <c r="N164" s="394">
        <f t="shared" ref="N164:N187" si="71">+M164*2</f>
        <v>244.3451848392219</v>
      </c>
      <c r="O164" s="394">
        <f>+C164/2</f>
        <v>0</v>
      </c>
      <c r="P164" s="394">
        <f t="shared" ref="P164:P187" si="72">SIN(O164*3.14159265358979/180)</f>
        <v>0</v>
      </c>
      <c r="Q164" s="394">
        <f t="shared" ref="Q164:Q187" si="73">+P164*N164</f>
        <v>0</v>
      </c>
      <c r="R164" s="395">
        <v>146.5</v>
      </c>
      <c r="S164" s="394">
        <f>+R164+Q164</f>
        <v>146.5</v>
      </c>
      <c r="T164" s="396">
        <f t="shared" ref="T164:T187" si="74">+S164</f>
        <v>146.5</v>
      </c>
      <c r="U164" s="248"/>
      <c r="V164" s="397">
        <f t="shared" ref="V164:V187" si="75">IF(B164&lt;($B$161+1),T164,0)</f>
        <v>146.5</v>
      </c>
      <c r="W164" s="397"/>
      <c r="X164" s="397"/>
      <c r="Y164" s="397"/>
      <c r="Z164" s="397"/>
      <c r="AA164" s="397"/>
      <c r="AB164" s="300" t="str">
        <f>IF(AZ164&lt;0,"pin in groundstacking hole"," ")</f>
        <v xml:space="preserve"> </v>
      </c>
      <c r="AC164" s="455"/>
      <c r="AD164" s="455"/>
      <c r="AE164" s="455"/>
      <c r="AF164" s="397">
        <f>SUM(V164:V187)/($B$161)</f>
        <v>146.5</v>
      </c>
      <c r="AG164" s="397">
        <f>+AF164+AA143+AA110</f>
        <v>146.50001656413235</v>
      </c>
      <c r="AH164" s="398">
        <f>C164</f>
        <v>0</v>
      </c>
      <c r="AI164" s="399"/>
      <c r="AJ164" s="400">
        <f>69.3447148-AH164</f>
        <v>69.344714800000006</v>
      </c>
      <c r="AK164" s="401">
        <f t="shared" ref="AK164:AK187" si="76">SIN(AJ164*3.14159265358979/180)</f>
        <v>0.93571960494171247</v>
      </c>
      <c r="AL164" s="402">
        <f>+AK164*192.42</f>
        <v>180.0511663828843</v>
      </c>
      <c r="AM164" s="400">
        <f>50.1744799+AH164</f>
        <v>50.174479900000001</v>
      </c>
      <c r="AN164" s="403">
        <f>SIN(AM164*3.14159265358979/180)</f>
        <v>0.76799833627881664</v>
      </c>
      <c r="AO164" s="402">
        <f>+AN164*190.76</f>
        <v>146.50336262854705</v>
      </c>
      <c r="AP164" s="404"/>
      <c r="AQ164" s="402">
        <f>25.5*B161</f>
        <v>25.5</v>
      </c>
      <c r="AR164" s="404"/>
      <c r="AS164" s="405">
        <f>+AO164+AL164</f>
        <v>326.55452901143133</v>
      </c>
      <c r="AT164" s="406">
        <f>+V164-AO164</f>
        <v>-3.3626285470518269E-3</v>
      </c>
      <c r="AU164" s="407"/>
      <c r="AV164" s="406">
        <f>+AF164-AT164</f>
        <v>146.50336262854705</v>
      </c>
      <c r="AW164" s="408">
        <f>+((AS164-AV164)/AS164)*AQ164</f>
        <v>14.059840960291279</v>
      </c>
      <c r="AX164" s="408">
        <f>+(AV164/AS164)*AQ164</f>
        <v>11.440159039708721</v>
      </c>
      <c r="AY164" s="292">
        <f t="shared" ref="AY164:AY187" si="77">2*$C$18/AW164</f>
        <v>825.04489437408847</v>
      </c>
      <c r="AZ164" s="292">
        <f t="shared" ref="AZ164:AZ187" si="78">$D$18/AX164</f>
        <v>874.11372213358766</v>
      </c>
      <c r="BA164" s="294">
        <f>ABS(AY164)</f>
        <v>825.04489437408847</v>
      </c>
      <c r="BB164" s="294">
        <f>ABS(AZ164)</f>
        <v>874.11372213358766</v>
      </c>
      <c r="BC164" s="2" t="s">
        <v>56</v>
      </c>
      <c r="BD164" s="11"/>
      <c r="BG164" s="27"/>
      <c r="BQ164" s="1750"/>
      <c r="BR164" s="1750"/>
      <c r="BS164" s="1750"/>
      <c r="BT164" s="1750"/>
      <c r="BU164" s="1750"/>
      <c r="BV164" s="1750"/>
      <c r="BW164" s="1750"/>
      <c r="BX164" s="1750"/>
      <c r="BY164" s="1750"/>
      <c r="BZ164" s="1750"/>
      <c r="CA164" s="1750"/>
      <c r="CB164" s="1750"/>
      <c r="CC164" s="1750"/>
      <c r="CD164" s="1750"/>
      <c r="CE164" s="1750"/>
      <c r="CF164" s="1750"/>
      <c r="CG164" s="1750"/>
      <c r="CH164" s="1750"/>
      <c r="CI164" s="1750"/>
      <c r="CJ164" s="1750"/>
      <c r="CK164" s="1750"/>
      <c r="CL164" s="1750"/>
      <c r="CM164" s="1750"/>
    </row>
    <row r="165" spans="1:91" ht="21" customHeight="1" thickBot="1" x14ac:dyDescent="0.35">
      <c r="B165" s="88">
        <v>2</v>
      </c>
      <c r="C165" s="20"/>
      <c r="D165" s="738">
        <v>0</v>
      </c>
      <c r="E165" s="333" t="s">
        <v>72</v>
      </c>
      <c r="F165" s="81" t="e">
        <f t="shared" ref="F165:F187" si="79">+G165</f>
        <v>#DIV/0!</v>
      </c>
      <c r="G165" s="81" t="e">
        <f>+D165+BC165</f>
        <v>#DIV/0!</v>
      </c>
      <c r="H165" s="299">
        <v>190.76</v>
      </c>
      <c r="I165" s="318">
        <v>79.651040199999997</v>
      </c>
      <c r="J165" s="251">
        <f t="shared" ref="J165:J187" si="80">+I165-D165</f>
        <v>79.651040199999997</v>
      </c>
      <c r="K165" s="251">
        <f t="shared" ref="K165:K187" si="81">+J165/2</f>
        <v>39.825520099999999</v>
      </c>
      <c r="L165" s="251">
        <f t="shared" si="69"/>
        <v>0.64045183696587837</v>
      </c>
      <c r="M165" s="251">
        <f t="shared" si="70"/>
        <v>122.17259241961095</v>
      </c>
      <c r="N165" s="251">
        <f t="shared" si="71"/>
        <v>244.3451848392219</v>
      </c>
      <c r="O165" s="251">
        <f>+C164+(D165/2)</f>
        <v>0</v>
      </c>
      <c r="P165" s="251">
        <f t="shared" si="72"/>
        <v>0</v>
      </c>
      <c r="Q165" s="251">
        <f t="shared" si="73"/>
        <v>0</v>
      </c>
      <c r="R165" s="251">
        <f t="shared" ref="R165:R187" si="82">+T164</f>
        <v>146.5</v>
      </c>
      <c r="S165" s="251">
        <f>+R165+Q165</f>
        <v>146.5</v>
      </c>
      <c r="T165" s="252">
        <f t="shared" si="74"/>
        <v>146.5</v>
      </c>
      <c r="U165" s="244"/>
      <c r="V165" s="282">
        <f t="shared" si="75"/>
        <v>0</v>
      </c>
      <c r="W165" s="282"/>
      <c r="X165" s="282"/>
      <c r="Y165" s="282"/>
      <c r="Z165" s="282"/>
      <c r="AA165" s="282"/>
      <c r="AB165" s="300" t="e">
        <f t="shared" ref="AB165:AB187" si="83">IF(AZ165&lt;0,"pin in groundstacking hole"," ")</f>
        <v>#DIV/0!</v>
      </c>
      <c r="AC165" s="451"/>
      <c r="AD165" s="451"/>
      <c r="AE165" s="451"/>
      <c r="AF165" s="282" t="e">
        <f>SUM(V165:V188)/($B$161-B164)</f>
        <v>#DIV/0!</v>
      </c>
      <c r="AG165" s="282"/>
      <c r="AH165" s="301">
        <f>SUM(D165)+$C$164</f>
        <v>0</v>
      </c>
      <c r="AI165" s="370"/>
      <c r="AJ165" s="173">
        <f t="shared" ref="AJ165:AJ187" si="84">69.3447148-AH165</f>
        <v>69.344714800000006</v>
      </c>
      <c r="AK165" s="284">
        <f t="shared" si="76"/>
        <v>0.93571960494171247</v>
      </c>
      <c r="AL165" s="174">
        <f t="shared" ref="AL165:AL187" si="85">+AK165*192.42</f>
        <v>180.0511663828843</v>
      </c>
      <c r="AM165" s="173">
        <f t="shared" ref="AM165:AM187" si="86">50.1744799+AH165</f>
        <v>50.174479900000001</v>
      </c>
      <c r="AN165" s="285">
        <f t="shared" ref="AN165:AN187" si="87">SIN(AM165*3.14159265358979/180)</f>
        <v>0.76799833627881664</v>
      </c>
      <c r="AO165" s="174">
        <f t="shared" ref="AO165:AO187" si="88">+AN165*190.76</f>
        <v>146.50336262854705</v>
      </c>
      <c r="AP165" s="287"/>
      <c r="AQ165" s="174">
        <f>25.5*($B$161-B164)</f>
        <v>0</v>
      </c>
      <c r="AR165" s="287"/>
      <c r="AS165" s="288">
        <f t="shared" ref="AS165:AS187" si="89">+AO165+AL165</f>
        <v>326.55452901143133</v>
      </c>
      <c r="AT165" s="289">
        <f>+V165-AO165</f>
        <v>-146.50336262854705</v>
      </c>
      <c r="AU165" s="290"/>
      <c r="AV165" s="289" t="e">
        <f>+AF165-AT165</f>
        <v>#DIV/0!</v>
      </c>
      <c r="AW165" s="291" t="e">
        <f t="shared" ref="AW165:AW187" si="90">+((AS165-AV165)/AS165)*AQ165</f>
        <v>#DIV/0!</v>
      </c>
      <c r="AX165" s="291" t="e">
        <f t="shared" ref="AX165:AX187" si="91">+(AV165/AS165)*AQ165</f>
        <v>#DIV/0!</v>
      </c>
      <c r="AY165" s="292" t="e">
        <f t="shared" si="77"/>
        <v>#DIV/0!</v>
      </c>
      <c r="AZ165" s="292" t="e">
        <f t="shared" si="78"/>
        <v>#DIV/0!</v>
      </c>
      <c r="BA165" s="294" t="e">
        <f t="shared" ref="BA165:BB187" si="92">ABS(AY165)</f>
        <v>#DIV/0!</v>
      </c>
      <c r="BB165" s="294" t="e">
        <f t="shared" si="92"/>
        <v>#DIV/0!</v>
      </c>
      <c r="BC165" t="e">
        <f t="shared" ref="BC165:BC187" si="93">IF(AZ165&lt;0,0.3,0)</f>
        <v>#DIV/0!</v>
      </c>
      <c r="BG165" s="27"/>
      <c r="BQ165" s="1750"/>
      <c r="BR165" s="1750"/>
      <c r="BS165" s="1750"/>
      <c r="BT165" s="1750"/>
      <c r="BU165" s="1750"/>
      <c r="BV165" s="1750"/>
      <c r="BW165" s="1750"/>
      <c r="BX165" s="1750"/>
      <c r="BY165" s="1750"/>
      <c r="BZ165" s="1750"/>
      <c r="CA165" s="1750"/>
      <c r="CB165" s="1750"/>
      <c r="CC165" s="1750"/>
      <c r="CD165" s="1750"/>
      <c r="CE165" s="1750"/>
      <c r="CF165" s="1750"/>
      <c r="CG165" s="1750"/>
      <c r="CH165" s="1750"/>
      <c r="CI165" s="1750"/>
      <c r="CJ165" s="1750"/>
      <c r="CK165" s="1750"/>
      <c r="CL165" s="1750"/>
      <c r="CM165" s="1750"/>
    </row>
    <row r="166" spans="1:91" ht="21" customHeight="1" thickBot="1" x14ac:dyDescent="0.35">
      <c r="B166" s="88">
        <v>3</v>
      </c>
      <c r="C166" s="20"/>
      <c r="D166" s="738">
        <v>0</v>
      </c>
      <c r="E166" s="333" t="s">
        <v>72</v>
      </c>
      <c r="F166" s="81">
        <f t="shared" si="79"/>
        <v>0.3</v>
      </c>
      <c r="G166" s="81">
        <f t="shared" ref="G166:G187" si="94">+D166+BC166</f>
        <v>0.3</v>
      </c>
      <c r="H166" s="299">
        <v>190.76</v>
      </c>
      <c r="I166" s="318">
        <v>79.651040199999997</v>
      </c>
      <c r="J166" s="251">
        <f t="shared" si="80"/>
        <v>79.651040199999997</v>
      </c>
      <c r="K166" s="251">
        <f t="shared" si="81"/>
        <v>39.825520099999999</v>
      </c>
      <c r="L166" s="251">
        <f t="shared" si="69"/>
        <v>0.64045183696587837</v>
      </c>
      <c r="M166" s="251">
        <f t="shared" si="70"/>
        <v>122.17259241961095</v>
      </c>
      <c r="N166" s="251">
        <f t="shared" si="71"/>
        <v>244.3451848392219</v>
      </c>
      <c r="O166" s="251">
        <f>+C164+D165+(D166/2)</f>
        <v>0</v>
      </c>
      <c r="P166" s="251">
        <f t="shared" si="72"/>
        <v>0</v>
      </c>
      <c r="Q166" s="251">
        <f t="shared" si="73"/>
        <v>0</v>
      </c>
      <c r="R166" s="251">
        <f t="shared" si="82"/>
        <v>146.5</v>
      </c>
      <c r="S166" s="251">
        <f t="shared" ref="S166:S187" si="95">+S165+Q166</f>
        <v>146.5</v>
      </c>
      <c r="T166" s="252">
        <f t="shared" si="74"/>
        <v>146.5</v>
      </c>
      <c r="U166" s="244"/>
      <c r="V166" s="282">
        <f t="shared" si="75"/>
        <v>0</v>
      </c>
      <c r="W166" s="282"/>
      <c r="X166" s="282"/>
      <c r="Y166" s="282"/>
      <c r="Z166" s="282"/>
      <c r="AA166" s="282"/>
      <c r="AB166" s="300" t="str">
        <f t="shared" si="83"/>
        <v>pin in groundstacking hole</v>
      </c>
      <c r="AC166" s="451"/>
      <c r="AD166" s="451"/>
      <c r="AE166" s="451"/>
      <c r="AF166" s="282">
        <f>SUM(V166:V187)/($B$161-B165)</f>
        <v>0</v>
      </c>
      <c r="AG166" s="282"/>
      <c r="AH166" s="301">
        <f>SUM(D165:D166)+$C$164</f>
        <v>0</v>
      </c>
      <c r="AI166" s="370"/>
      <c r="AJ166" s="173">
        <f t="shared" si="84"/>
        <v>69.344714800000006</v>
      </c>
      <c r="AK166" s="284">
        <f t="shared" si="76"/>
        <v>0.93571960494171247</v>
      </c>
      <c r="AL166" s="174">
        <f t="shared" si="85"/>
        <v>180.0511663828843</v>
      </c>
      <c r="AM166" s="173">
        <f t="shared" si="86"/>
        <v>50.174479900000001</v>
      </c>
      <c r="AN166" s="285">
        <f t="shared" si="87"/>
        <v>0.76799833627881664</v>
      </c>
      <c r="AO166" s="174">
        <f t="shared" si="88"/>
        <v>146.50336262854705</v>
      </c>
      <c r="AP166" s="287"/>
      <c r="AQ166" s="174">
        <f t="shared" ref="AQ166:AQ187" si="96">25.5*($B$161-B165)</f>
        <v>-25.5</v>
      </c>
      <c r="AR166" s="287"/>
      <c r="AS166" s="288">
        <f t="shared" si="89"/>
        <v>326.55452901143133</v>
      </c>
      <c r="AT166" s="289">
        <f>+V166-AO166</f>
        <v>-146.50336262854705</v>
      </c>
      <c r="AU166" s="290"/>
      <c r="AV166" s="289">
        <f>+AF166-AT166</f>
        <v>146.50336262854705</v>
      </c>
      <c r="AW166" s="291">
        <f t="shared" si="90"/>
        <v>-14.059840960291279</v>
      </c>
      <c r="AX166" s="291">
        <f t="shared" si="91"/>
        <v>-11.440159039708721</v>
      </c>
      <c r="AY166" s="292">
        <f t="shared" si="77"/>
        <v>-825.04489437408847</v>
      </c>
      <c r="AZ166" s="292">
        <f t="shared" si="78"/>
        <v>-874.11372213358766</v>
      </c>
      <c r="BA166" s="294">
        <f t="shared" si="92"/>
        <v>825.04489437408847</v>
      </c>
      <c r="BB166" s="294">
        <f t="shared" si="92"/>
        <v>874.11372213358766</v>
      </c>
      <c r="BC166">
        <f t="shared" si="93"/>
        <v>0.3</v>
      </c>
      <c r="BG166" s="27"/>
      <c r="BQ166" s="1750"/>
      <c r="BR166" s="1750"/>
      <c r="BS166" s="1750"/>
      <c r="BT166" s="1750"/>
      <c r="BU166" s="1750"/>
      <c r="BV166" s="1750"/>
      <c r="BW166" s="1750"/>
      <c r="BX166" s="1750"/>
      <c r="BY166" s="1750"/>
      <c r="BZ166" s="1750"/>
      <c r="CA166" s="1750"/>
      <c r="CB166" s="1750"/>
      <c r="CC166" s="1750"/>
      <c r="CD166" s="1750"/>
      <c r="CE166" s="1750"/>
      <c r="CF166" s="1750"/>
      <c r="CG166" s="1750"/>
      <c r="CH166" s="1750"/>
      <c r="CI166" s="1750"/>
      <c r="CJ166" s="1750"/>
      <c r="CK166" s="1750"/>
      <c r="CL166" s="1750"/>
      <c r="CM166" s="1750"/>
    </row>
    <row r="167" spans="1:91" ht="21" customHeight="1" thickBot="1" x14ac:dyDescent="0.35">
      <c r="B167" s="88">
        <v>4</v>
      </c>
      <c r="C167" s="20"/>
      <c r="D167" s="738">
        <v>0</v>
      </c>
      <c r="E167" s="333" t="s">
        <v>72</v>
      </c>
      <c r="F167" s="81">
        <f t="shared" si="79"/>
        <v>0.3</v>
      </c>
      <c r="G167" s="81">
        <f t="shared" si="94"/>
        <v>0.3</v>
      </c>
      <c r="H167" s="299">
        <v>190.76</v>
      </c>
      <c r="I167" s="318">
        <v>79.651040199999997</v>
      </c>
      <c r="J167" s="251">
        <f t="shared" si="80"/>
        <v>79.651040199999997</v>
      </c>
      <c r="K167" s="251">
        <f t="shared" si="81"/>
        <v>39.825520099999999</v>
      </c>
      <c r="L167" s="251">
        <f t="shared" si="69"/>
        <v>0.64045183696587837</v>
      </c>
      <c r="M167" s="251">
        <f t="shared" si="70"/>
        <v>122.17259241961095</v>
      </c>
      <c r="N167" s="251">
        <f t="shared" si="71"/>
        <v>244.3451848392219</v>
      </c>
      <c r="O167" s="251">
        <f>+C164+D165+D166+(D167/2)</f>
        <v>0</v>
      </c>
      <c r="P167" s="251">
        <f t="shared" si="72"/>
        <v>0</v>
      </c>
      <c r="Q167" s="251">
        <f t="shared" si="73"/>
        <v>0</v>
      </c>
      <c r="R167" s="251">
        <f t="shared" si="82"/>
        <v>146.5</v>
      </c>
      <c r="S167" s="251">
        <f t="shared" si="95"/>
        <v>146.5</v>
      </c>
      <c r="T167" s="252">
        <f t="shared" si="74"/>
        <v>146.5</v>
      </c>
      <c r="U167" s="244"/>
      <c r="V167" s="282">
        <f t="shared" si="75"/>
        <v>0</v>
      </c>
      <c r="W167" s="282"/>
      <c r="X167" s="282"/>
      <c r="Y167" s="282"/>
      <c r="Z167" s="282"/>
      <c r="AA167" s="282"/>
      <c r="AB167" s="300" t="str">
        <f t="shared" si="83"/>
        <v>pin in groundstacking hole</v>
      </c>
      <c r="AC167" s="451"/>
      <c r="AD167" s="451"/>
      <c r="AE167" s="451"/>
      <c r="AF167" s="282">
        <f>SUM(V167:V187)/($B$161-B166)</f>
        <v>0</v>
      </c>
      <c r="AG167" s="282"/>
      <c r="AH167" s="301">
        <f>SUM(D165:D167)+$C$164</f>
        <v>0</v>
      </c>
      <c r="AI167" s="370"/>
      <c r="AJ167" s="173">
        <f t="shared" si="84"/>
        <v>69.344714800000006</v>
      </c>
      <c r="AK167" s="284">
        <f t="shared" si="76"/>
        <v>0.93571960494171247</v>
      </c>
      <c r="AL167" s="174">
        <f t="shared" si="85"/>
        <v>180.0511663828843</v>
      </c>
      <c r="AM167" s="173">
        <f t="shared" si="86"/>
        <v>50.174479900000001</v>
      </c>
      <c r="AN167" s="285">
        <f t="shared" si="87"/>
        <v>0.76799833627881664</v>
      </c>
      <c r="AO167" s="174">
        <f t="shared" si="88"/>
        <v>146.50336262854705</v>
      </c>
      <c r="AP167" s="287"/>
      <c r="AQ167" s="174">
        <f t="shared" si="96"/>
        <v>-51</v>
      </c>
      <c r="AR167" s="287"/>
      <c r="AS167" s="288">
        <f t="shared" si="89"/>
        <v>326.55452901143133</v>
      </c>
      <c r="AT167" s="289">
        <f>+V167-AO167</f>
        <v>-146.50336262854705</v>
      </c>
      <c r="AU167" s="290"/>
      <c r="AV167" s="289">
        <f t="shared" ref="AV167:AV187" si="97">+AF167-AT167</f>
        <v>146.50336262854705</v>
      </c>
      <c r="AW167" s="291">
        <f t="shared" si="90"/>
        <v>-28.119681920582558</v>
      </c>
      <c r="AX167" s="291">
        <f t="shared" si="91"/>
        <v>-22.880318079417442</v>
      </c>
      <c r="AY167" s="292">
        <f t="shared" si="77"/>
        <v>-412.52244718704424</v>
      </c>
      <c r="AZ167" s="292">
        <f t="shared" si="78"/>
        <v>-437.05686106679383</v>
      </c>
      <c r="BA167" s="294">
        <f t="shared" si="92"/>
        <v>412.52244718704424</v>
      </c>
      <c r="BB167" s="294">
        <f t="shared" si="92"/>
        <v>437.05686106679383</v>
      </c>
      <c r="BC167">
        <f t="shared" si="93"/>
        <v>0.3</v>
      </c>
      <c r="BG167" s="27"/>
      <c r="BQ167" s="1750"/>
      <c r="BR167" s="1750"/>
      <c r="BS167" s="1750"/>
      <c r="BT167" s="1750"/>
      <c r="BU167" s="1750"/>
      <c r="BV167" s="1750"/>
      <c r="BW167" s="1750"/>
      <c r="BX167" s="1750"/>
      <c r="BY167" s="1750"/>
      <c r="BZ167" s="1750"/>
      <c r="CA167" s="1750"/>
      <c r="CB167" s="1750"/>
      <c r="CC167" s="1750"/>
      <c r="CD167" s="1750"/>
      <c r="CE167" s="1750"/>
      <c r="CF167" s="1750"/>
      <c r="CG167" s="1750"/>
      <c r="CH167" s="1750"/>
      <c r="CI167" s="1750"/>
      <c r="CJ167" s="1750"/>
      <c r="CK167" s="1750"/>
      <c r="CL167" s="1750"/>
      <c r="CM167" s="1750"/>
    </row>
    <row r="168" spans="1:91" ht="21" customHeight="1" thickBot="1" x14ac:dyDescent="0.35">
      <c r="B168" s="88">
        <v>5</v>
      </c>
      <c r="C168" s="20"/>
      <c r="D168" s="738">
        <v>0</v>
      </c>
      <c r="E168" s="333" t="s">
        <v>72</v>
      </c>
      <c r="F168" s="81">
        <f t="shared" si="79"/>
        <v>0.3</v>
      </c>
      <c r="G168" s="81">
        <f>+D168+BC168</f>
        <v>0.3</v>
      </c>
      <c r="H168" s="299">
        <v>190.76</v>
      </c>
      <c r="I168" s="318">
        <v>79.651040199999997</v>
      </c>
      <c r="J168" s="251">
        <f t="shared" si="80"/>
        <v>79.651040199999997</v>
      </c>
      <c r="K168" s="251">
        <f t="shared" si="81"/>
        <v>39.825520099999999</v>
      </c>
      <c r="L168" s="251">
        <f t="shared" si="69"/>
        <v>0.64045183696587837</v>
      </c>
      <c r="M168" s="251">
        <f t="shared" si="70"/>
        <v>122.17259241961095</v>
      </c>
      <c r="N168" s="251">
        <f t="shared" si="71"/>
        <v>244.3451848392219</v>
      </c>
      <c r="O168" s="251">
        <f>+C164+D165+D166+D167+(D168/2)</f>
        <v>0</v>
      </c>
      <c r="P168" s="251">
        <f t="shared" si="72"/>
        <v>0</v>
      </c>
      <c r="Q168" s="251">
        <f t="shared" si="73"/>
        <v>0</v>
      </c>
      <c r="R168" s="251">
        <f t="shared" si="82"/>
        <v>146.5</v>
      </c>
      <c r="S168" s="251">
        <f t="shared" si="95"/>
        <v>146.5</v>
      </c>
      <c r="T168" s="252">
        <f t="shared" si="74"/>
        <v>146.5</v>
      </c>
      <c r="U168" s="244"/>
      <c r="V168" s="282">
        <f t="shared" si="75"/>
        <v>0</v>
      </c>
      <c r="W168" s="282"/>
      <c r="X168" s="282"/>
      <c r="Y168" s="282"/>
      <c r="Z168" s="282"/>
      <c r="AA168" s="282"/>
      <c r="AB168" s="300" t="str">
        <f t="shared" si="83"/>
        <v>pin in groundstacking hole</v>
      </c>
      <c r="AC168" s="451"/>
      <c r="AD168" s="451"/>
      <c r="AE168" s="451"/>
      <c r="AF168" s="282">
        <f>SUM(V168:V187)/($B$161-B167)</f>
        <v>0</v>
      </c>
      <c r="AG168" s="282"/>
      <c r="AH168" s="301">
        <f>SUM(D165:D168)+$C$164</f>
        <v>0</v>
      </c>
      <c r="AI168" s="370"/>
      <c r="AJ168" s="173">
        <f t="shared" si="84"/>
        <v>69.344714800000006</v>
      </c>
      <c r="AK168" s="284">
        <f t="shared" si="76"/>
        <v>0.93571960494171247</v>
      </c>
      <c r="AL168" s="174">
        <f t="shared" si="85"/>
        <v>180.0511663828843</v>
      </c>
      <c r="AM168" s="173">
        <f t="shared" si="86"/>
        <v>50.174479900000001</v>
      </c>
      <c r="AN168" s="285">
        <f t="shared" si="87"/>
        <v>0.76799833627881664</v>
      </c>
      <c r="AO168" s="174">
        <f t="shared" si="88"/>
        <v>146.50336262854705</v>
      </c>
      <c r="AP168" s="287"/>
      <c r="AQ168" s="174">
        <f t="shared" si="96"/>
        <v>-76.5</v>
      </c>
      <c r="AR168" s="287"/>
      <c r="AS168" s="288">
        <f t="shared" si="89"/>
        <v>326.55452901143133</v>
      </c>
      <c r="AT168" s="289">
        <f t="shared" ref="AT168:AT187" si="98">+V168-AO168</f>
        <v>-146.50336262854705</v>
      </c>
      <c r="AU168" s="290"/>
      <c r="AV168" s="289">
        <f t="shared" si="97"/>
        <v>146.50336262854705</v>
      </c>
      <c r="AW168" s="291">
        <f t="shared" si="90"/>
        <v>-42.17952288087384</v>
      </c>
      <c r="AX168" s="291">
        <f t="shared" si="91"/>
        <v>-34.32047711912616</v>
      </c>
      <c r="AY168" s="292">
        <f t="shared" si="77"/>
        <v>-275.01496479136279</v>
      </c>
      <c r="AZ168" s="292">
        <f t="shared" si="78"/>
        <v>-291.37124071119592</v>
      </c>
      <c r="BA168" s="294">
        <f t="shared" si="92"/>
        <v>275.01496479136279</v>
      </c>
      <c r="BB168" s="294">
        <f t="shared" si="92"/>
        <v>291.37124071119592</v>
      </c>
      <c r="BC168">
        <f t="shared" si="93"/>
        <v>0.3</v>
      </c>
      <c r="BD168" s="10"/>
      <c r="BE168" s="10"/>
      <c r="BF168" s="10"/>
      <c r="BG168" s="27"/>
      <c r="BQ168" s="1750"/>
      <c r="BR168" s="1750"/>
      <c r="BS168" s="1750"/>
      <c r="BT168" s="1750"/>
      <c r="BU168" s="1750"/>
      <c r="BV168" s="1750"/>
      <c r="BW168" s="1750"/>
      <c r="BX168" s="1750"/>
      <c r="BY168" s="1750"/>
      <c r="BZ168" s="1750"/>
      <c r="CA168" s="1750"/>
      <c r="CB168" s="1750"/>
      <c r="CC168" s="1750"/>
      <c r="CD168" s="1750"/>
      <c r="CE168" s="1750"/>
      <c r="CF168" s="1750"/>
      <c r="CG168" s="1750"/>
      <c r="CH168" s="1750"/>
      <c r="CI168" s="1750"/>
      <c r="CJ168" s="1750"/>
      <c r="CK168" s="1750"/>
      <c r="CL168" s="1750"/>
      <c r="CM168" s="1750"/>
    </row>
    <row r="169" spans="1:91" ht="21" customHeight="1" thickBot="1" x14ac:dyDescent="0.35">
      <c r="B169" s="88">
        <v>6</v>
      </c>
      <c r="C169" s="20"/>
      <c r="D169" s="738">
        <v>0</v>
      </c>
      <c r="E169" s="333" t="s">
        <v>72</v>
      </c>
      <c r="F169" s="81">
        <f t="shared" si="79"/>
        <v>0.3</v>
      </c>
      <c r="G169" s="81">
        <f t="shared" si="94"/>
        <v>0.3</v>
      </c>
      <c r="H169" s="299">
        <v>190.76</v>
      </c>
      <c r="I169" s="318">
        <v>79.651040199999997</v>
      </c>
      <c r="J169" s="251">
        <f t="shared" si="80"/>
        <v>79.651040199999997</v>
      </c>
      <c r="K169" s="251">
        <f t="shared" si="81"/>
        <v>39.825520099999999</v>
      </c>
      <c r="L169" s="251">
        <f t="shared" si="69"/>
        <v>0.64045183696587837</v>
      </c>
      <c r="M169" s="251">
        <f t="shared" si="70"/>
        <v>122.17259241961095</v>
      </c>
      <c r="N169" s="251">
        <f t="shared" si="71"/>
        <v>244.3451848392219</v>
      </c>
      <c r="O169" s="251">
        <f>+C164+D165+D166+D167+D168+(D169/2)</f>
        <v>0</v>
      </c>
      <c r="P169" s="251">
        <f t="shared" si="72"/>
        <v>0</v>
      </c>
      <c r="Q169" s="251">
        <f t="shared" si="73"/>
        <v>0</v>
      </c>
      <c r="R169" s="251">
        <f t="shared" si="82"/>
        <v>146.5</v>
      </c>
      <c r="S169" s="251">
        <f t="shared" si="95"/>
        <v>146.5</v>
      </c>
      <c r="T169" s="252">
        <f t="shared" si="74"/>
        <v>146.5</v>
      </c>
      <c r="U169" s="244"/>
      <c r="V169" s="282">
        <f t="shared" si="75"/>
        <v>0</v>
      </c>
      <c r="W169" s="282"/>
      <c r="X169" s="282"/>
      <c r="Y169" s="282"/>
      <c r="Z169" s="282"/>
      <c r="AA169" s="282"/>
      <c r="AB169" s="300" t="str">
        <f t="shared" si="83"/>
        <v>pin in groundstacking hole</v>
      </c>
      <c r="AC169" s="451"/>
      <c r="AD169" s="451"/>
      <c r="AE169" s="451"/>
      <c r="AF169" s="282">
        <f>SUM(V169:V187)/($B$161-B168)</f>
        <v>0</v>
      </c>
      <c r="AG169" s="282"/>
      <c r="AH169" s="301">
        <f>SUM(D165:D169)+$C$164</f>
        <v>0</v>
      </c>
      <c r="AI169" s="370"/>
      <c r="AJ169" s="173">
        <f t="shared" si="84"/>
        <v>69.344714800000006</v>
      </c>
      <c r="AK169" s="284">
        <f t="shared" si="76"/>
        <v>0.93571960494171247</v>
      </c>
      <c r="AL169" s="174">
        <f t="shared" si="85"/>
        <v>180.0511663828843</v>
      </c>
      <c r="AM169" s="173">
        <f t="shared" si="86"/>
        <v>50.174479900000001</v>
      </c>
      <c r="AN169" s="285">
        <f t="shared" si="87"/>
        <v>0.76799833627881664</v>
      </c>
      <c r="AO169" s="174">
        <f t="shared" si="88"/>
        <v>146.50336262854705</v>
      </c>
      <c r="AP169" s="287"/>
      <c r="AQ169" s="174">
        <f t="shared" si="96"/>
        <v>-102</v>
      </c>
      <c r="AR169" s="287"/>
      <c r="AS169" s="288">
        <f t="shared" si="89"/>
        <v>326.55452901143133</v>
      </c>
      <c r="AT169" s="289">
        <f t="shared" si="98"/>
        <v>-146.50336262854705</v>
      </c>
      <c r="AU169" s="290"/>
      <c r="AV169" s="289">
        <f t="shared" si="97"/>
        <v>146.50336262854705</v>
      </c>
      <c r="AW169" s="291">
        <f t="shared" si="90"/>
        <v>-56.239363841165115</v>
      </c>
      <c r="AX169" s="291">
        <f t="shared" si="91"/>
        <v>-45.760636158834885</v>
      </c>
      <c r="AY169" s="292">
        <f t="shared" si="77"/>
        <v>-206.26122359352212</v>
      </c>
      <c r="AZ169" s="292">
        <f t="shared" si="78"/>
        <v>-218.52843053339691</v>
      </c>
      <c r="BA169" s="294">
        <f t="shared" si="92"/>
        <v>206.26122359352212</v>
      </c>
      <c r="BB169" s="294">
        <f t="shared" si="92"/>
        <v>218.52843053339691</v>
      </c>
      <c r="BC169">
        <f t="shared" si="93"/>
        <v>0.3</v>
      </c>
      <c r="BD169" s="10"/>
      <c r="BE169" s="10"/>
      <c r="BF169" s="10"/>
      <c r="BG169" s="27"/>
      <c r="BQ169" s="1750"/>
      <c r="BR169" s="1750"/>
      <c r="BS169" s="1750"/>
      <c r="BT169" s="1750"/>
      <c r="BU169" s="1750"/>
      <c r="BV169" s="1750"/>
      <c r="BW169" s="1750"/>
      <c r="BX169" s="1750"/>
      <c r="BY169" s="1750"/>
      <c r="BZ169" s="1750"/>
      <c r="CA169" s="1750"/>
      <c r="CB169" s="1750"/>
      <c r="CC169" s="1750"/>
      <c r="CD169" s="1750"/>
      <c r="CE169" s="1750"/>
      <c r="CF169" s="1750"/>
      <c r="CG169" s="1750"/>
      <c r="CH169" s="1750"/>
      <c r="CI169" s="1750"/>
      <c r="CJ169" s="1750"/>
      <c r="CK169" s="1750"/>
      <c r="CL169" s="1750"/>
      <c r="CM169" s="1750"/>
    </row>
    <row r="170" spans="1:91" ht="21" customHeight="1" thickBot="1" x14ac:dyDescent="0.35">
      <c r="B170" s="88">
        <v>7</v>
      </c>
      <c r="C170" s="20"/>
      <c r="D170" s="738">
        <v>0</v>
      </c>
      <c r="E170" s="333" t="s">
        <v>72</v>
      </c>
      <c r="F170" s="81">
        <f t="shared" si="79"/>
        <v>0.3</v>
      </c>
      <c r="G170" s="81">
        <f t="shared" si="94"/>
        <v>0.3</v>
      </c>
      <c r="H170" s="299">
        <v>190.76</v>
      </c>
      <c r="I170" s="318">
        <v>79.651040199999997</v>
      </c>
      <c r="J170" s="251">
        <f t="shared" si="80"/>
        <v>79.651040199999997</v>
      </c>
      <c r="K170" s="251">
        <f t="shared" si="81"/>
        <v>39.825520099999999</v>
      </c>
      <c r="L170" s="251">
        <f t="shared" si="69"/>
        <v>0.64045183696587837</v>
      </c>
      <c r="M170" s="251">
        <f t="shared" si="70"/>
        <v>122.17259241961095</v>
      </c>
      <c r="N170" s="251">
        <f t="shared" si="71"/>
        <v>244.3451848392219</v>
      </c>
      <c r="O170" s="251">
        <f>+C164+D165+D166+D167+D168+D169+(D170/2)</f>
        <v>0</v>
      </c>
      <c r="P170" s="251">
        <f t="shared" si="72"/>
        <v>0</v>
      </c>
      <c r="Q170" s="251">
        <f t="shared" si="73"/>
        <v>0</v>
      </c>
      <c r="R170" s="251">
        <f t="shared" si="82"/>
        <v>146.5</v>
      </c>
      <c r="S170" s="251">
        <f t="shared" si="95"/>
        <v>146.5</v>
      </c>
      <c r="T170" s="252">
        <f t="shared" si="74"/>
        <v>146.5</v>
      </c>
      <c r="U170" s="244"/>
      <c r="V170" s="282">
        <f t="shared" si="75"/>
        <v>0</v>
      </c>
      <c r="W170" s="282"/>
      <c r="X170" s="282"/>
      <c r="Y170" s="282"/>
      <c r="Z170" s="282"/>
      <c r="AA170" s="282"/>
      <c r="AB170" s="300" t="str">
        <f t="shared" si="83"/>
        <v>pin in groundstacking hole</v>
      </c>
      <c r="AC170" s="451"/>
      <c r="AD170" s="451"/>
      <c r="AE170" s="451"/>
      <c r="AF170" s="282">
        <f>SUM(V170:V187)/($B$161-B169)</f>
        <v>0</v>
      </c>
      <c r="AG170" s="282"/>
      <c r="AH170" s="301">
        <f>SUM(D165:D170)+$C$164</f>
        <v>0</v>
      </c>
      <c r="AI170" s="370"/>
      <c r="AJ170" s="173">
        <f t="shared" si="84"/>
        <v>69.344714800000006</v>
      </c>
      <c r="AK170" s="284">
        <f t="shared" si="76"/>
        <v>0.93571960494171247</v>
      </c>
      <c r="AL170" s="174">
        <f t="shared" si="85"/>
        <v>180.0511663828843</v>
      </c>
      <c r="AM170" s="173">
        <f t="shared" si="86"/>
        <v>50.174479900000001</v>
      </c>
      <c r="AN170" s="285">
        <f t="shared" si="87"/>
        <v>0.76799833627881664</v>
      </c>
      <c r="AO170" s="174">
        <f t="shared" si="88"/>
        <v>146.50336262854705</v>
      </c>
      <c r="AP170" s="287"/>
      <c r="AQ170" s="174">
        <f t="shared" si="96"/>
        <v>-127.5</v>
      </c>
      <c r="AR170" s="287"/>
      <c r="AS170" s="288">
        <f t="shared" si="89"/>
        <v>326.55452901143133</v>
      </c>
      <c r="AT170" s="289">
        <f t="shared" si="98"/>
        <v>-146.50336262854705</v>
      </c>
      <c r="AU170" s="290"/>
      <c r="AV170" s="289">
        <f t="shared" si="97"/>
        <v>146.50336262854705</v>
      </c>
      <c r="AW170" s="291">
        <f t="shared" si="90"/>
        <v>-70.299204801456398</v>
      </c>
      <c r="AX170" s="291">
        <f t="shared" si="91"/>
        <v>-57.200795198543602</v>
      </c>
      <c r="AY170" s="292">
        <f t="shared" si="77"/>
        <v>-165.00897887481767</v>
      </c>
      <c r="AZ170" s="292">
        <f t="shared" si="78"/>
        <v>-174.82274442671755</v>
      </c>
      <c r="BA170" s="294">
        <f t="shared" si="92"/>
        <v>165.00897887481767</v>
      </c>
      <c r="BB170" s="294">
        <f t="shared" si="92"/>
        <v>174.82274442671755</v>
      </c>
      <c r="BC170">
        <f t="shared" si="93"/>
        <v>0.3</v>
      </c>
      <c r="BG170" s="27"/>
      <c r="BQ170" s="1750"/>
      <c r="BR170" s="1750"/>
      <c r="BS170" s="1750"/>
      <c r="BT170" s="1750"/>
      <c r="BU170" s="1750"/>
      <c r="BV170" s="1750"/>
      <c r="BW170" s="1750"/>
      <c r="BX170" s="1750"/>
      <c r="BY170" s="1750"/>
      <c r="BZ170" s="1750"/>
      <c r="CA170" s="1750"/>
      <c r="CB170" s="1750"/>
      <c r="CC170" s="1750"/>
      <c r="CD170" s="1750"/>
      <c r="CE170" s="1750"/>
      <c r="CF170" s="1750"/>
      <c r="CG170" s="1750"/>
      <c r="CH170" s="1750"/>
      <c r="CI170" s="1750"/>
      <c r="CJ170" s="1750"/>
      <c r="CK170" s="1750"/>
      <c r="CL170" s="1750"/>
      <c r="CM170" s="1750"/>
    </row>
    <row r="171" spans="1:91" ht="21" customHeight="1" thickBot="1" x14ac:dyDescent="0.35">
      <c r="B171" s="88">
        <v>8</v>
      </c>
      <c r="C171" s="20"/>
      <c r="D171" s="738">
        <v>0</v>
      </c>
      <c r="E171" s="333" t="s">
        <v>72</v>
      </c>
      <c r="F171" s="81">
        <f t="shared" si="79"/>
        <v>0.3</v>
      </c>
      <c r="G171" s="81">
        <f t="shared" si="94"/>
        <v>0.3</v>
      </c>
      <c r="H171" s="299">
        <v>190.76</v>
      </c>
      <c r="I171" s="318">
        <v>79.651040199999997</v>
      </c>
      <c r="J171" s="251">
        <f t="shared" si="80"/>
        <v>79.651040199999997</v>
      </c>
      <c r="K171" s="251">
        <f t="shared" si="81"/>
        <v>39.825520099999999</v>
      </c>
      <c r="L171" s="251">
        <f t="shared" si="69"/>
        <v>0.64045183696587837</v>
      </c>
      <c r="M171" s="251">
        <f t="shared" si="70"/>
        <v>122.17259241961095</v>
      </c>
      <c r="N171" s="251">
        <f t="shared" si="71"/>
        <v>244.3451848392219</v>
      </c>
      <c r="O171" s="251">
        <f>+C164+D165+D166+D167+D168+D169+D170+(D171/2)</f>
        <v>0</v>
      </c>
      <c r="P171" s="251">
        <f t="shared" si="72"/>
        <v>0</v>
      </c>
      <c r="Q171" s="251">
        <f t="shared" si="73"/>
        <v>0</v>
      </c>
      <c r="R171" s="251">
        <f t="shared" si="82"/>
        <v>146.5</v>
      </c>
      <c r="S171" s="251">
        <f t="shared" si="95"/>
        <v>146.5</v>
      </c>
      <c r="T171" s="252">
        <f t="shared" si="74"/>
        <v>146.5</v>
      </c>
      <c r="U171" s="244"/>
      <c r="V171" s="282">
        <f t="shared" si="75"/>
        <v>0</v>
      </c>
      <c r="W171" s="282"/>
      <c r="X171" s="282"/>
      <c r="Y171" s="282"/>
      <c r="Z171" s="282"/>
      <c r="AA171" s="282"/>
      <c r="AB171" s="300" t="str">
        <f>IF(AZ171&lt;0,"pin in groundstacking hole"," ")</f>
        <v>pin in groundstacking hole</v>
      </c>
      <c r="AC171" s="451"/>
      <c r="AD171" s="451"/>
      <c r="AE171" s="451"/>
      <c r="AF171" s="282">
        <f>SUM(V171:V187)/($B$161-B170)</f>
        <v>0</v>
      </c>
      <c r="AG171" s="282"/>
      <c r="AH171" s="301">
        <f>SUM(D165:D171)+$C$164</f>
        <v>0</v>
      </c>
      <c r="AI171" s="370"/>
      <c r="AJ171" s="173">
        <f t="shared" si="84"/>
        <v>69.344714800000006</v>
      </c>
      <c r="AK171" s="284">
        <f t="shared" si="76"/>
        <v>0.93571960494171247</v>
      </c>
      <c r="AL171" s="174">
        <f t="shared" si="85"/>
        <v>180.0511663828843</v>
      </c>
      <c r="AM171" s="173">
        <f t="shared" si="86"/>
        <v>50.174479900000001</v>
      </c>
      <c r="AN171" s="285">
        <f t="shared" si="87"/>
        <v>0.76799833627881664</v>
      </c>
      <c r="AO171" s="174">
        <f t="shared" si="88"/>
        <v>146.50336262854705</v>
      </c>
      <c r="AP171" s="287"/>
      <c r="AQ171" s="174">
        <f t="shared" si="96"/>
        <v>-153</v>
      </c>
      <c r="AR171" s="287"/>
      <c r="AS171" s="288">
        <f t="shared" si="89"/>
        <v>326.55452901143133</v>
      </c>
      <c r="AT171" s="289">
        <f t="shared" si="98"/>
        <v>-146.50336262854705</v>
      </c>
      <c r="AU171" s="290"/>
      <c r="AV171" s="289">
        <f t="shared" si="97"/>
        <v>146.50336262854705</v>
      </c>
      <c r="AW171" s="291">
        <f t="shared" si="90"/>
        <v>-84.35904576174768</v>
      </c>
      <c r="AX171" s="291">
        <f t="shared" si="91"/>
        <v>-68.64095423825232</v>
      </c>
      <c r="AY171" s="292">
        <f t="shared" si="77"/>
        <v>-137.50748239568139</v>
      </c>
      <c r="AZ171" s="292">
        <f t="shared" si="78"/>
        <v>-145.68562035559796</v>
      </c>
      <c r="BA171" s="294">
        <f t="shared" si="92"/>
        <v>137.50748239568139</v>
      </c>
      <c r="BB171" s="294">
        <f t="shared" si="92"/>
        <v>145.68562035559796</v>
      </c>
      <c r="BC171">
        <f t="shared" si="93"/>
        <v>0.3</v>
      </c>
      <c r="BG171" s="27"/>
      <c r="BQ171" s="1750"/>
      <c r="BR171" s="1750"/>
      <c r="BS171" s="1750"/>
      <c r="BT171" s="1750"/>
      <c r="BU171" s="1750"/>
      <c r="BV171" s="1750"/>
      <c r="BW171" s="1750"/>
      <c r="BX171" s="1750"/>
      <c r="BY171" s="1750"/>
      <c r="BZ171" s="1750"/>
      <c r="CA171" s="1750"/>
      <c r="CB171" s="1750"/>
      <c r="CC171" s="1750"/>
      <c r="CD171" s="1750"/>
      <c r="CE171" s="1750"/>
      <c r="CF171" s="1750"/>
      <c r="CG171" s="1750"/>
      <c r="CH171" s="1750"/>
      <c r="CI171" s="1750"/>
      <c r="CJ171" s="1750"/>
      <c r="CK171" s="1750"/>
      <c r="CL171" s="1750"/>
      <c r="CM171" s="1750"/>
    </row>
    <row r="172" spans="1:91" ht="21" customHeight="1" thickBot="1" x14ac:dyDescent="0.35">
      <c r="B172" s="88">
        <v>9</v>
      </c>
      <c r="C172" s="20"/>
      <c r="D172" s="738">
        <v>0</v>
      </c>
      <c r="E172" s="333" t="s">
        <v>72</v>
      </c>
      <c r="F172" s="81">
        <f t="shared" si="79"/>
        <v>0.3</v>
      </c>
      <c r="G172" s="81">
        <f t="shared" si="94"/>
        <v>0.3</v>
      </c>
      <c r="H172" s="299">
        <v>190.76</v>
      </c>
      <c r="I172" s="318">
        <v>79.651040199999997</v>
      </c>
      <c r="J172" s="251">
        <f t="shared" si="80"/>
        <v>79.651040199999997</v>
      </c>
      <c r="K172" s="251">
        <f t="shared" si="81"/>
        <v>39.825520099999999</v>
      </c>
      <c r="L172" s="251">
        <f t="shared" si="69"/>
        <v>0.64045183696587837</v>
      </c>
      <c r="M172" s="251">
        <f t="shared" si="70"/>
        <v>122.17259241961095</v>
      </c>
      <c r="N172" s="251">
        <f t="shared" si="71"/>
        <v>244.3451848392219</v>
      </c>
      <c r="O172" s="251">
        <f>+C164+D165+D166+D167+D168+D169+D170+D171+(D172/2)</f>
        <v>0</v>
      </c>
      <c r="P172" s="251">
        <f t="shared" si="72"/>
        <v>0</v>
      </c>
      <c r="Q172" s="251">
        <f t="shared" si="73"/>
        <v>0</v>
      </c>
      <c r="R172" s="251">
        <f t="shared" si="82"/>
        <v>146.5</v>
      </c>
      <c r="S172" s="251">
        <f t="shared" si="95"/>
        <v>146.5</v>
      </c>
      <c r="T172" s="252">
        <f t="shared" si="74"/>
        <v>146.5</v>
      </c>
      <c r="U172" s="244"/>
      <c r="V172" s="282">
        <f t="shared" si="75"/>
        <v>0</v>
      </c>
      <c r="W172" s="282"/>
      <c r="X172" s="282"/>
      <c r="Y172" s="282"/>
      <c r="Z172" s="282"/>
      <c r="AA172" s="282"/>
      <c r="AB172" s="300" t="str">
        <f t="shared" si="83"/>
        <v>pin in groundstacking hole</v>
      </c>
      <c r="AC172" s="451"/>
      <c r="AD172" s="451"/>
      <c r="AE172" s="451"/>
      <c r="AF172" s="282">
        <f>SUM(V172:V187)/($B$161-B171)</f>
        <v>0</v>
      </c>
      <c r="AG172" s="282"/>
      <c r="AH172" s="301">
        <f>SUM(D165:D172)+$C$164</f>
        <v>0</v>
      </c>
      <c r="AI172" s="370"/>
      <c r="AJ172" s="173">
        <f t="shared" si="84"/>
        <v>69.344714800000006</v>
      </c>
      <c r="AK172" s="284">
        <f t="shared" si="76"/>
        <v>0.93571960494171247</v>
      </c>
      <c r="AL172" s="174">
        <f t="shared" si="85"/>
        <v>180.0511663828843</v>
      </c>
      <c r="AM172" s="173">
        <f t="shared" si="86"/>
        <v>50.174479900000001</v>
      </c>
      <c r="AN172" s="285">
        <f t="shared" si="87"/>
        <v>0.76799833627881664</v>
      </c>
      <c r="AO172" s="174">
        <f t="shared" si="88"/>
        <v>146.50336262854705</v>
      </c>
      <c r="AP172" s="287"/>
      <c r="AQ172" s="174">
        <f t="shared" si="96"/>
        <v>-178.5</v>
      </c>
      <c r="AR172" s="287"/>
      <c r="AS172" s="288">
        <f t="shared" si="89"/>
        <v>326.55452901143133</v>
      </c>
      <c r="AT172" s="289">
        <f t="shared" si="98"/>
        <v>-146.50336262854705</v>
      </c>
      <c r="AU172" s="290"/>
      <c r="AV172" s="289">
        <f t="shared" si="97"/>
        <v>146.50336262854705</v>
      </c>
      <c r="AW172" s="291">
        <f t="shared" si="90"/>
        <v>-98.418886722038962</v>
      </c>
      <c r="AX172" s="291">
        <f t="shared" si="91"/>
        <v>-80.081113277961038</v>
      </c>
      <c r="AY172" s="292">
        <f t="shared" si="77"/>
        <v>-117.86355633915548</v>
      </c>
      <c r="AZ172" s="292">
        <f t="shared" si="78"/>
        <v>-124.87338887622683</v>
      </c>
      <c r="BA172" s="294">
        <f t="shared" si="92"/>
        <v>117.86355633915548</v>
      </c>
      <c r="BB172" s="294">
        <f t="shared" si="92"/>
        <v>124.87338887622683</v>
      </c>
      <c r="BC172">
        <f t="shared" si="93"/>
        <v>0.3</v>
      </c>
      <c r="BG172" s="27"/>
      <c r="BQ172" s="1750"/>
      <c r="BR172" s="1750"/>
      <c r="BS172" s="1581"/>
      <c r="BT172" s="1581"/>
      <c r="BU172" s="1581"/>
      <c r="BV172" s="1581"/>
      <c r="BW172" s="1581"/>
      <c r="BX172" s="1581"/>
      <c r="BY172" s="1581"/>
      <c r="BZ172" s="1581"/>
      <c r="CA172" s="1581"/>
      <c r="CB172" s="1581"/>
      <c r="CC172" s="1750"/>
      <c r="CD172" s="1750"/>
      <c r="CE172" s="1750"/>
      <c r="CF172" s="1750"/>
      <c r="CG172" s="1750"/>
      <c r="CH172" s="1750"/>
      <c r="CI172" s="1750"/>
      <c r="CJ172" s="1750"/>
      <c r="CK172" s="1750"/>
      <c r="CL172" s="1750"/>
      <c r="CM172" s="1750"/>
    </row>
    <row r="173" spans="1:91" ht="21" customHeight="1" thickBot="1" x14ac:dyDescent="0.35">
      <c r="B173" s="88">
        <v>10</v>
      </c>
      <c r="C173" s="20"/>
      <c r="D173" s="738">
        <v>0</v>
      </c>
      <c r="E173" s="333" t="s">
        <v>72</v>
      </c>
      <c r="F173" s="81">
        <f t="shared" si="79"/>
        <v>0.3</v>
      </c>
      <c r="G173" s="81">
        <f t="shared" si="94"/>
        <v>0.3</v>
      </c>
      <c r="H173" s="299">
        <v>190.76</v>
      </c>
      <c r="I173" s="318">
        <v>79.651040199999997</v>
      </c>
      <c r="J173" s="251">
        <f t="shared" si="80"/>
        <v>79.651040199999997</v>
      </c>
      <c r="K173" s="251">
        <f t="shared" si="81"/>
        <v>39.825520099999999</v>
      </c>
      <c r="L173" s="251">
        <f t="shared" si="69"/>
        <v>0.64045183696587837</v>
      </c>
      <c r="M173" s="251">
        <f t="shared" si="70"/>
        <v>122.17259241961095</v>
      </c>
      <c r="N173" s="251">
        <f t="shared" si="71"/>
        <v>244.3451848392219</v>
      </c>
      <c r="O173" s="251">
        <f>+C164+D165+D166+D167+D168+D169+D170+D171+D172+(D173/2)</f>
        <v>0</v>
      </c>
      <c r="P173" s="251">
        <f t="shared" si="72"/>
        <v>0</v>
      </c>
      <c r="Q173" s="251">
        <f t="shared" si="73"/>
        <v>0</v>
      </c>
      <c r="R173" s="251">
        <f t="shared" si="82"/>
        <v>146.5</v>
      </c>
      <c r="S173" s="251">
        <f t="shared" si="95"/>
        <v>146.5</v>
      </c>
      <c r="T173" s="252">
        <f t="shared" si="74"/>
        <v>146.5</v>
      </c>
      <c r="U173" s="244"/>
      <c r="V173" s="282">
        <f t="shared" si="75"/>
        <v>0</v>
      </c>
      <c r="W173" s="282"/>
      <c r="X173" s="282"/>
      <c r="Y173" s="282"/>
      <c r="Z173" s="282"/>
      <c r="AA173" s="282"/>
      <c r="AB173" s="300" t="str">
        <f t="shared" si="83"/>
        <v>pin in groundstacking hole</v>
      </c>
      <c r="AC173" s="451"/>
      <c r="AD173" s="451"/>
      <c r="AE173" s="451"/>
      <c r="AF173" s="282">
        <f>SUM(V173:V187)/($B$161-B172)</f>
        <v>0</v>
      </c>
      <c r="AG173" s="282"/>
      <c r="AH173" s="301">
        <f>SUM(D165:D173)+$C$164</f>
        <v>0</v>
      </c>
      <c r="AI173" s="370"/>
      <c r="AJ173" s="173">
        <f t="shared" si="84"/>
        <v>69.344714800000006</v>
      </c>
      <c r="AK173" s="284">
        <f t="shared" si="76"/>
        <v>0.93571960494171247</v>
      </c>
      <c r="AL173" s="174">
        <f t="shared" si="85"/>
        <v>180.0511663828843</v>
      </c>
      <c r="AM173" s="173">
        <f t="shared" si="86"/>
        <v>50.174479900000001</v>
      </c>
      <c r="AN173" s="285">
        <f t="shared" si="87"/>
        <v>0.76799833627881664</v>
      </c>
      <c r="AO173" s="174">
        <f t="shared" si="88"/>
        <v>146.50336262854705</v>
      </c>
      <c r="AP173" s="287"/>
      <c r="AQ173" s="174">
        <f t="shared" si="96"/>
        <v>-204</v>
      </c>
      <c r="AR173" s="287"/>
      <c r="AS173" s="288">
        <f t="shared" si="89"/>
        <v>326.55452901143133</v>
      </c>
      <c r="AT173" s="289">
        <f t="shared" si="98"/>
        <v>-146.50336262854705</v>
      </c>
      <c r="AU173" s="290"/>
      <c r="AV173" s="289">
        <f t="shared" si="97"/>
        <v>146.50336262854705</v>
      </c>
      <c r="AW173" s="291">
        <f t="shared" si="90"/>
        <v>-112.47872768233023</v>
      </c>
      <c r="AX173" s="291">
        <f t="shared" si="91"/>
        <v>-91.521272317669769</v>
      </c>
      <c r="AY173" s="292">
        <f t="shared" si="77"/>
        <v>-103.13061179676106</v>
      </c>
      <c r="AZ173" s="292">
        <f t="shared" si="78"/>
        <v>-109.26421526669846</v>
      </c>
      <c r="BA173" s="294">
        <f t="shared" si="92"/>
        <v>103.13061179676106</v>
      </c>
      <c r="BB173" s="294">
        <f t="shared" si="92"/>
        <v>109.26421526669846</v>
      </c>
      <c r="BC173">
        <f t="shared" si="93"/>
        <v>0.3</v>
      </c>
      <c r="BG173" s="27"/>
      <c r="BQ173" s="1750"/>
      <c r="BR173" s="1750"/>
      <c r="BS173" s="1581"/>
      <c r="BT173" s="1581"/>
      <c r="BU173" s="1581"/>
      <c r="BV173" s="1581"/>
      <c r="BW173" s="1581"/>
      <c r="BX173" s="1581"/>
      <c r="BY173" s="1581"/>
      <c r="BZ173" s="1581"/>
      <c r="CA173" s="1581"/>
      <c r="CB173" s="1581"/>
      <c r="CC173" s="1750"/>
      <c r="CD173" s="1750"/>
      <c r="CE173" s="1750"/>
      <c r="CF173" s="1750"/>
      <c r="CG173" s="1750"/>
      <c r="CH173" s="1750"/>
      <c r="CI173" s="1750"/>
      <c r="CJ173" s="1750"/>
      <c r="CK173" s="1750"/>
      <c r="CL173" s="1750"/>
      <c r="CM173" s="1750"/>
    </row>
    <row r="174" spans="1:91" ht="21" customHeight="1" thickBot="1" x14ac:dyDescent="0.35">
      <c r="A174" s="9"/>
      <c r="B174" s="88">
        <v>11</v>
      </c>
      <c r="C174" s="20"/>
      <c r="D174" s="738">
        <v>0</v>
      </c>
      <c r="E174" s="333" t="s">
        <v>72</v>
      </c>
      <c r="F174" s="81">
        <f t="shared" si="79"/>
        <v>0.3</v>
      </c>
      <c r="G174" s="81">
        <f t="shared" si="94"/>
        <v>0.3</v>
      </c>
      <c r="H174" s="299">
        <v>190.76</v>
      </c>
      <c r="I174" s="318">
        <v>79.651040199999997</v>
      </c>
      <c r="J174" s="251">
        <f t="shared" si="80"/>
        <v>79.651040199999997</v>
      </c>
      <c r="K174" s="251">
        <f t="shared" si="81"/>
        <v>39.825520099999999</v>
      </c>
      <c r="L174" s="251">
        <f t="shared" si="69"/>
        <v>0.64045183696587837</v>
      </c>
      <c r="M174" s="251">
        <f t="shared" si="70"/>
        <v>122.17259241961095</v>
      </c>
      <c r="N174" s="251">
        <f t="shared" si="71"/>
        <v>244.3451848392219</v>
      </c>
      <c r="O174" s="251">
        <f>+C164+D165+D166+D167+D168+D169+D170+D171+D172+D173+(D174/2)</f>
        <v>0</v>
      </c>
      <c r="P174" s="251">
        <f t="shared" si="72"/>
        <v>0</v>
      </c>
      <c r="Q174" s="251">
        <f t="shared" si="73"/>
        <v>0</v>
      </c>
      <c r="R174" s="251">
        <f t="shared" si="82"/>
        <v>146.5</v>
      </c>
      <c r="S174" s="251">
        <f t="shared" si="95"/>
        <v>146.5</v>
      </c>
      <c r="T174" s="252">
        <f t="shared" si="74"/>
        <v>146.5</v>
      </c>
      <c r="U174" s="244"/>
      <c r="V174" s="282">
        <f t="shared" si="75"/>
        <v>0</v>
      </c>
      <c r="W174" s="282"/>
      <c r="X174" s="282"/>
      <c r="Y174" s="282"/>
      <c r="Z174" s="282"/>
      <c r="AA174" s="282"/>
      <c r="AB174" s="300" t="str">
        <f t="shared" si="83"/>
        <v>pin in groundstacking hole</v>
      </c>
      <c r="AC174" s="451"/>
      <c r="AD174" s="451"/>
      <c r="AE174" s="451"/>
      <c r="AF174" s="282">
        <f>SUM(V174:V187)/($B$161-B173)</f>
        <v>0</v>
      </c>
      <c r="AG174" s="282"/>
      <c r="AH174" s="301">
        <f>SUM(D165:D174)+$C$164</f>
        <v>0</v>
      </c>
      <c r="AI174" s="370"/>
      <c r="AJ174" s="173">
        <f t="shared" si="84"/>
        <v>69.344714800000006</v>
      </c>
      <c r="AK174" s="284">
        <f t="shared" si="76"/>
        <v>0.93571960494171247</v>
      </c>
      <c r="AL174" s="174">
        <f t="shared" si="85"/>
        <v>180.0511663828843</v>
      </c>
      <c r="AM174" s="173">
        <f t="shared" si="86"/>
        <v>50.174479900000001</v>
      </c>
      <c r="AN174" s="285">
        <f t="shared" si="87"/>
        <v>0.76799833627881664</v>
      </c>
      <c r="AO174" s="174">
        <f t="shared" si="88"/>
        <v>146.50336262854705</v>
      </c>
      <c r="AP174" s="287"/>
      <c r="AQ174" s="174">
        <f t="shared" si="96"/>
        <v>-229.5</v>
      </c>
      <c r="AR174" s="287"/>
      <c r="AS174" s="288">
        <f t="shared" si="89"/>
        <v>326.55452901143133</v>
      </c>
      <c r="AT174" s="289">
        <f t="shared" si="98"/>
        <v>-146.50336262854705</v>
      </c>
      <c r="AU174" s="290"/>
      <c r="AV174" s="289">
        <f t="shared" si="97"/>
        <v>146.50336262854705</v>
      </c>
      <c r="AW174" s="291">
        <f t="shared" si="90"/>
        <v>-126.53856864262151</v>
      </c>
      <c r="AX174" s="291">
        <f t="shared" si="91"/>
        <v>-102.96143135737849</v>
      </c>
      <c r="AY174" s="292">
        <f t="shared" si="77"/>
        <v>-91.671654930454267</v>
      </c>
      <c r="AZ174" s="292">
        <f t="shared" si="78"/>
        <v>-97.12374690373197</v>
      </c>
      <c r="BA174" s="294">
        <f t="shared" si="92"/>
        <v>91.671654930454267</v>
      </c>
      <c r="BB174" s="294">
        <f t="shared" si="92"/>
        <v>97.12374690373197</v>
      </c>
      <c r="BC174">
        <f t="shared" si="93"/>
        <v>0.3</v>
      </c>
      <c r="BG174" s="27"/>
      <c r="BQ174" s="1750"/>
      <c r="BR174" s="1750"/>
      <c r="BS174" s="1581"/>
      <c r="BT174" s="1581"/>
      <c r="BU174" s="1581"/>
      <c r="BV174" s="1581"/>
      <c r="BW174" s="1581"/>
      <c r="BX174" s="1581"/>
      <c r="BY174" s="1581"/>
      <c r="BZ174" s="1581"/>
      <c r="CA174" s="1581"/>
      <c r="CB174" s="1581"/>
      <c r="CC174" s="1750"/>
      <c r="CD174" s="1750"/>
      <c r="CE174" s="1750"/>
      <c r="CF174" s="1750"/>
      <c r="CG174" s="1750"/>
      <c r="CH174" s="1750"/>
      <c r="CI174" s="1750"/>
      <c r="CJ174" s="1750"/>
      <c r="CK174" s="1750"/>
      <c r="CL174" s="1750"/>
      <c r="CM174" s="1750"/>
    </row>
    <row r="175" spans="1:91" ht="21" customHeight="1" thickBot="1" x14ac:dyDescent="0.35">
      <c r="A175" s="9"/>
      <c r="B175" s="88">
        <v>12</v>
      </c>
      <c r="C175" s="20"/>
      <c r="D175" s="738">
        <v>0</v>
      </c>
      <c r="E175" s="333" t="s">
        <v>72</v>
      </c>
      <c r="F175" s="81">
        <f t="shared" si="79"/>
        <v>0.3</v>
      </c>
      <c r="G175" s="81">
        <f t="shared" si="94"/>
        <v>0.3</v>
      </c>
      <c r="H175" s="299">
        <v>190.76</v>
      </c>
      <c r="I175" s="318">
        <v>79.651040199999997</v>
      </c>
      <c r="J175" s="251">
        <f t="shared" si="80"/>
        <v>79.651040199999997</v>
      </c>
      <c r="K175" s="251">
        <f t="shared" si="81"/>
        <v>39.825520099999999</v>
      </c>
      <c r="L175" s="251">
        <f t="shared" si="69"/>
        <v>0.64045183696587837</v>
      </c>
      <c r="M175" s="251">
        <f t="shared" si="70"/>
        <v>122.17259241961095</v>
      </c>
      <c r="N175" s="251">
        <f t="shared" si="71"/>
        <v>244.3451848392219</v>
      </c>
      <c r="O175" s="251">
        <f>+C164+D165+D166+D167+D168+D169+D170+D171+D172+D173+D174+(D175/2)</f>
        <v>0</v>
      </c>
      <c r="P175" s="251">
        <f t="shared" si="72"/>
        <v>0</v>
      </c>
      <c r="Q175" s="251">
        <f t="shared" si="73"/>
        <v>0</v>
      </c>
      <c r="R175" s="251">
        <f t="shared" si="82"/>
        <v>146.5</v>
      </c>
      <c r="S175" s="251">
        <f t="shared" si="95"/>
        <v>146.5</v>
      </c>
      <c r="T175" s="252">
        <f t="shared" si="74"/>
        <v>146.5</v>
      </c>
      <c r="U175" s="244"/>
      <c r="V175" s="282">
        <f t="shared" si="75"/>
        <v>0</v>
      </c>
      <c r="W175" s="282"/>
      <c r="X175" s="282"/>
      <c r="Y175" s="282"/>
      <c r="Z175" s="282"/>
      <c r="AA175" s="282"/>
      <c r="AB175" s="300" t="str">
        <f>IF(AZ175&lt;0,"pin in groundstacking hole"," ")</f>
        <v>pin in groundstacking hole</v>
      </c>
      <c r="AC175" s="451"/>
      <c r="AD175" s="451"/>
      <c r="AE175" s="451"/>
      <c r="AF175" s="282">
        <f>SUM(V175:V187)/($B$161-B174)</f>
        <v>0</v>
      </c>
      <c r="AG175" s="282"/>
      <c r="AH175" s="301">
        <f>SUM(D165:D175)+$C$164</f>
        <v>0</v>
      </c>
      <c r="AI175" s="370"/>
      <c r="AJ175" s="173">
        <f t="shared" si="84"/>
        <v>69.344714800000006</v>
      </c>
      <c r="AK175" s="284">
        <f t="shared" si="76"/>
        <v>0.93571960494171247</v>
      </c>
      <c r="AL175" s="174">
        <f t="shared" si="85"/>
        <v>180.0511663828843</v>
      </c>
      <c r="AM175" s="173">
        <f t="shared" si="86"/>
        <v>50.174479900000001</v>
      </c>
      <c r="AN175" s="285">
        <f t="shared" si="87"/>
        <v>0.76799833627881664</v>
      </c>
      <c r="AO175" s="174">
        <f t="shared" si="88"/>
        <v>146.50336262854705</v>
      </c>
      <c r="AP175" s="287"/>
      <c r="AQ175" s="174">
        <f t="shared" si="96"/>
        <v>-255</v>
      </c>
      <c r="AR175" s="287"/>
      <c r="AS175" s="288">
        <f t="shared" si="89"/>
        <v>326.55452901143133</v>
      </c>
      <c r="AT175" s="289">
        <f t="shared" si="98"/>
        <v>-146.50336262854705</v>
      </c>
      <c r="AU175" s="290"/>
      <c r="AV175" s="289">
        <f t="shared" si="97"/>
        <v>146.50336262854705</v>
      </c>
      <c r="AW175" s="291">
        <f t="shared" si="90"/>
        <v>-140.5984096029128</v>
      </c>
      <c r="AX175" s="291">
        <f t="shared" si="91"/>
        <v>-114.4015903970872</v>
      </c>
      <c r="AY175" s="292">
        <f t="shared" si="77"/>
        <v>-82.504489437408836</v>
      </c>
      <c r="AZ175" s="292">
        <f t="shared" si="78"/>
        <v>-87.411372213358774</v>
      </c>
      <c r="BA175" s="294">
        <f t="shared" si="92"/>
        <v>82.504489437408836</v>
      </c>
      <c r="BB175" s="294">
        <f t="shared" si="92"/>
        <v>87.411372213358774</v>
      </c>
      <c r="BC175">
        <f t="shared" si="93"/>
        <v>0.3</v>
      </c>
      <c r="BG175" s="27"/>
      <c r="BQ175" s="1750"/>
      <c r="BR175" s="1750"/>
      <c r="BS175" s="1581"/>
      <c r="BT175" s="1581"/>
      <c r="BU175" s="1581"/>
      <c r="BV175" s="1581"/>
      <c r="BW175" s="1581"/>
      <c r="BX175" s="1581"/>
      <c r="BY175" s="1581"/>
      <c r="BZ175" s="1581"/>
      <c r="CA175" s="1581"/>
      <c r="CB175" s="1581"/>
      <c r="CC175" s="1750"/>
      <c r="CD175" s="1750"/>
      <c r="CE175" s="1750"/>
      <c r="CF175" s="1750"/>
      <c r="CG175" s="1750"/>
      <c r="CH175" s="1750"/>
      <c r="CI175" s="1750"/>
      <c r="CJ175" s="1750"/>
      <c r="CK175" s="1750"/>
      <c r="CL175" s="1750"/>
      <c r="CM175" s="1750"/>
    </row>
    <row r="176" spans="1:91" ht="21" customHeight="1" thickBot="1" x14ac:dyDescent="0.35">
      <c r="B176" s="88">
        <v>13</v>
      </c>
      <c r="C176" s="20"/>
      <c r="D176" s="738">
        <v>0</v>
      </c>
      <c r="E176" s="333" t="s">
        <v>72</v>
      </c>
      <c r="F176" s="81">
        <f t="shared" si="79"/>
        <v>0.3</v>
      </c>
      <c r="G176" s="81">
        <f t="shared" si="94"/>
        <v>0.3</v>
      </c>
      <c r="H176" s="299">
        <v>190.76</v>
      </c>
      <c r="I176" s="318">
        <v>79.651040199999997</v>
      </c>
      <c r="J176" s="251">
        <f t="shared" si="80"/>
        <v>79.651040199999997</v>
      </c>
      <c r="K176" s="251">
        <f t="shared" si="81"/>
        <v>39.825520099999999</v>
      </c>
      <c r="L176" s="251">
        <f t="shared" si="69"/>
        <v>0.64045183696587837</v>
      </c>
      <c r="M176" s="251">
        <f t="shared" si="70"/>
        <v>122.17259241961095</v>
      </c>
      <c r="N176" s="251">
        <f t="shared" si="71"/>
        <v>244.3451848392219</v>
      </c>
      <c r="O176" s="251">
        <f>+C164+D165+D166+D167+D168+D169+D170+D171+D172+D173+D174+D175+(D176/2)</f>
        <v>0</v>
      </c>
      <c r="P176" s="251">
        <f t="shared" si="72"/>
        <v>0</v>
      </c>
      <c r="Q176" s="251">
        <f t="shared" si="73"/>
        <v>0</v>
      </c>
      <c r="R176" s="251">
        <f t="shared" si="82"/>
        <v>146.5</v>
      </c>
      <c r="S176" s="251">
        <f t="shared" si="95"/>
        <v>146.5</v>
      </c>
      <c r="T176" s="252">
        <f t="shared" si="74"/>
        <v>146.5</v>
      </c>
      <c r="U176" s="244"/>
      <c r="V176" s="282">
        <f t="shared" si="75"/>
        <v>0</v>
      </c>
      <c r="W176" s="282"/>
      <c r="X176" s="282"/>
      <c r="Y176" s="282"/>
      <c r="Z176" s="282"/>
      <c r="AA176" s="282"/>
      <c r="AB176" s="300" t="str">
        <f t="shared" si="83"/>
        <v>pin in groundstacking hole</v>
      </c>
      <c r="AC176" s="451"/>
      <c r="AD176" s="451"/>
      <c r="AE176" s="451"/>
      <c r="AF176" s="282">
        <f>SUM(V176:V187)/($B$161-B175)</f>
        <v>0</v>
      </c>
      <c r="AG176" s="282"/>
      <c r="AH176" s="301">
        <f>SUM(D165:D176)+$C$164</f>
        <v>0</v>
      </c>
      <c r="AI176" s="370"/>
      <c r="AJ176" s="173">
        <f t="shared" si="84"/>
        <v>69.344714800000006</v>
      </c>
      <c r="AK176" s="284">
        <f t="shared" si="76"/>
        <v>0.93571960494171247</v>
      </c>
      <c r="AL176" s="174">
        <f t="shared" si="85"/>
        <v>180.0511663828843</v>
      </c>
      <c r="AM176" s="173">
        <f t="shared" si="86"/>
        <v>50.174479900000001</v>
      </c>
      <c r="AN176" s="285">
        <f t="shared" si="87"/>
        <v>0.76799833627881664</v>
      </c>
      <c r="AO176" s="174">
        <f t="shared" si="88"/>
        <v>146.50336262854705</v>
      </c>
      <c r="AP176" s="287"/>
      <c r="AQ176" s="174">
        <f t="shared" si="96"/>
        <v>-280.5</v>
      </c>
      <c r="AR176" s="287"/>
      <c r="AS176" s="288">
        <f t="shared" si="89"/>
        <v>326.55452901143133</v>
      </c>
      <c r="AT176" s="289">
        <f t="shared" si="98"/>
        <v>-146.50336262854705</v>
      </c>
      <c r="AU176" s="290"/>
      <c r="AV176" s="289">
        <f t="shared" si="97"/>
        <v>146.50336262854705</v>
      </c>
      <c r="AW176" s="291">
        <f t="shared" si="90"/>
        <v>-154.65825056320406</v>
      </c>
      <c r="AX176" s="291">
        <f t="shared" si="91"/>
        <v>-125.84174943679592</v>
      </c>
      <c r="AY176" s="292">
        <f t="shared" si="77"/>
        <v>-75.004081306735316</v>
      </c>
      <c r="AZ176" s="292">
        <f t="shared" si="78"/>
        <v>-79.464883830326158</v>
      </c>
      <c r="BA176" s="294">
        <f t="shared" si="92"/>
        <v>75.004081306735316</v>
      </c>
      <c r="BB176" s="294">
        <f t="shared" si="92"/>
        <v>79.464883830326158</v>
      </c>
      <c r="BC176">
        <f t="shared" si="93"/>
        <v>0.3</v>
      </c>
      <c r="BG176" s="27"/>
      <c r="BQ176" s="1750"/>
      <c r="BR176" s="1748"/>
      <c r="BS176" s="1581"/>
      <c r="BT176" s="1581"/>
      <c r="BU176" s="1581"/>
      <c r="BV176" s="1581"/>
      <c r="BW176" s="1581"/>
      <c r="BX176" s="1581"/>
      <c r="BY176" s="1581"/>
      <c r="BZ176" s="1581"/>
      <c r="CA176" s="1581"/>
      <c r="CB176" s="1581"/>
      <c r="CC176" s="1750"/>
      <c r="CD176" s="1750"/>
      <c r="CE176" s="1750"/>
      <c r="CF176" s="1750"/>
      <c r="CG176" s="1750"/>
      <c r="CH176" s="1750"/>
      <c r="CI176" s="1750"/>
      <c r="CJ176" s="1750"/>
      <c r="CK176" s="1750"/>
      <c r="CL176" s="1750"/>
      <c r="CM176" s="1750"/>
    </row>
    <row r="177" spans="2:132" ht="21" customHeight="1" thickBot="1" x14ac:dyDescent="0.35">
      <c r="B177" s="88">
        <v>14</v>
      </c>
      <c r="C177" s="20"/>
      <c r="D177" s="738">
        <v>0</v>
      </c>
      <c r="E177" s="333" t="s">
        <v>72</v>
      </c>
      <c r="F177" s="81">
        <f t="shared" si="79"/>
        <v>0.3</v>
      </c>
      <c r="G177" s="81">
        <f t="shared" si="94"/>
        <v>0.3</v>
      </c>
      <c r="H177" s="299">
        <v>190.76</v>
      </c>
      <c r="I177" s="318">
        <v>79.651040199999997</v>
      </c>
      <c r="J177" s="251">
        <f t="shared" si="80"/>
        <v>79.651040199999997</v>
      </c>
      <c r="K177" s="251">
        <f t="shared" si="81"/>
        <v>39.825520099999999</v>
      </c>
      <c r="L177" s="251">
        <f t="shared" si="69"/>
        <v>0.64045183696587837</v>
      </c>
      <c r="M177" s="251">
        <f t="shared" si="70"/>
        <v>122.17259241961095</v>
      </c>
      <c r="N177" s="251">
        <f t="shared" si="71"/>
        <v>244.3451848392219</v>
      </c>
      <c r="O177" s="251">
        <f>+C164+D165+D166+D167+D168+D169+D170+D171+D172+D173+D174+D175+D176+(D177/2)</f>
        <v>0</v>
      </c>
      <c r="P177" s="251">
        <f t="shared" si="72"/>
        <v>0</v>
      </c>
      <c r="Q177" s="251">
        <f t="shared" si="73"/>
        <v>0</v>
      </c>
      <c r="R177" s="251">
        <f t="shared" si="82"/>
        <v>146.5</v>
      </c>
      <c r="S177" s="251">
        <f t="shared" si="95"/>
        <v>146.5</v>
      </c>
      <c r="T177" s="252">
        <f t="shared" si="74"/>
        <v>146.5</v>
      </c>
      <c r="U177" s="244"/>
      <c r="V177" s="282">
        <f t="shared" si="75"/>
        <v>0</v>
      </c>
      <c r="W177" s="282"/>
      <c r="X177" s="282"/>
      <c r="Y177" s="282"/>
      <c r="Z177" s="282"/>
      <c r="AA177" s="282"/>
      <c r="AB177" s="300" t="str">
        <f t="shared" si="83"/>
        <v>pin in groundstacking hole</v>
      </c>
      <c r="AC177" s="451"/>
      <c r="AD177" s="451"/>
      <c r="AE177" s="451"/>
      <c r="AF177" s="282">
        <f>SUM(V177:V187)/($B$161-B176)</f>
        <v>0</v>
      </c>
      <c r="AG177" s="282"/>
      <c r="AH177" s="301">
        <f>SUM(D165:D177)+$C$164</f>
        <v>0</v>
      </c>
      <c r="AI177" s="370"/>
      <c r="AJ177" s="173">
        <f t="shared" si="84"/>
        <v>69.344714800000006</v>
      </c>
      <c r="AK177" s="284">
        <f t="shared" si="76"/>
        <v>0.93571960494171247</v>
      </c>
      <c r="AL177" s="174">
        <f t="shared" si="85"/>
        <v>180.0511663828843</v>
      </c>
      <c r="AM177" s="173">
        <f t="shared" si="86"/>
        <v>50.174479900000001</v>
      </c>
      <c r="AN177" s="285">
        <f t="shared" si="87"/>
        <v>0.76799833627881664</v>
      </c>
      <c r="AO177" s="174">
        <f t="shared" si="88"/>
        <v>146.50336262854705</v>
      </c>
      <c r="AP177" s="287"/>
      <c r="AQ177" s="174">
        <f t="shared" si="96"/>
        <v>-306</v>
      </c>
      <c r="AR177" s="287"/>
      <c r="AS177" s="288">
        <f t="shared" si="89"/>
        <v>326.55452901143133</v>
      </c>
      <c r="AT177" s="289">
        <f t="shared" si="98"/>
        <v>-146.50336262854705</v>
      </c>
      <c r="AU177" s="290"/>
      <c r="AV177" s="289">
        <f t="shared" si="97"/>
        <v>146.50336262854705</v>
      </c>
      <c r="AW177" s="291">
        <f t="shared" si="90"/>
        <v>-168.71809152349536</v>
      </c>
      <c r="AX177" s="291">
        <f t="shared" si="91"/>
        <v>-137.28190847650464</v>
      </c>
      <c r="AY177" s="292">
        <f t="shared" si="77"/>
        <v>-68.753741197840696</v>
      </c>
      <c r="AZ177" s="292">
        <f t="shared" si="78"/>
        <v>-72.842810177798981</v>
      </c>
      <c r="BA177" s="294">
        <f t="shared" si="92"/>
        <v>68.753741197840696</v>
      </c>
      <c r="BB177" s="294">
        <f t="shared" si="92"/>
        <v>72.842810177798981</v>
      </c>
      <c r="BC177">
        <f t="shared" si="93"/>
        <v>0.3</v>
      </c>
      <c r="BG177" s="27"/>
      <c r="BI177" s="1550"/>
      <c r="BQ177" s="1750"/>
      <c r="BR177" s="1748"/>
      <c r="BS177" s="1581"/>
      <c r="BT177" s="1581"/>
      <c r="BU177" s="1581"/>
      <c r="BV177" s="1581"/>
      <c r="BW177" s="1581"/>
      <c r="BX177" s="1581"/>
      <c r="BY177" s="1581"/>
      <c r="BZ177" s="1581"/>
      <c r="CA177" s="1581"/>
      <c r="CB177" s="1581"/>
      <c r="CC177" s="1750"/>
      <c r="CD177" s="1750"/>
      <c r="CE177" s="1750"/>
      <c r="CF177" s="1750"/>
      <c r="CG177" s="1750"/>
      <c r="CH177" s="1750"/>
      <c r="CI177" s="1750"/>
      <c r="CJ177" s="1750"/>
      <c r="CK177" s="1750"/>
      <c r="CL177" s="1750"/>
      <c r="CM177" s="1750"/>
    </row>
    <row r="178" spans="2:132" ht="21" customHeight="1" thickBot="1" x14ac:dyDescent="0.35">
      <c r="B178" s="88">
        <v>15</v>
      </c>
      <c r="C178" s="20"/>
      <c r="D178" s="738">
        <v>0</v>
      </c>
      <c r="E178" s="333" t="s">
        <v>72</v>
      </c>
      <c r="F178" s="81">
        <f t="shared" si="79"/>
        <v>0.3</v>
      </c>
      <c r="G178" s="81">
        <f t="shared" si="94"/>
        <v>0.3</v>
      </c>
      <c r="H178" s="299">
        <v>190.76</v>
      </c>
      <c r="I178" s="318">
        <v>79.651040199999997</v>
      </c>
      <c r="J178" s="251">
        <f t="shared" si="80"/>
        <v>79.651040199999997</v>
      </c>
      <c r="K178" s="251">
        <f t="shared" si="81"/>
        <v>39.825520099999999</v>
      </c>
      <c r="L178" s="251">
        <f t="shared" si="69"/>
        <v>0.64045183696587837</v>
      </c>
      <c r="M178" s="251">
        <f t="shared" si="70"/>
        <v>122.17259241961095</v>
      </c>
      <c r="N178" s="251">
        <f t="shared" si="71"/>
        <v>244.3451848392219</v>
      </c>
      <c r="O178" s="251">
        <f>+C164+D165+D166+D167+D168+D169+D170+D171+D172+D173+D174+D175+D176+D177+(D178/2)</f>
        <v>0</v>
      </c>
      <c r="P178" s="251">
        <f t="shared" si="72"/>
        <v>0</v>
      </c>
      <c r="Q178" s="251">
        <f t="shared" si="73"/>
        <v>0</v>
      </c>
      <c r="R178" s="251">
        <f t="shared" si="82"/>
        <v>146.5</v>
      </c>
      <c r="S178" s="251">
        <f t="shared" si="95"/>
        <v>146.5</v>
      </c>
      <c r="T178" s="252">
        <f t="shared" si="74"/>
        <v>146.5</v>
      </c>
      <c r="U178" s="244"/>
      <c r="V178" s="282">
        <f t="shared" si="75"/>
        <v>0</v>
      </c>
      <c r="W178" s="282"/>
      <c r="X178" s="282"/>
      <c r="Y178" s="282"/>
      <c r="Z178" s="282"/>
      <c r="AA178" s="282"/>
      <c r="AB178" s="300" t="str">
        <f t="shared" si="83"/>
        <v>pin in groundstacking hole</v>
      </c>
      <c r="AC178" s="451"/>
      <c r="AD178" s="451"/>
      <c r="AE178" s="451"/>
      <c r="AF178" s="282">
        <f>SUM(V178:V187)/($B$161-B177)</f>
        <v>0</v>
      </c>
      <c r="AG178" s="282"/>
      <c r="AH178" s="301">
        <f>SUM(D165:D178)+$C$164</f>
        <v>0</v>
      </c>
      <c r="AI178" s="370"/>
      <c r="AJ178" s="173">
        <f t="shared" si="84"/>
        <v>69.344714800000006</v>
      </c>
      <c r="AK178" s="284">
        <f t="shared" si="76"/>
        <v>0.93571960494171247</v>
      </c>
      <c r="AL178" s="174">
        <f t="shared" si="85"/>
        <v>180.0511663828843</v>
      </c>
      <c r="AM178" s="173">
        <f t="shared" si="86"/>
        <v>50.174479900000001</v>
      </c>
      <c r="AN178" s="285">
        <f t="shared" si="87"/>
        <v>0.76799833627881664</v>
      </c>
      <c r="AO178" s="174">
        <f t="shared" si="88"/>
        <v>146.50336262854705</v>
      </c>
      <c r="AP178" s="287"/>
      <c r="AQ178" s="174">
        <f t="shared" si="96"/>
        <v>-331.5</v>
      </c>
      <c r="AR178" s="287"/>
      <c r="AS178" s="288">
        <f t="shared" si="89"/>
        <v>326.55452901143133</v>
      </c>
      <c r="AT178" s="289">
        <f t="shared" si="98"/>
        <v>-146.50336262854705</v>
      </c>
      <c r="AU178" s="290"/>
      <c r="AV178" s="289">
        <f t="shared" si="97"/>
        <v>146.50336262854705</v>
      </c>
      <c r="AW178" s="291">
        <f t="shared" si="90"/>
        <v>-182.77793248378663</v>
      </c>
      <c r="AX178" s="291">
        <f t="shared" si="91"/>
        <v>-148.72206751621337</v>
      </c>
      <c r="AY178" s="292">
        <f t="shared" si="77"/>
        <v>-63.464991874929879</v>
      </c>
      <c r="AZ178" s="292">
        <f t="shared" si="78"/>
        <v>-67.239517087199047</v>
      </c>
      <c r="BA178" s="294">
        <f t="shared" si="92"/>
        <v>63.464991874929879</v>
      </c>
      <c r="BB178" s="294">
        <f t="shared" si="92"/>
        <v>67.239517087199047</v>
      </c>
      <c r="BC178">
        <f t="shared" si="93"/>
        <v>0.3</v>
      </c>
      <c r="BG178" s="27"/>
      <c r="BN178" s="1748"/>
      <c r="BO178" s="1771"/>
      <c r="BP178" s="1771"/>
      <c r="BQ178" s="1771"/>
      <c r="BR178" s="1771"/>
      <c r="BS178" s="1771"/>
      <c r="BT178" s="1771"/>
      <c r="BU178" s="1771"/>
      <c r="BV178" s="1771"/>
      <c r="BW178" s="1771"/>
      <c r="BX178" s="1771"/>
      <c r="BY178" s="1771"/>
      <c r="BZ178" s="1771"/>
      <c r="CA178" s="1771"/>
      <c r="CB178" s="1771"/>
      <c r="CC178" s="1771"/>
      <c r="CD178" s="1771"/>
      <c r="CE178" s="1771"/>
      <c r="CF178" s="1771"/>
      <c r="CG178" s="1771"/>
      <c r="CH178" s="1771"/>
      <c r="CI178" s="1771"/>
      <c r="CJ178" s="1771"/>
      <c r="CK178" s="1771"/>
      <c r="CL178" s="1771"/>
      <c r="CM178" s="1750"/>
    </row>
    <row r="179" spans="2:132" ht="21" customHeight="1" thickBot="1" x14ac:dyDescent="0.35">
      <c r="B179" s="88">
        <v>16</v>
      </c>
      <c r="C179" s="20"/>
      <c r="D179" s="738">
        <v>0</v>
      </c>
      <c r="E179" s="333" t="s">
        <v>72</v>
      </c>
      <c r="F179" s="81">
        <f t="shared" si="79"/>
        <v>0.3</v>
      </c>
      <c r="G179" s="81">
        <f t="shared" si="94"/>
        <v>0.3</v>
      </c>
      <c r="H179" s="299">
        <v>190.76</v>
      </c>
      <c r="I179" s="318">
        <v>79.651040199999997</v>
      </c>
      <c r="J179" s="251">
        <f t="shared" si="80"/>
        <v>79.651040199999997</v>
      </c>
      <c r="K179" s="251">
        <f t="shared" si="81"/>
        <v>39.825520099999999</v>
      </c>
      <c r="L179" s="251">
        <f t="shared" si="69"/>
        <v>0.64045183696587837</v>
      </c>
      <c r="M179" s="251">
        <f t="shared" si="70"/>
        <v>122.17259241961095</v>
      </c>
      <c r="N179" s="251">
        <f t="shared" si="71"/>
        <v>244.3451848392219</v>
      </c>
      <c r="O179" s="251">
        <f>+C164+D165+D166+D167+D168+D169+D170+D171+D172+D173+D174+D175+D176+D177+D178+(D179/2)</f>
        <v>0</v>
      </c>
      <c r="P179" s="251">
        <f t="shared" si="72"/>
        <v>0</v>
      </c>
      <c r="Q179" s="251">
        <f t="shared" si="73"/>
        <v>0</v>
      </c>
      <c r="R179" s="251">
        <f t="shared" si="82"/>
        <v>146.5</v>
      </c>
      <c r="S179" s="251">
        <f t="shared" si="95"/>
        <v>146.5</v>
      </c>
      <c r="T179" s="252">
        <f t="shared" si="74"/>
        <v>146.5</v>
      </c>
      <c r="U179" s="244"/>
      <c r="V179" s="282">
        <f t="shared" si="75"/>
        <v>0</v>
      </c>
      <c r="W179" s="282"/>
      <c r="X179" s="282"/>
      <c r="Y179" s="282"/>
      <c r="Z179" s="282"/>
      <c r="AA179" s="282"/>
      <c r="AB179" s="300" t="str">
        <f t="shared" si="83"/>
        <v>pin in groundstacking hole</v>
      </c>
      <c r="AC179" s="451"/>
      <c r="AD179" s="451"/>
      <c r="AE179" s="451"/>
      <c r="AF179" s="282">
        <f>SUM(V179:V187)/($B$161-B178)</f>
        <v>0</v>
      </c>
      <c r="AG179" s="282"/>
      <c r="AH179" s="301">
        <f>SUM(D165:D179)+$C$164</f>
        <v>0</v>
      </c>
      <c r="AI179" s="370"/>
      <c r="AJ179" s="173">
        <f t="shared" si="84"/>
        <v>69.344714800000006</v>
      </c>
      <c r="AK179" s="284">
        <f t="shared" si="76"/>
        <v>0.93571960494171247</v>
      </c>
      <c r="AL179" s="174">
        <f t="shared" si="85"/>
        <v>180.0511663828843</v>
      </c>
      <c r="AM179" s="173">
        <f t="shared" si="86"/>
        <v>50.174479900000001</v>
      </c>
      <c r="AN179" s="285">
        <f t="shared" si="87"/>
        <v>0.76799833627881664</v>
      </c>
      <c r="AO179" s="174">
        <f t="shared" si="88"/>
        <v>146.50336262854705</v>
      </c>
      <c r="AP179" s="287"/>
      <c r="AQ179" s="174">
        <f t="shared" si="96"/>
        <v>-357</v>
      </c>
      <c r="AR179" s="287"/>
      <c r="AS179" s="288">
        <f t="shared" si="89"/>
        <v>326.55452901143133</v>
      </c>
      <c r="AT179" s="289">
        <f t="shared" si="98"/>
        <v>-146.50336262854705</v>
      </c>
      <c r="AU179" s="290"/>
      <c r="AV179" s="289">
        <f t="shared" si="97"/>
        <v>146.50336262854705</v>
      </c>
      <c r="AW179" s="291">
        <f t="shared" si="90"/>
        <v>-196.83777344407792</v>
      </c>
      <c r="AX179" s="291">
        <f t="shared" si="91"/>
        <v>-160.16222655592208</v>
      </c>
      <c r="AY179" s="292">
        <f t="shared" si="77"/>
        <v>-58.93177816957774</v>
      </c>
      <c r="AZ179" s="292">
        <f t="shared" si="78"/>
        <v>-62.436694438113413</v>
      </c>
      <c r="BA179" s="294">
        <f t="shared" si="92"/>
        <v>58.93177816957774</v>
      </c>
      <c r="BB179" s="294">
        <f t="shared" si="92"/>
        <v>62.436694438113413</v>
      </c>
      <c r="BC179">
        <f t="shared" si="93"/>
        <v>0.3</v>
      </c>
      <c r="BG179" s="27"/>
      <c r="BN179" s="1748"/>
      <c r="BO179" s="1750"/>
      <c r="BP179" s="1750"/>
      <c r="BQ179" s="1750"/>
      <c r="BR179" s="1750"/>
      <c r="BS179" s="1750"/>
      <c r="BT179" s="1750"/>
      <c r="BU179" s="1750"/>
      <c r="BV179" s="1750"/>
      <c r="BW179" s="1750"/>
      <c r="BX179" s="1750"/>
      <c r="BY179" s="1750"/>
      <c r="BZ179" s="1750"/>
      <c r="CA179" s="1750"/>
      <c r="CB179" s="1750"/>
      <c r="CC179" s="1750"/>
      <c r="CD179" s="1750"/>
      <c r="CE179" s="1750"/>
      <c r="CF179" s="1750"/>
      <c r="CG179" s="1750"/>
      <c r="CH179" s="1750"/>
      <c r="CI179" s="1750"/>
      <c r="CJ179" s="1750"/>
      <c r="CK179" s="1750"/>
      <c r="CL179" s="1750"/>
      <c r="CM179" s="1750"/>
    </row>
    <row r="180" spans="2:132" ht="21" customHeight="1" thickBot="1" x14ac:dyDescent="0.35">
      <c r="B180" s="88">
        <v>17</v>
      </c>
      <c r="C180" s="20"/>
      <c r="D180" s="738">
        <v>0</v>
      </c>
      <c r="E180" s="333" t="s">
        <v>72</v>
      </c>
      <c r="F180" s="81">
        <f t="shared" si="79"/>
        <v>0.3</v>
      </c>
      <c r="G180" s="81">
        <f t="shared" si="94"/>
        <v>0.3</v>
      </c>
      <c r="H180" s="299">
        <v>190.76</v>
      </c>
      <c r="I180" s="318">
        <v>79.651040199999997</v>
      </c>
      <c r="J180" s="251">
        <f t="shared" si="80"/>
        <v>79.651040199999997</v>
      </c>
      <c r="K180" s="251">
        <f t="shared" si="81"/>
        <v>39.825520099999999</v>
      </c>
      <c r="L180" s="251">
        <f t="shared" si="69"/>
        <v>0.64045183696587837</v>
      </c>
      <c r="M180" s="251">
        <f t="shared" si="70"/>
        <v>122.17259241961095</v>
      </c>
      <c r="N180" s="251">
        <f t="shared" si="71"/>
        <v>244.3451848392219</v>
      </c>
      <c r="O180" s="251">
        <f>+C164+D165+D166+D167+D168+D169+D170+D171+D172+D173+D174+D175+D176+D177+D178+D179+(D180/2)</f>
        <v>0</v>
      </c>
      <c r="P180" s="251">
        <f t="shared" si="72"/>
        <v>0</v>
      </c>
      <c r="Q180" s="251">
        <f t="shared" si="73"/>
        <v>0</v>
      </c>
      <c r="R180" s="251">
        <f t="shared" si="82"/>
        <v>146.5</v>
      </c>
      <c r="S180" s="251">
        <f t="shared" si="95"/>
        <v>146.5</v>
      </c>
      <c r="T180" s="252">
        <f t="shared" si="74"/>
        <v>146.5</v>
      </c>
      <c r="U180" s="244"/>
      <c r="V180" s="282">
        <f t="shared" si="75"/>
        <v>0</v>
      </c>
      <c r="W180" s="282"/>
      <c r="X180" s="282"/>
      <c r="Y180" s="282"/>
      <c r="Z180" s="282"/>
      <c r="AA180" s="282"/>
      <c r="AB180" s="300" t="str">
        <f t="shared" si="83"/>
        <v>pin in groundstacking hole</v>
      </c>
      <c r="AC180" s="451"/>
      <c r="AD180" s="451"/>
      <c r="AE180" s="451"/>
      <c r="AF180" s="282">
        <f>SUM(V180:V187)/($B$161-B179)</f>
        <v>0</v>
      </c>
      <c r="AG180" s="282"/>
      <c r="AH180" s="301">
        <f>SUM(D165:D180)+$C$164</f>
        <v>0</v>
      </c>
      <c r="AI180" s="370"/>
      <c r="AJ180" s="173">
        <f t="shared" si="84"/>
        <v>69.344714800000006</v>
      </c>
      <c r="AK180" s="284">
        <f t="shared" si="76"/>
        <v>0.93571960494171247</v>
      </c>
      <c r="AL180" s="174">
        <f t="shared" si="85"/>
        <v>180.0511663828843</v>
      </c>
      <c r="AM180" s="173">
        <f t="shared" si="86"/>
        <v>50.174479900000001</v>
      </c>
      <c r="AN180" s="285">
        <f t="shared" si="87"/>
        <v>0.76799833627881664</v>
      </c>
      <c r="AO180" s="174">
        <f t="shared" si="88"/>
        <v>146.50336262854705</v>
      </c>
      <c r="AP180" s="287"/>
      <c r="AQ180" s="174">
        <f t="shared" si="96"/>
        <v>-382.5</v>
      </c>
      <c r="AR180" s="287"/>
      <c r="AS180" s="288">
        <f t="shared" si="89"/>
        <v>326.55452901143133</v>
      </c>
      <c r="AT180" s="289">
        <f t="shared" si="98"/>
        <v>-146.50336262854705</v>
      </c>
      <c r="AU180" s="290"/>
      <c r="AV180" s="289">
        <f t="shared" si="97"/>
        <v>146.50336262854705</v>
      </c>
      <c r="AW180" s="291">
        <f t="shared" si="90"/>
        <v>-210.89761440436919</v>
      </c>
      <c r="AX180" s="291">
        <f t="shared" si="91"/>
        <v>-171.60238559563081</v>
      </c>
      <c r="AY180" s="292">
        <f t="shared" si="77"/>
        <v>-55.002992958272557</v>
      </c>
      <c r="AZ180" s="292">
        <f t="shared" si="78"/>
        <v>-58.27424814223918</v>
      </c>
      <c r="BA180" s="294">
        <f t="shared" si="92"/>
        <v>55.002992958272557</v>
      </c>
      <c r="BB180" s="294">
        <f t="shared" si="92"/>
        <v>58.27424814223918</v>
      </c>
      <c r="BC180">
        <f t="shared" si="93"/>
        <v>0.3</v>
      </c>
      <c r="BG180" s="27"/>
      <c r="BN180" s="1772"/>
      <c r="BO180" s="1773"/>
      <c r="BP180" s="1773"/>
      <c r="BQ180" s="1773"/>
      <c r="BR180" s="1773"/>
      <c r="BS180" s="1773"/>
      <c r="BT180" s="1773"/>
      <c r="BU180" s="1773"/>
      <c r="BV180" s="1773"/>
      <c r="BW180" s="1773"/>
      <c r="BX180" s="1773"/>
      <c r="BY180" s="1773"/>
      <c r="BZ180" s="1773"/>
      <c r="CA180" s="1773"/>
      <c r="CB180" s="1773"/>
      <c r="CC180" s="1773"/>
      <c r="CD180" s="1773"/>
      <c r="CE180" s="1773"/>
      <c r="CF180" s="1773"/>
      <c r="CG180" s="1773"/>
      <c r="CH180" s="1773"/>
      <c r="CI180" s="1773"/>
      <c r="CJ180" s="1773"/>
      <c r="CK180" s="1773"/>
      <c r="CL180" s="1773"/>
      <c r="CM180" s="1750"/>
      <c r="DC180" s="27"/>
      <c r="DD180" s="10"/>
      <c r="DE180" s="10"/>
      <c r="DF180" s="10"/>
      <c r="DG180" s="10"/>
      <c r="DH180" s="10"/>
      <c r="DI180" s="10"/>
      <c r="DJ180" s="49"/>
      <c r="DK180" s="49"/>
      <c r="DL180" s="49"/>
      <c r="DM180" s="49"/>
      <c r="DN180" s="49"/>
      <c r="DO180" s="49"/>
      <c r="DP180" s="49"/>
      <c r="DQ180" s="49"/>
      <c r="DR180" s="49"/>
      <c r="DS180" s="49"/>
      <c r="DT180" s="49"/>
      <c r="DU180" s="49"/>
      <c r="DV180" s="49"/>
      <c r="DW180" s="49"/>
      <c r="DX180" s="7"/>
    </row>
    <row r="181" spans="2:132" ht="21" customHeight="1" thickBot="1" x14ac:dyDescent="0.35">
      <c r="B181" s="88">
        <v>18</v>
      </c>
      <c r="C181" s="20"/>
      <c r="D181" s="738">
        <v>0</v>
      </c>
      <c r="E181" s="333" t="s">
        <v>72</v>
      </c>
      <c r="F181" s="81">
        <f t="shared" si="79"/>
        <v>0.3</v>
      </c>
      <c r="G181" s="81">
        <f t="shared" si="94"/>
        <v>0.3</v>
      </c>
      <c r="H181" s="299">
        <v>190.76</v>
      </c>
      <c r="I181" s="318">
        <v>79.651040199999997</v>
      </c>
      <c r="J181" s="251">
        <f t="shared" si="80"/>
        <v>79.651040199999997</v>
      </c>
      <c r="K181" s="251">
        <f t="shared" si="81"/>
        <v>39.825520099999999</v>
      </c>
      <c r="L181" s="251">
        <f t="shared" si="69"/>
        <v>0.64045183696587837</v>
      </c>
      <c r="M181" s="251">
        <f t="shared" si="70"/>
        <v>122.17259241961095</v>
      </c>
      <c r="N181" s="251">
        <f t="shared" si="71"/>
        <v>244.3451848392219</v>
      </c>
      <c r="O181" s="251">
        <f>+C164+D165+D166+D167+D168+D169+D170+D171+D172+D173+D174+D175+D176+D177+D178+D179+D180+(D181/2)</f>
        <v>0</v>
      </c>
      <c r="P181" s="251">
        <f t="shared" si="72"/>
        <v>0</v>
      </c>
      <c r="Q181" s="251">
        <f t="shared" si="73"/>
        <v>0</v>
      </c>
      <c r="R181" s="251">
        <f t="shared" si="82"/>
        <v>146.5</v>
      </c>
      <c r="S181" s="251">
        <f t="shared" si="95"/>
        <v>146.5</v>
      </c>
      <c r="T181" s="252">
        <f t="shared" si="74"/>
        <v>146.5</v>
      </c>
      <c r="U181" s="244"/>
      <c r="V181" s="282">
        <f t="shared" si="75"/>
        <v>0</v>
      </c>
      <c r="W181" s="282"/>
      <c r="X181" s="282"/>
      <c r="Y181" s="282"/>
      <c r="Z181" s="282"/>
      <c r="AA181" s="282"/>
      <c r="AB181" s="300" t="str">
        <f t="shared" si="83"/>
        <v>pin in groundstacking hole</v>
      </c>
      <c r="AC181" s="451"/>
      <c r="AD181" s="451"/>
      <c r="AE181" s="451"/>
      <c r="AF181" s="282">
        <f>SUM(V181:V187)/($B$161-B180)</f>
        <v>0</v>
      </c>
      <c r="AG181" s="282"/>
      <c r="AH181" s="301">
        <f>SUM(D165:D181)+$C$164</f>
        <v>0</v>
      </c>
      <c r="AI181" s="370"/>
      <c r="AJ181" s="173">
        <f t="shared" si="84"/>
        <v>69.344714800000006</v>
      </c>
      <c r="AK181" s="284">
        <f t="shared" si="76"/>
        <v>0.93571960494171247</v>
      </c>
      <c r="AL181" s="174">
        <f t="shared" si="85"/>
        <v>180.0511663828843</v>
      </c>
      <c r="AM181" s="173">
        <f t="shared" si="86"/>
        <v>50.174479900000001</v>
      </c>
      <c r="AN181" s="285">
        <f t="shared" si="87"/>
        <v>0.76799833627881664</v>
      </c>
      <c r="AO181" s="174">
        <f t="shared" si="88"/>
        <v>146.50336262854705</v>
      </c>
      <c r="AP181" s="287"/>
      <c r="AQ181" s="174">
        <f t="shared" si="96"/>
        <v>-408</v>
      </c>
      <c r="AR181" s="287"/>
      <c r="AS181" s="288">
        <f t="shared" si="89"/>
        <v>326.55452901143133</v>
      </c>
      <c r="AT181" s="289">
        <f t="shared" si="98"/>
        <v>-146.50336262854705</v>
      </c>
      <c r="AU181" s="290"/>
      <c r="AV181" s="289">
        <f t="shared" si="97"/>
        <v>146.50336262854705</v>
      </c>
      <c r="AW181" s="291">
        <f t="shared" si="90"/>
        <v>-224.95745536466046</v>
      </c>
      <c r="AX181" s="291">
        <f t="shared" si="91"/>
        <v>-183.04254463533954</v>
      </c>
      <c r="AY181" s="292">
        <f t="shared" si="77"/>
        <v>-51.565305898380529</v>
      </c>
      <c r="AZ181" s="292">
        <f t="shared" si="78"/>
        <v>-54.632107633349229</v>
      </c>
      <c r="BA181" s="294">
        <f t="shared" si="92"/>
        <v>51.565305898380529</v>
      </c>
      <c r="BB181" s="294">
        <f t="shared" si="92"/>
        <v>54.632107633349229</v>
      </c>
      <c r="BC181">
        <f t="shared" si="93"/>
        <v>0.3</v>
      </c>
      <c r="BG181" s="27"/>
      <c r="BN181" s="1748"/>
      <c r="BO181" s="1749"/>
      <c r="BP181" s="1749"/>
      <c r="BQ181" s="1749"/>
      <c r="BR181" s="1749"/>
      <c r="BS181" s="1749"/>
      <c r="BT181" s="1749"/>
      <c r="BU181" s="1749"/>
      <c r="BV181" s="1749"/>
      <c r="BW181" s="1749"/>
      <c r="BX181" s="1749"/>
      <c r="BY181" s="1749"/>
      <c r="BZ181" s="1749"/>
      <c r="CA181" s="1749"/>
      <c r="CB181" s="1749"/>
      <c r="CC181" s="1749"/>
      <c r="CD181" s="1749"/>
      <c r="CE181" s="1749"/>
      <c r="CF181" s="1749"/>
      <c r="CG181" s="1749"/>
      <c r="CH181" s="1749"/>
      <c r="CI181" s="1749"/>
      <c r="CJ181" s="1749"/>
      <c r="CK181" s="1749"/>
      <c r="CL181" s="1749"/>
      <c r="CM181" s="1750"/>
      <c r="DC181" s="35"/>
      <c r="DD181" s="10"/>
      <c r="DE181" s="10"/>
      <c r="DF181" s="10"/>
      <c r="DG181" s="10"/>
      <c r="DH181" s="10"/>
      <c r="DI181" s="10"/>
      <c r="DJ181" s="49"/>
      <c r="DK181" s="49"/>
      <c r="DL181" s="49"/>
      <c r="DM181" s="49"/>
      <c r="DN181" s="49"/>
      <c r="DO181" s="49"/>
      <c r="DP181" s="49"/>
      <c r="DQ181" s="49"/>
      <c r="DR181" s="49"/>
      <c r="DS181" s="49"/>
      <c r="DT181" s="49"/>
      <c r="DU181" s="49"/>
      <c r="DV181" s="49"/>
      <c r="DW181" s="49"/>
      <c r="DX181" s="7"/>
    </row>
    <row r="182" spans="2:132" ht="21" customHeight="1" thickBot="1" x14ac:dyDescent="0.35">
      <c r="B182" s="88">
        <v>19</v>
      </c>
      <c r="C182" s="20"/>
      <c r="D182" s="738">
        <v>0</v>
      </c>
      <c r="E182" s="333" t="s">
        <v>72</v>
      </c>
      <c r="F182" s="81">
        <f t="shared" si="79"/>
        <v>0.3</v>
      </c>
      <c r="G182" s="81">
        <f t="shared" si="94"/>
        <v>0.3</v>
      </c>
      <c r="H182" s="299">
        <v>190.76</v>
      </c>
      <c r="I182" s="318">
        <v>79.651040199999997</v>
      </c>
      <c r="J182" s="251">
        <f t="shared" si="80"/>
        <v>79.651040199999997</v>
      </c>
      <c r="K182" s="251">
        <f t="shared" si="81"/>
        <v>39.825520099999999</v>
      </c>
      <c r="L182" s="251">
        <f t="shared" si="69"/>
        <v>0.64045183696587837</v>
      </c>
      <c r="M182" s="251">
        <f t="shared" si="70"/>
        <v>122.17259241961095</v>
      </c>
      <c r="N182" s="251">
        <f t="shared" si="71"/>
        <v>244.3451848392219</v>
      </c>
      <c r="O182" s="251">
        <f>+C164+D165+D166+D167+D168+D169+D170+D171+D172+D173+D174+D175+D176+D177+D178+D179+D180+D181+(D182/2)</f>
        <v>0</v>
      </c>
      <c r="P182" s="251">
        <f t="shared" si="72"/>
        <v>0</v>
      </c>
      <c r="Q182" s="251">
        <f t="shared" si="73"/>
        <v>0</v>
      </c>
      <c r="R182" s="251">
        <f t="shared" si="82"/>
        <v>146.5</v>
      </c>
      <c r="S182" s="251">
        <f t="shared" si="95"/>
        <v>146.5</v>
      </c>
      <c r="T182" s="252">
        <f t="shared" si="74"/>
        <v>146.5</v>
      </c>
      <c r="U182" s="244"/>
      <c r="V182" s="282">
        <f t="shared" si="75"/>
        <v>0</v>
      </c>
      <c r="W182" s="282"/>
      <c r="X182" s="282"/>
      <c r="Y182" s="282"/>
      <c r="Z182" s="282"/>
      <c r="AA182" s="282"/>
      <c r="AB182" s="300" t="str">
        <f t="shared" si="83"/>
        <v>pin in groundstacking hole</v>
      </c>
      <c r="AC182" s="451"/>
      <c r="AD182" s="451"/>
      <c r="AE182" s="451"/>
      <c r="AF182" s="282">
        <f>SUM(V182:V187)/($B$161-B181)</f>
        <v>0</v>
      </c>
      <c r="AG182" s="282"/>
      <c r="AH182" s="301">
        <f>SUM(D164:D182)+$C$164</f>
        <v>0</v>
      </c>
      <c r="AI182" s="370"/>
      <c r="AJ182" s="173">
        <f t="shared" si="84"/>
        <v>69.344714800000006</v>
      </c>
      <c r="AK182" s="284">
        <f t="shared" si="76"/>
        <v>0.93571960494171247</v>
      </c>
      <c r="AL182" s="174">
        <f t="shared" si="85"/>
        <v>180.0511663828843</v>
      </c>
      <c r="AM182" s="173">
        <f t="shared" si="86"/>
        <v>50.174479900000001</v>
      </c>
      <c r="AN182" s="285">
        <f t="shared" si="87"/>
        <v>0.76799833627881664</v>
      </c>
      <c r="AO182" s="174">
        <f t="shared" si="88"/>
        <v>146.50336262854705</v>
      </c>
      <c r="AP182" s="287"/>
      <c r="AQ182" s="174">
        <f t="shared" si="96"/>
        <v>-433.5</v>
      </c>
      <c r="AR182" s="287"/>
      <c r="AS182" s="288">
        <f t="shared" si="89"/>
        <v>326.55452901143133</v>
      </c>
      <c r="AT182" s="289">
        <f t="shared" si="98"/>
        <v>-146.50336262854705</v>
      </c>
      <c r="AU182" s="290"/>
      <c r="AV182" s="289">
        <f t="shared" si="97"/>
        <v>146.50336262854705</v>
      </c>
      <c r="AW182" s="291">
        <f t="shared" si="90"/>
        <v>-239.01729632495176</v>
      </c>
      <c r="AX182" s="291">
        <f t="shared" si="91"/>
        <v>-194.48270367504824</v>
      </c>
      <c r="AY182" s="292">
        <f t="shared" si="77"/>
        <v>-48.532052610240491</v>
      </c>
      <c r="AZ182" s="292">
        <f t="shared" si="78"/>
        <v>-51.418454243152219</v>
      </c>
      <c r="BA182" s="294">
        <f t="shared" si="92"/>
        <v>48.532052610240491</v>
      </c>
      <c r="BB182" s="294">
        <f t="shared" si="92"/>
        <v>51.418454243152219</v>
      </c>
      <c r="BC182">
        <f t="shared" si="93"/>
        <v>0.3</v>
      </c>
      <c r="BG182" s="27"/>
      <c r="BN182" s="1750"/>
      <c r="BO182" s="1750"/>
      <c r="BP182" s="1750"/>
      <c r="BQ182" s="1750"/>
      <c r="BR182" s="1750"/>
      <c r="BS182" s="1750"/>
      <c r="BT182" s="1750"/>
      <c r="BU182" s="1750"/>
      <c r="BV182" s="1750"/>
      <c r="BW182" s="1750"/>
      <c r="BX182" s="1750"/>
      <c r="BY182" s="1750"/>
      <c r="BZ182" s="1750"/>
      <c r="CA182" s="1750"/>
      <c r="CB182" s="1750"/>
      <c r="CC182" s="1750"/>
      <c r="CD182" s="1750"/>
      <c r="CE182" s="1750"/>
      <c r="CF182" s="1750"/>
      <c r="CG182" s="1750"/>
      <c r="CH182" s="1750"/>
      <c r="CI182" s="1750"/>
      <c r="CJ182" s="1750"/>
      <c r="CK182" s="1750"/>
      <c r="CL182" s="1750"/>
      <c r="CM182" s="1750"/>
      <c r="DC182" s="33"/>
      <c r="DD182" s="10"/>
      <c r="DE182" s="10"/>
      <c r="DF182" s="10"/>
      <c r="DG182" s="10"/>
      <c r="DH182" s="10"/>
      <c r="DI182" s="10"/>
      <c r="DJ182" s="49"/>
      <c r="DK182" s="49"/>
      <c r="DL182" s="49"/>
      <c r="DM182" s="49"/>
      <c r="DN182" s="49"/>
      <c r="DO182" s="49"/>
      <c r="DP182" s="49"/>
      <c r="DQ182" s="49"/>
      <c r="DR182" s="49"/>
      <c r="DS182" s="49"/>
      <c r="DT182" s="49"/>
      <c r="DU182" s="49"/>
      <c r="DV182" s="49"/>
      <c r="DW182" s="49"/>
      <c r="DX182" s="7"/>
    </row>
    <row r="183" spans="2:132" ht="21" customHeight="1" thickBot="1" x14ac:dyDescent="0.35">
      <c r="B183" s="88">
        <v>20</v>
      </c>
      <c r="C183" s="20"/>
      <c r="D183" s="738">
        <v>0</v>
      </c>
      <c r="E183" s="333" t="s">
        <v>72</v>
      </c>
      <c r="F183" s="81">
        <f t="shared" si="79"/>
        <v>0.3</v>
      </c>
      <c r="G183" s="81">
        <f t="shared" si="94"/>
        <v>0.3</v>
      </c>
      <c r="H183" s="299">
        <v>190.76</v>
      </c>
      <c r="I183" s="318">
        <v>79.651040199999997</v>
      </c>
      <c r="J183" s="251">
        <f t="shared" si="80"/>
        <v>79.651040199999997</v>
      </c>
      <c r="K183" s="251">
        <f t="shared" si="81"/>
        <v>39.825520099999999</v>
      </c>
      <c r="L183" s="251">
        <f t="shared" si="69"/>
        <v>0.64045183696587837</v>
      </c>
      <c r="M183" s="251">
        <f t="shared" si="70"/>
        <v>122.17259241961095</v>
      </c>
      <c r="N183" s="251">
        <f t="shared" si="71"/>
        <v>244.3451848392219</v>
      </c>
      <c r="O183" s="251">
        <f>+C164+D165+D166+D167+D168+D169+D170+D171+D172+D173+D174+D175+D176+D177+D178+D179+D180+D181+D182+(D183/2)</f>
        <v>0</v>
      </c>
      <c r="P183" s="251">
        <f t="shared" si="72"/>
        <v>0</v>
      </c>
      <c r="Q183" s="251">
        <f t="shared" si="73"/>
        <v>0</v>
      </c>
      <c r="R183" s="251">
        <f t="shared" si="82"/>
        <v>146.5</v>
      </c>
      <c r="S183" s="251">
        <f t="shared" si="95"/>
        <v>146.5</v>
      </c>
      <c r="T183" s="252">
        <f t="shared" si="74"/>
        <v>146.5</v>
      </c>
      <c r="U183" s="244"/>
      <c r="V183" s="282">
        <f t="shared" si="75"/>
        <v>0</v>
      </c>
      <c r="W183" s="282"/>
      <c r="X183" s="282"/>
      <c r="Y183" s="282"/>
      <c r="Z183" s="282"/>
      <c r="AA183" s="282"/>
      <c r="AB183" s="300" t="str">
        <f t="shared" si="83"/>
        <v>pin in groundstacking hole</v>
      </c>
      <c r="AC183" s="451"/>
      <c r="AD183" s="451"/>
      <c r="AE183" s="451"/>
      <c r="AF183" s="282">
        <f>SUM(V183:V187)/($B$161-B182)</f>
        <v>0</v>
      </c>
      <c r="AG183" s="282"/>
      <c r="AH183" s="301">
        <f>SUM(D165:D183)+$C$164</f>
        <v>0</v>
      </c>
      <c r="AI183" s="370"/>
      <c r="AJ183" s="173">
        <f t="shared" si="84"/>
        <v>69.344714800000006</v>
      </c>
      <c r="AK183" s="284">
        <f t="shared" si="76"/>
        <v>0.93571960494171247</v>
      </c>
      <c r="AL183" s="174">
        <f t="shared" si="85"/>
        <v>180.0511663828843</v>
      </c>
      <c r="AM183" s="173">
        <f t="shared" si="86"/>
        <v>50.174479900000001</v>
      </c>
      <c r="AN183" s="285">
        <f t="shared" si="87"/>
        <v>0.76799833627881664</v>
      </c>
      <c r="AO183" s="174">
        <f t="shared" si="88"/>
        <v>146.50336262854705</v>
      </c>
      <c r="AP183" s="287"/>
      <c r="AQ183" s="174">
        <f t="shared" si="96"/>
        <v>-459</v>
      </c>
      <c r="AR183" s="287"/>
      <c r="AS183" s="288">
        <f t="shared" si="89"/>
        <v>326.55452901143133</v>
      </c>
      <c r="AT183" s="289">
        <f t="shared" si="98"/>
        <v>-146.50336262854705</v>
      </c>
      <c r="AU183" s="290"/>
      <c r="AV183" s="289">
        <f t="shared" si="97"/>
        <v>146.50336262854705</v>
      </c>
      <c r="AW183" s="291">
        <f t="shared" si="90"/>
        <v>-253.07713728524303</v>
      </c>
      <c r="AX183" s="291">
        <f t="shared" si="91"/>
        <v>-205.92286271475697</v>
      </c>
      <c r="AY183" s="292">
        <f t="shared" si="77"/>
        <v>-45.835827465227133</v>
      </c>
      <c r="AZ183" s="292">
        <f t="shared" si="78"/>
        <v>-48.561873451865985</v>
      </c>
      <c r="BA183" s="294">
        <f t="shared" si="92"/>
        <v>45.835827465227133</v>
      </c>
      <c r="BB183" s="294">
        <f t="shared" si="92"/>
        <v>48.561873451865985</v>
      </c>
      <c r="BC183">
        <f t="shared" si="93"/>
        <v>0.3</v>
      </c>
      <c r="BG183" s="27"/>
      <c r="BN183" s="1750"/>
      <c r="BO183" s="1774"/>
      <c r="BP183" s="1774"/>
      <c r="BQ183" s="1774"/>
      <c r="BR183" s="1774"/>
      <c r="BS183" s="1774"/>
      <c r="BT183" s="1774"/>
      <c r="BU183" s="1748"/>
      <c r="BV183" s="1748"/>
      <c r="BW183" s="1748"/>
      <c r="BX183" s="1748"/>
      <c r="BY183" s="1748"/>
      <c r="BZ183" s="1774"/>
      <c r="CA183" s="1774"/>
      <c r="CB183" s="1774"/>
      <c r="CC183" s="1748"/>
      <c r="CD183" s="1748"/>
      <c r="CE183" s="1748"/>
      <c r="CF183" s="1748"/>
      <c r="CG183" s="1748"/>
      <c r="CH183" s="1748"/>
      <c r="CI183" s="1748"/>
      <c r="CJ183" s="1748"/>
      <c r="CK183" s="1748"/>
      <c r="CL183" s="1748"/>
      <c r="CM183" s="1750"/>
      <c r="DC183" s="33"/>
      <c r="DD183" s="10"/>
      <c r="DE183" s="10"/>
      <c r="DF183" s="10"/>
      <c r="DG183" s="10"/>
      <c r="DH183" s="10"/>
      <c r="DI183" s="10"/>
      <c r="DJ183" s="49"/>
      <c r="DK183" s="49"/>
      <c r="DL183" s="49"/>
      <c r="DM183" s="49"/>
      <c r="DN183" s="49"/>
      <c r="DO183" s="49"/>
      <c r="DP183" s="49"/>
      <c r="DQ183" s="49"/>
      <c r="DR183" s="49"/>
      <c r="DS183" s="49"/>
      <c r="DT183" s="49"/>
      <c r="DU183" s="49"/>
      <c r="DV183" s="49"/>
      <c r="DW183" s="49"/>
      <c r="DX183" s="7"/>
    </row>
    <row r="184" spans="2:132" ht="21" customHeight="1" thickBot="1" x14ac:dyDescent="0.35">
      <c r="B184" s="88">
        <v>21</v>
      </c>
      <c r="C184" s="20"/>
      <c r="D184" s="738">
        <v>0</v>
      </c>
      <c r="E184" s="333" t="s">
        <v>72</v>
      </c>
      <c r="F184" s="81">
        <f t="shared" si="79"/>
        <v>0.3</v>
      </c>
      <c r="G184" s="81">
        <f t="shared" si="94"/>
        <v>0.3</v>
      </c>
      <c r="H184" s="299">
        <v>190.76</v>
      </c>
      <c r="I184" s="318">
        <v>79.651040199999997</v>
      </c>
      <c r="J184" s="251">
        <f t="shared" si="80"/>
        <v>79.651040199999997</v>
      </c>
      <c r="K184" s="251">
        <f t="shared" si="81"/>
        <v>39.825520099999999</v>
      </c>
      <c r="L184" s="251">
        <f t="shared" si="69"/>
        <v>0.64045183696587837</v>
      </c>
      <c r="M184" s="251">
        <f t="shared" si="70"/>
        <v>122.17259241961095</v>
      </c>
      <c r="N184" s="251">
        <f t="shared" si="71"/>
        <v>244.3451848392219</v>
      </c>
      <c r="O184" s="251">
        <f>+C164+D165+D166+D167+D168+D169+D170+D171+D172+D173+D174+D175+D176+D177+D178+D179+D180+D181+D182+D183+(D184/2)</f>
        <v>0</v>
      </c>
      <c r="P184" s="251">
        <f t="shared" si="72"/>
        <v>0</v>
      </c>
      <c r="Q184" s="251">
        <f t="shared" si="73"/>
        <v>0</v>
      </c>
      <c r="R184" s="251">
        <f t="shared" si="82"/>
        <v>146.5</v>
      </c>
      <c r="S184" s="251">
        <f t="shared" si="95"/>
        <v>146.5</v>
      </c>
      <c r="T184" s="252">
        <f t="shared" si="74"/>
        <v>146.5</v>
      </c>
      <c r="U184" s="244"/>
      <c r="V184" s="282">
        <f t="shared" si="75"/>
        <v>0</v>
      </c>
      <c r="W184" s="282"/>
      <c r="X184" s="282"/>
      <c r="Y184" s="282"/>
      <c r="Z184" s="282"/>
      <c r="AA184" s="282"/>
      <c r="AB184" s="300" t="str">
        <f t="shared" si="83"/>
        <v>pin in groundstacking hole</v>
      </c>
      <c r="AC184" s="451"/>
      <c r="AD184" s="451"/>
      <c r="AE184" s="451"/>
      <c r="AF184" s="282">
        <f>SUM(V184:V187)/($B$161-B183)</f>
        <v>0</v>
      </c>
      <c r="AG184" s="282"/>
      <c r="AH184" s="301">
        <f>SUM(D165:D184)+$C$164</f>
        <v>0</v>
      </c>
      <c r="AI184" s="370"/>
      <c r="AJ184" s="173">
        <f t="shared" si="84"/>
        <v>69.344714800000006</v>
      </c>
      <c r="AK184" s="284">
        <f t="shared" si="76"/>
        <v>0.93571960494171247</v>
      </c>
      <c r="AL184" s="174">
        <f t="shared" si="85"/>
        <v>180.0511663828843</v>
      </c>
      <c r="AM184" s="173">
        <f t="shared" si="86"/>
        <v>50.174479900000001</v>
      </c>
      <c r="AN184" s="285">
        <f t="shared" si="87"/>
        <v>0.76799833627881664</v>
      </c>
      <c r="AO184" s="174">
        <f t="shared" si="88"/>
        <v>146.50336262854705</v>
      </c>
      <c r="AP184" s="287"/>
      <c r="AQ184" s="174">
        <f t="shared" si="96"/>
        <v>-484.5</v>
      </c>
      <c r="AR184" s="287"/>
      <c r="AS184" s="288">
        <f t="shared" si="89"/>
        <v>326.55452901143133</v>
      </c>
      <c r="AT184" s="289">
        <f t="shared" si="98"/>
        <v>-146.50336262854705</v>
      </c>
      <c r="AU184" s="290"/>
      <c r="AV184" s="289">
        <f t="shared" si="97"/>
        <v>146.50336262854705</v>
      </c>
      <c r="AW184" s="291">
        <f t="shared" si="90"/>
        <v>-267.13697824553429</v>
      </c>
      <c r="AX184" s="291">
        <f t="shared" si="91"/>
        <v>-217.36302175446571</v>
      </c>
      <c r="AY184" s="292">
        <f t="shared" si="77"/>
        <v>-43.423415493373078</v>
      </c>
      <c r="AZ184" s="292">
        <f t="shared" si="78"/>
        <v>-46.005985375451978</v>
      </c>
      <c r="BA184" s="294">
        <f t="shared" si="92"/>
        <v>43.423415493373078</v>
      </c>
      <c r="BB184" s="294">
        <f t="shared" si="92"/>
        <v>46.005985375451978</v>
      </c>
      <c r="BC184">
        <f t="shared" si="93"/>
        <v>0.3</v>
      </c>
      <c r="BG184" s="27"/>
      <c r="BN184" s="1750"/>
      <c r="BO184" s="1774"/>
      <c r="BP184" s="1774"/>
      <c r="BQ184" s="1774"/>
      <c r="BR184" s="1774"/>
      <c r="BS184" s="1774"/>
      <c r="BT184" s="1774"/>
      <c r="BU184" s="1750"/>
      <c r="BV184" s="1750"/>
      <c r="BW184" s="1750"/>
      <c r="BX184" s="1750"/>
      <c r="BY184" s="1774"/>
      <c r="BZ184" s="1774"/>
      <c r="CA184" s="1774"/>
      <c r="CB184" s="1774"/>
      <c r="CC184" s="1750"/>
      <c r="CD184" s="1750"/>
      <c r="CE184" s="1750"/>
      <c r="CF184" s="1750"/>
      <c r="CG184" s="1774"/>
      <c r="CH184" s="1774"/>
      <c r="CI184" s="1774"/>
      <c r="CJ184" s="1774"/>
      <c r="CK184" s="1774"/>
      <c r="CL184" s="1774"/>
      <c r="CM184" s="1750"/>
      <c r="DW184" s="60"/>
      <c r="DX184" s="60"/>
      <c r="DY184" s="60"/>
      <c r="DZ184" s="60"/>
      <c r="EA184" s="60"/>
      <c r="EB184" s="60"/>
    </row>
    <row r="185" spans="2:132" ht="21" customHeight="1" thickBot="1" x14ac:dyDescent="0.35">
      <c r="B185" s="88">
        <v>22</v>
      </c>
      <c r="C185" s="20"/>
      <c r="D185" s="738">
        <v>0</v>
      </c>
      <c r="E185" s="333" t="s">
        <v>72</v>
      </c>
      <c r="F185" s="81">
        <f t="shared" si="79"/>
        <v>0.3</v>
      </c>
      <c r="G185" s="81">
        <f t="shared" si="94"/>
        <v>0.3</v>
      </c>
      <c r="H185" s="299">
        <v>190.76</v>
      </c>
      <c r="I185" s="318">
        <v>79.651040199999997</v>
      </c>
      <c r="J185" s="251">
        <f t="shared" si="80"/>
        <v>79.651040199999997</v>
      </c>
      <c r="K185" s="251">
        <f t="shared" si="81"/>
        <v>39.825520099999999</v>
      </c>
      <c r="L185" s="251">
        <f t="shared" si="69"/>
        <v>0.64045183696587837</v>
      </c>
      <c r="M185" s="251">
        <f t="shared" si="70"/>
        <v>122.17259241961095</v>
      </c>
      <c r="N185" s="251">
        <f t="shared" si="71"/>
        <v>244.3451848392219</v>
      </c>
      <c r="O185" s="251">
        <f>+C164+D165+D166+D167+D168+D169+D170+D171+D172+D173+D174+D175+D176+D177+D178+D179+D180+D181+D182+D183+D184+(D185/2)</f>
        <v>0</v>
      </c>
      <c r="P185" s="251">
        <f t="shared" si="72"/>
        <v>0</v>
      </c>
      <c r="Q185" s="251">
        <f t="shared" si="73"/>
        <v>0</v>
      </c>
      <c r="R185" s="251">
        <f t="shared" si="82"/>
        <v>146.5</v>
      </c>
      <c r="S185" s="251">
        <f t="shared" si="95"/>
        <v>146.5</v>
      </c>
      <c r="T185" s="252">
        <f t="shared" si="74"/>
        <v>146.5</v>
      </c>
      <c r="U185" s="244"/>
      <c r="V185" s="282">
        <f t="shared" si="75"/>
        <v>0</v>
      </c>
      <c r="W185" s="282"/>
      <c r="X185" s="282"/>
      <c r="Y185" s="282"/>
      <c r="Z185" s="282"/>
      <c r="AA185" s="282"/>
      <c r="AB185" s="300" t="str">
        <f t="shared" si="83"/>
        <v>pin in groundstacking hole</v>
      </c>
      <c r="AC185" s="451"/>
      <c r="AD185" s="451"/>
      <c r="AE185" s="451"/>
      <c r="AF185" s="282">
        <f>SUM(V185:V187)/($B$161-B184)</f>
        <v>0</v>
      </c>
      <c r="AG185" s="282"/>
      <c r="AH185" s="301">
        <f>SUM(D165:D185)+$C$164</f>
        <v>0</v>
      </c>
      <c r="AI185" s="370"/>
      <c r="AJ185" s="173">
        <f t="shared" si="84"/>
        <v>69.344714800000006</v>
      </c>
      <c r="AK185" s="284">
        <f t="shared" si="76"/>
        <v>0.93571960494171247</v>
      </c>
      <c r="AL185" s="174">
        <f t="shared" si="85"/>
        <v>180.0511663828843</v>
      </c>
      <c r="AM185" s="173">
        <f t="shared" si="86"/>
        <v>50.174479900000001</v>
      </c>
      <c r="AN185" s="285">
        <f t="shared" si="87"/>
        <v>0.76799833627881664</v>
      </c>
      <c r="AO185" s="174">
        <f t="shared" si="88"/>
        <v>146.50336262854705</v>
      </c>
      <c r="AP185" s="287"/>
      <c r="AQ185" s="174">
        <f t="shared" si="96"/>
        <v>-510</v>
      </c>
      <c r="AR185" s="287"/>
      <c r="AS185" s="288">
        <f t="shared" si="89"/>
        <v>326.55452901143133</v>
      </c>
      <c r="AT185" s="289">
        <f t="shared" si="98"/>
        <v>-146.50336262854705</v>
      </c>
      <c r="AU185" s="290"/>
      <c r="AV185" s="289">
        <f t="shared" si="97"/>
        <v>146.50336262854705</v>
      </c>
      <c r="AW185" s="291">
        <f t="shared" si="90"/>
        <v>-281.19681920582559</v>
      </c>
      <c r="AX185" s="291">
        <f t="shared" si="91"/>
        <v>-228.80318079417441</v>
      </c>
      <c r="AY185" s="292">
        <f t="shared" si="77"/>
        <v>-41.252244718704418</v>
      </c>
      <c r="AZ185" s="292">
        <f t="shared" si="78"/>
        <v>-43.705686106679387</v>
      </c>
      <c r="BA185" s="294">
        <f t="shared" si="92"/>
        <v>41.252244718704418</v>
      </c>
      <c r="BB185" s="294">
        <f t="shared" si="92"/>
        <v>43.705686106679387</v>
      </c>
      <c r="BC185">
        <f t="shared" si="93"/>
        <v>0.3</v>
      </c>
      <c r="BG185" s="27"/>
      <c r="BN185" s="1750"/>
      <c r="BO185" s="1750"/>
      <c r="BP185" s="1750"/>
      <c r="BQ185" s="1750"/>
      <c r="BR185" s="1750"/>
      <c r="BS185" s="1750"/>
      <c r="BT185" s="1750"/>
      <c r="BU185" s="1750"/>
      <c r="BV185" s="1750"/>
      <c r="BW185" s="1750"/>
      <c r="BX185" s="1750"/>
      <c r="BY185" s="1750"/>
      <c r="BZ185" s="1750"/>
      <c r="CA185" s="1750"/>
      <c r="CB185" s="1750"/>
      <c r="CC185" s="1750"/>
      <c r="CD185" s="1750"/>
      <c r="CE185" s="1750"/>
      <c r="CF185" s="1750"/>
      <c r="CG185" s="1750"/>
      <c r="CH185" s="1750"/>
      <c r="CI185" s="1750"/>
      <c r="CJ185" s="1750"/>
      <c r="CK185" s="1750"/>
      <c r="CL185" s="1750"/>
      <c r="CM185" s="1750"/>
    </row>
    <row r="186" spans="2:132" ht="21" customHeight="1" thickBot="1" x14ac:dyDescent="0.35">
      <c r="B186" s="88">
        <v>23</v>
      </c>
      <c r="C186" s="20"/>
      <c r="D186" s="738">
        <v>0</v>
      </c>
      <c r="E186" s="333" t="s">
        <v>72</v>
      </c>
      <c r="F186" s="81">
        <f t="shared" si="79"/>
        <v>0.3</v>
      </c>
      <c r="G186" s="81">
        <f t="shared" si="94"/>
        <v>0.3</v>
      </c>
      <c r="H186" s="299">
        <v>190.76</v>
      </c>
      <c r="I186" s="318">
        <v>79.651040199999997</v>
      </c>
      <c r="J186" s="251">
        <f t="shared" si="80"/>
        <v>79.651040199999997</v>
      </c>
      <c r="K186" s="251">
        <f t="shared" si="81"/>
        <v>39.825520099999999</v>
      </c>
      <c r="L186" s="251">
        <f t="shared" si="69"/>
        <v>0.64045183696587837</v>
      </c>
      <c r="M186" s="251">
        <f t="shared" si="70"/>
        <v>122.17259241961095</v>
      </c>
      <c r="N186" s="251">
        <f t="shared" si="71"/>
        <v>244.3451848392219</v>
      </c>
      <c r="O186" s="251">
        <f>+C164+D165+D166+D167+D168+D169+D170+D171+D172+D173+D174+D175+D176+D177+D178+D179+D180+D181+D182+D183+D184+D185+(D186/2)</f>
        <v>0</v>
      </c>
      <c r="P186" s="251">
        <f t="shared" si="72"/>
        <v>0</v>
      </c>
      <c r="Q186" s="251">
        <f t="shared" si="73"/>
        <v>0</v>
      </c>
      <c r="R186" s="251">
        <f t="shared" si="82"/>
        <v>146.5</v>
      </c>
      <c r="S186" s="251">
        <f t="shared" si="95"/>
        <v>146.5</v>
      </c>
      <c r="T186" s="252">
        <f t="shared" si="74"/>
        <v>146.5</v>
      </c>
      <c r="U186" s="244"/>
      <c r="V186" s="282">
        <f t="shared" si="75"/>
        <v>0</v>
      </c>
      <c r="W186" s="282"/>
      <c r="X186" s="282"/>
      <c r="Y186" s="282"/>
      <c r="Z186" s="282"/>
      <c r="AA186" s="282"/>
      <c r="AB186" s="300" t="str">
        <f t="shared" si="83"/>
        <v>pin in groundstacking hole</v>
      </c>
      <c r="AC186" s="451"/>
      <c r="AD186" s="451"/>
      <c r="AE186" s="451"/>
      <c r="AF186" s="282">
        <f>SUM(V186:V187)/($B$161-B185)</f>
        <v>0</v>
      </c>
      <c r="AG186" s="282"/>
      <c r="AH186" s="301">
        <f>SUM(D165:D186)+$C$164</f>
        <v>0</v>
      </c>
      <c r="AI186" s="370"/>
      <c r="AJ186" s="173">
        <f t="shared" si="84"/>
        <v>69.344714800000006</v>
      </c>
      <c r="AK186" s="284">
        <f t="shared" si="76"/>
        <v>0.93571960494171247</v>
      </c>
      <c r="AL186" s="174">
        <f t="shared" si="85"/>
        <v>180.0511663828843</v>
      </c>
      <c r="AM186" s="173">
        <f t="shared" si="86"/>
        <v>50.174479900000001</v>
      </c>
      <c r="AN186" s="285">
        <f t="shared" si="87"/>
        <v>0.76799833627881664</v>
      </c>
      <c r="AO186" s="174">
        <f t="shared" si="88"/>
        <v>146.50336262854705</v>
      </c>
      <c r="AP186" s="287"/>
      <c r="AQ186" s="174">
        <f t="shared" si="96"/>
        <v>-535.5</v>
      </c>
      <c r="AR186" s="287"/>
      <c r="AS186" s="288">
        <f t="shared" si="89"/>
        <v>326.55452901143133</v>
      </c>
      <c r="AT186" s="289">
        <f t="shared" si="98"/>
        <v>-146.50336262854705</v>
      </c>
      <c r="AU186" s="290"/>
      <c r="AV186" s="289">
        <f t="shared" si="97"/>
        <v>146.50336262854705</v>
      </c>
      <c r="AW186" s="291">
        <f t="shared" si="90"/>
        <v>-295.25666016611689</v>
      </c>
      <c r="AX186" s="291">
        <f t="shared" si="91"/>
        <v>-240.24333983388314</v>
      </c>
      <c r="AY186" s="292">
        <f t="shared" si="77"/>
        <v>-39.287852113051827</v>
      </c>
      <c r="AZ186" s="292">
        <f t="shared" si="78"/>
        <v>-41.624462958742271</v>
      </c>
      <c r="BA186" s="294">
        <f t="shared" si="92"/>
        <v>39.287852113051827</v>
      </c>
      <c r="BB186" s="294">
        <f t="shared" si="92"/>
        <v>41.624462958742271</v>
      </c>
      <c r="BC186">
        <f t="shared" si="93"/>
        <v>0.3</v>
      </c>
      <c r="BG186" s="27"/>
      <c r="BN186" s="1750"/>
      <c r="BO186" s="1750"/>
      <c r="BP186" s="1750"/>
      <c r="BQ186" s="1750"/>
      <c r="BR186" s="1750"/>
      <c r="BS186" s="1750"/>
      <c r="BT186" s="1750"/>
      <c r="BU186" s="1750"/>
      <c r="BV186" s="1750"/>
      <c r="BW186" s="1750"/>
      <c r="BX186" s="1750"/>
      <c r="BY186" s="1750"/>
      <c r="BZ186" s="1750"/>
      <c r="CA186" s="1750"/>
      <c r="CB186" s="1750"/>
      <c r="CC186" s="1750"/>
      <c r="CD186" s="1750"/>
      <c r="CE186" s="1750"/>
      <c r="CF186" s="1750"/>
      <c r="CG186" s="1750"/>
      <c r="CH186" s="1750"/>
      <c r="CI186" s="1750"/>
      <c r="CJ186" s="1750"/>
      <c r="CK186" s="1750"/>
      <c r="CL186" s="1750"/>
      <c r="CM186" s="1750"/>
      <c r="DC186" s="42"/>
    </row>
    <row r="187" spans="2:132" ht="21" customHeight="1" thickBot="1" x14ac:dyDescent="0.35">
      <c r="B187" s="88">
        <v>24</v>
      </c>
      <c r="C187" s="20"/>
      <c r="D187" s="738">
        <v>0</v>
      </c>
      <c r="E187" s="333" t="s">
        <v>72</v>
      </c>
      <c r="F187" s="81">
        <f t="shared" si="79"/>
        <v>0.3</v>
      </c>
      <c r="G187" s="81">
        <f t="shared" si="94"/>
        <v>0.3</v>
      </c>
      <c r="H187" s="299">
        <v>190.76</v>
      </c>
      <c r="I187" s="318">
        <v>79.651040199999997</v>
      </c>
      <c r="J187" s="251">
        <f t="shared" si="80"/>
        <v>79.651040199999997</v>
      </c>
      <c r="K187" s="251">
        <f t="shared" si="81"/>
        <v>39.825520099999999</v>
      </c>
      <c r="L187" s="251">
        <f t="shared" si="69"/>
        <v>0.64045183696587837</v>
      </c>
      <c r="M187" s="251">
        <f t="shared" si="70"/>
        <v>122.17259241961095</v>
      </c>
      <c r="N187" s="251">
        <f t="shared" si="71"/>
        <v>244.3451848392219</v>
      </c>
      <c r="O187" s="251">
        <f>+SUM(D165:D186)+(D187/2)+C164</f>
        <v>0</v>
      </c>
      <c r="P187" s="251">
        <f t="shared" si="72"/>
        <v>0</v>
      </c>
      <c r="Q187" s="251">
        <f t="shared" si="73"/>
        <v>0</v>
      </c>
      <c r="R187" s="251">
        <f t="shared" si="82"/>
        <v>146.5</v>
      </c>
      <c r="S187" s="251">
        <f t="shared" si="95"/>
        <v>146.5</v>
      </c>
      <c r="T187" s="252">
        <f t="shared" si="74"/>
        <v>146.5</v>
      </c>
      <c r="U187" s="244"/>
      <c r="V187" s="282">
        <f t="shared" si="75"/>
        <v>0</v>
      </c>
      <c r="W187" s="282"/>
      <c r="X187" s="282"/>
      <c r="Y187" s="282"/>
      <c r="Z187" s="282"/>
      <c r="AA187" s="282"/>
      <c r="AB187" s="300" t="str">
        <f t="shared" si="83"/>
        <v>pin in groundstacking hole</v>
      </c>
      <c r="AC187" s="451"/>
      <c r="AD187" s="451"/>
      <c r="AE187" s="451"/>
      <c r="AF187" s="282">
        <f>SUM(V187)/($B$161-B186)</f>
        <v>0</v>
      </c>
      <c r="AG187" s="282"/>
      <c r="AH187" s="301">
        <f>SUM(D165:D187)+$C$164</f>
        <v>0</v>
      </c>
      <c r="AI187" s="370"/>
      <c r="AJ187" s="173">
        <f t="shared" si="84"/>
        <v>69.344714800000006</v>
      </c>
      <c r="AK187" s="284">
        <f t="shared" si="76"/>
        <v>0.93571960494171247</v>
      </c>
      <c r="AL187" s="174">
        <f t="shared" si="85"/>
        <v>180.0511663828843</v>
      </c>
      <c r="AM187" s="173">
        <f t="shared" si="86"/>
        <v>50.174479900000001</v>
      </c>
      <c r="AN187" s="285">
        <f t="shared" si="87"/>
        <v>0.76799833627881664</v>
      </c>
      <c r="AO187" s="174">
        <f t="shared" si="88"/>
        <v>146.50336262854705</v>
      </c>
      <c r="AP187" s="287"/>
      <c r="AQ187" s="174">
        <f t="shared" si="96"/>
        <v>-561</v>
      </c>
      <c r="AR187" s="287"/>
      <c r="AS187" s="288">
        <f t="shared" si="89"/>
        <v>326.55452901143133</v>
      </c>
      <c r="AT187" s="289">
        <f t="shared" si="98"/>
        <v>-146.50336262854705</v>
      </c>
      <c r="AU187" s="290"/>
      <c r="AV187" s="289">
        <f t="shared" si="97"/>
        <v>146.50336262854705</v>
      </c>
      <c r="AW187" s="291">
        <f t="shared" si="90"/>
        <v>-309.31650112640813</v>
      </c>
      <c r="AX187" s="291">
        <f t="shared" si="91"/>
        <v>-251.68349887359184</v>
      </c>
      <c r="AY187" s="292">
        <f t="shared" si="77"/>
        <v>-37.502040653367658</v>
      </c>
      <c r="AZ187" s="292">
        <f t="shared" si="78"/>
        <v>-39.732441915163079</v>
      </c>
      <c r="BA187" s="294">
        <f t="shared" si="92"/>
        <v>37.502040653367658</v>
      </c>
      <c r="BB187" s="294">
        <f t="shared" si="92"/>
        <v>39.732441915163079</v>
      </c>
      <c r="BC187">
        <f t="shared" si="93"/>
        <v>0.3</v>
      </c>
      <c r="BG187" s="27"/>
      <c r="DC187" s="42"/>
    </row>
    <row r="188" spans="2:132" x14ac:dyDescent="0.3">
      <c r="BG188" s="27"/>
      <c r="DC188" s="42"/>
      <c r="DD188" s="14"/>
    </row>
    <row r="189" spans="2:132" x14ac:dyDescent="0.3">
      <c r="BG189" s="27"/>
      <c r="DC189" s="42"/>
      <c r="DD189" s="14"/>
    </row>
    <row r="190" spans="2:132" x14ac:dyDescent="0.3">
      <c r="BG190" s="27"/>
      <c r="DC190" s="42"/>
      <c r="DD190" s="14"/>
    </row>
    <row r="191" spans="2:132" x14ac:dyDescent="0.3">
      <c r="BG191" s="35"/>
      <c r="DC191" s="42"/>
      <c r="DD191" s="14"/>
    </row>
    <row r="192" spans="2:132" hidden="1" x14ac:dyDescent="0.3">
      <c r="BG192" s="33"/>
      <c r="DC192" s="42"/>
      <c r="DD192" s="14"/>
    </row>
    <row r="193" spans="59:108" hidden="1" x14ac:dyDescent="0.3">
      <c r="BG193" s="33"/>
      <c r="BI193" s="1623"/>
      <c r="BJ193" s="1623"/>
      <c r="BK193" s="1756" t="s">
        <v>235</v>
      </c>
      <c r="BL193" s="1623"/>
      <c r="BM193" s="1623"/>
      <c r="BN193" s="1623"/>
      <c r="BO193" s="1623"/>
      <c r="BP193" s="1623"/>
      <c r="DC193" s="42"/>
      <c r="DD193" s="14"/>
    </row>
    <row r="194" spans="59:108" ht="19.2" hidden="1" x14ac:dyDescent="0.45">
      <c r="BI194" s="1757">
        <v>1</v>
      </c>
      <c r="BJ194" s="1758">
        <v>-473</v>
      </c>
      <c r="BK194" s="1759">
        <f>+COS(($B$104*-1)*3.14159265358979/180)*BJ194</f>
        <v>-473</v>
      </c>
      <c r="BL194" s="1760">
        <f t="shared" ref="BL194:BL230" si="99">+BK194-D$3</f>
        <v>-586.51781470193191</v>
      </c>
      <c r="BM194" s="1761">
        <f t="shared" ref="BM194:BM230" si="100">ABS(BL194)</f>
        <v>586.51781470193191</v>
      </c>
      <c r="BN194" s="1762">
        <f>MIN(BM194:BM230)</f>
        <v>15.482185298068117</v>
      </c>
      <c r="BO194" s="1761" t="b">
        <f>IF(BN194=BM194,BI194)</f>
        <v>0</v>
      </c>
      <c r="BP194" s="1763">
        <v>1</v>
      </c>
      <c r="DC194" s="42"/>
      <c r="DD194" s="14"/>
    </row>
    <row r="195" spans="59:108" ht="19.2" hidden="1" x14ac:dyDescent="0.45">
      <c r="BG195" s="39"/>
      <c r="BI195" s="1757">
        <v>2</v>
      </c>
      <c r="BJ195" s="1758">
        <f>+BJ194+43</f>
        <v>-430</v>
      </c>
      <c r="BK195" s="1764">
        <f>+BK194+$E$2</f>
        <v>-430</v>
      </c>
      <c r="BL195" s="1760">
        <f t="shared" si="99"/>
        <v>-543.51781470193191</v>
      </c>
      <c r="BM195" s="1761">
        <f t="shared" si="100"/>
        <v>543.51781470193191</v>
      </c>
      <c r="BN195" s="1761">
        <f>+BN194</f>
        <v>15.482185298068117</v>
      </c>
      <c r="BO195" s="1761" t="b">
        <f t="shared" ref="BO195:BO230" si="101">IF(BN195=BM195,BI195)</f>
        <v>0</v>
      </c>
      <c r="BP195" s="1763">
        <v>2</v>
      </c>
      <c r="DC195" s="42"/>
    </row>
    <row r="196" spans="59:108" ht="19.2" hidden="1" x14ac:dyDescent="0.45">
      <c r="BI196" s="1757">
        <v>3</v>
      </c>
      <c r="BJ196" s="1758">
        <f t="shared" ref="BJ196:BJ230" si="102">+BJ195+43</f>
        <v>-387</v>
      </c>
      <c r="BK196" s="1764">
        <f t="shared" ref="BK196:BK230" si="103">+BK195+$E$2</f>
        <v>-387</v>
      </c>
      <c r="BL196" s="1760">
        <f t="shared" si="99"/>
        <v>-500.51781470193191</v>
      </c>
      <c r="BM196" s="1761">
        <f t="shared" si="100"/>
        <v>500.51781470193191</v>
      </c>
      <c r="BN196" s="1761">
        <f t="shared" ref="BN196:BN230" si="104">+BN195</f>
        <v>15.482185298068117</v>
      </c>
      <c r="BO196" s="1761" t="b">
        <f t="shared" si="101"/>
        <v>0</v>
      </c>
      <c r="BP196" s="1763">
        <v>3</v>
      </c>
      <c r="DC196" s="42"/>
    </row>
    <row r="197" spans="59:108" ht="19.2" hidden="1" x14ac:dyDescent="0.45">
      <c r="BI197" s="1757">
        <v>4</v>
      </c>
      <c r="BJ197" s="1758">
        <f t="shared" si="102"/>
        <v>-344</v>
      </c>
      <c r="BK197" s="1764">
        <f t="shared" si="103"/>
        <v>-344</v>
      </c>
      <c r="BL197" s="1760">
        <f t="shared" si="99"/>
        <v>-457.51781470193191</v>
      </c>
      <c r="BM197" s="1761">
        <f t="shared" si="100"/>
        <v>457.51781470193191</v>
      </c>
      <c r="BN197" s="1761">
        <f t="shared" si="104"/>
        <v>15.482185298068117</v>
      </c>
      <c r="BO197" s="1761" t="b">
        <f t="shared" si="101"/>
        <v>0</v>
      </c>
      <c r="BP197" s="1763">
        <v>4</v>
      </c>
    </row>
    <row r="198" spans="59:108" ht="19.2" hidden="1" x14ac:dyDescent="0.45">
      <c r="BI198" s="1757">
        <v>5</v>
      </c>
      <c r="BJ198" s="1758">
        <f t="shared" si="102"/>
        <v>-301</v>
      </c>
      <c r="BK198" s="1764">
        <f t="shared" si="103"/>
        <v>-301</v>
      </c>
      <c r="BL198" s="1760">
        <f t="shared" si="99"/>
        <v>-414.51781470193191</v>
      </c>
      <c r="BM198" s="1761">
        <f t="shared" si="100"/>
        <v>414.51781470193191</v>
      </c>
      <c r="BN198" s="1761">
        <f t="shared" si="104"/>
        <v>15.482185298068117</v>
      </c>
      <c r="BO198" s="1761" t="b">
        <f t="shared" si="101"/>
        <v>0</v>
      </c>
      <c r="BP198" s="1763">
        <v>5</v>
      </c>
    </row>
    <row r="199" spans="59:108" ht="19.2" hidden="1" x14ac:dyDescent="0.45">
      <c r="BI199" s="1757">
        <v>6</v>
      </c>
      <c r="BJ199" s="1758">
        <f t="shared" si="102"/>
        <v>-258</v>
      </c>
      <c r="BK199" s="1764">
        <f t="shared" si="103"/>
        <v>-258</v>
      </c>
      <c r="BL199" s="1760">
        <f t="shared" si="99"/>
        <v>-371.51781470193191</v>
      </c>
      <c r="BM199" s="1761">
        <f t="shared" si="100"/>
        <v>371.51781470193191</v>
      </c>
      <c r="BN199" s="1761">
        <f t="shared" si="104"/>
        <v>15.482185298068117</v>
      </c>
      <c r="BO199" s="1761" t="b">
        <f t="shared" si="101"/>
        <v>0</v>
      </c>
      <c r="BP199" s="1763">
        <v>6</v>
      </c>
    </row>
    <row r="200" spans="59:108" ht="19.2" hidden="1" x14ac:dyDescent="0.45">
      <c r="BI200" s="1757">
        <v>7</v>
      </c>
      <c r="BJ200" s="1758">
        <f t="shared" si="102"/>
        <v>-215</v>
      </c>
      <c r="BK200" s="1764">
        <f t="shared" si="103"/>
        <v>-215</v>
      </c>
      <c r="BL200" s="1760">
        <f t="shared" si="99"/>
        <v>-328.51781470193191</v>
      </c>
      <c r="BM200" s="1761">
        <f t="shared" si="100"/>
        <v>328.51781470193191</v>
      </c>
      <c r="BN200" s="1761">
        <f t="shared" si="104"/>
        <v>15.482185298068117</v>
      </c>
      <c r="BO200" s="1761" t="b">
        <f t="shared" si="101"/>
        <v>0</v>
      </c>
      <c r="BP200" s="1763">
        <v>7</v>
      </c>
    </row>
    <row r="201" spans="59:108" ht="19.2" hidden="1" x14ac:dyDescent="0.45">
      <c r="BI201" s="1757">
        <v>8</v>
      </c>
      <c r="BJ201" s="1758">
        <f t="shared" si="102"/>
        <v>-172</v>
      </c>
      <c r="BK201" s="1764">
        <f t="shared" si="103"/>
        <v>-172</v>
      </c>
      <c r="BL201" s="1760">
        <f t="shared" si="99"/>
        <v>-285.51781470193191</v>
      </c>
      <c r="BM201" s="1761">
        <f t="shared" si="100"/>
        <v>285.51781470193191</v>
      </c>
      <c r="BN201" s="1761">
        <f t="shared" si="104"/>
        <v>15.482185298068117</v>
      </c>
      <c r="BO201" s="1761" t="b">
        <f t="shared" si="101"/>
        <v>0</v>
      </c>
      <c r="BP201" s="1763">
        <v>8</v>
      </c>
    </row>
    <row r="202" spans="59:108" ht="19.2" hidden="1" x14ac:dyDescent="0.45">
      <c r="BI202" s="1757">
        <v>9</v>
      </c>
      <c r="BJ202" s="1758">
        <f t="shared" si="102"/>
        <v>-129</v>
      </c>
      <c r="BK202" s="1764">
        <f t="shared" si="103"/>
        <v>-129</v>
      </c>
      <c r="BL202" s="1760">
        <f t="shared" si="99"/>
        <v>-242.51781470193188</v>
      </c>
      <c r="BM202" s="1761">
        <f t="shared" si="100"/>
        <v>242.51781470193188</v>
      </c>
      <c r="BN202" s="1761">
        <f t="shared" si="104"/>
        <v>15.482185298068117</v>
      </c>
      <c r="BO202" s="1761" t="b">
        <f t="shared" si="101"/>
        <v>0</v>
      </c>
      <c r="BP202" s="1763">
        <v>9</v>
      </c>
    </row>
    <row r="203" spans="59:108" ht="19.2" hidden="1" x14ac:dyDescent="0.45">
      <c r="BI203" s="1757">
        <v>10</v>
      </c>
      <c r="BJ203" s="1758">
        <f t="shared" si="102"/>
        <v>-86</v>
      </c>
      <c r="BK203" s="1764">
        <f t="shared" si="103"/>
        <v>-86</v>
      </c>
      <c r="BL203" s="1760">
        <f t="shared" si="99"/>
        <v>-199.51781470193188</v>
      </c>
      <c r="BM203" s="1761">
        <f t="shared" si="100"/>
        <v>199.51781470193188</v>
      </c>
      <c r="BN203" s="1761">
        <f t="shared" si="104"/>
        <v>15.482185298068117</v>
      </c>
      <c r="BO203" s="1761" t="b">
        <f t="shared" si="101"/>
        <v>0</v>
      </c>
      <c r="BP203" s="1763">
        <v>10</v>
      </c>
    </row>
    <row r="204" spans="59:108" ht="19.2" hidden="1" x14ac:dyDescent="0.45">
      <c r="BI204" s="1757">
        <v>11</v>
      </c>
      <c r="BJ204" s="1758">
        <f t="shared" si="102"/>
        <v>-43</v>
      </c>
      <c r="BK204" s="1764">
        <f t="shared" si="103"/>
        <v>-43</v>
      </c>
      <c r="BL204" s="1760">
        <f t="shared" si="99"/>
        <v>-156.51781470193188</v>
      </c>
      <c r="BM204" s="1761">
        <f t="shared" si="100"/>
        <v>156.51781470193188</v>
      </c>
      <c r="BN204" s="1761">
        <f t="shared" si="104"/>
        <v>15.482185298068117</v>
      </c>
      <c r="BO204" s="1761" t="b">
        <f t="shared" si="101"/>
        <v>0</v>
      </c>
      <c r="BP204" s="1763">
        <v>11</v>
      </c>
    </row>
    <row r="205" spans="59:108" ht="19.2" hidden="1" x14ac:dyDescent="0.45">
      <c r="BI205" s="1757">
        <v>12</v>
      </c>
      <c r="BJ205" s="1758">
        <f t="shared" si="102"/>
        <v>0</v>
      </c>
      <c r="BK205" s="1764">
        <f t="shared" si="103"/>
        <v>0</v>
      </c>
      <c r="BL205" s="1760">
        <f t="shared" si="99"/>
        <v>-113.51781470193188</v>
      </c>
      <c r="BM205" s="1761">
        <f t="shared" si="100"/>
        <v>113.51781470193188</v>
      </c>
      <c r="BN205" s="1761">
        <f t="shared" si="104"/>
        <v>15.482185298068117</v>
      </c>
      <c r="BO205" s="1761" t="b">
        <f t="shared" si="101"/>
        <v>0</v>
      </c>
      <c r="BP205" s="1763">
        <v>12</v>
      </c>
    </row>
    <row r="206" spans="59:108" ht="19.2" hidden="1" x14ac:dyDescent="0.45">
      <c r="BI206" s="1757">
        <v>13</v>
      </c>
      <c r="BJ206" s="1758">
        <f t="shared" si="102"/>
        <v>43</v>
      </c>
      <c r="BK206" s="1764">
        <f t="shared" si="103"/>
        <v>43</v>
      </c>
      <c r="BL206" s="1760">
        <f t="shared" si="99"/>
        <v>-70.517814701931883</v>
      </c>
      <c r="BM206" s="1761">
        <f t="shared" si="100"/>
        <v>70.517814701931883</v>
      </c>
      <c r="BN206" s="1761">
        <f t="shared" si="104"/>
        <v>15.482185298068117</v>
      </c>
      <c r="BO206" s="1761" t="b">
        <f t="shared" si="101"/>
        <v>0</v>
      </c>
      <c r="BP206" s="1763">
        <v>13</v>
      </c>
    </row>
    <row r="207" spans="59:108" ht="19.2" hidden="1" x14ac:dyDescent="0.45">
      <c r="BI207" s="1757">
        <v>14</v>
      </c>
      <c r="BJ207" s="1758">
        <f t="shared" si="102"/>
        <v>86</v>
      </c>
      <c r="BK207" s="1764">
        <f t="shared" si="103"/>
        <v>86</v>
      </c>
      <c r="BL207" s="1760">
        <f t="shared" si="99"/>
        <v>-27.517814701931883</v>
      </c>
      <c r="BM207" s="1761">
        <f t="shared" si="100"/>
        <v>27.517814701931883</v>
      </c>
      <c r="BN207" s="1761">
        <f t="shared" si="104"/>
        <v>15.482185298068117</v>
      </c>
      <c r="BO207" s="1761" t="b">
        <f t="shared" si="101"/>
        <v>0</v>
      </c>
      <c r="BP207" s="1763">
        <v>14</v>
      </c>
    </row>
    <row r="208" spans="59:108" ht="19.2" hidden="1" x14ac:dyDescent="0.45">
      <c r="BI208" s="1757">
        <v>15</v>
      </c>
      <c r="BJ208" s="1758">
        <f t="shared" si="102"/>
        <v>129</v>
      </c>
      <c r="BK208" s="1764">
        <f t="shared" si="103"/>
        <v>129</v>
      </c>
      <c r="BL208" s="1760">
        <f t="shared" si="99"/>
        <v>15.482185298068117</v>
      </c>
      <c r="BM208" s="1761">
        <f t="shared" si="100"/>
        <v>15.482185298068117</v>
      </c>
      <c r="BN208" s="1761">
        <f t="shared" si="104"/>
        <v>15.482185298068117</v>
      </c>
      <c r="BO208" s="1761">
        <f t="shared" si="101"/>
        <v>15</v>
      </c>
      <c r="BP208" s="1763">
        <v>15</v>
      </c>
    </row>
    <row r="209" spans="61:68" ht="19.2" hidden="1" x14ac:dyDescent="0.45">
      <c r="BI209" s="1757">
        <v>16</v>
      </c>
      <c r="BJ209" s="1758">
        <f t="shared" si="102"/>
        <v>172</v>
      </c>
      <c r="BK209" s="1764">
        <f t="shared" si="103"/>
        <v>172</v>
      </c>
      <c r="BL209" s="1760">
        <f t="shared" si="99"/>
        <v>58.482185298068117</v>
      </c>
      <c r="BM209" s="1761">
        <f t="shared" si="100"/>
        <v>58.482185298068117</v>
      </c>
      <c r="BN209" s="1761">
        <f t="shared" si="104"/>
        <v>15.482185298068117</v>
      </c>
      <c r="BO209" s="1761" t="b">
        <f t="shared" si="101"/>
        <v>0</v>
      </c>
      <c r="BP209" s="1763">
        <v>16</v>
      </c>
    </row>
    <row r="210" spans="61:68" ht="19.2" hidden="1" x14ac:dyDescent="0.45">
      <c r="BI210" s="1757">
        <v>17</v>
      </c>
      <c r="BJ210" s="1758">
        <f t="shared" si="102"/>
        <v>215</v>
      </c>
      <c r="BK210" s="1764">
        <f t="shared" si="103"/>
        <v>215</v>
      </c>
      <c r="BL210" s="1760">
        <f t="shared" si="99"/>
        <v>101.48218529806812</v>
      </c>
      <c r="BM210" s="1761">
        <f t="shared" si="100"/>
        <v>101.48218529806812</v>
      </c>
      <c r="BN210" s="1761">
        <f t="shared" si="104"/>
        <v>15.482185298068117</v>
      </c>
      <c r="BO210" s="1761" t="b">
        <f t="shared" si="101"/>
        <v>0</v>
      </c>
      <c r="BP210" s="1763">
        <v>17</v>
      </c>
    </row>
    <row r="211" spans="61:68" ht="19.2" hidden="1" x14ac:dyDescent="0.45">
      <c r="BI211" s="1757">
        <v>18</v>
      </c>
      <c r="BJ211" s="1758">
        <f t="shared" si="102"/>
        <v>258</v>
      </c>
      <c r="BK211" s="1764">
        <f t="shared" si="103"/>
        <v>258</v>
      </c>
      <c r="BL211" s="1760">
        <f t="shared" si="99"/>
        <v>144.48218529806812</v>
      </c>
      <c r="BM211" s="1761">
        <f t="shared" si="100"/>
        <v>144.48218529806812</v>
      </c>
      <c r="BN211" s="1761">
        <f t="shared" si="104"/>
        <v>15.482185298068117</v>
      </c>
      <c r="BO211" s="1761" t="b">
        <f t="shared" si="101"/>
        <v>0</v>
      </c>
      <c r="BP211" s="1763">
        <v>18</v>
      </c>
    </row>
    <row r="212" spans="61:68" ht="19.2" hidden="1" x14ac:dyDescent="0.45">
      <c r="BI212" s="1757">
        <v>19</v>
      </c>
      <c r="BJ212" s="1758">
        <f t="shared" si="102"/>
        <v>301</v>
      </c>
      <c r="BK212" s="1764">
        <f t="shared" si="103"/>
        <v>301</v>
      </c>
      <c r="BL212" s="1760">
        <f t="shared" si="99"/>
        <v>187.48218529806812</v>
      </c>
      <c r="BM212" s="1761">
        <f t="shared" si="100"/>
        <v>187.48218529806812</v>
      </c>
      <c r="BN212" s="1761">
        <f t="shared" si="104"/>
        <v>15.482185298068117</v>
      </c>
      <c r="BO212" s="1761" t="b">
        <f t="shared" si="101"/>
        <v>0</v>
      </c>
      <c r="BP212" s="1763">
        <v>19</v>
      </c>
    </row>
    <row r="213" spans="61:68" ht="19.2" hidden="1" x14ac:dyDescent="0.45">
      <c r="BI213" s="1757">
        <v>20</v>
      </c>
      <c r="BJ213" s="1758">
        <f t="shared" si="102"/>
        <v>344</v>
      </c>
      <c r="BK213" s="1764">
        <f t="shared" si="103"/>
        <v>344</v>
      </c>
      <c r="BL213" s="1760">
        <f t="shared" si="99"/>
        <v>230.48218529806812</v>
      </c>
      <c r="BM213" s="1761">
        <f t="shared" si="100"/>
        <v>230.48218529806812</v>
      </c>
      <c r="BN213" s="1761">
        <f t="shared" si="104"/>
        <v>15.482185298068117</v>
      </c>
      <c r="BO213" s="1761" t="b">
        <f t="shared" si="101"/>
        <v>0</v>
      </c>
      <c r="BP213" s="1763">
        <v>20</v>
      </c>
    </row>
    <row r="214" spans="61:68" ht="19.2" hidden="1" x14ac:dyDescent="0.45">
      <c r="BI214" s="1757">
        <v>21</v>
      </c>
      <c r="BJ214" s="1758">
        <f t="shared" si="102"/>
        <v>387</v>
      </c>
      <c r="BK214" s="1764">
        <f t="shared" si="103"/>
        <v>387</v>
      </c>
      <c r="BL214" s="1760">
        <f t="shared" si="99"/>
        <v>273.48218529806809</v>
      </c>
      <c r="BM214" s="1761">
        <f t="shared" si="100"/>
        <v>273.48218529806809</v>
      </c>
      <c r="BN214" s="1761">
        <f t="shared" si="104"/>
        <v>15.482185298068117</v>
      </c>
      <c r="BO214" s="1761" t="b">
        <f t="shared" si="101"/>
        <v>0</v>
      </c>
      <c r="BP214" s="1763">
        <v>21</v>
      </c>
    </row>
    <row r="215" spans="61:68" ht="19.2" hidden="1" x14ac:dyDescent="0.45">
      <c r="BI215" s="1757">
        <v>22</v>
      </c>
      <c r="BJ215" s="1758">
        <f t="shared" si="102"/>
        <v>430</v>
      </c>
      <c r="BK215" s="1764">
        <f t="shared" si="103"/>
        <v>430</v>
      </c>
      <c r="BL215" s="1760">
        <f t="shared" si="99"/>
        <v>316.48218529806809</v>
      </c>
      <c r="BM215" s="1761">
        <f t="shared" si="100"/>
        <v>316.48218529806809</v>
      </c>
      <c r="BN215" s="1761">
        <f t="shared" si="104"/>
        <v>15.482185298068117</v>
      </c>
      <c r="BO215" s="1761" t="b">
        <f t="shared" si="101"/>
        <v>0</v>
      </c>
      <c r="BP215" s="1763">
        <v>22</v>
      </c>
    </row>
    <row r="216" spans="61:68" ht="19.2" hidden="1" x14ac:dyDescent="0.45">
      <c r="BI216" s="1757">
        <v>23</v>
      </c>
      <c r="BJ216" s="1758">
        <f t="shared" si="102"/>
        <v>473</v>
      </c>
      <c r="BK216" s="1764">
        <f t="shared" si="103"/>
        <v>473</v>
      </c>
      <c r="BL216" s="1760">
        <f t="shared" si="99"/>
        <v>359.48218529806809</v>
      </c>
      <c r="BM216" s="1761">
        <f t="shared" si="100"/>
        <v>359.48218529806809</v>
      </c>
      <c r="BN216" s="1761">
        <f t="shared" si="104"/>
        <v>15.482185298068117</v>
      </c>
      <c r="BO216" s="1761" t="b">
        <f t="shared" si="101"/>
        <v>0</v>
      </c>
      <c r="BP216" s="1763">
        <v>23</v>
      </c>
    </row>
    <row r="217" spans="61:68" ht="19.2" hidden="1" x14ac:dyDescent="0.45">
      <c r="BI217" s="1757">
        <v>24</v>
      </c>
      <c r="BJ217" s="1758">
        <f t="shared" si="102"/>
        <v>516</v>
      </c>
      <c r="BK217" s="1764">
        <f t="shared" si="103"/>
        <v>516</v>
      </c>
      <c r="BL217" s="1760">
        <f t="shared" si="99"/>
        <v>402.48218529806809</v>
      </c>
      <c r="BM217" s="1761">
        <f t="shared" si="100"/>
        <v>402.48218529806809</v>
      </c>
      <c r="BN217" s="1761">
        <f t="shared" si="104"/>
        <v>15.482185298068117</v>
      </c>
      <c r="BO217" s="1761" t="b">
        <f t="shared" si="101"/>
        <v>0</v>
      </c>
      <c r="BP217" s="1763">
        <v>24</v>
      </c>
    </row>
    <row r="218" spans="61:68" ht="19.2" hidden="1" x14ac:dyDescent="0.45">
      <c r="BI218" s="1757">
        <v>25</v>
      </c>
      <c r="BJ218" s="1758">
        <f t="shared" si="102"/>
        <v>559</v>
      </c>
      <c r="BK218" s="1764">
        <f t="shared" si="103"/>
        <v>559</v>
      </c>
      <c r="BL218" s="1760">
        <f t="shared" si="99"/>
        <v>445.48218529806809</v>
      </c>
      <c r="BM218" s="1761">
        <f t="shared" si="100"/>
        <v>445.48218529806809</v>
      </c>
      <c r="BN218" s="1761">
        <f t="shared" si="104"/>
        <v>15.482185298068117</v>
      </c>
      <c r="BO218" s="1761" t="b">
        <f t="shared" si="101"/>
        <v>0</v>
      </c>
      <c r="BP218" s="1763">
        <v>25</v>
      </c>
    </row>
    <row r="219" spans="61:68" ht="19.2" hidden="1" x14ac:dyDescent="0.45">
      <c r="BI219" s="1757">
        <v>26</v>
      </c>
      <c r="BJ219" s="1758">
        <f t="shared" si="102"/>
        <v>602</v>
      </c>
      <c r="BK219" s="1764">
        <f t="shared" si="103"/>
        <v>602</v>
      </c>
      <c r="BL219" s="1760">
        <f t="shared" si="99"/>
        <v>488.48218529806809</v>
      </c>
      <c r="BM219" s="1761">
        <f t="shared" si="100"/>
        <v>488.48218529806809</v>
      </c>
      <c r="BN219" s="1761">
        <f t="shared" si="104"/>
        <v>15.482185298068117</v>
      </c>
      <c r="BO219" s="1761" t="b">
        <f t="shared" si="101"/>
        <v>0</v>
      </c>
      <c r="BP219" s="1763">
        <v>26</v>
      </c>
    </row>
    <row r="220" spans="61:68" ht="19.2" hidden="1" x14ac:dyDescent="0.45">
      <c r="BI220" s="1757">
        <v>27</v>
      </c>
      <c r="BJ220" s="1758">
        <f t="shared" si="102"/>
        <v>645</v>
      </c>
      <c r="BK220" s="1764">
        <f t="shared" si="103"/>
        <v>645</v>
      </c>
      <c r="BL220" s="1760">
        <f t="shared" si="99"/>
        <v>531.48218529806809</v>
      </c>
      <c r="BM220" s="1761">
        <f t="shared" si="100"/>
        <v>531.48218529806809</v>
      </c>
      <c r="BN220" s="1761">
        <f t="shared" si="104"/>
        <v>15.482185298068117</v>
      </c>
      <c r="BO220" s="1761" t="b">
        <f t="shared" si="101"/>
        <v>0</v>
      </c>
      <c r="BP220" s="1763">
        <v>27</v>
      </c>
    </row>
    <row r="221" spans="61:68" ht="19.2" hidden="1" x14ac:dyDescent="0.45">
      <c r="BI221" s="1757">
        <v>28</v>
      </c>
      <c r="BJ221" s="1758">
        <f t="shared" si="102"/>
        <v>688</v>
      </c>
      <c r="BK221" s="1764">
        <f t="shared" si="103"/>
        <v>688</v>
      </c>
      <c r="BL221" s="1760">
        <f t="shared" si="99"/>
        <v>574.48218529806809</v>
      </c>
      <c r="BM221" s="1761">
        <f t="shared" si="100"/>
        <v>574.48218529806809</v>
      </c>
      <c r="BN221" s="1761">
        <f t="shared" si="104"/>
        <v>15.482185298068117</v>
      </c>
      <c r="BO221" s="1761" t="b">
        <f t="shared" si="101"/>
        <v>0</v>
      </c>
      <c r="BP221" s="1763">
        <v>28</v>
      </c>
    </row>
    <row r="222" spans="61:68" ht="19.2" hidden="1" x14ac:dyDescent="0.45">
      <c r="BI222" s="1757">
        <v>29</v>
      </c>
      <c r="BJ222" s="1758">
        <f t="shared" si="102"/>
        <v>731</v>
      </c>
      <c r="BK222" s="1764">
        <f t="shared" si="103"/>
        <v>731</v>
      </c>
      <c r="BL222" s="1760">
        <f t="shared" si="99"/>
        <v>617.48218529806809</v>
      </c>
      <c r="BM222" s="1761">
        <f t="shared" si="100"/>
        <v>617.48218529806809</v>
      </c>
      <c r="BN222" s="1761">
        <f t="shared" si="104"/>
        <v>15.482185298068117</v>
      </c>
      <c r="BO222" s="1761" t="b">
        <f t="shared" si="101"/>
        <v>0</v>
      </c>
      <c r="BP222" s="1763">
        <v>29</v>
      </c>
    </row>
    <row r="223" spans="61:68" ht="19.2" hidden="1" x14ac:dyDescent="0.45">
      <c r="BI223" s="1757">
        <v>30</v>
      </c>
      <c r="BJ223" s="1758">
        <f t="shared" si="102"/>
        <v>774</v>
      </c>
      <c r="BK223" s="1764">
        <f t="shared" si="103"/>
        <v>774</v>
      </c>
      <c r="BL223" s="1760">
        <f t="shared" si="99"/>
        <v>660.48218529806809</v>
      </c>
      <c r="BM223" s="1761">
        <f t="shared" si="100"/>
        <v>660.48218529806809</v>
      </c>
      <c r="BN223" s="1761">
        <f t="shared" si="104"/>
        <v>15.482185298068117</v>
      </c>
      <c r="BO223" s="1761" t="b">
        <f t="shared" si="101"/>
        <v>0</v>
      </c>
      <c r="BP223" s="1763">
        <v>30</v>
      </c>
    </row>
    <row r="224" spans="61:68" ht="19.2" hidden="1" x14ac:dyDescent="0.45">
      <c r="BI224" s="1757">
        <v>31</v>
      </c>
      <c r="BJ224" s="1758">
        <f t="shared" si="102"/>
        <v>817</v>
      </c>
      <c r="BK224" s="1764">
        <f t="shared" si="103"/>
        <v>817</v>
      </c>
      <c r="BL224" s="1760">
        <f t="shared" si="99"/>
        <v>703.48218529806809</v>
      </c>
      <c r="BM224" s="1761">
        <f t="shared" si="100"/>
        <v>703.48218529806809</v>
      </c>
      <c r="BN224" s="1761">
        <f t="shared" si="104"/>
        <v>15.482185298068117</v>
      </c>
      <c r="BO224" s="1761" t="b">
        <f t="shared" si="101"/>
        <v>0</v>
      </c>
      <c r="BP224" s="1763">
        <v>31</v>
      </c>
    </row>
    <row r="225" spans="61:133" ht="19.2" hidden="1" x14ac:dyDescent="0.45">
      <c r="BI225" s="1757">
        <v>32</v>
      </c>
      <c r="BJ225" s="1758">
        <f t="shared" si="102"/>
        <v>860</v>
      </c>
      <c r="BK225" s="1764">
        <f t="shared" si="103"/>
        <v>860</v>
      </c>
      <c r="BL225" s="1760">
        <f t="shared" si="99"/>
        <v>746.48218529806809</v>
      </c>
      <c r="BM225" s="1761">
        <f t="shared" si="100"/>
        <v>746.48218529806809</v>
      </c>
      <c r="BN225" s="1761">
        <f t="shared" si="104"/>
        <v>15.482185298068117</v>
      </c>
      <c r="BO225" s="1761" t="b">
        <f t="shared" si="101"/>
        <v>0</v>
      </c>
      <c r="BP225" s="1763">
        <v>32</v>
      </c>
    </row>
    <row r="226" spans="61:133" ht="19.2" hidden="1" x14ac:dyDescent="0.45">
      <c r="BI226" s="1757">
        <v>33</v>
      </c>
      <c r="BJ226" s="1758">
        <f t="shared" si="102"/>
        <v>903</v>
      </c>
      <c r="BK226" s="1764">
        <f t="shared" si="103"/>
        <v>903</v>
      </c>
      <c r="BL226" s="1760">
        <f t="shared" si="99"/>
        <v>789.48218529806809</v>
      </c>
      <c r="BM226" s="1761">
        <f t="shared" si="100"/>
        <v>789.48218529806809</v>
      </c>
      <c r="BN226" s="1761">
        <f t="shared" si="104"/>
        <v>15.482185298068117</v>
      </c>
      <c r="BO226" s="1761" t="b">
        <f t="shared" si="101"/>
        <v>0</v>
      </c>
      <c r="BP226" s="1763">
        <v>33</v>
      </c>
    </row>
    <row r="227" spans="61:133" ht="19.2" hidden="1" x14ac:dyDescent="0.45">
      <c r="BI227" s="1757">
        <v>34</v>
      </c>
      <c r="BJ227" s="1758">
        <f t="shared" si="102"/>
        <v>946</v>
      </c>
      <c r="BK227" s="1764">
        <f t="shared" si="103"/>
        <v>946</v>
      </c>
      <c r="BL227" s="1760">
        <f t="shared" si="99"/>
        <v>832.48218529806809</v>
      </c>
      <c r="BM227" s="1761">
        <f t="shared" si="100"/>
        <v>832.48218529806809</v>
      </c>
      <c r="BN227" s="1761">
        <f t="shared" si="104"/>
        <v>15.482185298068117</v>
      </c>
      <c r="BO227" s="1761" t="b">
        <f t="shared" si="101"/>
        <v>0</v>
      </c>
      <c r="BP227" s="1763">
        <v>34</v>
      </c>
    </row>
    <row r="228" spans="61:133" ht="19.2" hidden="1" x14ac:dyDescent="0.45">
      <c r="BI228" s="1757">
        <v>35</v>
      </c>
      <c r="BJ228" s="1758">
        <f t="shared" si="102"/>
        <v>989</v>
      </c>
      <c r="BK228" s="1764">
        <f t="shared" si="103"/>
        <v>989</v>
      </c>
      <c r="BL228" s="1760">
        <f t="shared" si="99"/>
        <v>875.48218529806809</v>
      </c>
      <c r="BM228" s="1761">
        <f t="shared" si="100"/>
        <v>875.48218529806809</v>
      </c>
      <c r="BN228" s="1761">
        <f t="shared" si="104"/>
        <v>15.482185298068117</v>
      </c>
      <c r="BO228" s="1761" t="b">
        <f t="shared" si="101"/>
        <v>0</v>
      </c>
      <c r="BP228" s="1763">
        <v>35</v>
      </c>
    </row>
    <row r="229" spans="61:133" ht="19.2" hidden="1" x14ac:dyDescent="0.45">
      <c r="BI229" s="1757">
        <v>36</v>
      </c>
      <c r="BJ229" s="1758">
        <f t="shared" si="102"/>
        <v>1032</v>
      </c>
      <c r="BK229" s="1764">
        <f t="shared" si="103"/>
        <v>1032</v>
      </c>
      <c r="BL229" s="1760">
        <f t="shared" si="99"/>
        <v>918.48218529806809</v>
      </c>
      <c r="BM229" s="1761">
        <f t="shared" si="100"/>
        <v>918.48218529806809</v>
      </c>
      <c r="BN229" s="1761">
        <f t="shared" si="104"/>
        <v>15.482185298068117</v>
      </c>
      <c r="BO229" s="1761" t="b">
        <f t="shared" si="101"/>
        <v>0</v>
      </c>
      <c r="BP229" s="1763">
        <v>36</v>
      </c>
    </row>
    <row r="230" spans="61:133" ht="19.2" hidden="1" x14ac:dyDescent="0.45">
      <c r="BI230" s="1768">
        <v>37</v>
      </c>
      <c r="BJ230" s="1769">
        <f t="shared" si="102"/>
        <v>1075</v>
      </c>
      <c r="BK230" s="1764">
        <f t="shared" si="103"/>
        <v>1075</v>
      </c>
      <c r="BL230" s="1760">
        <f t="shared" si="99"/>
        <v>961.48218529806809</v>
      </c>
      <c r="BM230" s="1761">
        <f t="shared" si="100"/>
        <v>961.48218529806809</v>
      </c>
      <c r="BN230" s="1761">
        <f t="shared" si="104"/>
        <v>15.482185298068117</v>
      </c>
      <c r="BO230" s="1761" t="b">
        <f t="shared" si="101"/>
        <v>0</v>
      </c>
      <c r="BP230" s="1770">
        <v>37</v>
      </c>
      <c r="DD230" s="64"/>
      <c r="DE230" s="64"/>
      <c r="DF230" s="64"/>
      <c r="DG230" s="64"/>
      <c r="DH230" s="64"/>
      <c r="DI230" s="64"/>
      <c r="DJ230" s="1998"/>
      <c r="DK230" s="1998"/>
      <c r="DL230" s="1998"/>
      <c r="DM230" s="10"/>
      <c r="DN230" s="7"/>
      <c r="DO230" s="7"/>
      <c r="DP230" s="7"/>
      <c r="DQ230" s="7"/>
      <c r="DR230" s="7"/>
      <c r="DS230" s="7"/>
      <c r="DT230" s="7"/>
      <c r="DU230" s="7"/>
      <c r="DV230" s="7"/>
      <c r="DW230" s="7"/>
      <c r="DX230" s="7"/>
      <c r="DY230" s="7"/>
      <c r="DZ230" s="7"/>
      <c r="EA230" s="7"/>
      <c r="EB230" s="7"/>
      <c r="EC230" s="7"/>
    </row>
    <row r="231" spans="61:133" hidden="1" x14ac:dyDescent="0.3">
      <c r="DD231" s="7"/>
      <c r="DE231" s="7"/>
      <c r="DF231" s="7"/>
      <c r="DG231" s="7"/>
      <c r="DH231" s="7"/>
      <c r="DI231" s="7"/>
      <c r="DJ231" s="57"/>
      <c r="DK231" s="7"/>
      <c r="DL231" s="7"/>
      <c r="DM231" s="7"/>
      <c r="DN231" s="7"/>
      <c r="DO231" s="7"/>
      <c r="DP231" s="7"/>
      <c r="DQ231" s="7"/>
      <c r="DR231" s="7"/>
      <c r="DS231" s="7"/>
      <c r="DT231" s="7"/>
      <c r="DU231" s="7"/>
      <c r="DV231" s="7"/>
      <c r="DW231" s="57"/>
      <c r="DX231" s="7"/>
      <c r="DY231" s="7"/>
      <c r="DZ231" s="7"/>
      <c r="EA231" s="7"/>
      <c r="EB231" s="7"/>
      <c r="EC231" s="7"/>
    </row>
    <row r="232" spans="61:133" hidden="1" x14ac:dyDescent="0.3">
      <c r="DD232" s="65"/>
      <c r="DE232" s="65"/>
      <c r="DF232" s="65"/>
      <c r="DG232" s="65"/>
      <c r="DH232" s="65"/>
      <c r="DI232" s="65"/>
      <c r="DJ232" s="1999"/>
      <c r="DK232" s="1999"/>
      <c r="DL232" s="7"/>
      <c r="DM232" s="7"/>
      <c r="DN232" s="7"/>
      <c r="DO232" s="7"/>
      <c r="DP232" s="7"/>
      <c r="DQ232" s="7"/>
      <c r="DR232" s="7"/>
      <c r="DS232" s="7"/>
      <c r="DT232" s="7"/>
      <c r="DU232" s="7"/>
      <c r="DV232" s="1993"/>
      <c r="DW232" s="1993"/>
      <c r="DX232" s="7"/>
      <c r="DY232" s="7"/>
      <c r="DZ232" s="7"/>
      <c r="EA232" s="7"/>
      <c r="EB232" s="7"/>
      <c r="EC232" s="7"/>
    </row>
    <row r="233" spans="61:133" hidden="1" x14ac:dyDescent="0.3">
      <c r="DD233" s="7"/>
      <c r="DE233" s="7"/>
      <c r="DF233" s="7"/>
      <c r="DG233" s="7"/>
      <c r="DH233" s="7"/>
      <c r="DI233" s="7"/>
      <c r="DJ233" s="7"/>
      <c r="DK233" s="7"/>
      <c r="DL233" s="7"/>
      <c r="DM233" s="7"/>
      <c r="DN233" s="7"/>
      <c r="DO233" s="7"/>
      <c r="DP233" s="7"/>
      <c r="DQ233" s="7"/>
      <c r="DR233" s="7"/>
      <c r="DS233" s="7"/>
      <c r="DT233" s="7"/>
      <c r="DU233" s="7"/>
      <c r="DV233" s="7"/>
      <c r="DW233" s="7"/>
      <c r="DX233" s="7"/>
      <c r="DY233" s="7"/>
      <c r="DZ233" s="7"/>
      <c r="EA233" s="7"/>
      <c r="EB233" s="7"/>
      <c r="EC233" s="7"/>
    </row>
    <row r="234" spans="61:133" x14ac:dyDescent="0.3">
      <c r="DD234" s="7"/>
      <c r="DE234" s="7"/>
      <c r="DF234" s="7"/>
      <c r="DG234" s="7"/>
      <c r="DH234" s="7"/>
      <c r="DI234" s="7"/>
      <c r="DJ234" s="7"/>
      <c r="DK234" s="7"/>
      <c r="DL234" s="7"/>
      <c r="DM234" s="7"/>
      <c r="DN234" s="7"/>
      <c r="DO234" s="7"/>
      <c r="DP234" s="7"/>
      <c r="DQ234" s="7"/>
      <c r="DR234" s="7"/>
      <c r="DS234" s="7"/>
      <c r="DT234" s="7"/>
      <c r="DU234" s="7"/>
      <c r="DV234" s="7"/>
      <c r="DW234" s="7"/>
      <c r="DX234" s="7"/>
      <c r="DY234" s="7"/>
      <c r="DZ234" s="7"/>
      <c r="EA234" s="7"/>
      <c r="EB234" s="7"/>
      <c r="EC234" s="7"/>
    </row>
    <row r="235" spans="61:133" x14ac:dyDescent="0.3">
      <c r="DD235" s="7"/>
      <c r="DE235" s="7"/>
      <c r="DF235" s="7"/>
      <c r="DG235" s="7"/>
      <c r="DH235" s="7"/>
      <c r="DI235" s="7"/>
      <c r="DJ235" s="7"/>
      <c r="DK235" s="7"/>
      <c r="DL235" s="7"/>
      <c r="DM235" s="7"/>
      <c r="DN235" s="7"/>
      <c r="DO235" s="7"/>
      <c r="DP235" s="7"/>
      <c r="DQ235" s="7"/>
      <c r="DR235" s="7"/>
      <c r="DS235" s="7"/>
      <c r="DT235" s="7"/>
      <c r="DU235" s="7"/>
      <c r="DV235" s="7"/>
      <c r="DW235" s="7"/>
      <c r="DX235" s="7"/>
      <c r="DY235" s="7"/>
      <c r="DZ235" s="7"/>
      <c r="EA235" s="7"/>
      <c r="EB235" s="7"/>
      <c r="EC235" s="7"/>
    </row>
    <row r="236" spans="61:133" x14ac:dyDescent="0.3">
      <c r="DD236" s="7"/>
      <c r="DE236" s="7"/>
      <c r="DF236" s="7"/>
      <c r="DG236" s="7"/>
      <c r="DH236" s="7"/>
      <c r="DI236" s="7"/>
      <c r="DJ236" s="7"/>
      <c r="DK236" s="7"/>
      <c r="DL236" s="7"/>
      <c r="DM236" s="7"/>
      <c r="DN236" s="7"/>
      <c r="DO236" s="7"/>
      <c r="DP236" s="7"/>
      <c r="DQ236" s="7"/>
      <c r="DR236" s="7"/>
      <c r="DS236" s="7"/>
      <c r="DT236" s="7"/>
      <c r="DU236" s="7"/>
      <c r="DV236" s="7"/>
      <c r="DW236" s="7"/>
      <c r="DX236" s="7"/>
      <c r="DY236" s="7"/>
      <c r="DZ236" s="7"/>
      <c r="EA236" s="7"/>
      <c r="EB236" s="7"/>
      <c r="EC236" s="7"/>
    </row>
    <row r="237" spans="61:133" x14ac:dyDescent="0.3">
      <c r="DD237" s="7"/>
      <c r="DE237" s="7"/>
      <c r="DF237" s="7"/>
      <c r="DG237" s="7"/>
      <c r="DH237" s="7"/>
      <c r="DI237" s="7"/>
      <c r="DJ237" s="7"/>
      <c r="DK237" s="7"/>
      <c r="DL237" s="7"/>
      <c r="DM237" s="7"/>
      <c r="DN237" s="7"/>
      <c r="DO237" s="7"/>
      <c r="DP237" s="7"/>
      <c r="DQ237" s="7"/>
      <c r="DR237" s="7"/>
      <c r="DS237" s="7"/>
      <c r="DT237" s="7"/>
      <c r="DU237" s="7"/>
      <c r="DV237" s="7"/>
      <c r="DW237" s="7"/>
      <c r="DX237" s="7"/>
      <c r="DY237" s="7"/>
      <c r="DZ237" s="7"/>
      <c r="EA237" s="7"/>
      <c r="EB237" s="7"/>
      <c r="EC237" s="7"/>
    </row>
    <row r="238" spans="61:133" x14ac:dyDescent="0.3">
      <c r="DD238" s="7"/>
      <c r="DE238" s="7"/>
      <c r="DF238" s="7"/>
      <c r="DG238" s="7"/>
      <c r="DH238" s="7"/>
      <c r="DI238" s="7"/>
      <c r="DJ238" s="7"/>
      <c r="DK238" s="7"/>
      <c r="DL238" s="7"/>
      <c r="DM238" s="7"/>
      <c r="DN238" s="7"/>
      <c r="DO238" s="7"/>
      <c r="DP238" s="7"/>
      <c r="DQ238" s="7"/>
      <c r="DR238" s="7"/>
      <c r="DS238" s="7"/>
      <c r="DT238" s="7"/>
      <c r="DU238" s="7"/>
      <c r="DV238" s="7"/>
      <c r="DW238" s="7"/>
      <c r="DX238" s="7"/>
      <c r="DY238" s="7"/>
      <c r="DZ238" s="7"/>
      <c r="EA238" s="7"/>
      <c r="EB238" s="7"/>
      <c r="EC238" s="7"/>
    </row>
    <row r="239" spans="61:133" x14ac:dyDescent="0.3">
      <c r="DD239" s="7"/>
      <c r="DE239" s="7"/>
      <c r="DF239" s="7"/>
      <c r="DG239" s="7"/>
      <c r="DH239" s="7"/>
      <c r="DI239" s="7"/>
      <c r="DJ239" s="7"/>
      <c r="DK239" s="7"/>
      <c r="DL239" s="7"/>
      <c r="DM239" s="7"/>
      <c r="DN239" s="7"/>
      <c r="DO239" s="7"/>
      <c r="DP239" s="7"/>
      <c r="DQ239" s="7"/>
      <c r="DR239" s="7"/>
      <c r="DS239" s="7"/>
      <c r="DT239" s="7"/>
      <c r="DU239" s="7"/>
      <c r="DV239" s="7"/>
      <c r="DW239" s="7"/>
      <c r="DX239" s="7"/>
      <c r="DY239" s="7"/>
      <c r="DZ239" s="7"/>
      <c r="EA239" s="7"/>
      <c r="EB239" s="7"/>
      <c r="EC239" s="7"/>
    </row>
    <row r="240" spans="61:133" x14ac:dyDescent="0.3">
      <c r="DD240" s="7"/>
      <c r="DE240" s="7"/>
      <c r="DF240" s="7"/>
      <c r="DG240" s="7"/>
      <c r="DH240" s="7"/>
      <c r="DI240" s="7"/>
      <c r="DJ240" s="7"/>
      <c r="DK240" s="7"/>
      <c r="DL240" s="7"/>
      <c r="DM240" s="7"/>
      <c r="DN240" s="7"/>
      <c r="DO240" s="7"/>
      <c r="DP240" s="7"/>
      <c r="DQ240" s="7"/>
      <c r="DR240" s="7"/>
      <c r="DS240" s="7"/>
      <c r="DT240" s="7"/>
      <c r="DU240" s="7"/>
      <c r="DV240" s="7"/>
      <c r="DW240" s="7"/>
      <c r="DX240" s="7"/>
      <c r="DY240" s="7"/>
      <c r="DZ240" s="7"/>
      <c r="EA240" s="7"/>
      <c r="EB240" s="7"/>
      <c r="EC240" s="7"/>
    </row>
    <row r="241" spans="108:133" x14ac:dyDescent="0.3">
      <c r="DD241" s="7"/>
      <c r="DE241" s="7"/>
      <c r="DF241" s="7"/>
      <c r="DG241" s="7"/>
      <c r="DH241" s="7"/>
      <c r="DI241" s="7"/>
      <c r="DJ241" s="7"/>
      <c r="DK241" s="7"/>
      <c r="DL241" s="7"/>
      <c r="DM241" s="7"/>
      <c r="DN241" s="7"/>
      <c r="DO241" s="7"/>
      <c r="DP241" s="7"/>
      <c r="DQ241" s="7"/>
      <c r="DR241" s="7"/>
      <c r="DS241" s="7"/>
      <c r="DT241" s="7"/>
      <c r="DU241" s="7"/>
      <c r="DV241" s="7"/>
      <c r="DW241" s="7"/>
      <c r="DX241" s="7"/>
      <c r="DY241" s="7"/>
      <c r="DZ241" s="7"/>
      <c r="EA241" s="7"/>
      <c r="EB241" s="7"/>
      <c r="EC241" s="7"/>
    </row>
    <row r="242" spans="108:133" x14ac:dyDescent="0.3">
      <c r="DD242" s="7"/>
      <c r="DE242" s="7"/>
      <c r="DF242" s="7"/>
      <c r="DG242" s="7"/>
      <c r="DH242" s="7"/>
      <c r="DI242" s="7"/>
      <c r="DJ242" s="7"/>
      <c r="DK242" s="7"/>
      <c r="DL242" s="7"/>
      <c r="DM242" s="7"/>
      <c r="DN242" s="7"/>
      <c r="DO242" s="7"/>
      <c r="DP242" s="7"/>
      <c r="DQ242" s="7"/>
      <c r="DR242" s="7"/>
      <c r="DS242" s="7"/>
      <c r="DT242" s="7"/>
      <c r="DU242" s="7"/>
      <c r="DV242" s="7"/>
      <c r="DW242" s="7"/>
      <c r="DX242" s="7"/>
      <c r="DY242" s="7"/>
      <c r="DZ242" s="7"/>
      <c r="EA242" s="7"/>
      <c r="EB242" s="7"/>
      <c r="EC242" s="7"/>
    </row>
    <row r="243" spans="108:133" x14ac:dyDescent="0.3">
      <c r="DD243" s="7"/>
      <c r="DE243" s="7"/>
      <c r="DF243" s="7"/>
      <c r="DG243" s="7"/>
      <c r="DH243" s="7"/>
      <c r="DI243" s="7"/>
      <c r="DJ243" s="7"/>
      <c r="DK243" s="7"/>
      <c r="DL243" s="7"/>
      <c r="DM243" s="7"/>
      <c r="DN243" s="7"/>
      <c r="DO243" s="7"/>
      <c r="DP243" s="7"/>
      <c r="DQ243" s="7"/>
      <c r="DR243" s="7"/>
      <c r="DS243" s="7"/>
      <c r="DT243" s="7"/>
      <c r="DU243" s="7"/>
      <c r="DV243" s="7"/>
      <c r="DW243" s="7"/>
      <c r="DX243" s="7"/>
      <c r="DY243" s="7"/>
      <c r="DZ243" s="7"/>
      <c r="EA243" s="7"/>
      <c r="EB243" s="7"/>
      <c r="EC243" s="7"/>
    </row>
    <row r="244" spans="108:133" x14ac:dyDescent="0.3">
      <c r="DD244" s="7"/>
      <c r="DE244" s="7"/>
      <c r="DF244" s="7"/>
      <c r="DG244" s="7"/>
      <c r="DH244" s="7"/>
      <c r="DI244" s="7"/>
      <c r="DJ244" s="7"/>
      <c r="DK244" s="7"/>
      <c r="DL244" s="7"/>
      <c r="DM244" s="7"/>
      <c r="DN244" s="7"/>
      <c r="DO244" s="7"/>
      <c r="DP244" s="7"/>
      <c r="DQ244" s="7"/>
      <c r="DR244" s="7"/>
      <c r="DS244" s="7"/>
      <c r="DT244" s="7"/>
      <c r="DU244" s="7"/>
      <c r="DV244" s="7"/>
      <c r="DW244" s="7"/>
      <c r="DX244" s="7"/>
      <c r="DY244" s="7"/>
      <c r="DZ244" s="7"/>
      <c r="EA244" s="7"/>
      <c r="EB244" s="7"/>
      <c r="EC244" s="7"/>
    </row>
    <row r="245" spans="108:133" x14ac:dyDescent="0.3">
      <c r="DD245" s="7"/>
      <c r="DE245" s="7"/>
      <c r="DF245" s="7"/>
      <c r="DG245" s="7"/>
      <c r="DH245" s="7"/>
      <c r="DI245" s="15"/>
      <c r="DJ245" s="15"/>
      <c r="DK245" s="15"/>
      <c r="DL245" s="15"/>
      <c r="DM245" s="15"/>
      <c r="DN245" s="15"/>
      <c r="DO245" s="15"/>
      <c r="DP245" s="15"/>
      <c r="DQ245" s="15"/>
      <c r="DR245" s="15"/>
      <c r="DS245" s="7"/>
      <c r="DT245" s="7"/>
      <c r="DU245" s="7"/>
      <c r="DV245" s="7"/>
      <c r="DW245" s="7"/>
      <c r="DX245" s="7"/>
      <c r="DY245" s="7"/>
      <c r="DZ245" s="7"/>
      <c r="EA245" s="7"/>
      <c r="EB245" s="7"/>
      <c r="EC245" s="7"/>
    </row>
    <row r="246" spans="108:133" x14ac:dyDescent="0.3">
      <c r="DD246" s="7"/>
      <c r="DE246" s="7"/>
      <c r="DF246" s="7"/>
      <c r="DG246" s="7"/>
      <c r="DH246" s="7"/>
      <c r="DI246" s="15"/>
      <c r="DJ246" s="15"/>
      <c r="DK246" s="15"/>
      <c r="DL246" s="15"/>
      <c r="DM246" s="15"/>
      <c r="DN246" s="15"/>
      <c r="DO246" s="15"/>
      <c r="DP246" s="15"/>
      <c r="DQ246" s="15"/>
      <c r="DR246" s="15"/>
      <c r="DS246" s="7"/>
      <c r="DT246" s="7"/>
      <c r="DU246" s="7"/>
      <c r="DV246" s="7"/>
      <c r="DW246" s="7"/>
      <c r="DX246" s="7"/>
      <c r="DY246" s="7"/>
      <c r="DZ246" s="7"/>
      <c r="EA246" s="7"/>
      <c r="EB246" s="7"/>
      <c r="EC246" s="7"/>
    </row>
    <row r="247" spans="108:133" x14ac:dyDescent="0.3">
      <c r="DD247" s="7"/>
      <c r="DE247" s="7"/>
      <c r="DF247" s="7"/>
      <c r="DG247" s="7"/>
      <c r="DH247" s="7"/>
      <c r="DI247" s="15"/>
      <c r="DJ247" s="15"/>
      <c r="DK247" s="15"/>
      <c r="DL247" s="15"/>
      <c r="DM247" s="15"/>
      <c r="DN247" s="15"/>
      <c r="DO247" s="15"/>
      <c r="DP247" s="15"/>
      <c r="DQ247" s="15"/>
      <c r="DR247" s="15"/>
      <c r="DS247" s="7"/>
      <c r="DT247" s="7"/>
      <c r="DU247" s="7"/>
      <c r="DV247" s="7"/>
      <c r="DW247" s="7"/>
      <c r="DX247" s="7"/>
      <c r="DY247" s="7"/>
      <c r="DZ247" s="7"/>
      <c r="EA247" s="7"/>
      <c r="EB247" s="7"/>
      <c r="EC247" s="7"/>
    </row>
    <row r="248" spans="108:133" x14ac:dyDescent="0.3">
      <c r="DD248" s="7"/>
      <c r="DE248" s="7"/>
      <c r="DF248" s="7"/>
      <c r="DG248" s="7"/>
      <c r="DH248" s="7"/>
      <c r="DI248" s="15"/>
      <c r="DJ248" s="15"/>
      <c r="DK248" s="15"/>
      <c r="DL248" s="15"/>
      <c r="DM248" s="15"/>
      <c r="DN248" s="15"/>
      <c r="DO248" s="15"/>
      <c r="DP248" s="15"/>
      <c r="DQ248" s="15"/>
      <c r="DR248" s="15"/>
      <c r="DS248" s="7"/>
      <c r="DT248" s="7"/>
      <c r="DU248" s="7"/>
      <c r="DV248" s="7"/>
      <c r="DW248" s="7"/>
      <c r="DX248" s="7"/>
      <c r="DY248" s="7"/>
      <c r="DZ248" s="7"/>
      <c r="EA248" s="7"/>
      <c r="EB248" s="7"/>
      <c r="EC248" s="7"/>
    </row>
    <row r="249" spans="108:133" x14ac:dyDescent="0.3">
      <c r="DD249" s="10"/>
      <c r="DE249" s="7"/>
      <c r="DF249" s="10"/>
      <c r="DG249" s="7"/>
      <c r="DH249" s="10"/>
      <c r="DI249" s="15"/>
      <c r="DJ249" s="15"/>
      <c r="DK249" s="15"/>
      <c r="DL249" s="15"/>
      <c r="DM249" s="15"/>
      <c r="DN249" s="15"/>
      <c r="DO249" s="15"/>
      <c r="DP249" s="15"/>
      <c r="DQ249" s="15"/>
      <c r="DR249" s="15"/>
      <c r="DS249" s="7"/>
      <c r="DT249" s="7"/>
      <c r="DU249" s="7"/>
      <c r="DV249" s="7"/>
      <c r="DW249" s="7"/>
      <c r="DX249" s="7"/>
      <c r="DY249" s="7"/>
      <c r="DZ249" s="7"/>
      <c r="EA249" s="7"/>
      <c r="EB249" s="7"/>
      <c r="EC249" s="7"/>
    </row>
    <row r="250" spans="108:133" x14ac:dyDescent="0.3">
      <c r="DD250" s="10"/>
      <c r="DE250" s="7"/>
      <c r="DF250" s="7"/>
      <c r="DG250" s="7"/>
      <c r="DH250" s="10"/>
      <c r="DI250" s="15"/>
      <c r="DJ250" s="15"/>
      <c r="DK250" s="15"/>
      <c r="DL250" s="15"/>
      <c r="DM250" s="15"/>
      <c r="DN250" s="15"/>
      <c r="DO250" s="15"/>
      <c r="DP250" s="15"/>
      <c r="DQ250" s="15"/>
      <c r="DR250" s="15"/>
      <c r="DS250" s="7"/>
      <c r="DT250" s="7"/>
      <c r="DU250" s="7"/>
      <c r="DV250" s="7"/>
      <c r="DW250" s="7"/>
      <c r="DX250" s="7"/>
      <c r="DY250" s="7"/>
      <c r="DZ250" s="7"/>
      <c r="EA250" s="7"/>
      <c r="EB250" s="7"/>
      <c r="EC250" s="7"/>
    </row>
    <row r="251" spans="108:133" x14ac:dyDescent="0.3">
      <c r="DD251" s="10"/>
      <c r="DE251" s="66"/>
      <c r="DF251" s="66"/>
      <c r="DG251" s="66"/>
      <c r="DH251" s="66"/>
      <c r="DI251" s="66"/>
      <c r="DJ251" s="66"/>
      <c r="DK251" s="66"/>
      <c r="DL251" s="66"/>
      <c r="DM251" s="66"/>
      <c r="DN251" s="66"/>
      <c r="DO251" s="66"/>
      <c r="DP251" s="66"/>
      <c r="DQ251" s="66"/>
      <c r="DR251" s="66"/>
      <c r="DS251" s="66"/>
      <c r="DT251" s="66"/>
      <c r="DU251" s="66"/>
      <c r="DV251" s="66"/>
      <c r="DW251" s="66"/>
      <c r="DX251" s="66"/>
      <c r="DY251" s="66"/>
      <c r="DZ251" s="66"/>
      <c r="EA251" s="66"/>
      <c r="EB251" s="66"/>
      <c r="EC251" s="7"/>
    </row>
    <row r="252" spans="108:133" x14ac:dyDescent="0.3">
      <c r="DD252" s="10"/>
      <c r="DE252" s="7"/>
      <c r="DF252" s="7"/>
      <c r="DG252" s="7"/>
      <c r="DH252" s="7"/>
      <c r="DI252" s="7"/>
      <c r="DJ252" s="7"/>
      <c r="DK252" s="7"/>
      <c r="DL252" s="7"/>
      <c r="DM252" s="7"/>
      <c r="DN252" s="7"/>
      <c r="DO252" s="7"/>
      <c r="DP252" s="7"/>
      <c r="DQ252" s="7"/>
      <c r="DR252" s="7"/>
      <c r="DS252" s="7"/>
      <c r="DT252" s="7"/>
      <c r="DU252" s="7"/>
      <c r="DV252" s="7"/>
      <c r="DW252" s="7"/>
      <c r="DX252" s="7"/>
      <c r="DY252" s="7"/>
      <c r="DZ252" s="7"/>
      <c r="EA252" s="7"/>
      <c r="EB252" s="7"/>
      <c r="EC252" s="7"/>
    </row>
    <row r="253" spans="108:133" x14ac:dyDescent="0.3">
      <c r="DD253" s="18"/>
      <c r="DE253" s="61"/>
      <c r="DF253" s="61"/>
      <c r="DG253" s="61"/>
      <c r="DH253" s="61"/>
      <c r="DI253" s="61"/>
      <c r="DJ253" s="61"/>
      <c r="DK253" s="61"/>
      <c r="DL253" s="61"/>
      <c r="DM253" s="61"/>
      <c r="DN253" s="61"/>
      <c r="DO253" s="61"/>
      <c r="DP253" s="61"/>
      <c r="DQ253" s="61"/>
      <c r="DR253" s="61"/>
      <c r="DS253" s="61"/>
      <c r="DT253" s="61"/>
      <c r="DU253" s="61"/>
      <c r="DV253" s="61"/>
      <c r="DW253" s="61"/>
      <c r="DX253" s="61"/>
      <c r="DY253" s="61"/>
      <c r="DZ253" s="61"/>
      <c r="EA253" s="61"/>
      <c r="EB253" s="61"/>
      <c r="EC253" s="7"/>
    </row>
    <row r="254" spans="108:133" x14ac:dyDescent="0.3">
      <c r="DD254" s="10"/>
      <c r="DE254" s="49"/>
      <c r="DF254" s="49"/>
      <c r="DG254" s="49"/>
      <c r="DH254" s="49"/>
      <c r="DI254" s="49"/>
      <c r="DJ254" s="49"/>
      <c r="DK254" s="49"/>
      <c r="DL254" s="49"/>
      <c r="DM254" s="49"/>
      <c r="DN254" s="49"/>
      <c r="DO254" s="49"/>
      <c r="DP254" s="49"/>
      <c r="DQ254" s="49"/>
      <c r="DR254" s="49"/>
      <c r="DS254" s="49"/>
      <c r="DT254" s="49"/>
      <c r="DU254" s="49"/>
      <c r="DV254" s="49"/>
      <c r="DW254" s="49"/>
      <c r="DX254" s="49"/>
      <c r="DY254" s="49"/>
      <c r="DZ254" s="49"/>
      <c r="EA254" s="49"/>
      <c r="EB254" s="49"/>
      <c r="EC254" s="7"/>
    </row>
    <row r="255" spans="108:133" x14ac:dyDescent="0.3">
      <c r="DD255" s="7"/>
      <c r="DE255" s="7"/>
      <c r="DF255" s="7"/>
      <c r="DG255" s="7"/>
      <c r="DH255" s="7"/>
      <c r="DI255" s="7"/>
      <c r="DJ255" s="7"/>
      <c r="DK255" s="7"/>
      <c r="DL255" s="7"/>
      <c r="DM255" s="7"/>
      <c r="DN255" s="7"/>
      <c r="DO255" s="7"/>
      <c r="DP255" s="7"/>
      <c r="DQ255" s="7"/>
      <c r="DR255" s="7"/>
      <c r="DS255" s="7"/>
      <c r="DT255" s="7"/>
      <c r="DU255" s="7"/>
      <c r="DV255" s="7"/>
      <c r="DW255" s="7"/>
      <c r="DX255" s="7"/>
      <c r="DY255" s="7"/>
      <c r="DZ255" s="7"/>
      <c r="EA255" s="7"/>
      <c r="EB255" s="7"/>
      <c r="EC255" s="7"/>
    </row>
    <row r="256" spans="108:133" x14ac:dyDescent="0.3">
      <c r="DD256" s="7"/>
      <c r="DE256" s="67"/>
      <c r="DF256" s="67"/>
      <c r="DG256" s="67"/>
      <c r="DH256" s="67"/>
      <c r="DI256" s="67"/>
      <c r="DJ256" s="67"/>
      <c r="DK256" s="10"/>
      <c r="DL256" s="10"/>
      <c r="DM256" s="10"/>
      <c r="DN256" s="10"/>
      <c r="DO256" s="10"/>
      <c r="DP256" s="67"/>
      <c r="DQ256" s="67"/>
      <c r="DR256" s="67"/>
      <c r="DS256" s="10"/>
      <c r="DT256" s="10"/>
      <c r="DU256" s="10"/>
      <c r="DV256" s="10"/>
      <c r="DW256" s="10"/>
      <c r="DX256" s="10"/>
      <c r="DY256" s="10"/>
      <c r="DZ256" s="10"/>
      <c r="EA256" s="10"/>
      <c r="EB256" s="10"/>
      <c r="EC256" s="7"/>
    </row>
    <row r="257" spans="108:133" x14ac:dyDescent="0.3">
      <c r="DD257" s="7"/>
      <c r="DE257" s="67"/>
      <c r="DF257" s="67"/>
      <c r="DG257" s="67"/>
      <c r="DH257" s="67"/>
      <c r="DI257" s="67"/>
      <c r="DJ257" s="67"/>
      <c r="DK257" s="7"/>
      <c r="DL257" s="7"/>
      <c r="DM257" s="7"/>
      <c r="DN257" s="7"/>
      <c r="DO257" s="67"/>
      <c r="DP257" s="67"/>
      <c r="DQ257" s="67"/>
      <c r="DR257" s="67"/>
      <c r="DS257" s="7"/>
      <c r="DT257" s="7"/>
      <c r="DU257" s="7"/>
      <c r="DV257" s="7"/>
      <c r="DW257" s="67"/>
      <c r="DX257" s="67"/>
      <c r="DY257" s="67"/>
      <c r="DZ257" s="67"/>
      <c r="EA257" s="67"/>
      <c r="EB257" s="67"/>
      <c r="EC257" s="7"/>
    </row>
    <row r="258" spans="108:133" x14ac:dyDescent="0.3">
      <c r="DD258" s="7"/>
      <c r="DE258" s="7"/>
      <c r="DF258" s="7"/>
      <c r="DG258" s="7"/>
      <c r="DH258" s="7"/>
      <c r="DI258" s="7"/>
      <c r="DJ258" s="7"/>
      <c r="DK258" s="7"/>
      <c r="DL258" s="7"/>
      <c r="DM258" s="7"/>
      <c r="DN258" s="7"/>
      <c r="DO258" s="7"/>
      <c r="DP258" s="7"/>
      <c r="DQ258" s="7"/>
      <c r="DR258" s="7"/>
      <c r="DS258" s="7"/>
      <c r="DT258" s="7"/>
      <c r="DU258" s="7"/>
      <c r="DV258" s="7"/>
      <c r="DW258" s="7"/>
      <c r="DX258" s="7"/>
      <c r="DY258" s="7"/>
      <c r="DZ258" s="7"/>
      <c r="EA258" s="7"/>
      <c r="EB258" s="7"/>
      <c r="EC258" s="7"/>
    </row>
    <row r="259" spans="108:133" x14ac:dyDescent="0.3">
      <c r="DD259" s="7"/>
      <c r="DE259" s="7"/>
      <c r="DF259" s="7"/>
      <c r="DG259" s="7"/>
      <c r="DH259" s="7"/>
      <c r="DI259" s="7"/>
      <c r="DJ259" s="7"/>
      <c r="DK259" s="7"/>
      <c r="DL259" s="7"/>
      <c r="DM259" s="7"/>
      <c r="DN259" s="7"/>
      <c r="DO259" s="7"/>
      <c r="DP259" s="7"/>
      <c r="DQ259" s="7"/>
      <c r="DR259" s="7"/>
      <c r="DS259" s="7"/>
      <c r="DT259" s="7"/>
      <c r="DU259" s="7"/>
      <c r="DV259" s="7"/>
      <c r="DW259" s="7"/>
      <c r="DX259" s="7"/>
      <c r="DY259" s="7"/>
      <c r="DZ259" s="7"/>
      <c r="EA259" s="7"/>
      <c r="EB259" s="7"/>
      <c r="EC259" s="7"/>
    </row>
  </sheetData>
  <sheetProtection algorithmName="SHA-512" hashValue="cro2LxfEjKNcR0p+ZNRZlnqPbhgrqMFQY2OnLQo3gQGtOJ0Tg9rk24Ilj/IBtU/mdqC6U8gpPME1UQtDcarTfg==" saltValue="8Ng3mQMNCeqyYSaTG/jpvQ==" spinCount="100000" sheet="1" objects="1" scenarios="1"/>
  <protectedRanges>
    <protectedRange sqref="B104 B107 D110:D133 B137 B140 D143:D154 B161 D164:D187" name="Range1"/>
  </protectedRanges>
  <mergeCells count="25">
    <mergeCell ref="BO25:BP25"/>
    <mergeCell ref="BO27:BP27"/>
    <mergeCell ref="CM27:CN27"/>
    <mergeCell ref="BZ30:CA30"/>
    <mergeCell ref="CX30:CY30"/>
    <mergeCell ref="CO26:CY27"/>
    <mergeCell ref="BO29:BY30"/>
    <mergeCell ref="DV232:DW232"/>
    <mergeCell ref="B102:B103"/>
    <mergeCell ref="W107:AA107"/>
    <mergeCell ref="BA107:BB107"/>
    <mergeCell ref="B135:B136"/>
    <mergeCell ref="W140:AA140"/>
    <mergeCell ref="BA140:BB140"/>
    <mergeCell ref="BA161:BB161"/>
    <mergeCell ref="DJ230:DL230"/>
    <mergeCell ref="DJ232:DK232"/>
    <mergeCell ref="BT157:BV157"/>
    <mergeCell ref="BT159:BU159"/>
    <mergeCell ref="CF159:CG159"/>
    <mergeCell ref="BZ33:CA33"/>
    <mergeCell ref="CO33:CP33"/>
    <mergeCell ref="DE80:DF80"/>
    <mergeCell ref="BO32:BY33"/>
    <mergeCell ref="CQ32:CY33"/>
  </mergeCells>
  <conditionalFormatting sqref="AB53:AE91 U53:U91 AB50:AE50 U50 BG31:BH31 U27">
    <cfRule type="cellIs" dxfId="751" priority="133" stopIfTrue="1" operator="between">
      <formula>"OVERLOAD"</formula>
      <formula>"OVERLOAD"</formula>
    </cfRule>
  </conditionalFormatting>
  <conditionalFormatting sqref="DE253:EB254 DJ180:DW183 DJ126:DW129">
    <cfRule type="cellIs" dxfId="750" priority="132" stopIfTrue="1" operator="equal">
      <formula>FALSE</formula>
    </cfRule>
  </conditionalFormatting>
  <conditionalFormatting sqref="DE251:EB251">
    <cfRule type="cellIs" dxfId="749" priority="48" stopIfTrue="1" operator="equal">
      <formula>0</formula>
    </cfRule>
  </conditionalFormatting>
  <conditionalFormatting sqref="DC186:DC196 DC132:DC138">
    <cfRule type="cellIs" dxfId="748" priority="130" stopIfTrue="1" operator="equal">
      <formula>FALSE</formula>
    </cfRule>
  </conditionalFormatting>
  <conditionalFormatting sqref="AY145:BB145 B145 D145:AB145">
    <cfRule type="expression" dxfId="747" priority="127" stopIfTrue="1">
      <formula>$B$140&lt;3</formula>
    </cfRule>
  </conditionalFormatting>
  <conditionalFormatting sqref="AY146:BB146 B146 D146:AB146">
    <cfRule type="expression" dxfId="746" priority="126" stopIfTrue="1">
      <formula>$B$140&lt;4</formula>
    </cfRule>
  </conditionalFormatting>
  <conditionalFormatting sqref="AY147:BB147 B147 D147:AB147">
    <cfRule type="expression" dxfId="745" priority="125" stopIfTrue="1">
      <formula>$B$140&lt;5</formula>
    </cfRule>
  </conditionalFormatting>
  <conditionalFormatting sqref="AY148:BB148 B148 D148:AB148">
    <cfRule type="expression" dxfId="744" priority="124" stopIfTrue="1">
      <formula>$B$140&lt;6</formula>
    </cfRule>
  </conditionalFormatting>
  <conditionalFormatting sqref="AY149:BB149 B149 D149:AB149">
    <cfRule type="expression" dxfId="743" priority="60" stopIfTrue="1">
      <formula>$B$140&lt;7</formula>
    </cfRule>
  </conditionalFormatting>
  <conditionalFormatting sqref="AY150:BB150 B150 D150:AB150">
    <cfRule type="expression" dxfId="742" priority="123" stopIfTrue="1">
      <formula>$B$140&lt;8</formula>
    </cfRule>
  </conditionalFormatting>
  <conditionalFormatting sqref="AY151:BB151 B151 D151:AB151">
    <cfRule type="expression" dxfId="741" priority="122" stopIfTrue="1">
      <formula>$B$140&lt;9</formula>
    </cfRule>
  </conditionalFormatting>
  <conditionalFormatting sqref="AY152:BB152 B152 D152:AB152">
    <cfRule type="expression" dxfId="740" priority="121" stopIfTrue="1">
      <formula>$B$140&lt;10</formula>
    </cfRule>
  </conditionalFormatting>
  <conditionalFormatting sqref="AY153:BB153 B153 D153:AB153">
    <cfRule type="expression" dxfId="739" priority="120" stopIfTrue="1">
      <formula>$B$140&lt;11</formula>
    </cfRule>
  </conditionalFormatting>
  <conditionalFormatting sqref="AY154:BB154 B154 D154:AB154">
    <cfRule type="expression" dxfId="738" priority="89" stopIfTrue="1">
      <formula>$B$140&lt;12</formula>
    </cfRule>
  </conditionalFormatting>
  <conditionalFormatting sqref="D99:G102">
    <cfRule type="cellIs" dxfId="737" priority="119" stopIfTrue="1" operator="equal">
      <formula>"change the angle of frame or of cabinets"</formula>
    </cfRule>
  </conditionalFormatting>
  <conditionalFormatting sqref="E104:G104">
    <cfRule type="cellIs" dxfId="736" priority="118" stopIfTrue="1" operator="equal">
      <formula>"USE EXBAR VR AT THE BACK"</formula>
    </cfRule>
  </conditionalFormatting>
  <conditionalFormatting sqref="E103:G103 E104">
    <cfRule type="cellIs" dxfId="735" priority="117" stopIfTrue="1" operator="equal">
      <formula>"USE EXBAR VR AT THE FRONT"</formula>
    </cfRule>
  </conditionalFormatting>
  <conditionalFormatting sqref="B164:B187">
    <cfRule type="cellIs" dxfId="734" priority="85" stopIfTrue="1" operator="greaterThan">
      <formula>$B$161</formula>
    </cfRule>
  </conditionalFormatting>
  <conditionalFormatting sqref="B110:Y110 AI111:AI133 AF110:BB110 AB110">
    <cfRule type="expression" dxfId="733" priority="113" stopIfTrue="1">
      <formula>$B$107&lt;1</formula>
    </cfRule>
  </conditionalFormatting>
  <conditionalFormatting sqref="B112:AB112 AF112:AO112 AQ112:BB112">
    <cfRule type="expression" dxfId="732" priority="112" stopIfTrue="1">
      <formula>$B$107&lt;3</formula>
    </cfRule>
  </conditionalFormatting>
  <conditionalFormatting sqref="B113:AB113 AF113:AO113 AQ113:BB113">
    <cfRule type="expression" dxfId="731" priority="111" stopIfTrue="1">
      <formula>$B$107&lt;4</formula>
    </cfRule>
  </conditionalFormatting>
  <conditionalFormatting sqref="B114:AB114 AF114:AO114 AQ114:BB114">
    <cfRule type="expression" dxfId="730" priority="110" stopIfTrue="1">
      <formula>$B$107&lt;5</formula>
    </cfRule>
  </conditionalFormatting>
  <conditionalFormatting sqref="B115:AB115 AF115:AO115 AQ115:BB115">
    <cfRule type="expression" dxfId="729" priority="109">
      <formula>$B$107&lt;6</formula>
    </cfRule>
  </conditionalFormatting>
  <conditionalFormatting sqref="B132:AB133 AF132:AO133 AQ132:BB133">
    <cfRule type="expression" dxfId="728" priority="91">
      <formula>$B$107&lt;23</formula>
    </cfRule>
  </conditionalFormatting>
  <conditionalFormatting sqref="B131:AB131 AF131:AO131 AQ131:BB131">
    <cfRule type="expression" dxfId="727" priority="92">
      <formula>$B$107&lt;22</formula>
    </cfRule>
  </conditionalFormatting>
  <conditionalFormatting sqref="B130:AB130 AF130:AO130 AQ130:BB130">
    <cfRule type="expression" dxfId="726" priority="93">
      <formula>$B$107&lt;21</formula>
    </cfRule>
  </conditionalFormatting>
  <conditionalFormatting sqref="B129:AB129 AF129:AO129 AQ129:BB129">
    <cfRule type="expression" dxfId="725" priority="94">
      <formula>$B$107&lt;20</formula>
    </cfRule>
  </conditionalFormatting>
  <conditionalFormatting sqref="F263">
    <cfRule type="expression" dxfId="724" priority="99">
      <formula>$B$107&lt;19</formula>
    </cfRule>
  </conditionalFormatting>
  <conditionalFormatting sqref="B127:AB128 AF127:AO128 AQ127:BB128">
    <cfRule type="expression" dxfId="723" priority="96">
      <formula>$B$107&lt;18</formula>
    </cfRule>
  </conditionalFormatting>
  <conditionalFormatting sqref="B126:AB126 AF126:AO126 AQ126:BB126">
    <cfRule type="expression" dxfId="722" priority="97">
      <formula>$B$107&lt;17</formula>
    </cfRule>
  </conditionalFormatting>
  <conditionalFormatting sqref="B125:AB125 AF125:AO125 AQ125:BB125">
    <cfRule type="expression" dxfId="721" priority="98">
      <formula>$B$107&lt;16</formula>
    </cfRule>
  </conditionalFormatting>
  <conditionalFormatting sqref="B124:AB124 AF124:AO124 AQ124:BB124">
    <cfRule type="expression" dxfId="720" priority="100">
      <formula>$B$107&lt;15</formula>
    </cfRule>
  </conditionalFormatting>
  <conditionalFormatting sqref="B123:AB123 AF123:AO123 AQ123:BB123">
    <cfRule type="expression" dxfId="719" priority="101">
      <formula>$B$107&lt;14</formula>
    </cfRule>
  </conditionalFormatting>
  <conditionalFormatting sqref="B122:AB122 AF122:AO122 AQ122:BB122">
    <cfRule type="expression" dxfId="718" priority="102">
      <formula>$B$107&lt;13</formula>
    </cfRule>
  </conditionalFormatting>
  <conditionalFormatting sqref="B121:AB121 AF121:AO121 AQ121:BB121">
    <cfRule type="expression" dxfId="717" priority="103">
      <formula>$B$107&lt;12</formula>
    </cfRule>
  </conditionalFormatting>
  <conditionalFormatting sqref="B120:AB120 AF120:AO120 AQ120:BB120">
    <cfRule type="expression" dxfId="716" priority="104">
      <formula>$B$107&lt;11</formula>
    </cfRule>
  </conditionalFormatting>
  <conditionalFormatting sqref="B119:AB119 AF119:AO119 AQ119:BB119">
    <cfRule type="expression" dxfId="715" priority="105">
      <formula>$B$107&lt;10</formula>
    </cfRule>
  </conditionalFormatting>
  <conditionalFormatting sqref="B118:AB118 AF118:AO118 AQ118:BB118">
    <cfRule type="expression" dxfId="714" priority="106">
      <formula>$B$107&lt;9</formula>
    </cfRule>
  </conditionalFormatting>
  <conditionalFormatting sqref="B117:AB117 AF117:AO117 AQ117:BB117">
    <cfRule type="expression" dxfId="713" priority="107">
      <formula>$B$107&lt;8</formula>
    </cfRule>
  </conditionalFormatting>
  <conditionalFormatting sqref="B116:AB116 AF116:AO116 AQ116:BB116">
    <cfRule type="expression" dxfId="712" priority="108">
      <formula>$B$107&lt;7</formula>
    </cfRule>
  </conditionalFormatting>
  <conditionalFormatting sqref="B128:AB128 AF128:AO128 AQ128:BB128">
    <cfRule type="expression" dxfId="711" priority="95" stopIfTrue="1">
      <formula>$B$107&lt;19</formula>
    </cfRule>
  </conditionalFormatting>
  <conditionalFormatting sqref="B133:AB133 AF133:AO133 AQ133:BB133">
    <cfRule type="expression" dxfId="710" priority="90">
      <formula>$B$107&lt;24</formula>
    </cfRule>
  </conditionalFormatting>
  <conditionalFormatting sqref="B111:AB111 AF111:AO111 AQ111:BB111">
    <cfRule type="expression" dxfId="709" priority="61" stopIfTrue="1">
      <formula>$B$107&lt;2</formula>
    </cfRule>
  </conditionalFormatting>
  <conditionalFormatting sqref="AB164:AE187 AB110:AB133">
    <cfRule type="cellIs" dxfId="708" priority="116" stopIfTrue="1" operator="equal">
      <formula>"pin in groundstacking hole"</formula>
    </cfRule>
  </conditionalFormatting>
  <conditionalFormatting sqref="BA110:BB133 BA143:BB154 BA164:BB187">
    <cfRule type="cellIs" dxfId="707" priority="115" stopIfTrue="1" operator="lessThan">
      <formula>10</formula>
    </cfRule>
  </conditionalFormatting>
  <conditionalFormatting sqref="B143:B154">
    <cfRule type="cellIs" dxfId="706" priority="128" stopIfTrue="1" operator="greaterThan">
      <formula>$B$140</formula>
    </cfRule>
  </conditionalFormatting>
  <conditionalFormatting sqref="B144:AB144 AF144:AO144 AQ144:BB144">
    <cfRule type="expression" dxfId="705" priority="88" stopIfTrue="1">
      <formula>$B$140&lt;2</formula>
    </cfRule>
  </conditionalFormatting>
  <conditionalFormatting sqref="B143:G143 AI144:AI154 AF143 AB143 T143:V143 AH143:BB143">
    <cfRule type="expression" dxfId="704" priority="87" stopIfTrue="1">
      <formula>$B$140&lt;1</formula>
    </cfRule>
  </conditionalFormatting>
  <conditionalFormatting sqref="B164:AF164 AH164:BB164">
    <cfRule type="expression" dxfId="703" priority="84" stopIfTrue="1">
      <formula>$B$161&lt;1</formula>
    </cfRule>
  </conditionalFormatting>
  <conditionalFormatting sqref="B166:BB166">
    <cfRule type="expression" dxfId="702" priority="83" stopIfTrue="1">
      <formula>$B$161&lt;3</formula>
    </cfRule>
  </conditionalFormatting>
  <conditionalFormatting sqref="B167:BB167">
    <cfRule type="expression" dxfId="701" priority="82" stopIfTrue="1">
      <formula>$B$161&lt;4</formula>
    </cfRule>
  </conditionalFormatting>
  <conditionalFormatting sqref="B168:BB168">
    <cfRule type="expression" dxfId="700" priority="81" stopIfTrue="1">
      <formula>$B$161&lt;5</formula>
    </cfRule>
  </conditionalFormatting>
  <conditionalFormatting sqref="B169:BB169 B170:B181">
    <cfRule type="expression" dxfId="699" priority="80">
      <formula>$B$161&lt;6</formula>
    </cfRule>
  </conditionalFormatting>
  <conditionalFormatting sqref="B186:BB187">
    <cfRule type="expression" dxfId="698" priority="79">
      <formula>$B$161&lt;23</formula>
    </cfRule>
  </conditionalFormatting>
  <conditionalFormatting sqref="B185:BB185">
    <cfRule type="expression" dxfId="697" priority="78">
      <formula>$B$161&lt;22</formula>
    </cfRule>
  </conditionalFormatting>
  <conditionalFormatting sqref="B184:BB184">
    <cfRule type="expression" dxfId="696" priority="77">
      <formula>$B$161&lt;21</formula>
    </cfRule>
  </conditionalFormatting>
  <conditionalFormatting sqref="B183:BB183">
    <cfRule type="expression" dxfId="695" priority="76">
      <formula>$B$161&lt;20</formula>
    </cfRule>
  </conditionalFormatting>
  <conditionalFormatting sqref="B181:BB182">
    <cfRule type="expression" dxfId="694" priority="75">
      <formula>$B$161&lt;18</formula>
    </cfRule>
  </conditionalFormatting>
  <conditionalFormatting sqref="B180:BB180">
    <cfRule type="expression" dxfId="693" priority="74">
      <formula>$B$161&lt;17</formula>
    </cfRule>
  </conditionalFormatting>
  <conditionalFormatting sqref="B179:BB179">
    <cfRule type="expression" dxfId="692" priority="73">
      <formula>$B$161&lt;16</formula>
    </cfRule>
  </conditionalFormatting>
  <conditionalFormatting sqref="B178:BB178">
    <cfRule type="expression" dxfId="691" priority="72">
      <formula>$B$161&lt;15</formula>
    </cfRule>
  </conditionalFormatting>
  <conditionalFormatting sqref="B177:BB177">
    <cfRule type="expression" dxfId="690" priority="71">
      <formula>$B$161&lt;14</formula>
    </cfRule>
  </conditionalFormatting>
  <conditionalFormatting sqref="B176:BB176">
    <cfRule type="expression" dxfId="689" priority="70">
      <formula>$B$161&lt;13</formula>
    </cfRule>
  </conditionalFormatting>
  <conditionalFormatting sqref="B175:BB175">
    <cfRule type="expression" dxfId="688" priority="69">
      <formula>$B$161&lt;12</formula>
    </cfRule>
  </conditionalFormatting>
  <conditionalFormatting sqref="B174:BB174">
    <cfRule type="expression" dxfId="687" priority="68">
      <formula>$B$161&lt;11</formula>
    </cfRule>
  </conditionalFormatting>
  <conditionalFormatting sqref="B173:BB173">
    <cfRule type="expression" dxfId="686" priority="67">
      <formula>$B$161&lt;10</formula>
    </cfRule>
  </conditionalFormatting>
  <conditionalFormatting sqref="B172:BB172">
    <cfRule type="expression" dxfId="685" priority="66">
      <formula>$B$161&lt;9</formula>
    </cfRule>
  </conditionalFormatting>
  <conditionalFormatting sqref="B171:BB171">
    <cfRule type="expression" dxfId="684" priority="65">
      <formula>$B$161&lt;8</formula>
    </cfRule>
  </conditionalFormatting>
  <conditionalFormatting sqref="B170:BB170">
    <cfRule type="expression" dxfId="683" priority="64">
      <formula>$B$161&lt;7</formula>
    </cfRule>
  </conditionalFormatting>
  <conditionalFormatting sqref="B182:BB182">
    <cfRule type="expression" dxfId="682" priority="63" stopIfTrue="1">
      <formula>$B$161&lt;19</formula>
    </cfRule>
  </conditionalFormatting>
  <conditionalFormatting sqref="B187:BB187">
    <cfRule type="expression" dxfId="681" priority="62">
      <formula>$B$161&lt;24</formula>
    </cfRule>
  </conditionalFormatting>
  <conditionalFormatting sqref="B165:BB165">
    <cfRule type="expression" dxfId="680" priority="59" stopIfTrue="1">
      <formula>$B$161&lt;2</formula>
    </cfRule>
  </conditionalFormatting>
  <conditionalFormatting sqref="D110:D133">
    <cfRule type="cellIs" dxfId="679" priority="114" stopIfTrue="1" operator="notEqual">
      <formula>0</formula>
    </cfRule>
  </conditionalFormatting>
  <conditionalFormatting sqref="D143:D154">
    <cfRule type="cellIs" dxfId="678" priority="129" stopIfTrue="1" operator="notEqual">
      <formula>0</formula>
    </cfRule>
  </conditionalFormatting>
  <conditionalFormatting sqref="D164:D187">
    <cfRule type="cellIs" dxfId="677" priority="86" stopIfTrue="1" operator="notEqual">
      <formula>0</formula>
    </cfRule>
  </conditionalFormatting>
  <conditionalFormatting sqref="W143 R143">
    <cfRule type="expression" dxfId="676" priority="56" stopIfTrue="1">
      <formula>$B$139&lt;1</formula>
    </cfRule>
  </conditionalFormatting>
  <conditionalFormatting sqref="K143:O143">
    <cfRule type="expression" dxfId="675" priority="55" stopIfTrue="1">
      <formula>$B$139&lt;1</formula>
    </cfRule>
  </conditionalFormatting>
  <conditionalFormatting sqref="AG143">
    <cfRule type="expression" dxfId="674" priority="54" stopIfTrue="1">
      <formula>$B$143&lt;1</formula>
    </cfRule>
  </conditionalFormatting>
  <conditionalFormatting sqref="AG164">
    <cfRule type="expression" dxfId="673" priority="53" stopIfTrue="1">
      <formula>$B$164&lt;1</formula>
    </cfRule>
  </conditionalFormatting>
  <conditionalFormatting sqref="AP111:AP133">
    <cfRule type="expression" dxfId="672" priority="52" stopIfTrue="1">
      <formula>$B$107&lt;1</formula>
    </cfRule>
  </conditionalFormatting>
  <conditionalFormatting sqref="AP144:AP154">
    <cfRule type="expression" dxfId="671" priority="51" stopIfTrue="1">
      <formula>$B$140&lt;1</formula>
    </cfRule>
  </conditionalFormatting>
  <conditionalFormatting sqref="BI128:BI131">
    <cfRule type="cellIs" dxfId="670" priority="44" stopIfTrue="1" operator="equal">
      <formula>FALSE</formula>
    </cfRule>
  </conditionalFormatting>
  <conditionalFormatting sqref="D103">
    <cfRule type="cellIs" dxfId="669" priority="32" stopIfTrue="1" operator="equal">
      <formula>"USE EXBAR AR AT THE FRONT"</formula>
    </cfRule>
  </conditionalFormatting>
  <conditionalFormatting sqref="D104">
    <cfRule type="cellIs" dxfId="668" priority="31" stopIfTrue="1" operator="equal">
      <formula>"USE EXBAR AR AT THE BACK"</formula>
    </cfRule>
  </conditionalFormatting>
  <conditionalFormatting sqref="BL27">
    <cfRule type="cellIs" dxfId="667" priority="29" operator="equal">
      <formula>"""OK"""</formula>
    </cfRule>
    <cfRule type="cellIs" dxfId="666" priority="30" stopIfTrue="1" operator="equal">
      <formula>"overload"</formula>
    </cfRule>
  </conditionalFormatting>
  <conditionalFormatting sqref="BL26">
    <cfRule type="cellIs" dxfId="665" priority="27" operator="equal">
      <formula>"""OK"""</formula>
    </cfRule>
    <cfRule type="cellIs" dxfId="664" priority="28" stopIfTrue="1" operator="equal">
      <formula>"negative force at the motor"</formula>
    </cfRule>
  </conditionalFormatting>
  <conditionalFormatting sqref="BL30">
    <cfRule type="cellIs" dxfId="663" priority="25" operator="equal">
      <formula>"""OK"""</formula>
    </cfRule>
    <cfRule type="cellIs" dxfId="662" priority="26" stopIfTrue="1" operator="equal">
      <formula>"overload"</formula>
    </cfRule>
  </conditionalFormatting>
  <conditionalFormatting sqref="BL29">
    <cfRule type="cellIs" dxfId="661" priority="23" operator="equal">
      <formula>"""OK"""</formula>
    </cfRule>
    <cfRule type="cellIs" dxfId="660" priority="24" stopIfTrue="1" operator="equal">
      <formula>"negative force at the motor"</formula>
    </cfRule>
  </conditionalFormatting>
  <conditionalFormatting sqref="BL33">
    <cfRule type="cellIs" dxfId="659" priority="21" operator="equal">
      <formula>"""OK"""</formula>
    </cfRule>
    <cfRule type="cellIs" dxfId="658" priority="22" stopIfTrue="1" operator="equal">
      <formula>"overload"</formula>
    </cfRule>
  </conditionalFormatting>
  <conditionalFormatting sqref="BL32">
    <cfRule type="cellIs" dxfId="657" priority="19" operator="equal">
      <formula>"""OK"""</formula>
    </cfRule>
    <cfRule type="cellIs" dxfId="656" priority="20" stopIfTrue="1" operator="equal">
      <formula>"negative force at the motor"</formula>
    </cfRule>
  </conditionalFormatting>
  <conditionalFormatting sqref="BL61">
    <cfRule type="cellIs" dxfId="655" priority="17" operator="equal">
      <formula>"""OK"""</formula>
    </cfRule>
    <cfRule type="cellIs" dxfId="654" priority="18" stopIfTrue="1" operator="equal">
      <formula>"overload"</formula>
    </cfRule>
  </conditionalFormatting>
  <conditionalFormatting sqref="BL56">
    <cfRule type="cellIs" dxfId="653" priority="15" operator="equal">
      <formula>"""OK"""</formula>
    </cfRule>
    <cfRule type="cellIs" dxfId="652" priority="16" stopIfTrue="1" operator="equal">
      <formula>"overload"</formula>
    </cfRule>
  </conditionalFormatting>
  <conditionalFormatting sqref="BL56">
    <cfRule type="expression" dxfId="651" priority="14">
      <formula>$B$104&lt;&gt;0</formula>
    </cfRule>
  </conditionalFormatting>
  <conditionalFormatting sqref="BM55:BM56">
    <cfRule type="expression" dxfId="650" priority="13">
      <formula>$B$104&lt;&gt;0</formula>
    </cfRule>
  </conditionalFormatting>
  <conditionalFormatting sqref="BL105">
    <cfRule type="cellIs" dxfId="649" priority="11" operator="equal">
      <formula>"""OK"""</formula>
    </cfRule>
    <cfRule type="cellIs" dxfId="648" priority="12" stopIfTrue="1" operator="equal">
      <formula>"overload"</formula>
    </cfRule>
  </conditionalFormatting>
  <conditionalFormatting sqref="BL105">
    <cfRule type="expression" dxfId="647" priority="10">
      <formula>$B$104&lt;&gt;0</formula>
    </cfRule>
  </conditionalFormatting>
  <conditionalFormatting sqref="BM104:BM105">
    <cfRule type="expression" dxfId="646" priority="9">
      <formula>$B$104&lt;&gt;0</formula>
    </cfRule>
  </conditionalFormatting>
  <conditionalFormatting sqref="BZ55:CP55">
    <cfRule type="cellIs" dxfId="645" priority="3" operator="equal">
      <formula>0</formula>
    </cfRule>
    <cfRule type="expression" dxfId="644" priority="4">
      <formula>$B$104=0</formula>
    </cfRule>
  </conditionalFormatting>
  <conditionalFormatting sqref="BO104:CE104">
    <cfRule type="expression" dxfId="643" priority="2">
      <formula>$B$104=0</formula>
    </cfRule>
  </conditionalFormatting>
  <conditionalFormatting sqref="CI104:CY104">
    <cfRule type="expression" dxfId="642" priority="1">
      <formula>$B$104=0</formula>
    </cfRule>
  </conditionalFormatting>
  <dataValidations count="9">
    <dataValidation type="decimal" allowBlank="1" showInputMessage="1" showErrorMessage="1" sqref="B104" xr:uid="{00000000-0002-0000-0800-000000000000}">
      <formula1>-89.9</formula1>
      <formula2>89.9</formula2>
    </dataValidation>
    <dataValidation type="custom" allowBlank="1" showInputMessage="1" showErrorMessage="1" sqref="D143:D154" xr:uid="{00000000-0002-0000-0800-000001000000}">
      <formula1>OR(D143=0,D143=2.5,D143=5)</formula1>
    </dataValidation>
    <dataValidation type="decimal" allowBlank="1" showInputMessage="1" showErrorMessage="1" sqref="D111:D133 D165:D187" xr:uid="{00000000-0002-0000-0800-000002000000}">
      <formula1>0</formula1>
      <formula2>10</formula2>
    </dataValidation>
    <dataValidation type="decimal" allowBlank="1" showInputMessage="1" showErrorMessage="1" sqref="D110 D164" xr:uid="{00000000-0002-0000-0800-000003000000}">
      <formula1>0</formula1>
      <formula2>5</formula2>
    </dataValidation>
    <dataValidation type="decimal" allowBlank="1" showInputMessage="1" showErrorMessage="1" sqref="F143:G143 F110:G110 F164:G164" xr:uid="{00000000-0002-0000-0800-000004000000}">
      <formula1>0</formula1>
      <formula2>4</formula2>
    </dataValidation>
    <dataValidation type="decimal" allowBlank="1" showInputMessage="1" showErrorMessage="1" sqref="G144:G154 D137:D138 D134:D135 G165:G187 F166:F187 F145:F154 F112:F138 G111:G138" xr:uid="{00000000-0002-0000-0800-000005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40" xr:uid="{00000000-0002-0000-0800-000006000000}">
      <formula1>1</formula1>
      <formula2>12</formula2>
    </dataValidation>
    <dataValidation type="whole" allowBlank="1" showInputMessage="1" showErrorMessage="1" errorTitle="Coda Audio" error="YOU HAVE ENTERED A WRONG NUMBER OF CABINETS" promptTitle="Coda Audio" prompt="ENTER THE NUMBER OF CABINETS FROM 1 UP TO 24" sqref="B161 B107" xr:uid="{00000000-0002-0000-0800-000007000000}">
      <formula1>1</formula1>
      <formula2>24</formula2>
    </dataValidation>
    <dataValidation type="whole" allowBlank="1" showInputMessage="1" showErrorMessage="1" sqref="B137" xr:uid="{4CDAD975-DAE3-4184-AE87-5B1F678E1950}">
      <formula1>0</formula1>
      <formula2>5</formula2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4"/>
  </sheetPr>
  <dimension ref="A1:EL259"/>
  <sheetViews>
    <sheetView topLeftCell="A25" zoomScale="50" zoomScaleNormal="50" workbookViewId="0">
      <selection activeCell="B105" sqref="B105"/>
    </sheetView>
  </sheetViews>
  <sheetFormatPr baseColWidth="10" defaultColWidth="8.88671875" defaultRowHeight="17.399999999999999" x14ac:dyDescent="0.3"/>
  <cols>
    <col min="1" max="1" width="1.5546875" customWidth="1"/>
    <col min="2" max="2" width="36.6640625" style="13" customWidth="1"/>
    <col min="3" max="3" width="34.44140625" style="13" hidden="1" customWidth="1"/>
    <col min="4" max="4" width="27.109375" style="14" customWidth="1"/>
    <col min="5" max="5" width="23" style="14" customWidth="1"/>
    <col min="6" max="6" width="32.6640625" style="14" hidden="1" customWidth="1"/>
    <col min="7" max="7" width="10" style="14" hidden="1" customWidth="1"/>
    <col min="8" max="8" width="13.44140625" style="62" hidden="1" customWidth="1"/>
    <col min="9" max="11" width="17.5546875" style="62" hidden="1" customWidth="1"/>
    <col min="12" max="14" width="19.44140625" style="62" hidden="1" customWidth="1"/>
    <col min="15" max="15" width="8.6640625" style="62" hidden="1" customWidth="1"/>
    <col min="16" max="16" width="19.44140625" style="62" hidden="1" customWidth="1"/>
    <col min="17" max="17" width="19.6640625" style="62" hidden="1" customWidth="1"/>
    <col min="18" max="18" width="28" style="62" hidden="1" customWidth="1"/>
    <col min="19" max="19" width="19.44140625" style="62" hidden="1" customWidth="1"/>
    <col min="20" max="20" width="22.33203125" style="62" hidden="1" customWidth="1"/>
    <col min="21" max="21" width="9.33203125" style="62" hidden="1" customWidth="1"/>
    <col min="22" max="22" width="19.44140625" style="62" hidden="1" customWidth="1"/>
    <col min="23" max="24" width="17.5546875" style="62" hidden="1" customWidth="1"/>
    <col min="25" max="25" width="14.44140625" style="62" hidden="1" customWidth="1"/>
    <col min="26" max="27" width="19.44140625" style="62" hidden="1" customWidth="1"/>
    <col min="28" max="28" width="42" style="62" customWidth="1"/>
    <col min="29" max="29" width="28.6640625" style="62" hidden="1" customWidth="1"/>
    <col min="30" max="31" width="4.88671875" style="62" hidden="1" customWidth="1"/>
    <col min="32" max="32" width="47.6640625" style="62" hidden="1" customWidth="1"/>
    <col min="33" max="33" width="39.44140625" style="62" hidden="1" customWidth="1"/>
    <col min="34" max="34" width="19.44140625" style="62" hidden="1" customWidth="1"/>
    <col min="35" max="35" width="9.33203125" style="62" hidden="1" customWidth="1"/>
    <col min="36" max="36" width="17.5546875" style="62" hidden="1" customWidth="1"/>
    <col min="37" max="37" width="19.44140625" style="62" hidden="1" customWidth="1"/>
    <col min="38" max="38" width="23.33203125" style="62" hidden="1" customWidth="1"/>
    <col min="39" max="39" width="17.5546875" style="62" hidden="1" customWidth="1"/>
    <col min="40" max="40" width="19.44140625" style="62" hidden="1" customWidth="1"/>
    <col min="41" max="41" width="22.33203125" style="62" hidden="1" customWidth="1"/>
    <col min="42" max="42" width="35.109375" style="62" hidden="1" customWidth="1"/>
    <col min="43" max="43" width="38.33203125" style="62" hidden="1" customWidth="1"/>
    <col min="44" max="44" width="69.44140625" style="62" hidden="1" customWidth="1"/>
    <col min="45" max="45" width="19.44140625" style="62" hidden="1" customWidth="1"/>
    <col min="46" max="46" width="20.109375" style="62" hidden="1" customWidth="1"/>
    <col min="47" max="47" width="38.5546875" style="62" hidden="1" customWidth="1"/>
    <col min="48" max="48" width="19.44140625" style="62" hidden="1" customWidth="1"/>
    <col min="49" max="50" width="20.109375" style="62" hidden="1" customWidth="1"/>
    <col min="51" max="51" width="38.5546875" style="62" hidden="1" customWidth="1"/>
    <col min="52" max="52" width="11" style="62" hidden="1" customWidth="1"/>
    <col min="53" max="53" width="13.6640625" style="62" customWidth="1"/>
    <col min="54" max="54" width="14" style="62" customWidth="1"/>
    <col min="55" max="55" width="15.109375" hidden="1" customWidth="1"/>
    <col min="56" max="56" width="14.44140625" hidden="1" customWidth="1"/>
    <col min="57" max="58" width="9.33203125" hidden="1" customWidth="1"/>
    <col min="59" max="59" width="4" hidden="1" customWidth="1"/>
    <col min="60" max="60" width="4.88671875" hidden="1" customWidth="1"/>
    <col min="61" max="61" width="10.6640625" hidden="1" customWidth="1"/>
    <col min="62" max="62" width="13.44140625" style="1550" hidden="1" customWidth="1"/>
    <col min="63" max="63" width="8.6640625" style="1550" hidden="1" customWidth="1"/>
    <col min="64" max="64" width="24.88671875" style="1550" bestFit="1" customWidth="1"/>
    <col min="65" max="65" width="35.6640625" style="1550" customWidth="1"/>
    <col min="66" max="66" width="43.5546875" style="1550" customWidth="1"/>
    <col min="67" max="103" width="7.109375" style="1550" customWidth="1"/>
    <col min="104" max="104" width="7.6640625" style="1550" customWidth="1"/>
    <col min="105" max="105" width="16" style="1550" customWidth="1"/>
    <col min="106" max="106" width="40.88671875" style="1550" hidden="1" customWidth="1"/>
    <col min="107" max="107" width="9.109375" customWidth="1"/>
    <col min="108" max="108" width="41.44140625" customWidth="1"/>
    <col min="109" max="138" width="6.5546875" customWidth="1"/>
    <col min="142" max="142" width="11.44140625" customWidth="1"/>
    <col min="143" max="143" width="9.33203125" customWidth="1"/>
  </cols>
  <sheetData>
    <row r="1" spans="1:106" ht="26.25" hidden="1" customHeight="1" x14ac:dyDescent="0.4">
      <c r="A1" s="1817"/>
      <c r="B1" s="1819"/>
      <c r="C1" s="1819"/>
      <c r="D1" s="1820" t="s">
        <v>202</v>
      </c>
      <c r="E1" s="1820" t="s">
        <v>203</v>
      </c>
      <c r="F1" s="1821" t="s">
        <v>204</v>
      </c>
    </row>
    <row r="2" spans="1:106" ht="37.5" hidden="1" customHeight="1" x14ac:dyDescent="0.5">
      <c r="A2" s="37"/>
      <c r="B2" s="1822" t="s">
        <v>29</v>
      </c>
      <c r="C2" s="1807">
        <v>688</v>
      </c>
      <c r="D2" s="1808">
        <f>+COS(($B$104*-1)*3.14159265358979/180)*C2</f>
        <v>688</v>
      </c>
      <c r="E2" s="1808">
        <f>+COS(($B$104*-1)*3.14159265358979/180)*43</f>
        <v>43</v>
      </c>
      <c r="F2" s="1809">
        <f>+COS((($B$104*-1)+72.969997)*3.14159265358979/180)*162.1867</f>
        <v>47.500013702602963</v>
      </c>
    </row>
    <row r="3" spans="1:106" ht="43.5" hidden="1" customHeight="1" x14ac:dyDescent="0.5">
      <c r="A3" s="37"/>
      <c r="B3" s="1810" t="s">
        <v>242</v>
      </c>
      <c r="C3" s="1811">
        <f>+C9-47.5</f>
        <v>124.93440765912405</v>
      </c>
      <c r="D3" s="1813">
        <f>+C9-F2</f>
        <v>124.93439395652109</v>
      </c>
      <c r="E3" s="1823"/>
      <c r="F3" s="1824"/>
    </row>
    <row r="4" spans="1:106" ht="68.400000000000006" hidden="1" x14ac:dyDescent="0.4">
      <c r="A4" s="37"/>
      <c r="B4" s="1825" t="s">
        <v>40</v>
      </c>
      <c r="C4" s="1851">
        <v>1075</v>
      </c>
      <c r="D4" s="1843">
        <f>+COS(($B$104*-1)*3.14159265358979/180)*C4</f>
        <v>1075</v>
      </c>
      <c r="E4" s="1823"/>
      <c r="F4" s="1824"/>
    </row>
    <row r="5" spans="1:106" ht="57.75" hidden="1" customHeight="1" x14ac:dyDescent="0.4">
      <c r="A5" s="37"/>
      <c r="B5" s="1850" t="s">
        <v>238</v>
      </c>
      <c r="C5" s="1851">
        <f>+C9+425.5</f>
        <v>597.93440765912408</v>
      </c>
      <c r="D5" s="1847">
        <f>+(COS(($B$104*-1)*3.14159265358979/180)*400)+$D$3</f>
        <v>524.93439395652103</v>
      </c>
      <c r="E5" s="1823"/>
      <c r="F5" s="1824"/>
    </row>
    <row r="6" spans="1:106" ht="22.8" hidden="1" x14ac:dyDescent="0.4">
      <c r="A6" s="37"/>
      <c r="B6" s="1826"/>
      <c r="C6" s="1826"/>
      <c r="D6" s="1823"/>
      <c r="E6" s="1823"/>
      <c r="F6" s="1824"/>
      <c r="BJ6" s="1551"/>
      <c r="BK6" s="1551"/>
      <c r="BL6" s="1551"/>
      <c r="BM6" s="1551"/>
      <c r="BN6" s="1551"/>
      <c r="BO6" s="1551"/>
      <c r="BP6" s="1551"/>
      <c r="BQ6" s="1551"/>
      <c r="BR6" s="1551"/>
      <c r="BS6" s="1551"/>
      <c r="BT6" s="1551"/>
      <c r="BU6" s="1551"/>
      <c r="BV6" s="1551"/>
      <c r="BW6" s="1551"/>
      <c r="BX6" s="1551"/>
      <c r="BY6" s="1551"/>
      <c r="BZ6" s="1551"/>
      <c r="CA6" s="1551"/>
      <c r="CB6" s="1551"/>
      <c r="CC6" s="1551"/>
      <c r="CD6" s="1551"/>
      <c r="CE6" s="1551"/>
      <c r="CF6" s="1551"/>
      <c r="CG6" s="1551"/>
      <c r="CH6" s="1551"/>
      <c r="CI6" s="1551"/>
      <c r="CJ6" s="1551"/>
      <c r="CK6" s="1551"/>
      <c r="CL6" s="1551"/>
      <c r="CM6" s="1551"/>
      <c r="CN6" s="1551"/>
      <c r="CO6" s="1551"/>
      <c r="CP6" s="1551"/>
      <c r="CQ6" s="1551"/>
      <c r="CR6" s="1551"/>
      <c r="CS6" s="1551"/>
      <c r="CT6" s="1551"/>
      <c r="CU6" s="1551"/>
      <c r="CV6" s="1551"/>
      <c r="CW6" s="1551"/>
      <c r="CX6" s="1551"/>
      <c r="CY6" s="1551"/>
      <c r="CZ6" s="1551"/>
      <c r="DA6" s="1551"/>
      <c r="DB6" s="1551"/>
    </row>
    <row r="7" spans="1:106" ht="22.8" hidden="1" x14ac:dyDescent="0.4">
      <c r="A7" s="37"/>
      <c r="B7" s="1827" t="s">
        <v>18</v>
      </c>
      <c r="C7" s="1829">
        <f>+C11+C14+30+4.5</f>
        <v>250.5</v>
      </c>
      <c r="D7" s="1823"/>
      <c r="E7" s="1823"/>
      <c r="F7" s="1824"/>
    </row>
    <row r="8" spans="1:106" ht="22.8" hidden="1" x14ac:dyDescent="0.4">
      <c r="A8" s="37"/>
      <c r="B8" s="1827" t="s">
        <v>19</v>
      </c>
      <c r="C8" s="1827">
        <f>+AS110</f>
        <v>326.55452901143133</v>
      </c>
      <c r="D8" s="1823"/>
      <c r="E8" s="1823"/>
      <c r="F8" s="1824"/>
    </row>
    <row r="9" spans="1:106" ht="22.8" hidden="1" x14ac:dyDescent="0.4">
      <c r="A9" s="37"/>
      <c r="B9" s="1827" t="s">
        <v>14</v>
      </c>
      <c r="C9" s="1827">
        <f>+AP110</f>
        <v>172.43440765912405</v>
      </c>
      <c r="D9" s="1823"/>
      <c r="E9" s="1823"/>
      <c r="F9" s="1824"/>
    </row>
    <row r="10" spans="1:106" ht="22.8" hidden="1" x14ac:dyDescent="0.4">
      <c r="A10" s="37"/>
      <c r="B10" s="1826"/>
      <c r="C10" s="1826"/>
      <c r="D10" s="1823"/>
      <c r="E10" s="1823"/>
      <c r="F10" s="1824"/>
    </row>
    <row r="11" spans="1:106" ht="22.8" hidden="1" x14ac:dyDescent="0.4">
      <c r="A11" s="37"/>
      <c r="B11" s="1279" t="s">
        <v>222</v>
      </c>
      <c r="C11" s="1829">
        <f>+B140*72+31</f>
        <v>103</v>
      </c>
      <c r="D11" s="1823"/>
      <c r="E11" s="1823"/>
      <c r="F11" s="1824"/>
      <c r="BJ11" s="1551"/>
      <c r="BK11" s="1551"/>
      <c r="BL11" s="1551"/>
      <c r="BM11" s="1551"/>
      <c r="BN11" s="1551"/>
      <c r="BO11" s="1551"/>
      <c r="BP11" s="1551"/>
      <c r="BQ11" s="1551"/>
      <c r="BR11" s="1551"/>
      <c r="BS11" s="1551"/>
      <c r="BT11" s="1551"/>
      <c r="BU11" s="1551"/>
      <c r="BV11" s="1551"/>
      <c r="BW11" s="1551"/>
      <c r="BX11" s="1551"/>
      <c r="BY11" s="1551"/>
      <c r="BZ11" s="1551"/>
      <c r="CA11" s="1551"/>
      <c r="CB11" s="1551"/>
      <c r="CC11" s="1551"/>
      <c r="CD11" s="1551"/>
      <c r="CE11" s="1551"/>
      <c r="CF11" s="1551"/>
      <c r="CG11" s="1551"/>
      <c r="CH11" s="1551"/>
      <c r="CI11" s="1551"/>
      <c r="CJ11" s="1551"/>
      <c r="CK11" s="1551"/>
      <c r="CL11" s="1551"/>
      <c r="CM11" s="1551"/>
      <c r="CN11" s="1551"/>
      <c r="CO11" s="1551"/>
      <c r="CP11" s="1551"/>
      <c r="CQ11" s="1551"/>
      <c r="CR11" s="1551"/>
      <c r="CS11" s="1551"/>
      <c r="CT11" s="1551"/>
      <c r="CU11" s="1551"/>
      <c r="CV11" s="1551"/>
      <c r="CW11" s="1551"/>
      <c r="CX11" s="1551"/>
      <c r="CY11" s="1551"/>
      <c r="CZ11" s="1551"/>
      <c r="DA11" s="1551"/>
      <c r="DB11" s="1551"/>
    </row>
    <row r="12" spans="1:106" ht="22.8" hidden="1" x14ac:dyDescent="0.4">
      <c r="A12" s="37"/>
      <c r="B12" s="1279" t="s">
        <v>218</v>
      </c>
      <c r="C12" s="1829">
        <v>747</v>
      </c>
      <c r="D12" s="1830"/>
      <c r="E12" s="1823"/>
      <c r="F12" s="1824"/>
    </row>
    <row r="13" spans="1:106" ht="22.8" hidden="1" x14ac:dyDescent="0.4">
      <c r="A13" s="37"/>
      <c r="B13" s="1826"/>
      <c r="C13" s="1826"/>
      <c r="D13" s="1830"/>
      <c r="E13" s="1823"/>
      <c r="F13" s="1824"/>
    </row>
    <row r="14" spans="1:106" ht="22.8" hidden="1" x14ac:dyDescent="0.4">
      <c r="A14" s="37"/>
      <c r="B14" s="1831" t="s">
        <v>101</v>
      </c>
      <c r="C14" s="1832">
        <f>(+B161*25.5)+31+(B107*25.5)+31</f>
        <v>113</v>
      </c>
      <c r="D14" s="1830"/>
      <c r="E14" s="1823"/>
      <c r="F14" s="1824"/>
    </row>
    <row r="15" spans="1:106" ht="22.8" hidden="1" x14ac:dyDescent="0.4">
      <c r="A15" s="37"/>
      <c r="B15" s="1831" t="s">
        <v>103</v>
      </c>
      <c r="C15" s="1832">
        <v>326.60000000000002</v>
      </c>
      <c r="D15" s="1830"/>
      <c r="E15" s="1823"/>
      <c r="F15" s="1824"/>
    </row>
    <row r="16" spans="1:106" ht="22.8" hidden="1" x14ac:dyDescent="0.4">
      <c r="A16" s="37"/>
      <c r="B16" s="1833"/>
      <c r="C16" s="1833"/>
      <c r="D16" s="1830"/>
      <c r="E16" s="1823"/>
      <c r="F16" s="1824"/>
    </row>
    <row r="17" spans="1:142" ht="22.8" hidden="1" x14ac:dyDescent="0.4">
      <c r="A17" s="37"/>
      <c r="B17" s="1833"/>
      <c r="C17" s="1833"/>
      <c r="D17" s="1830"/>
      <c r="E17" s="1823"/>
      <c r="F17" s="1824"/>
    </row>
    <row r="18" spans="1:142" ht="45.6" hidden="1" x14ac:dyDescent="0.4">
      <c r="A18" s="37"/>
      <c r="B18" s="1834" t="s">
        <v>122</v>
      </c>
      <c r="C18" s="1831">
        <v>5800</v>
      </c>
      <c r="D18" s="1831">
        <v>10000</v>
      </c>
      <c r="E18" s="1823"/>
      <c r="F18" s="1835" t="s">
        <v>225</v>
      </c>
    </row>
    <row r="19" spans="1:142" ht="45.6" hidden="1" x14ac:dyDescent="0.4">
      <c r="A19" s="37"/>
      <c r="B19" s="1834" t="s">
        <v>123</v>
      </c>
      <c r="C19" s="1831">
        <v>5800</v>
      </c>
      <c r="D19" s="1831">
        <v>5800</v>
      </c>
      <c r="E19" s="1823"/>
      <c r="F19" s="1835" t="s">
        <v>71</v>
      </c>
    </row>
    <row r="20" spans="1:142" ht="45.6" hidden="1" x14ac:dyDescent="0.4">
      <c r="A20" s="37"/>
      <c r="B20" s="1834" t="s">
        <v>124</v>
      </c>
      <c r="C20" s="1831">
        <v>8000</v>
      </c>
      <c r="D20" s="1831">
        <v>8000</v>
      </c>
      <c r="E20" s="1836">
        <v>8000</v>
      </c>
      <c r="F20" s="1824"/>
    </row>
    <row r="21" spans="1:142" ht="22.8" hidden="1" x14ac:dyDescent="0.4">
      <c r="A21" s="37"/>
      <c r="B21" s="1831"/>
      <c r="C21" s="1831" t="s">
        <v>22</v>
      </c>
      <c r="D21" s="1831" t="s">
        <v>23</v>
      </c>
      <c r="E21" s="1823"/>
      <c r="F21" s="1824"/>
    </row>
    <row r="22" spans="1:142" ht="23.4" hidden="1" thickBot="1" x14ac:dyDescent="0.45">
      <c r="A22" s="1818"/>
      <c r="B22" s="1837" t="s">
        <v>102</v>
      </c>
      <c r="C22" s="1838">
        <f>+((C8-C9)/C8)*C7</f>
        <v>118.22555490388406</v>
      </c>
      <c r="D22" s="1838">
        <f>+(C9/C8)*C7</f>
        <v>132.27444509611593</v>
      </c>
      <c r="E22" s="1839"/>
      <c r="F22" s="1840"/>
    </row>
    <row r="23" spans="1:142" hidden="1" x14ac:dyDescent="0.3"/>
    <row r="24" spans="1:142" ht="60" hidden="1" x14ac:dyDescent="0.95">
      <c r="BL24" s="1814"/>
    </row>
    <row r="25" spans="1:142" ht="33" customHeight="1" thickBot="1" x14ac:dyDescent="0.45">
      <c r="BM25" s="1552"/>
      <c r="BN25" s="1553" t="s">
        <v>28</v>
      </c>
      <c r="BO25" s="1994">
        <f>+C7</f>
        <v>250.5</v>
      </c>
      <c r="BP25" s="1994"/>
      <c r="BQ25" s="1554" t="s">
        <v>17</v>
      </c>
      <c r="BR25" s="1554"/>
      <c r="BS25" s="1555" t="s">
        <v>249</v>
      </c>
      <c r="BT25" s="1556"/>
      <c r="BU25" s="1556"/>
      <c r="BV25" s="1556"/>
      <c r="BW25" s="1556"/>
      <c r="BX25" s="1556"/>
      <c r="BY25" s="1556"/>
      <c r="BZ25" s="1556"/>
      <c r="CA25" s="1556"/>
      <c r="CB25" s="1556"/>
      <c r="CC25" s="1556"/>
      <c r="CD25" s="1556"/>
      <c r="CE25" s="1556"/>
      <c r="CF25" s="1556"/>
      <c r="CG25" s="1556"/>
      <c r="CH25" s="1556"/>
      <c r="CI25" s="1556"/>
      <c r="CJ25" s="1556"/>
      <c r="CK25" s="1556"/>
      <c r="CL25" s="1556"/>
      <c r="CM25" s="1557"/>
      <c r="CN25" s="1557"/>
      <c r="CO25" s="1557"/>
      <c r="CP25" s="1557"/>
      <c r="CQ25" s="1557"/>
      <c r="CR25" s="1557"/>
      <c r="CS25" s="1557"/>
      <c r="CT25" s="1557"/>
      <c r="CU25" s="1557"/>
      <c r="CV25" s="1557"/>
      <c r="CW25" s="1557"/>
      <c r="CX25" s="1557"/>
      <c r="CY25" s="1557"/>
      <c r="CZ25" s="1557"/>
      <c r="DA25" s="1557"/>
      <c r="DB25" s="1557"/>
    </row>
    <row r="26" spans="1:142" s="143" customFormat="1" ht="45" customHeight="1" thickBot="1" x14ac:dyDescent="0.45">
      <c r="B26" s="147"/>
      <c r="C26" s="147"/>
      <c r="D26" s="144"/>
      <c r="E26" s="144"/>
      <c r="F26" s="144"/>
      <c r="G26" s="144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  <c r="AB26" s="62"/>
      <c r="AC26" s="62"/>
      <c r="AD26" s="62"/>
      <c r="AE26" s="62"/>
      <c r="AF26" s="62"/>
      <c r="AG26" s="62"/>
      <c r="AH26" s="62"/>
      <c r="AI26" s="62"/>
      <c r="AJ26" s="62"/>
      <c r="AK26" s="62"/>
      <c r="AL26" s="62"/>
      <c r="AM26" s="62"/>
      <c r="AN26" s="62"/>
      <c r="AO26" s="62"/>
      <c r="AP26" s="62"/>
      <c r="AQ26" s="62"/>
      <c r="AR26" s="62"/>
      <c r="AS26" s="62"/>
      <c r="AT26" s="62"/>
      <c r="AU26" s="62"/>
      <c r="AV26" s="62"/>
      <c r="AW26" s="62"/>
      <c r="AX26" s="62"/>
      <c r="AY26" s="62"/>
      <c r="AZ26" s="62"/>
      <c r="BA26" s="62"/>
      <c r="BB26" s="62"/>
      <c r="BD26" s="112"/>
      <c r="BE26" s="146"/>
      <c r="BF26" s="144"/>
      <c r="BG26" s="144"/>
      <c r="BH26" s="144"/>
      <c r="BI26"/>
      <c r="BJ26" s="1550"/>
      <c r="BK26" s="1559" t="b">
        <f>AND(BO27&gt;0,CM27&gt;0)</f>
        <v>1</v>
      </c>
      <c r="BL26" s="1560" t="str">
        <f>IF(BK26=TRUE,"","negative force at the motor")</f>
        <v/>
      </c>
      <c r="BM26" s="1561" t="s">
        <v>227</v>
      </c>
      <c r="BN26" s="1562" t="s">
        <v>30</v>
      </c>
      <c r="BO26" s="1563" t="s">
        <v>31</v>
      </c>
      <c r="BP26" s="1564"/>
      <c r="BQ26" s="1565"/>
      <c r="BR26" s="1565"/>
      <c r="BS26" s="1565"/>
      <c r="BT26" s="1565"/>
      <c r="BU26" s="1565"/>
      <c r="BV26" s="1565"/>
      <c r="BW26" s="1565"/>
      <c r="BX26" s="1565"/>
      <c r="BY26" s="1565"/>
      <c r="BZ26" s="1565"/>
      <c r="CA26" s="1565"/>
      <c r="CB26" s="1565"/>
      <c r="CC26" s="1565"/>
      <c r="CD26" s="1565"/>
      <c r="CE26" s="1565"/>
      <c r="CF26" s="1565"/>
      <c r="CG26" s="1566"/>
      <c r="CH26" s="1567"/>
      <c r="CI26" s="1568"/>
      <c r="CJ26" s="1568"/>
      <c r="CK26" s="1568"/>
      <c r="CL26" s="1568"/>
      <c r="CM26" s="1564"/>
      <c r="CN26" s="1569" t="s">
        <v>32</v>
      </c>
      <c r="CO26" s="2013"/>
      <c r="CP26" s="2013"/>
      <c r="CQ26" s="2013"/>
      <c r="CR26" s="2013"/>
      <c r="CS26" s="2013"/>
      <c r="CT26" s="2013"/>
      <c r="CU26" s="2013"/>
      <c r="CV26" s="2013"/>
      <c r="CW26" s="2013"/>
      <c r="CX26" s="2013"/>
      <c r="CY26" s="2014"/>
      <c r="CZ26" s="1557"/>
      <c r="DA26" s="1557"/>
      <c r="DB26" s="1557"/>
      <c r="DC26"/>
      <c r="DD26"/>
      <c r="DE26"/>
      <c r="DF26"/>
      <c r="DG26"/>
      <c r="DH26"/>
      <c r="DI26"/>
      <c r="DJ26"/>
      <c r="DK26"/>
      <c r="DL26"/>
      <c r="DM26"/>
      <c r="DN26"/>
      <c r="DO26"/>
      <c r="DP26"/>
      <c r="DQ26"/>
      <c r="DR26"/>
      <c r="DS26"/>
      <c r="DT26"/>
      <c r="DU26"/>
      <c r="DV26"/>
      <c r="DW26"/>
      <c r="DX26"/>
      <c r="DY26"/>
      <c r="DZ26"/>
      <c r="EA26"/>
      <c r="EB26"/>
      <c r="EC26"/>
      <c r="ED26"/>
      <c r="EE26"/>
      <c r="EF26"/>
      <c r="EG26"/>
      <c r="EH26"/>
      <c r="EI26"/>
      <c r="EJ26"/>
      <c r="EK26"/>
      <c r="EL26"/>
    </row>
    <row r="27" spans="1:142" ht="45" customHeight="1" thickBot="1" x14ac:dyDescent="0.5">
      <c r="U27" s="86"/>
      <c r="BD27" s="1815"/>
      <c r="BF27" s="14"/>
      <c r="BG27" s="1815"/>
      <c r="BH27" s="1815"/>
      <c r="BK27" s="1550" t="b">
        <f>AND(BM27&gt;=10,$BA$110&gt;=10,$BB$110&gt;=10)</f>
        <v>1</v>
      </c>
      <c r="BL27" s="1570" t="str">
        <f>IF(BK27=TRUE,"O K","OVERLOAD")</f>
        <v>O K</v>
      </c>
      <c r="BM27" s="1571">
        <f>+D20/(MAX(BO27,CM27))</f>
        <v>62.413168444193985</v>
      </c>
      <c r="BN27" s="1572" t="s">
        <v>228</v>
      </c>
      <c r="BO27" s="2026">
        <f>+((D4-D5)/D4)*C7</f>
        <v>128.17807843152696</v>
      </c>
      <c r="BP27" s="2027"/>
      <c r="BQ27" s="1573"/>
      <c r="BR27" s="1573"/>
      <c r="BS27" s="1573"/>
      <c r="BT27" s="1574"/>
      <c r="BU27" s="1574"/>
      <c r="BV27" s="1574"/>
      <c r="BW27" s="1575"/>
      <c r="BX27" s="1575"/>
      <c r="BY27" s="1575"/>
      <c r="BZ27" s="1575"/>
      <c r="CA27" s="1575"/>
      <c r="CB27" s="1575"/>
      <c r="CC27" s="1575"/>
      <c r="CD27" s="1575"/>
      <c r="CE27" s="1575"/>
      <c r="CF27" s="1575"/>
      <c r="CG27" s="1576"/>
      <c r="CH27" s="1573"/>
      <c r="CI27" s="1573"/>
      <c r="CJ27" s="1573"/>
      <c r="CK27" s="1574"/>
      <c r="CL27" s="1574"/>
      <c r="CM27" s="2028">
        <f>+(D5/D4)*C7</f>
        <v>122.32192156847303</v>
      </c>
      <c r="CN27" s="2029"/>
      <c r="CO27" s="2015"/>
      <c r="CP27" s="2015"/>
      <c r="CQ27" s="2015"/>
      <c r="CR27" s="2015"/>
      <c r="CS27" s="2015"/>
      <c r="CT27" s="2015"/>
      <c r="CU27" s="2015"/>
      <c r="CV27" s="2015"/>
      <c r="CW27" s="2015"/>
      <c r="CX27" s="2015"/>
      <c r="CY27" s="2016"/>
      <c r="CZ27" s="1557"/>
      <c r="DA27" s="1557"/>
      <c r="DB27" s="1557"/>
    </row>
    <row r="28" spans="1:142" ht="14.25" customHeight="1" thickBot="1" x14ac:dyDescent="0.5">
      <c r="BF28" s="14"/>
      <c r="BG28" s="1815"/>
      <c r="BH28" s="1815"/>
      <c r="BL28" s="1577"/>
      <c r="BM28" s="1578"/>
      <c r="BN28" s="1579"/>
      <c r="BO28" s="1580"/>
      <c r="BP28" s="1580"/>
      <c r="BQ28" s="1579"/>
      <c r="BR28" s="1579"/>
      <c r="BS28" s="1579"/>
      <c r="BT28" s="1579"/>
      <c r="BU28" s="1579"/>
      <c r="BV28" s="1579"/>
      <c r="BW28" s="1579"/>
      <c r="BX28" s="1579"/>
      <c r="BY28" s="1579"/>
      <c r="BZ28" s="1579"/>
      <c r="CA28" s="1579"/>
      <c r="CB28" s="1579"/>
      <c r="CC28" s="1579"/>
      <c r="CD28" s="1579"/>
      <c r="CE28" s="1579"/>
      <c r="CF28" s="1579"/>
      <c r="CG28" s="1581"/>
      <c r="CH28" s="1582"/>
      <c r="CI28" s="1582"/>
      <c r="CJ28" s="1580"/>
      <c r="CK28" s="1583"/>
      <c r="CL28" s="1583"/>
      <c r="CM28" s="1583"/>
      <c r="CN28" s="1583"/>
      <c r="CO28" s="1583"/>
      <c r="CP28" s="1583"/>
      <c r="CQ28" s="1583"/>
      <c r="CR28" s="1583"/>
      <c r="CS28" s="1583"/>
      <c r="CT28" s="1583"/>
      <c r="CU28" s="1583"/>
      <c r="CV28" s="1583"/>
      <c r="CW28" s="1583"/>
      <c r="CX28" s="1583"/>
      <c r="CY28" s="1583"/>
      <c r="CZ28" s="1583"/>
      <c r="DA28" s="1557"/>
      <c r="DB28" s="1557"/>
    </row>
    <row r="29" spans="1:142" ht="45" customHeight="1" thickBot="1" x14ac:dyDescent="0.5">
      <c r="F29" s="119"/>
      <c r="G29" s="119"/>
      <c r="BF29" s="14"/>
      <c r="BG29" s="1815"/>
      <c r="BH29" s="1815"/>
      <c r="BK29" s="1559" t="b">
        <f>AND(BZ30&gt;0,CX30&gt;0)</f>
        <v>1</v>
      </c>
      <c r="BL29" s="1560" t="str">
        <f>IF(BK29=TRUE,"","negative force at the motor")</f>
        <v/>
      </c>
      <c r="BM29" s="1561" t="s">
        <v>227</v>
      </c>
      <c r="BN29" s="1584" t="s">
        <v>30</v>
      </c>
      <c r="BO29" s="2017"/>
      <c r="BP29" s="2013"/>
      <c r="BQ29" s="2013"/>
      <c r="BR29" s="2013"/>
      <c r="BS29" s="2013"/>
      <c r="BT29" s="2013"/>
      <c r="BU29" s="2013"/>
      <c r="BV29" s="2013"/>
      <c r="BW29" s="2013"/>
      <c r="BX29" s="2013"/>
      <c r="BY29" s="2013"/>
      <c r="BZ29" s="1585" t="s">
        <v>31</v>
      </c>
      <c r="CA29" s="1586"/>
      <c r="CB29" s="1587"/>
      <c r="CC29" s="1587"/>
      <c r="CD29" s="1587"/>
      <c r="CE29" s="1587"/>
      <c r="CF29" s="1587"/>
      <c r="CG29" s="1587"/>
      <c r="CH29" s="1587"/>
      <c r="CI29" s="1587"/>
      <c r="CJ29" s="1587"/>
      <c r="CK29" s="1587"/>
      <c r="CL29" s="1588"/>
      <c r="CM29" s="1589"/>
      <c r="CN29" s="1589"/>
      <c r="CO29" s="1589"/>
      <c r="CP29" s="1589"/>
      <c r="CQ29" s="1590"/>
      <c r="CR29" s="1590"/>
      <c r="CS29" s="1588"/>
      <c r="CT29" s="1588"/>
      <c r="CU29" s="1588"/>
      <c r="CV29" s="1588"/>
      <c r="CW29" s="1588"/>
      <c r="CX29" s="1591"/>
      <c r="CY29" s="1592" t="s">
        <v>32</v>
      </c>
      <c r="CZ29" s="1593"/>
      <c r="DA29" s="1557"/>
      <c r="DB29" s="1557"/>
    </row>
    <row r="30" spans="1:142" ht="45" customHeight="1" thickBot="1" x14ac:dyDescent="0.5">
      <c r="H30" s="243"/>
      <c r="I30" s="243"/>
      <c r="J30" s="243"/>
      <c r="K30" s="243"/>
      <c r="L30" s="243"/>
      <c r="M30" s="243"/>
      <c r="N30" s="243"/>
      <c r="O30" s="243"/>
      <c r="P30" s="243"/>
      <c r="Q30" s="243"/>
      <c r="R30" s="243"/>
      <c r="S30" s="243"/>
      <c r="T30" s="243"/>
      <c r="AF30" s="243"/>
      <c r="AG30" s="243"/>
      <c r="AH30" s="243"/>
      <c r="AI30" s="243"/>
      <c r="AJ30" s="243"/>
      <c r="AK30" s="243"/>
      <c r="AL30" s="243"/>
      <c r="AM30" s="243"/>
      <c r="AN30" s="243"/>
      <c r="AO30" s="243"/>
      <c r="AP30" s="243"/>
      <c r="AQ30" s="243"/>
      <c r="AR30" s="243"/>
      <c r="AS30" s="243"/>
      <c r="AT30" s="243"/>
      <c r="AU30" s="243"/>
      <c r="AV30" s="243"/>
      <c r="AW30" s="243"/>
      <c r="AX30" s="243"/>
      <c r="AY30" s="243"/>
      <c r="AZ30" s="243"/>
      <c r="BA30" s="243"/>
      <c r="BB30" s="243"/>
      <c r="BC30" s="14"/>
      <c r="BF30" s="14"/>
      <c r="BG30" s="14"/>
      <c r="BH30" s="14"/>
      <c r="BK30" s="1550" t="b">
        <f>AND(BM30&gt;=10,$BA$110&gt;=10,$BB$110&gt;=10)</f>
        <v>1</v>
      </c>
      <c r="BL30" s="1570" t="str">
        <f>IF(BK30=TRUE,"O K","OVERLOAD")</f>
        <v>O K</v>
      </c>
      <c r="BM30" s="1571">
        <f>+$D$20/(MAX(BZ30,CX30))</f>
        <v>36.135754317347804</v>
      </c>
      <c r="BN30" s="1594" t="s">
        <v>229</v>
      </c>
      <c r="BO30" s="2018"/>
      <c r="BP30" s="2015"/>
      <c r="BQ30" s="2015"/>
      <c r="BR30" s="2015"/>
      <c r="BS30" s="2015"/>
      <c r="BT30" s="2015"/>
      <c r="BU30" s="2015"/>
      <c r="BV30" s="2015"/>
      <c r="BW30" s="2015"/>
      <c r="BX30" s="2015"/>
      <c r="BY30" s="2015"/>
      <c r="BZ30" s="2030">
        <f>+((D4-D3)/D4)*C7</f>
        <v>221.38738075710833</v>
      </c>
      <c r="CA30" s="2031"/>
      <c r="CB30" s="1595"/>
      <c r="CC30" s="1595"/>
      <c r="CD30" s="1595"/>
      <c r="CE30" s="1595"/>
      <c r="CF30" s="1595"/>
      <c r="CG30" s="1595"/>
      <c r="CH30" s="1595"/>
      <c r="CI30" s="1595"/>
      <c r="CJ30" s="1595"/>
      <c r="CK30" s="1595"/>
      <c r="CL30" s="1596"/>
      <c r="CM30" s="1597"/>
      <c r="CN30" s="1597"/>
      <c r="CO30" s="1597"/>
      <c r="CP30" s="1597"/>
      <c r="CQ30" s="1598"/>
      <c r="CR30" s="1598"/>
      <c r="CS30" s="1599"/>
      <c r="CT30" s="1599"/>
      <c r="CU30" s="1599"/>
      <c r="CV30" s="1599"/>
      <c r="CW30" s="1599"/>
      <c r="CX30" s="2019">
        <f>+(D3/D4)*C7</f>
        <v>29.112619242891657</v>
      </c>
      <c r="CY30" s="2020"/>
      <c r="CZ30" s="1600"/>
      <c r="DA30" s="1557"/>
      <c r="DB30" s="1557"/>
    </row>
    <row r="31" spans="1:142" ht="14.25" customHeight="1" thickBot="1" x14ac:dyDescent="0.45">
      <c r="H31" s="243"/>
      <c r="I31" s="243"/>
      <c r="J31" s="243"/>
      <c r="K31" s="243"/>
      <c r="L31" s="243"/>
      <c r="M31" s="243"/>
      <c r="N31" s="243"/>
      <c r="O31" s="243"/>
      <c r="P31" s="243"/>
      <c r="Q31" s="243"/>
      <c r="R31" s="243"/>
      <c r="S31" s="243"/>
      <c r="T31" s="243"/>
      <c r="AF31" s="243"/>
      <c r="AG31" s="243"/>
      <c r="AH31" s="243"/>
      <c r="AI31" s="243"/>
      <c r="AJ31" s="243"/>
      <c r="AK31" s="243"/>
      <c r="AL31" s="243"/>
      <c r="AM31" s="243"/>
      <c r="AN31" s="243"/>
      <c r="AO31" s="243"/>
      <c r="AP31" s="243"/>
      <c r="AQ31" s="243"/>
      <c r="AR31" s="243"/>
      <c r="AS31" s="243"/>
      <c r="AT31" s="243"/>
      <c r="AU31" s="243"/>
      <c r="AV31" s="243"/>
      <c r="AW31" s="243"/>
      <c r="AX31" s="243"/>
      <c r="AY31" s="243"/>
      <c r="AZ31" s="243"/>
      <c r="BA31" s="243"/>
      <c r="BB31" s="243"/>
      <c r="BC31" s="14"/>
      <c r="BF31" s="14"/>
      <c r="BG31" s="86"/>
      <c r="BH31" s="86"/>
      <c r="BL31" s="1577"/>
      <c r="BM31" s="1601"/>
      <c r="BN31" s="1602"/>
      <c r="BO31" s="1602"/>
      <c r="BP31" s="1602"/>
      <c r="BQ31" s="1602"/>
      <c r="BR31" s="1602"/>
      <c r="BS31" s="1602"/>
      <c r="BT31" s="1602"/>
      <c r="BU31" s="1602"/>
      <c r="BV31" s="1602"/>
      <c r="BW31" s="1603"/>
      <c r="BX31" s="1603"/>
      <c r="BY31" s="1604"/>
      <c r="BZ31" s="1604"/>
      <c r="CA31" s="1604"/>
      <c r="CB31" s="1604"/>
      <c r="CC31" s="1604"/>
      <c r="CD31" s="1604"/>
      <c r="CE31" s="1604"/>
      <c r="CF31" s="1604"/>
      <c r="CG31" s="1604"/>
      <c r="CH31" s="1604"/>
      <c r="CI31" s="1604"/>
      <c r="CJ31" s="1604"/>
      <c r="CK31" s="1604"/>
      <c r="CL31" s="1605"/>
      <c r="CM31" s="1606"/>
      <c r="CN31" s="1606"/>
      <c r="CO31" s="1606"/>
      <c r="CP31" s="1606"/>
      <c r="CQ31" s="1600"/>
      <c r="CR31" s="1600"/>
      <c r="CS31" s="1600"/>
      <c r="CT31" s="1600"/>
      <c r="CU31" s="1600"/>
      <c r="CV31" s="1600"/>
      <c r="CW31" s="1600"/>
      <c r="CX31" s="1600"/>
      <c r="CY31" s="1600"/>
      <c r="CZ31" s="1600"/>
      <c r="DA31" s="1557"/>
      <c r="DB31" s="1557"/>
      <c r="DC31" s="14"/>
      <c r="DD31" s="14"/>
      <c r="DE31" s="14"/>
      <c r="DF31" s="14"/>
      <c r="DG31" s="14"/>
      <c r="DH31" s="14"/>
      <c r="DI31" s="14"/>
      <c r="DJ31" s="14"/>
      <c r="DK31" s="14"/>
      <c r="DL31" s="14"/>
      <c r="DM31" s="14"/>
      <c r="DN31" s="14"/>
      <c r="DO31" s="14"/>
      <c r="DP31" s="14"/>
      <c r="DQ31" s="14"/>
      <c r="DR31" s="14"/>
      <c r="DS31" s="14"/>
      <c r="DT31" s="14"/>
      <c r="DU31" s="14"/>
      <c r="DV31" s="14"/>
      <c r="DW31" s="14"/>
      <c r="DX31" s="14"/>
      <c r="DY31" s="14"/>
      <c r="DZ31" s="14"/>
      <c r="EA31" s="14"/>
      <c r="EB31" s="14"/>
      <c r="EC31" s="14"/>
      <c r="ED31" s="14"/>
      <c r="EE31" s="14"/>
      <c r="EF31" s="14"/>
      <c r="EG31" s="14"/>
      <c r="EH31" s="14"/>
      <c r="EI31" s="14"/>
      <c r="EJ31" s="14"/>
      <c r="EK31" s="14"/>
      <c r="EL31" s="14"/>
    </row>
    <row r="32" spans="1:142" ht="45" customHeight="1" thickBot="1" x14ac:dyDescent="0.45">
      <c r="E32" s="85"/>
      <c r="F32" s="85"/>
      <c r="G32" s="85"/>
      <c r="H32" s="243"/>
      <c r="I32" s="243"/>
      <c r="J32" s="243"/>
      <c r="K32" s="243"/>
      <c r="L32" s="243"/>
      <c r="M32" s="243"/>
      <c r="N32" s="243"/>
      <c r="O32" s="243"/>
      <c r="P32" s="243"/>
      <c r="Q32" s="243"/>
      <c r="R32" s="243"/>
      <c r="S32" s="243"/>
      <c r="T32" s="243"/>
      <c r="U32" s="243"/>
      <c r="V32" s="243"/>
      <c r="W32" s="243"/>
      <c r="X32" s="243"/>
      <c r="Y32" s="243"/>
      <c r="Z32" s="243"/>
      <c r="AA32" s="243"/>
      <c r="AB32" s="243"/>
      <c r="AC32" s="243"/>
      <c r="AD32" s="243"/>
      <c r="AE32" s="243"/>
      <c r="AF32" s="243"/>
      <c r="AG32" s="243"/>
      <c r="AH32" s="243"/>
      <c r="AI32" s="243"/>
      <c r="AJ32" s="243"/>
      <c r="AK32" s="243"/>
      <c r="AL32" s="243"/>
      <c r="AM32" s="243"/>
      <c r="AN32" s="243"/>
      <c r="AO32" s="243"/>
      <c r="AP32" s="243"/>
      <c r="AQ32" s="243"/>
      <c r="AR32" s="243"/>
      <c r="AS32" s="243"/>
      <c r="AT32" s="243"/>
      <c r="AU32" s="243"/>
      <c r="AV32" s="243"/>
      <c r="AW32" s="243"/>
      <c r="AX32" s="243"/>
      <c r="AY32" s="243"/>
      <c r="AZ32" s="243"/>
      <c r="BA32" s="243"/>
      <c r="BB32" s="243"/>
      <c r="BC32" s="14"/>
      <c r="BF32" s="14"/>
      <c r="BG32" s="323"/>
      <c r="BH32" s="323"/>
      <c r="BK32" s="1559" t="b">
        <f>AND(BZ33&gt;0,CO33&gt;0)</f>
        <v>1</v>
      </c>
      <c r="BL32" s="1560" t="str">
        <f>IF(BK32=TRUE,"","negative force at the motor")</f>
        <v/>
      </c>
      <c r="BM32" s="1561" t="s">
        <v>227</v>
      </c>
      <c r="BN32" s="1607" t="s">
        <v>30</v>
      </c>
      <c r="BO32" s="2017"/>
      <c r="BP32" s="2013"/>
      <c r="BQ32" s="2013"/>
      <c r="BR32" s="2013"/>
      <c r="BS32" s="2013"/>
      <c r="BT32" s="2013"/>
      <c r="BU32" s="2013"/>
      <c r="BV32" s="2013"/>
      <c r="BW32" s="2013"/>
      <c r="BX32" s="2013"/>
      <c r="BY32" s="2013"/>
      <c r="BZ32" s="1608" t="s">
        <v>31</v>
      </c>
      <c r="CA32" s="1609"/>
      <c r="CB32" s="1610"/>
      <c r="CC32" s="1610"/>
      <c r="CD32" s="1610"/>
      <c r="CE32" s="1610"/>
      <c r="CF32" s="1610"/>
      <c r="CG32" s="1611"/>
      <c r="CH32" s="1612"/>
      <c r="CI32" s="1613"/>
      <c r="CJ32" s="1613"/>
      <c r="CK32" s="1614"/>
      <c r="CL32" s="1614"/>
      <c r="CM32" s="1614"/>
      <c r="CN32" s="1614"/>
      <c r="CO32" s="1609"/>
      <c r="CP32" s="1615" t="s">
        <v>32</v>
      </c>
      <c r="CQ32" s="2013"/>
      <c r="CR32" s="2013"/>
      <c r="CS32" s="2013"/>
      <c r="CT32" s="2013"/>
      <c r="CU32" s="2013"/>
      <c r="CV32" s="2013"/>
      <c r="CW32" s="2013"/>
      <c r="CX32" s="2013"/>
      <c r="CY32" s="2014"/>
      <c r="CZ32" s="1583"/>
      <c r="DA32" s="1557"/>
      <c r="DB32" s="1557"/>
    </row>
    <row r="33" spans="5:106" ht="45" customHeight="1" thickBot="1" x14ac:dyDescent="0.5">
      <c r="E33" s="85"/>
      <c r="F33" s="85"/>
      <c r="G33" s="85"/>
      <c r="H33" s="243"/>
      <c r="I33" s="243"/>
      <c r="J33" s="243"/>
      <c r="K33" s="243"/>
      <c r="L33" s="243"/>
      <c r="M33" s="243"/>
      <c r="N33" s="243"/>
      <c r="O33" s="243"/>
      <c r="P33" s="243"/>
      <c r="Q33" s="243"/>
      <c r="R33" s="243"/>
      <c r="S33" s="243"/>
      <c r="T33" s="243"/>
      <c r="U33" s="243"/>
      <c r="V33" s="243"/>
      <c r="W33" s="243"/>
      <c r="X33" s="243"/>
      <c r="Y33" s="243"/>
      <c r="Z33" s="243"/>
      <c r="AA33" s="243"/>
      <c r="AB33" s="243"/>
      <c r="AC33" s="243"/>
      <c r="AD33" s="243"/>
      <c r="AE33" s="243"/>
      <c r="AF33" s="243"/>
      <c r="AG33" s="243"/>
      <c r="AH33" s="243"/>
      <c r="AI33" s="243"/>
      <c r="AJ33" s="243"/>
      <c r="AK33" s="243"/>
      <c r="AL33" s="243"/>
      <c r="AM33" s="243"/>
      <c r="AN33" s="243"/>
      <c r="AO33" s="243"/>
      <c r="AP33" s="243"/>
      <c r="AQ33" s="243"/>
      <c r="AR33" s="243"/>
      <c r="AS33" s="243"/>
      <c r="AT33" s="243"/>
      <c r="AU33" s="243"/>
      <c r="AV33" s="243"/>
      <c r="AW33" s="243"/>
      <c r="AX33" s="243"/>
      <c r="AY33" s="243"/>
      <c r="AZ33" s="243"/>
      <c r="BA33" s="243"/>
      <c r="BB33" s="243"/>
      <c r="BC33" s="14"/>
      <c r="BG33" s="4"/>
      <c r="BH33" s="4"/>
      <c r="BK33" s="1550" t="b">
        <f>AND(BM33&gt;=10,$BA$110&gt;=10,$BB$110&gt;=10)</f>
        <v>1</v>
      </c>
      <c r="BL33" s="1570" t="str">
        <f>IF(BK33=TRUE,"O K","OVERLOAD")</f>
        <v>O K</v>
      </c>
      <c r="BM33" s="1616">
        <f>+$D$20/(MAX(BZ33,CO33))</f>
        <v>39.022195020249391</v>
      </c>
      <c r="BN33" s="1617" t="s">
        <v>230</v>
      </c>
      <c r="BO33" s="2018"/>
      <c r="BP33" s="2015"/>
      <c r="BQ33" s="2015"/>
      <c r="BR33" s="2015"/>
      <c r="BS33" s="2015"/>
      <c r="BT33" s="2015"/>
      <c r="BU33" s="2015"/>
      <c r="BV33" s="2015"/>
      <c r="BW33" s="2015"/>
      <c r="BX33" s="2015"/>
      <c r="BY33" s="2015"/>
      <c r="BZ33" s="2022">
        <f>+((D2-D3)/D2)*C7</f>
        <v>205.01153243298182</v>
      </c>
      <c r="CA33" s="2023"/>
      <c r="CB33" s="1618"/>
      <c r="CC33" s="1618"/>
      <c r="CD33" s="1618"/>
      <c r="CE33" s="1618"/>
      <c r="CF33" s="1618"/>
      <c r="CG33" s="1619"/>
      <c r="CH33" s="1620"/>
      <c r="CI33" s="1621"/>
      <c r="CJ33" s="1621"/>
      <c r="CK33" s="1622"/>
      <c r="CL33" s="1622"/>
      <c r="CM33" s="1622"/>
      <c r="CN33" s="1622"/>
      <c r="CO33" s="2024">
        <f>+(D3/D2)*C7</f>
        <v>45.488467567018219</v>
      </c>
      <c r="CP33" s="2025"/>
      <c r="CQ33" s="2015"/>
      <c r="CR33" s="2015"/>
      <c r="CS33" s="2015"/>
      <c r="CT33" s="2015"/>
      <c r="CU33" s="2015"/>
      <c r="CV33" s="2015"/>
      <c r="CW33" s="2015"/>
      <c r="CX33" s="2015"/>
      <c r="CY33" s="2016"/>
      <c r="CZ33" s="1583"/>
      <c r="DA33" s="1557"/>
      <c r="DB33" s="1557"/>
    </row>
    <row r="34" spans="5:106" ht="14.25" customHeight="1" thickBot="1" x14ac:dyDescent="0.45">
      <c r="E34" s="85"/>
      <c r="F34" s="85"/>
      <c r="G34" s="85"/>
      <c r="H34" s="243"/>
      <c r="I34" s="243"/>
      <c r="J34" s="243"/>
      <c r="K34" s="243"/>
      <c r="L34" s="243"/>
      <c r="M34" s="243"/>
      <c r="N34" s="243"/>
      <c r="O34" s="243"/>
      <c r="P34" s="243"/>
      <c r="Q34" s="243"/>
      <c r="R34" s="243"/>
      <c r="S34" s="243"/>
      <c r="T34" s="243"/>
      <c r="U34" s="243"/>
      <c r="V34" s="243"/>
      <c r="W34" s="243"/>
      <c r="X34" s="243"/>
      <c r="Y34" s="243"/>
      <c r="Z34" s="243"/>
      <c r="AA34" s="243"/>
      <c r="AB34" s="243"/>
      <c r="AC34" s="243"/>
      <c r="AD34" s="243"/>
      <c r="AE34" s="243"/>
      <c r="AF34" s="243"/>
      <c r="AG34" s="243"/>
      <c r="AH34" s="243"/>
      <c r="AI34" s="243"/>
      <c r="AJ34" s="243"/>
      <c r="AK34" s="243"/>
      <c r="AL34" s="243"/>
      <c r="AM34" s="243"/>
      <c r="AN34" s="243"/>
      <c r="AO34" s="243"/>
      <c r="AP34" s="243"/>
      <c r="AQ34" s="243"/>
      <c r="AR34" s="243"/>
      <c r="AS34" s="243"/>
      <c r="AT34" s="243"/>
      <c r="AU34" s="243"/>
      <c r="AV34" s="243"/>
      <c r="AW34" s="243"/>
      <c r="AX34" s="243"/>
      <c r="AY34" s="243"/>
      <c r="AZ34" s="243"/>
      <c r="BA34" s="243"/>
      <c r="BB34" s="243"/>
      <c r="BC34" s="14"/>
      <c r="BG34" s="4"/>
      <c r="BH34" s="4"/>
      <c r="BL34" s="1577"/>
      <c r="BM34" s="1601"/>
      <c r="BN34" s="1602"/>
      <c r="BO34" s="1602"/>
      <c r="BP34" s="1602"/>
      <c r="BQ34" s="1602"/>
      <c r="BR34" s="1602"/>
      <c r="BS34" s="1602"/>
      <c r="BT34" s="1602"/>
      <c r="BU34" s="1602"/>
      <c r="BV34" s="1602"/>
      <c r="BW34" s="1603"/>
      <c r="BX34" s="1603"/>
      <c r="BY34" s="1604"/>
      <c r="BZ34" s="1604"/>
      <c r="CA34" s="1604"/>
      <c r="CB34" s="1604"/>
      <c r="CC34" s="1604"/>
      <c r="CD34" s="1604"/>
      <c r="CE34" s="1604"/>
      <c r="CF34" s="1604"/>
      <c r="CG34" s="1604"/>
      <c r="CH34" s="1604"/>
      <c r="CI34" s="1602"/>
      <c r="CJ34" s="1604"/>
      <c r="CK34" s="1604"/>
      <c r="CL34" s="1605"/>
      <c r="CM34" s="1606"/>
      <c r="CN34" s="1606"/>
      <c r="CO34" s="1606"/>
      <c r="CP34" s="1606"/>
      <c r="CQ34" s="1600"/>
      <c r="CR34" s="1600"/>
      <c r="CS34" s="1600"/>
      <c r="CT34" s="1600"/>
      <c r="CU34" s="1600"/>
      <c r="CV34" s="1600"/>
      <c r="CW34" s="1600"/>
      <c r="CX34" s="1600"/>
      <c r="CY34" s="1600"/>
      <c r="CZ34" s="1600"/>
      <c r="DA34" s="1557"/>
      <c r="DB34" s="1557"/>
    </row>
    <row r="35" spans="5:106" ht="26.25" hidden="1" customHeight="1" x14ac:dyDescent="0.3">
      <c r="E35" s="85"/>
      <c r="F35" s="85"/>
      <c r="G35" s="85"/>
      <c r="H35" s="243"/>
      <c r="I35" s="243"/>
      <c r="J35" s="243"/>
      <c r="K35" s="243"/>
      <c r="L35" s="243"/>
      <c r="M35" s="243"/>
      <c r="N35" s="243"/>
      <c r="O35" s="243"/>
      <c r="P35" s="243"/>
      <c r="Q35" s="243"/>
      <c r="R35" s="243"/>
      <c r="S35" s="243"/>
      <c r="T35" s="243"/>
      <c r="U35" s="243"/>
      <c r="V35" s="243"/>
      <c r="W35" s="243"/>
      <c r="X35" s="243"/>
      <c r="Y35" s="243"/>
      <c r="Z35" s="243"/>
      <c r="AA35" s="243"/>
      <c r="AB35" s="243"/>
      <c r="AC35" s="243"/>
      <c r="AD35" s="243"/>
      <c r="AE35" s="243"/>
      <c r="AF35" s="243"/>
      <c r="AG35" s="243"/>
      <c r="AH35" s="243"/>
      <c r="AI35" s="243"/>
      <c r="AJ35" s="243"/>
      <c r="AK35" s="243"/>
      <c r="AL35" s="243"/>
      <c r="AM35" s="243"/>
      <c r="AN35" s="243"/>
      <c r="AO35" s="243"/>
      <c r="AP35" s="243"/>
      <c r="AQ35" s="243"/>
      <c r="AR35" s="243"/>
      <c r="AS35" s="243"/>
      <c r="AT35" s="243"/>
      <c r="AU35" s="243"/>
      <c r="AV35" s="243"/>
      <c r="AW35" s="243"/>
      <c r="AX35" s="243"/>
      <c r="AY35" s="243"/>
      <c r="AZ35" s="243"/>
      <c r="BA35" s="243"/>
      <c r="BB35" s="243"/>
      <c r="BC35" s="14"/>
      <c r="BG35" s="4"/>
      <c r="BH35" s="4"/>
      <c r="BL35" s="1577"/>
    </row>
    <row r="36" spans="5:106" ht="26.25" hidden="1" customHeight="1" x14ac:dyDescent="0.3">
      <c r="E36" s="85"/>
      <c r="F36" s="85"/>
      <c r="G36" s="85"/>
      <c r="H36" s="243"/>
      <c r="I36" s="243"/>
      <c r="J36" s="243"/>
      <c r="K36" s="243"/>
      <c r="L36" s="243"/>
      <c r="M36" s="243"/>
      <c r="N36" s="243"/>
      <c r="O36" s="243"/>
      <c r="P36" s="243"/>
      <c r="Q36" s="243"/>
      <c r="R36" s="243"/>
      <c r="S36" s="243"/>
      <c r="T36" s="243"/>
      <c r="U36" s="243"/>
      <c r="V36" s="243"/>
      <c r="W36" s="243"/>
      <c r="X36" s="243"/>
      <c r="Y36" s="243"/>
      <c r="Z36" s="243"/>
      <c r="AA36" s="243"/>
      <c r="AB36" s="243"/>
      <c r="AC36" s="243"/>
      <c r="AD36" s="243"/>
      <c r="AE36" s="243"/>
      <c r="AF36" s="243"/>
      <c r="AG36" s="243"/>
      <c r="AH36" s="243"/>
      <c r="AI36" s="243"/>
      <c r="AJ36" s="243"/>
      <c r="AK36" s="243"/>
      <c r="AL36" s="243"/>
      <c r="AM36" s="243"/>
      <c r="AN36" s="243"/>
      <c r="AO36" s="243"/>
      <c r="AP36" s="243"/>
      <c r="AQ36" s="243"/>
      <c r="AR36" s="243"/>
      <c r="AS36" s="243"/>
      <c r="AT36" s="243"/>
      <c r="AU36" s="243"/>
      <c r="AV36" s="243"/>
      <c r="AW36" s="243"/>
      <c r="AX36" s="243"/>
      <c r="AY36" s="243"/>
      <c r="AZ36" s="243"/>
      <c r="BA36" s="243"/>
      <c r="BB36" s="243"/>
      <c r="BC36" s="14"/>
      <c r="BG36" s="4"/>
      <c r="BH36" s="4"/>
      <c r="BL36" s="1577"/>
    </row>
    <row r="37" spans="5:106" ht="26.25" hidden="1" customHeight="1" x14ac:dyDescent="0.4">
      <c r="E37" s="85"/>
      <c r="F37" s="85"/>
      <c r="G37" s="85"/>
      <c r="H37" s="243"/>
      <c r="I37" s="243"/>
      <c r="J37" s="243"/>
      <c r="K37" s="243"/>
      <c r="L37" s="243"/>
      <c r="M37" s="243"/>
      <c r="N37" s="243"/>
      <c r="O37" s="243"/>
      <c r="P37" s="243"/>
      <c r="Q37" s="243"/>
      <c r="R37" s="243"/>
      <c r="S37" s="243"/>
      <c r="T37" s="243"/>
      <c r="U37" s="243"/>
      <c r="V37" s="243"/>
      <c r="W37" s="243"/>
      <c r="X37" s="243"/>
      <c r="Y37" s="243"/>
      <c r="Z37" s="243"/>
      <c r="AA37" s="243"/>
      <c r="AB37" s="243"/>
      <c r="AC37" s="243"/>
      <c r="AD37" s="243"/>
      <c r="AE37" s="243"/>
      <c r="AF37" s="243"/>
      <c r="AG37" s="243"/>
      <c r="AH37" s="243"/>
      <c r="AI37" s="243"/>
      <c r="AJ37" s="243"/>
      <c r="AK37" s="243"/>
      <c r="AL37" s="243"/>
      <c r="AM37" s="243"/>
      <c r="AN37" s="243"/>
      <c r="AO37" s="243"/>
      <c r="AP37" s="243"/>
      <c r="AQ37" s="243"/>
      <c r="AR37" s="243"/>
      <c r="AS37" s="243"/>
      <c r="AT37" s="243"/>
      <c r="AU37" s="243"/>
      <c r="AV37" s="243"/>
      <c r="AW37" s="243"/>
      <c r="AX37" s="243"/>
      <c r="AY37" s="243"/>
      <c r="AZ37" s="243"/>
      <c r="BA37" s="243"/>
      <c r="BB37" s="243"/>
      <c r="BC37" s="14"/>
      <c r="BG37" s="4"/>
      <c r="BH37" s="4"/>
      <c r="BL37" s="1577"/>
      <c r="BM37" s="1624"/>
      <c r="BN37" s="1625"/>
      <c r="BO37" s="1626"/>
      <c r="BP37" s="1626"/>
      <c r="BQ37" s="1626"/>
      <c r="BR37" s="1626"/>
      <c r="BS37" s="1626"/>
      <c r="BT37" s="1626"/>
      <c r="BU37" s="1626"/>
      <c r="BV37" s="1626"/>
      <c r="BW37" s="1627"/>
      <c r="BX37" s="1627"/>
      <c r="BY37" s="1628"/>
      <c r="BZ37" s="1628"/>
      <c r="CA37" s="1628"/>
      <c r="CB37" s="1628"/>
      <c r="CC37" s="1628"/>
      <c r="CD37" s="1628"/>
      <c r="CE37" s="1628"/>
      <c r="CF37" s="1628"/>
      <c r="CG37" s="1605"/>
      <c r="CH37" s="1604"/>
      <c r="CI37" s="1629"/>
      <c r="CJ37" s="1629"/>
      <c r="CK37" s="1583"/>
      <c r="CL37" s="1583"/>
      <c r="CM37" s="1583"/>
      <c r="CN37" s="1583"/>
      <c r="CO37" s="1583"/>
      <c r="CP37" s="1583"/>
      <c r="CQ37" s="1583"/>
      <c r="CR37" s="1583"/>
      <c r="CS37" s="1583"/>
      <c r="CT37" s="1583"/>
      <c r="CU37" s="1626"/>
      <c r="CV37" s="1626"/>
      <c r="CW37" s="1626"/>
      <c r="CX37" s="1626"/>
      <c r="CY37" s="1626"/>
      <c r="CZ37" s="1630"/>
      <c r="DA37" s="1626"/>
      <c r="DB37" s="1626"/>
    </row>
    <row r="38" spans="5:106" ht="26.25" hidden="1" customHeight="1" thickBot="1" x14ac:dyDescent="0.45">
      <c r="E38" s="85"/>
      <c r="F38" s="85"/>
      <c r="G38" s="85"/>
      <c r="H38" s="243"/>
      <c r="I38" s="243"/>
      <c r="J38" s="243"/>
      <c r="K38" s="243"/>
      <c r="L38" s="243"/>
      <c r="M38" s="243"/>
      <c r="N38" s="243"/>
      <c r="O38" s="243"/>
      <c r="P38" s="243"/>
      <c r="Q38" s="243"/>
      <c r="R38" s="243"/>
      <c r="S38" s="243"/>
      <c r="T38" s="243"/>
      <c r="U38" s="243"/>
      <c r="V38" s="243"/>
      <c r="W38" s="243"/>
      <c r="X38" s="243"/>
      <c r="Y38" s="243"/>
      <c r="Z38" s="243"/>
      <c r="AA38" s="243"/>
      <c r="AB38" s="243"/>
      <c r="AC38" s="243"/>
      <c r="AD38" s="243"/>
      <c r="AE38" s="243"/>
      <c r="AF38" s="243"/>
      <c r="AG38" s="243"/>
      <c r="AH38" s="243"/>
      <c r="AI38" s="243"/>
      <c r="AJ38" s="243"/>
      <c r="AK38" s="243"/>
      <c r="AL38" s="243"/>
      <c r="AM38" s="243"/>
      <c r="AN38" s="243"/>
      <c r="AO38" s="243"/>
      <c r="AP38" s="243"/>
      <c r="AQ38" s="243"/>
      <c r="AR38" s="243"/>
      <c r="AS38" s="243"/>
      <c r="AT38" s="243"/>
      <c r="AU38" s="243"/>
      <c r="AV38" s="243"/>
      <c r="AW38" s="243"/>
      <c r="AX38" s="243"/>
      <c r="AY38" s="243"/>
      <c r="AZ38" s="243"/>
      <c r="BA38" s="243"/>
      <c r="BB38" s="243"/>
      <c r="BC38" s="14"/>
      <c r="BG38" s="4"/>
      <c r="BH38" s="4"/>
      <c r="BL38" s="1577"/>
      <c r="BM38" s="1624"/>
      <c r="BN38" s="1625"/>
      <c r="BO38" s="1626"/>
      <c r="BP38" s="1626"/>
      <c r="BQ38" s="1626"/>
      <c r="BR38" s="1626"/>
      <c r="BS38" s="1626"/>
      <c r="BT38" s="1626"/>
      <c r="BU38" s="1626"/>
      <c r="BV38" s="1626"/>
      <c r="BW38" s="1627"/>
      <c r="BX38" s="1627"/>
      <c r="BY38" s="1628"/>
      <c r="BZ38" s="1628"/>
      <c r="CA38" s="1628"/>
      <c r="CB38" s="1628"/>
      <c r="CC38" s="1628"/>
      <c r="CD38" s="1628"/>
      <c r="CE38" s="1628"/>
      <c r="CF38" s="1628"/>
      <c r="CG38" s="1605"/>
      <c r="CH38" s="1604"/>
      <c r="CI38" s="1629"/>
      <c r="CJ38" s="1629"/>
      <c r="CK38" s="1583"/>
      <c r="CL38" s="1583"/>
      <c r="CM38" s="1583"/>
      <c r="CN38" s="1583"/>
      <c r="CO38" s="1583"/>
      <c r="CP38" s="1583"/>
      <c r="CQ38" s="1583"/>
      <c r="CR38" s="1583"/>
      <c r="CS38" s="1583"/>
      <c r="CT38" s="1583"/>
      <c r="CU38" s="1626"/>
      <c r="CV38" s="1626"/>
      <c r="CW38" s="1626"/>
      <c r="CX38" s="1626"/>
      <c r="CY38" s="1626"/>
      <c r="CZ38" s="1626"/>
      <c r="DA38" s="1626"/>
      <c r="DB38" s="1626"/>
    </row>
    <row r="39" spans="5:106" ht="26.25" hidden="1" customHeight="1" thickBot="1" x14ac:dyDescent="0.45">
      <c r="E39" s="85"/>
      <c r="F39" s="85"/>
      <c r="G39" s="85"/>
      <c r="H39" s="243"/>
      <c r="I39" s="243"/>
      <c r="J39" s="243"/>
      <c r="K39" s="243"/>
      <c r="L39" s="243"/>
      <c r="M39" s="243"/>
      <c r="N39" s="243"/>
      <c r="O39" s="243"/>
      <c r="P39" s="243"/>
      <c r="Q39" s="243"/>
      <c r="R39" s="243"/>
      <c r="S39" s="243"/>
      <c r="T39" s="243"/>
      <c r="U39" s="243"/>
      <c r="V39" s="243"/>
      <c r="W39" s="243"/>
      <c r="X39" s="243"/>
      <c r="Y39" s="243"/>
      <c r="Z39" s="243"/>
      <c r="AA39" s="243"/>
      <c r="AB39" s="243"/>
      <c r="AC39" s="243"/>
      <c r="AD39" s="243"/>
      <c r="AE39" s="243"/>
      <c r="AF39" s="243"/>
      <c r="AG39" s="243"/>
      <c r="AH39" s="243"/>
      <c r="AI39" s="243"/>
      <c r="AJ39" s="243"/>
      <c r="AK39" s="243"/>
      <c r="AL39" s="243"/>
      <c r="AM39" s="243"/>
      <c r="AN39" s="243"/>
      <c r="AO39" s="243"/>
      <c r="AP39" s="243"/>
      <c r="AQ39" s="243"/>
      <c r="AR39" s="243"/>
      <c r="AS39" s="243"/>
      <c r="AT39" s="243"/>
      <c r="AU39" s="243"/>
      <c r="AV39" s="243"/>
      <c r="AW39" s="243"/>
      <c r="AX39" s="243"/>
      <c r="AY39" s="243"/>
      <c r="AZ39" s="243"/>
      <c r="BA39" s="243"/>
      <c r="BB39" s="243"/>
      <c r="BC39" s="14"/>
      <c r="BG39" s="4"/>
      <c r="BH39" s="4"/>
      <c r="BL39" s="1577"/>
      <c r="BM39" s="1624"/>
      <c r="BN39" s="1625"/>
      <c r="BO39" s="1626"/>
      <c r="BP39" s="1626"/>
      <c r="BQ39" s="1626"/>
      <c r="BR39" s="1626"/>
      <c r="BS39" s="1626"/>
      <c r="BT39" s="1626"/>
      <c r="BU39" s="1626"/>
      <c r="BV39" s="1626"/>
      <c r="BW39" s="1627"/>
      <c r="BX39" s="1627"/>
      <c r="BY39" s="1631">
        <v>16</v>
      </c>
      <c r="BZ39" s="1628"/>
      <c r="CA39" s="1628"/>
      <c r="CB39" s="1628"/>
      <c r="CC39" s="1628"/>
      <c r="CD39" s="1628"/>
      <c r="CE39" s="1628"/>
      <c r="CF39" s="1628"/>
      <c r="CG39" s="1605"/>
      <c r="CH39" s="1604"/>
      <c r="CI39" s="1629"/>
      <c r="CJ39" s="1629"/>
      <c r="CK39" s="1583"/>
      <c r="CL39" s="1583"/>
      <c r="CM39" s="1583"/>
      <c r="CN39" s="1632" t="b">
        <f>IF(CO57=27,15)</f>
        <v>0</v>
      </c>
      <c r="CO39" s="1633"/>
      <c r="CP39" s="1634" t="b">
        <f>IF(CO57=27,17)</f>
        <v>0</v>
      </c>
      <c r="CQ39" s="1583"/>
      <c r="CR39" s="1583"/>
      <c r="CS39" s="1583"/>
      <c r="CT39" s="1583"/>
      <c r="CU39" s="1626"/>
      <c r="CV39" s="1626"/>
      <c r="CW39" s="1626"/>
      <c r="CX39" s="1626"/>
      <c r="CY39" s="1626"/>
      <c r="CZ39" s="1626"/>
      <c r="DA39" s="1626"/>
      <c r="DB39" s="1626"/>
    </row>
    <row r="40" spans="5:106" ht="26.25" hidden="1" customHeight="1" thickBot="1" x14ac:dyDescent="0.45">
      <c r="E40" s="85"/>
      <c r="F40" s="85"/>
      <c r="G40" s="85"/>
      <c r="H40" s="243"/>
      <c r="I40" s="243"/>
      <c r="J40" s="243"/>
      <c r="K40" s="243"/>
      <c r="L40" s="243"/>
      <c r="M40" s="243"/>
      <c r="N40" s="243"/>
      <c r="O40" s="243"/>
      <c r="P40" s="243"/>
      <c r="Q40" s="243"/>
      <c r="R40" s="243"/>
      <c r="S40" s="243"/>
      <c r="T40" s="243"/>
      <c r="U40" s="243"/>
      <c r="V40" s="243"/>
      <c r="W40" s="243"/>
      <c r="X40" s="243"/>
      <c r="Y40" s="243"/>
      <c r="Z40" s="243"/>
      <c r="AA40" s="243"/>
      <c r="AB40" s="243"/>
      <c r="AC40" s="243"/>
      <c r="AD40" s="243"/>
      <c r="AE40" s="243"/>
      <c r="AF40" s="243"/>
      <c r="AG40" s="243"/>
      <c r="AH40" s="243"/>
      <c r="AI40" s="243"/>
      <c r="AJ40" s="243"/>
      <c r="AK40" s="243"/>
      <c r="AL40" s="243"/>
      <c r="AM40" s="243"/>
      <c r="AN40" s="243"/>
      <c r="AO40" s="243"/>
      <c r="AP40" s="243"/>
      <c r="AQ40" s="243"/>
      <c r="AR40" s="243"/>
      <c r="AS40" s="243"/>
      <c r="AT40" s="243"/>
      <c r="AU40" s="243"/>
      <c r="AV40" s="243"/>
      <c r="AW40" s="243"/>
      <c r="AX40" s="243"/>
      <c r="AY40" s="243"/>
      <c r="AZ40" s="243"/>
      <c r="BA40" s="243"/>
      <c r="BB40" s="243"/>
      <c r="BC40" s="14"/>
      <c r="BG40" s="4"/>
      <c r="BH40" s="4"/>
      <c r="BL40" s="1577"/>
      <c r="BM40" s="1624"/>
      <c r="BN40" s="1625"/>
      <c r="BO40" s="1626"/>
      <c r="BP40" s="1626"/>
      <c r="BQ40" s="1626"/>
      <c r="BR40" s="1626"/>
      <c r="BS40" s="1626"/>
      <c r="BT40" s="1626"/>
      <c r="BU40" s="1626"/>
      <c r="BV40" s="1626"/>
      <c r="BW40" s="1627"/>
      <c r="BX40" s="1627"/>
      <c r="BY40" s="1631">
        <v>15</v>
      </c>
      <c r="BZ40" s="1628"/>
      <c r="CA40" s="1628"/>
      <c r="CB40" s="1628"/>
      <c r="CC40" s="1628"/>
      <c r="CD40" s="1628"/>
      <c r="CE40" s="1628"/>
      <c r="CF40" s="1628"/>
      <c r="CG40" s="1605"/>
      <c r="CH40" s="1604"/>
      <c r="CI40" s="1629"/>
      <c r="CJ40" s="1629"/>
      <c r="CK40" s="1583"/>
      <c r="CL40" s="1632" t="b">
        <f>IF(CN57=26,13)</f>
        <v>0</v>
      </c>
      <c r="CM40" s="1633"/>
      <c r="CN40" s="1633"/>
      <c r="CO40" s="1633"/>
      <c r="CP40" s="1634" t="b">
        <f>IF(CN57=26,17)</f>
        <v>0</v>
      </c>
      <c r="CQ40" s="1583"/>
      <c r="CR40" s="1583"/>
      <c r="CS40" s="1583"/>
      <c r="CT40" s="1583"/>
      <c r="CU40" s="1626"/>
      <c r="CV40" s="1626"/>
      <c r="CW40" s="1626"/>
      <c r="CX40" s="1626"/>
      <c r="CY40" s="1626"/>
      <c r="CZ40" s="1626"/>
      <c r="DA40" s="1626"/>
      <c r="DB40" s="1626"/>
    </row>
    <row r="41" spans="5:106" ht="26.25" hidden="1" customHeight="1" thickBot="1" x14ac:dyDescent="0.45">
      <c r="E41" s="85"/>
      <c r="F41" s="85"/>
      <c r="G41" s="85"/>
      <c r="H41" s="243"/>
      <c r="I41" s="243"/>
      <c r="J41" s="243"/>
      <c r="K41" s="243"/>
      <c r="L41" s="243"/>
      <c r="M41" s="243"/>
      <c r="N41" s="243"/>
      <c r="O41" s="243"/>
      <c r="P41" s="243"/>
      <c r="Q41" s="243"/>
      <c r="R41" s="243"/>
      <c r="S41" s="243"/>
      <c r="T41" s="243"/>
      <c r="U41" s="243"/>
      <c r="V41" s="243"/>
      <c r="W41" s="243"/>
      <c r="X41" s="243"/>
      <c r="Y41" s="243"/>
      <c r="Z41" s="243"/>
      <c r="AA41" s="243"/>
      <c r="AB41" s="243"/>
      <c r="AC41" s="243"/>
      <c r="AD41" s="243"/>
      <c r="AE41" s="243"/>
      <c r="AF41" s="243"/>
      <c r="AG41" s="243"/>
      <c r="AH41" s="243"/>
      <c r="AI41" s="243"/>
      <c r="AJ41" s="243"/>
      <c r="AK41" s="243"/>
      <c r="AL41" s="243"/>
      <c r="AM41" s="243"/>
      <c r="AN41" s="243"/>
      <c r="AO41" s="243"/>
      <c r="AP41" s="243"/>
      <c r="AQ41" s="243"/>
      <c r="AR41" s="243"/>
      <c r="AS41" s="243"/>
      <c r="AT41" s="243"/>
      <c r="AU41" s="243"/>
      <c r="AV41" s="243"/>
      <c r="AW41" s="243"/>
      <c r="AX41" s="243"/>
      <c r="AY41" s="243"/>
      <c r="AZ41" s="243"/>
      <c r="BA41" s="243"/>
      <c r="BB41" s="243"/>
      <c r="BC41" s="14"/>
      <c r="BG41" s="4"/>
      <c r="BH41" s="4"/>
      <c r="BL41" s="1577"/>
      <c r="BM41" s="1624"/>
      <c r="BN41" s="1625"/>
      <c r="BO41" s="1626"/>
      <c r="BP41" s="1626"/>
      <c r="BQ41" s="1626"/>
      <c r="BR41" s="1626"/>
      <c r="BS41" s="1626"/>
      <c r="BT41" s="1626"/>
      <c r="BU41" s="1626"/>
      <c r="BV41" s="1626"/>
      <c r="BW41" s="1627"/>
      <c r="BX41" s="1627"/>
      <c r="BY41" s="1631">
        <v>14</v>
      </c>
      <c r="BZ41" s="1628"/>
      <c r="CA41" s="1628"/>
      <c r="CB41" s="1628"/>
      <c r="CC41" s="1628"/>
      <c r="CD41" s="1628"/>
      <c r="CE41" s="1628"/>
      <c r="CF41" s="1628"/>
      <c r="CG41" s="1605"/>
      <c r="CH41" s="1604"/>
      <c r="CI41" s="1629"/>
      <c r="CJ41" s="1632" t="b">
        <f>IF(CM57=25,11)</f>
        <v>0</v>
      </c>
      <c r="CK41" s="1633"/>
      <c r="CL41" s="1635"/>
      <c r="CM41" s="1635"/>
      <c r="CN41" s="1635"/>
      <c r="CO41" s="1635"/>
      <c r="CP41" s="1636" t="b">
        <f>IF(CM57=25,17)</f>
        <v>0</v>
      </c>
      <c r="CQ41" s="1583"/>
      <c r="CR41" s="1583"/>
      <c r="CS41" s="1583"/>
      <c r="CT41" s="1583"/>
      <c r="CU41" s="1626"/>
      <c r="CV41" s="1626"/>
      <c r="CW41" s="1626"/>
      <c r="CX41" s="1626"/>
      <c r="CY41" s="1626"/>
      <c r="CZ41" s="1626"/>
      <c r="DA41" s="1626"/>
      <c r="DB41" s="1626"/>
    </row>
    <row r="42" spans="5:106" ht="26.25" hidden="1" customHeight="1" thickBot="1" x14ac:dyDescent="0.45">
      <c r="E42" s="85"/>
      <c r="F42" s="85"/>
      <c r="G42" s="85"/>
      <c r="H42" s="243"/>
      <c r="I42" s="243"/>
      <c r="J42" s="243"/>
      <c r="K42" s="243"/>
      <c r="L42" s="243"/>
      <c r="M42" s="243"/>
      <c r="N42" s="243"/>
      <c r="O42" s="243"/>
      <c r="P42" s="243"/>
      <c r="Q42" s="243"/>
      <c r="R42" s="243"/>
      <c r="S42" s="243"/>
      <c r="T42" s="243"/>
      <c r="U42" s="243"/>
      <c r="V42" s="243"/>
      <c r="W42" s="243"/>
      <c r="X42" s="243"/>
      <c r="Y42" s="243"/>
      <c r="Z42" s="243"/>
      <c r="AA42" s="243"/>
      <c r="AB42" s="243"/>
      <c r="AC42" s="243"/>
      <c r="AD42" s="243"/>
      <c r="AE42" s="243"/>
      <c r="AF42" s="243"/>
      <c r="AG42" s="243"/>
      <c r="AH42" s="243"/>
      <c r="AI42" s="243"/>
      <c r="AJ42" s="243"/>
      <c r="AK42" s="243"/>
      <c r="AL42" s="243"/>
      <c r="AM42" s="243"/>
      <c r="AN42" s="243"/>
      <c r="AO42" s="243"/>
      <c r="AP42" s="243"/>
      <c r="AQ42" s="243"/>
      <c r="AR42" s="243"/>
      <c r="AS42" s="243"/>
      <c r="AT42" s="243"/>
      <c r="AU42" s="243"/>
      <c r="AV42" s="243"/>
      <c r="AW42" s="243"/>
      <c r="AX42" s="243"/>
      <c r="AY42" s="243"/>
      <c r="AZ42" s="243"/>
      <c r="BA42" s="243"/>
      <c r="BB42" s="243"/>
      <c r="BC42" s="14"/>
      <c r="BG42" s="4"/>
      <c r="BH42" s="4"/>
      <c r="BL42" s="1577"/>
      <c r="BM42" s="1623"/>
      <c r="BN42" s="1625"/>
      <c r="BO42" s="1626"/>
      <c r="BP42" s="1626"/>
      <c r="BQ42" s="1626"/>
      <c r="BR42" s="1626"/>
      <c r="BS42" s="1626"/>
      <c r="BT42" s="1626"/>
      <c r="BU42" s="1626"/>
      <c r="BV42" s="1626"/>
      <c r="BY42" s="1631">
        <v>13</v>
      </c>
      <c r="BZ42" s="1626"/>
      <c r="CA42" s="1625"/>
      <c r="CB42" s="1625"/>
      <c r="CC42" s="1625"/>
      <c r="CD42" s="1625"/>
      <c r="CE42" s="1625"/>
      <c r="CF42" s="1625"/>
      <c r="CG42" s="1625"/>
      <c r="CH42" s="1632" t="b">
        <f>IF(CL57=24,9)</f>
        <v>0</v>
      </c>
      <c r="CI42" s="1637"/>
      <c r="CJ42" s="1638"/>
      <c r="CK42" s="1639"/>
      <c r="CL42" s="1638"/>
      <c r="CM42" s="1639"/>
      <c r="CN42" s="1639"/>
      <c r="CO42" s="1640"/>
      <c r="CP42" s="1636" t="b">
        <f>IF(CL57=24,17)</f>
        <v>0</v>
      </c>
      <c r="CQ42" s="1557"/>
      <c r="CR42" s="1557"/>
      <c r="CS42" s="1557"/>
      <c r="CT42" s="1557"/>
      <c r="CU42" s="1557"/>
      <c r="CV42" s="1557"/>
      <c r="CW42" s="1557"/>
      <c r="CX42" s="1557"/>
      <c r="CY42" s="1557"/>
      <c r="CZ42" s="1557"/>
      <c r="DA42" s="1557"/>
      <c r="DB42" s="1557"/>
    </row>
    <row r="43" spans="5:106" ht="26.25" hidden="1" customHeight="1" thickBot="1" x14ac:dyDescent="0.45">
      <c r="E43" s="85"/>
      <c r="F43" s="85"/>
      <c r="G43" s="85"/>
      <c r="H43" s="243"/>
      <c r="I43" s="243"/>
      <c r="J43" s="243"/>
      <c r="K43" s="243"/>
      <c r="L43" s="243"/>
      <c r="M43" s="243"/>
      <c r="N43" s="243"/>
      <c r="O43" s="243"/>
      <c r="P43" s="243"/>
      <c r="Q43" s="243"/>
      <c r="R43" s="243"/>
      <c r="S43" s="243"/>
      <c r="T43" s="243"/>
      <c r="U43" s="243"/>
      <c r="V43" s="243"/>
      <c r="W43" s="243"/>
      <c r="X43" s="243"/>
      <c r="Y43" s="243"/>
      <c r="Z43" s="243"/>
      <c r="AA43" s="243"/>
      <c r="AB43" s="243"/>
      <c r="AC43" s="243"/>
      <c r="AD43" s="243"/>
      <c r="AE43" s="243"/>
      <c r="AF43" s="243"/>
      <c r="AG43" s="243"/>
      <c r="AH43" s="243"/>
      <c r="AI43" s="243"/>
      <c r="AJ43" s="243"/>
      <c r="AK43" s="243"/>
      <c r="AL43" s="243"/>
      <c r="AM43" s="243"/>
      <c r="AN43" s="243"/>
      <c r="AO43" s="243"/>
      <c r="AP43" s="243"/>
      <c r="AQ43" s="243"/>
      <c r="AR43" s="243"/>
      <c r="AS43" s="243"/>
      <c r="AT43" s="243"/>
      <c r="AU43" s="243"/>
      <c r="AV43" s="243"/>
      <c r="AW43" s="243"/>
      <c r="AX43" s="243"/>
      <c r="AY43" s="243"/>
      <c r="AZ43" s="243"/>
      <c r="BA43" s="243"/>
      <c r="BB43" s="243"/>
      <c r="BC43" s="14"/>
      <c r="BG43" s="4"/>
      <c r="BH43" s="4"/>
      <c r="BL43" s="1577"/>
      <c r="BM43" s="1623"/>
      <c r="BN43" s="1625"/>
      <c r="BO43" s="1625"/>
      <c r="BP43" s="1626"/>
      <c r="BQ43" s="1625"/>
      <c r="BR43" s="1625"/>
      <c r="BS43" s="1625"/>
      <c r="BY43" s="1631">
        <v>12</v>
      </c>
      <c r="BZ43" s="1626"/>
      <c r="CA43" s="1625"/>
      <c r="CB43" s="1625"/>
      <c r="CC43" s="1625"/>
      <c r="CD43" s="1625"/>
      <c r="CE43" s="1625"/>
      <c r="CF43" s="1632" t="b">
        <f>IF(CK57=23,7)</f>
        <v>0</v>
      </c>
      <c r="CG43" s="1637"/>
      <c r="CH43" s="1637"/>
      <c r="CI43" s="1641"/>
      <c r="CJ43" s="1637"/>
      <c r="CK43" s="1637"/>
      <c r="CL43" s="1637"/>
      <c r="CM43" s="1641"/>
      <c r="CN43" s="1641"/>
      <c r="CO43" s="1642"/>
      <c r="CP43" s="1634" t="b">
        <f>IF(CK57=23,17)</f>
        <v>0</v>
      </c>
      <c r="CQ43" s="1557"/>
      <c r="CR43" s="1557"/>
      <c r="CS43" s="1557"/>
      <c r="CT43" s="1557"/>
      <c r="CU43" s="1557"/>
      <c r="CV43" s="1557"/>
      <c r="CW43" s="1557"/>
      <c r="CX43" s="1557"/>
      <c r="CY43" s="1557"/>
      <c r="CZ43" s="1557"/>
      <c r="DA43" s="1557"/>
      <c r="DB43" s="1557"/>
    </row>
    <row r="44" spans="5:106" ht="26.25" hidden="1" customHeight="1" thickBot="1" x14ac:dyDescent="0.45">
      <c r="E44" s="85"/>
      <c r="F44" s="85"/>
      <c r="G44" s="85"/>
      <c r="H44" s="243"/>
      <c r="I44" s="243"/>
      <c r="J44" s="243"/>
      <c r="K44" s="243"/>
      <c r="L44" s="243"/>
      <c r="M44" s="243"/>
      <c r="N44" s="243"/>
      <c r="O44" s="243"/>
      <c r="P44" s="243"/>
      <c r="Q44" s="243"/>
      <c r="R44" s="243"/>
      <c r="S44" s="243"/>
      <c r="T44" s="243"/>
      <c r="U44" s="243"/>
      <c r="V44" s="243"/>
      <c r="W44" s="243"/>
      <c r="X44" s="243"/>
      <c r="Y44" s="243"/>
      <c r="Z44" s="243"/>
      <c r="AA44" s="243"/>
      <c r="AB44" s="243"/>
      <c r="AC44" s="243"/>
      <c r="AD44" s="243"/>
      <c r="AE44" s="243"/>
      <c r="AF44" s="243"/>
      <c r="AG44" s="243"/>
      <c r="AH44" s="243"/>
      <c r="AI44" s="243"/>
      <c r="AJ44" s="243"/>
      <c r="AK44" s="243"/>
      <c r="AL44" s="243"/>
      <c r="AM44" s="243"/>
      <c r="AN44" s="243"/>
      <c r="AO44" s="243"/>
      <c r="AP44" s="243"/>
      <c r="AQ44" s="243"/>
      <c r="AR44" s="243"/>
      <c r="AS44" s="243"/>
      <c r="AT44" s="243"/>
      <c r="AU44" s="243"/>
      <c r="AV44" s="243"/>
      <c r="AW44" s="243"/>
      <c r="AX44" s="243"/>
      <c r="AY44" s="243"/>
      <c r="AZ44" s="243"/>
      <c r="BA44" s="243"/>
      <c r="BB44" s="243"/>
      <c r="BC44" s="14"/>
      <c r="BG44" s="4"/>
      <c r="BH44" s="4"/>
      <c r="BL44" s="1577"/>
      <c r="BM44" s="1623"/>
      <c r="BN44" s="1625"/>
      <c r="BO44" s="1625"/>
      <c r="BP44" s="1626"/>
      <c r="BQ44" s="1625"/>
      <c r="BR44" s="1625"/>
      <c r="BS44" s="1625"/>
      <c r="BY44" s="1631">
        <v>11</v>
      </c>
      <c r="BZ44" s="1626"/>
      <c r="CA44" s="1625"/>
      <c r="CB44" s="1625"/>
      <c r="CC44" s="1625"/>
      <c r="CD44" s="1632" t="b">
        <f>IF(CJ57=22,5)</f>
        <v>0</v>
      </c>
      <c r="CE44" s="1637"/>
      <c r="CF44" s="1637"/>
      <c r="CG44" s="1641"/>
      <c r="CH44" s="1637"/>
      <c r="CI44" s="1641"/>
      <c r="CJ44" s="1637"/>
      <c r="CK44" s="1641"/>
      <c r="CL44" s="1637"/>
      <c r="CM44" s="1641"/>
      <c r="CN44" s="1641"/>
      <c r="CO44" s="1642"/>
      <c r="CP44" s="1634" t="b">
        <f>IF(CJ57=22,17)</f>
        <v>0</v>
      </c>
      <c r="CQ44" s="1557"/>
      <c r="CR44" s="1557"/>
      <c r="CS44" s="1557"/>
      <c r="CT44" s="1557"/>
      <c r="CU44" s="1557"/>
      <c r="CV44" s="1557"/>
      <c r="CW44" s="1557"/>
      <c r="CX44" s="1557"/>
      <c r="CY44" s="1557"/>
      <c r="CZ44" s="1557"/>
      <c r="DA44" s="1557"/>
      <c r="DB44" s="1557"/>
    </row>
    <row r="45" spans="5:106" ht="26.25" hidden="1" customHeight="1" thickBot="1" x14ac:dyDescent="0.45">
      <c r="E45" s="85"/>
      <c r="F45" s="85"/>
      <c r="G45" s="85"/>
      <c r="H45" s="243"/>
      <c r="I45" s="243"/>
      <c r="J45" s="243"/>
      <c r="K45" s="243"/>
      <c r="L45" s="243"/>
      <c r="M45" s="243"/>
      <c r="N45" s="243"/>
      <c r="O45" s="243"/>
      <c r="P45" s="243"/>
      <c r="Q45" s="243"/>
      <c r="R45" s="243"/>
      <c r="S45" s="243"/>
      <c r="AF45" s="243"/>
      <c r="AG45" s="243"/>
      <c r="AH45" s="243"/>
      <c r="AI45" s="243"/>
      <c r="AJ45" s="243"/>
      <c r="AK45" s="243"/>
      <c r="AL45" s="243"/>
      <c r="AM45" s="243"/>
      <c r="AN45" s="243"/>
      <c r="AO45" s="243"/>
      <c r="AP45" s="243"/>
      <c r="AQ45" s="243"/>
      <c r="AR45" s="243"/>
      <c r="AS45" s="243"/>
      <c r="AT45" s="243"/>
      <c r="AU45" s="243"/>
      <c r="AV45" s="243"/>
      <c r="AW45" s="243"/>
      <c r="AX45" s="243"/>
      <c r="AY45" s="243"/>
      <c r="AZ45" s="243"/>
      <c r="BA45" s="243"/>
      <c r="BB45" s="243"/>
      <c r="BC45" s="14"/>
      <c r="BG45" s="4"/>
      <c r="BH45" s="4"/>
      <c r="BL45" s="1577"/>
      <c r="BM45" s="1623"/>
      <c r="BN45" s="1625"/>
      <c r="BO45" s="1625"/>
      <c r="BP45" s="1626"/>
      <c r="BQ45" s="1625"/>
      <c r="BR45" s="1625"/>
      <c r="BS45" s="1625"/>
      <c r="BY45" s="1631">
        <v>10</v>
      </c>
      <c r="BZ45" s="1626"/>
      <c r="CA45" s="1625"/>
      <c r="CB45" s="1632" t="b">
        <f>IF(CI57=21,3)</f>
        <v>0</v>
      </c>
      <c r="CC45" s="1637"/>
      <c r="CD45" s="1637"/>
      <c r="CE45" s="1641"/>
      <c r="CF45" s="1641"/>
      <c r="CG45" s="1641"/>
      <c r="CH45" s="1637"/>
      <c r="CI45" s="1637"/>
      <c r="CJ45" s="1637"/>
      <c r="CK45" s="1641"/>
      <c r="CL45" s="1637"/>
      <c r="CM45" s="1641"/>
      <c r="CN45" s="1641"/>
      <c r="CO45" s="1642"/>
      <c r="CP45" s="1634" t="b">
        <f>IF(CI57=21,17)</f>
        <v>0</v>
      </c>
      <c r="CQ45" s="1557"/>
      <c r="CR45" s="1557"/>
      <c r="CS45" s="1557"/>
      <c r="CT45" s="1557"/>
      <c r="CU45" s="1557"/>
      <c r="CV45" s="1557"/>
      <c r="CW45" s="1557"/>
      <c r="CX45" s="1557"/>
      <c r="CY45" s="1557"/>
      <c r="CZ45" s="1557"/>
      <c r="DA45" s="1557"/>
      <c r="DB45" s="1557"/>
    </row>
    <row r="46" spans="5:106" ht="26.25" hidden="1" customHeight="1" thickBot="1" x14ac:dyDescent="0.45">
      <c r="E46" s="85"/>
      <c r="F46" s="85"/>
      <c r="G46" s="85"/>
      <c r="H46" s="243"/>
      <c r="I46" s="243"/>
      <c r="J46" s="243"/>
      <c r="K46" s="243"/>
      <c r="L46" s="243"/>
      <c r="M46" s="243"/>
      <c r="N46" s="243"/>
      <c r="O46" s="243"/>
      <c r="P46" s="243"/>
      <c r="Q46" s="243"/>
      <c r="R46" s="243"/>
      <c r="S46" s="243"/>
      <c r="AF46" s="243"/>
      <c r="AG46" s="243"/>
      <c r="AH46" s="243"/>
      <c r="AI46" s="243"/>
      <c r="AJ46" s="243"/>
      <c r="AK46" s="243"/>
      <c r="AL46" s="243"/>
      <c r="AM46" s="243"/>
      <c r="AN46" s="243"/>
      <c r="AO46" s="243"/>
      <c r="AP46" s="243"/>
      <c r="AQ46" s="243"/>
      <c r="AR46" s="243"/>
      <c r="AS46" s="243"/>
      <c r="AT46" s="243"/>
      <c r="AU46" s="243"/>
      <c r="AV46" s="243"/>
      <c r="AW46" s="243"/>
      <c r="AX46" s="243"/>
      <c r="AY46" s="243"/>
      <c r="AZ46" s="243"/>
      <c r="BA46" s="243"/>
      <c r="BB46" s="243"/>
      <c r="BC46" s="14"/>
      <c r="BG46" s="4"/>
      <c r="BH46" s="4"/>
      <c r="BL46" s="1577"/>
      <c r="BM46" s="1623"/>
      <c r="BN46" s="1625"/>
      <c r="BO46" s="1625"/>
      <c r="BP46" s="1626"/>
      <c r="BQ46" s="1625"/>
      <c r="BR46" s="1625"/>
      <c r="BS46" s="1625"/>
      <c r="BY46" s="1631">
        <v>9</v>
      </c>
      <c r="BZ46" s="1632" t="b">
        <f>IF(CH57=20,1)</f>
        <v>0</v>
      </c>
      <c r="CA46" s="1637"/>
      <c r="CB46" s="1637"/>
      <c r="CC46" s="1641"/>
      <c r="CD46" s="1637"/>
      <c r="CE46" s="1637"/>
      <c r="CF46" s="1637"/>
      <c r="CG46" s="1637"/>
      <c r="CH46" s="1637"/>
      <c r="CI46" s="1637"/>
      <c r="CJ46" s="1637"/>
      <c r="CK46" s="1637"/>
      <c r="CL46" s="1637"/>
      <c r="CM46" s="1641"/>
      <c r="CN46" s="1641"/>
      <c r="CO46" s="1642"/>
      <c r="CP46" s="1634" t="b">
        <f>IF(CH57=20,17)</f>
        <v>0</v>
      </c>
      <c r="CQ46" s="1557"/>
      <c r="CR46" s="1557"/>
      <c r="CS46" s="1557"/>
      <c r="CT46" s="1557"/>
      <c r="CU46" s="1557"/>
      <c r="CV46" s="1557"/>
      <c r="CW46" s="1557"/>
      <c r="CX46" s="1557"/>
      <c r="CY46" s="1557"/>
      <c r="CZ46" s="1557"/>
      <c r="DA46" s="1557"/>
      <c r="DB46" s="1557"/>
    </row>
    <row r="47" spans="5:106" ht="26.25" hidden="1" customHeight="1" thickBot="1" x14ac:dyDescent="0.45">
      <c r="E47" s="85"/>
      <c r="F47" s="85"/>
      <c r="G47" s="85"/>
      <c r="H47" s="243"/>
      <c r="I47" s="243"/>
      <c r="J47" s="243"/>
      <c r="K47" s="243"/>
      <c r="L47" s="243"/>
      <c r="M47" s="243"/>
      <c r="N47" s="243"/>
      <c r="O47" s="243"/>
      <c r="P47" s="243"/>
      <c r="Q47" s="243"/>
      <c r="R47" s="243"/>
      <c r="S47" s="243"/>
      <c r="AF47" s="243"/>
      <c r="AG47" s="243"/>
      <c r="AH47" s="243"/>
      <c r="AI47" s="243"/>
      <c r="AJ47" s="243"/>
      <c r="AK47" s="243"/>
      <c r="AL47" s="243"/>
      <c r="AM47" s="243"/>
      <c r="AN47" s="243"/>
      <c r="AO47" s="243"/>
      <c r="AP47" s="243"/>
      <c r="AQ47" s="243"/>
      <c r="AR47" s="243"/>
      <c r="AS47" s="243"/>
      <c r="AT47" s="243"/>
      <c r="AU47" s="243"/>
      <c r="AV47" s="243"/>
      <c r="AW47" s="243"/>
      <c r="AX47" s="243"/>
      <c r="AY47" s="243"/>
      <c r="AZ47" s="243"/>
      <c r="BA47" s="243"/>
      <c r="BB47" s="243"/>
      <c r="BC47" s="14"/>
      <c r="BG47" s="4"/>
      <c r="BH47" s="4"/>
      <c r="BL47" s="1577"/>
      <c r="BM47" s="1623"/>
      <c r="BN47" s="1625"/>
      <c r="BO47" s="1625"/>
      <c r="BP47" s="1626"/>
      <c r="BQ47" s="1625"/>
      <c r="BR47" s="1625"/>
      <c r="BS47" s="1625"/>
      <c r="BY47" s="1631">
        <v>8</v>
      </c>
      <c r="BZ47" s="1643" t="b">
        <f>IF(CG57=19,1)</f>
        <v>0</v>
      </c>
      <c r="CA47" s="1639"/>
      <c r="CB47" s="1638"/>
      <c r="CC47" s="1638"/>
      <c r="CD47" s="1638"/>
      <c r="CE47" s="1638"/>
      <c r="CF47" s="1638"/>
      <c r="CG47" s="1638"/>
      <c r="CH47" s="1638"/>
      <c r="CI47" s="1638"/>
      <c r="CJ47" s="1638"/>
      <c r="CK47" s="1638"/>
      <c r="CL47" s="1638"/>
      <c r="CM47" s="1639"/>
      <c r="CN47" s="1636" t="b">
        <f>IF(CG57=19,15)</f>
        <v>0</v>
      </c>
      <c r="CO47" s="1557"/>
      <c r="CP47" s="1557"/>
      <c r="CQ47" s="1557"/>
      <c r="CR47" s="1557"/>
      <c r="CS47" s="1557"/>
      <c r="CT47" s="1557"/>
      <c r="CU47" s="1557"/>
      <c r="CV47" s="1557"/>
      <c r="CW47" s="1557"/>
      <c r="CX47" s="1557"/>
      <c r="CY47" s="1557"/>
      <c r="CZ47" s="1557"/>
      <c r="DA47" s="1557"/>
      <c r="DB47" s="1557"/>
    </row>
    <row r="48" spans="5:106" ht="26.25" hidden="1" customHeight="1" thickBot="1" x14ac:dyDescent="0.45">
      <c r="E48" s="85"/>
      <c r="F48" s="85"/>
      <c r="G48" s="85"/>
      <c r="H48" s="243"/>
      <c r="I48" s="243"/>
      <c r="J48" s="243"/>
      <c r="K48" s="243"/>
      <c r="L48" s="243"/>
      <c r="M48" s="243"/>
      <c r="N48" s="243"/>
      <c r="O48" s="243"/>
      <c r="P48" s="243"/>
      <c r="Q48" s="243"/>
      <c r="R48" s="243"/>
      <c r="S48" s="243"/>
      <c r="AF48" s="243"/>
      <c r="AG48" s="243"/>
      <c r="AH48" s="243"/>
      <c r="AI48" s="243"/>
      <c r="AJ48" s="243"/>
      <c r="AK48" s="243"/>
      <c r="AL48" s="243"/>
      <c r="AM48" s="243"/>
      <c r="AN48" s="243"/>
      <c r="AO48" s="243"/>
      <c r="AP48" s="243"/>
      <c r="AQ48" s="243"/>
      <c r="AR48" s="243"/>
      <c r="AS48" s="243"/>
      <c r="AT48" s="243"/>
      <c r="AU48" s="243"/>
      <c r="AV48" s="243"/>
      <c r="AW48" s="243"/>
      <c r="AX48" s="243"/>
      <c r="AY48" s="243"/>
      <c r="AZ48" s="243"/>
      <c r="BA48" s="243"/>
      <c r="BB48" s="243"/>
      <c r="BC48" s="14"/>
      <c r="BG48" s="4"/>
      <c r="BH48" s="4"/>
      <c r="BL48" s="1577"/>
      <c r="BM48" s="1623"/>
      <c r="BN48" s="1625"/>
      <c r="BO48" s="1625"/>
      <c r="BP48" s="1626"/>
      <c r="BQ48" s="1625"/>
      <c r="BR48" s="1625"/>
      <c r="BS48" s="1625"/>
      <c r="BY48" s="1631">
        <v>7</v>
      </c>
      <c r="BZ48" s="1643" t="b">
        <f>IF(CF57=18,1)</f>
        <v>0</v>
      </c>
      <c r="CA48" s="1638"/>
      <c r="CB48" s="1638"/>
      <c r="CC48" s="1638"/>
      <c r="CD48" s="1638"/>
      <c r="CE48" s="1638"/>
      <c r="CF48" s="1638"/>
      <c r="CG48" s="1638"/>
      <c r="CH48" s="1638"/>
      <c r="CI48" s="1638"/>
      <c r="CJ48" s="1638"/>
      <c r="CK48" s="1638"/>
      <c r="CL48" s="1636" t="b">
        <f>IF(CF57=18,13)</f>
        <v>0</v>
      </c>
      <c r="CM48" s="1626"/>
      <c r="CO48" s="1557"/>
      <c r="CP48" s="1557"/>
      <c r="CQ48" s="1557"/>
      <c r="CR48" s="1557"/>
      <c r="CS48" s="1557"/>
      <c r="CT48" s="1557"/>
      <c r="CU48" s="1557"/>
      <c r="CV48" s="1557"/>
      <c r="CW48" s="1557"/>
      <c r="CX48" s="1557"/>
      <c r="CY48" s="1557"/>
      <c r="CZ48" s="1557"/>
      <c r="DA48" s="1557"/>
      <c r="DB48" s="1557"/>
    </row>
    <row r="49" spans="2:106" ht="26.25" hidden="1" customHeight="1" thickBot="1" x14ac:dyDescent="0.45">
      <c r="E49" s="85"/>
      <c r="F49" s="85"/>
      <c r="G49" s="85"/>
      <c r="H49" s="243"/>
      <c r="I49" s="243"/>
      <c r="J49" s="243"/>
      <c r="K49" s="243"/>
      <c r="L49" s="243"/>
      <c r="M49" s="243"/>
      <c r="N49" s="243"/>
      <c r="O49" s="243"/>
      <c r="P49" s="243"/>
      <c r="Q49" s="243"/>
      <c r="R49" s="243"/>
      <c r="S49" s="243"/>
      <c r="AF49" s="243"/>
      <c r="AG49" s="243"/>
      <c r="AH49" s="243"/>
      <c r="AI49" s="243"/>
      <c r="AJ49" s="243"/>
      <c r="AK49" s="243"/>
      <c r="AL49" s="243"/>
      <c r="AM49" s="243"/>
      <c r="AN49" s="243"/>
      <c r="AO49" s="243"/>
      <c r="AP49" s="243"/>
      <c r="AQ49" s="243"/>
      <c r="AR49" s="243"/>
      <c r="AS49" s="243"/>
      <c r="AT49" s="243"/>
      <c r="AU49" s="243"/>
      <c r="AV49" s="243"/>
      <c r="AW49" s="243"/>
      <c r="AX49" s="243"/>
      <c r="AY49" s="243"/>
      <c r="AZ49" s="243"/>
      <c r="BA49" s="243"/>
      <c r="BB49" s="243"/>
      <c r="BC49" s="14"/>
      <c r="BG49" s="4"/>
      <c r="BH49" s="4"/>
      <c r="BL49" s="1577"/>
      <c r="BM49" s="1623"/>
      <c r="BN49" s="1625"/>
      <c r="BO49" s="1625"/>
      <c r="BP49" s="1626"/>
      <c r="BQ49" s="1625"/>
      <c r="BR49" s="1625"/>
      <c r="BS49" s="1625"/>
      <c r="BY49" s="1631">
        <v>6</v>
      </c>
      <c r="BZ49" s="1643" t="b">
        <f>IF(CE57=17,1)</f>
        <v>0</v>
      </c>
      <c r="CA49" s="1638"/>
      <c r="CB49" s="1638"/>
      <c r="CC49" s="1638"/>
      <c r="CD49" s="1638"/>
      <c r="CE49" s="1638"/>
      <c r="CF49" s="1638"/>
      <c r="CG49" s="1638"/>
      <c r="CH49" s="1638"/>
      <c r="CI49" s="1638"/>
      <c r="CJ49" s="1636" t="b">
        <f>IF(CE57=17,11)</f>
        <v>0</v>
      </c>
      <c r="CK49" s="1625"/>
      <c r="CL49" s="1625"/>
      <c r="CM49" s="1626"/>
      <c r="CO49" s="1557"/>
      <c r="CP49" s="1557"/>
      <c r="CQ49" s="1557"/>
      <c r="CR49" s="1557"/>
      <c r="CS49" s="1557"/>
      <c r="CT49" s="1557"/>
      <c r="CU49" s="1557"/>
      <c r="CV49" s="1557"/>
      <c r="CW49" s="1557"/>
      <c r="CX49" s="1557"/>
      <c r="CY49" s="1557"/>
      <c r="CZ49" s="1557"/>
      <c r="DA49" s="1557"/>
      <c r="DB49" s="1557"/>
    </row>
    <row r="50" spans="2:106" ht="21.6" hidden="1" thickBot="1" x14ac:dyDescent="0.45">
      <c r="E50" s="85"/>
      <c r="F50" s="85"/>
      <c r="G50" s="85"/>
      <c r="H50" s="243"/>
      <c r="I50" s="243"/>
      <c r="J50" s="243"/>
      <c r="K50" s="243"/>
      <c r="L50" s="243"/>
      <c r="M50" s="243"/>
      <c r="N50" s="243"/>
      <c r="O50" s="243"/>
      <c r="P50" s="243"/>
      <c r="Q50" s="243"/>
      <c r="R50" s="243"/>
      <c r="S50" s="243"/>
      <c r="T50" s="243"/>
      <c r="U50" s="86"/>
      <c r="V50" s="243"/>
      <c r="W50" s="243"/>
      <c r="X50" s="243"/>
      <c r="Y50" s="243"/>
      <c r="Z50" s="243"/>
      <c r="AA50" s="243"/>
      <c r="AB50" s="86"/>
      <c r="AC50" s="86"/>
      <c r="AD50" s="86"/>
      <c r="AE50" s="86"/>
      <c r="AF50" s="243"/>
      <c r="AG50" s="243"/>
      <c r="AH50" s="243"/>
      <c r="AI50" s="243"/>
      <c r="AJ50" s="243"/>
      <c r="AK50" s="243"/>
      <c r="AL50" s="243"/>
      <c r="AM50" s="243"/>
      <c r="AN50" s="243"/>
      <c r="AO50" s="243"/>
      <c r="AP50" s="243"/>
      <c r="AQ50" s="243"/>
      <c r="AR50" s="243"/>
      <c r="AS50" s="243"/>
      <c r="AT50" s="243"/>
      <c r="AU50" s="243"/>
      <c r="AV50" s="243"/>
      <c r="AW50" s="243"/>
      <c r="AX50" s="243"/>
      <c r="AY50" s="243"/>
      <c r="AZ50" s="243"/>
      <c r="BA50" s="243"/>
      <c r="BB50" s="243"/>
      <c r="BC50" s="14"/>
      <c r="BG50" s="4"/>
      <c r="BH50" s="4"/>
      <c r="BL50" s="1577"/>
      <c r="BM50" s="1623"/>
      <c r="BN50" s="1625"/>
      <c r="BO50" s="1625"/>
      <c r="BP50" s="1626"/>
      <c r="BQ50" s="1625"/>
      <c r="BR50" s="1625"/>
      <c r="BS50" s="1625"/>
      <c r="BY50" s="1631">
        <v>5</v>
      </c>
      <c r="BZ50" s="1632" t="b">
        <f>IF(CD57=16,1)</f>
        <v>0</v>
      </c>
      <c r="CA50" s="1637"/>
      <c r="CB50" s="1637"/>
      <c r="CC50" s="1641"/>
      <c r="CD50" s="1637"/>
      <c r="CE50" s="1641"/>
      <c r="CF50" s="1637"/>
      <c r="CG50" s="1637"/>
      <c r="CH50" s="1634" t="b">
        <f>IF(CD57=16,9)</f>
        <v>0</v>
      </c>
      <c r="CI50" s="1625"/>
      <c r="CJ50" s="1625"/>
      <c r="CK50" s="1625"/>
      <c r="CL50" s="1625"/>
      <c r="CM50" s="1626"/>
      <c r="CO50" s="1557"/>
      <c r="CP50" s="1557"/>
      <c r="CQ50" s="1557"/>
      <c r="CR50" s="1557"/>
      <c r="CS50" s="1557"/>
      <c r="CT50" s="1557"/>
      <c r="CU50" s="1557"/>
      <c r="CV50" s="1557"/>
      <c r="CW50" s="1557"/>
      <c r="CX50" s="1557"/>
      <c r="CY50" s="1557"/>
      <c r="CZ50" s="1557"/>
      <c r="DA50" s="1557"/>
      <c r="DB50" s="1557"/>
    </row>
    <row r="51" spans="2:106" ht="21.6" hidden="1" thickBot="1" x14ac:dyDescent="0.45">
      <c r="E51" s="85"/>
      <c r="F51" s="85"/>
      <c r="G51" s="85"/>
      <c r="H51" s="243"/>
      <c r="I51" s="243"/>
      <c r="J51" s="243"/>
      <c r="K51" s="243"/>
      <c r="L51" s="243"/>
      <c r="M51" s="243"/>
      <c r="N51" s="243"/>
      <c r="O51" s="243"/>
      <c r="P51" s="243"/>
      <c r="Q51" s="243"/>
      <c r="R51" s="243"/>
      <c r="S51" s="265"/>
      <c r="T51" s="244"/>
      <c r="U51" s="244"/>
      <c r="AF51" s="243"/>
      <c r="AG51" s="243"/>
      <c r="AH51" s="243"/>
      <c r="AI51" s="243"/>
      <c r="AJ51" s="243"/>
      <c r="AK51" s="243"/>
      <c r="AL51" s="243"/>
      <c r="AM51" s="243"/>
      <c r="AN51" s="243"/>
      <c r="AO51" s="243"/>
      <c r="AP51" s="243"/>
      <c r="AQ51" s="243"/>
      <c r="AR51" s="243"/>
      <c r="AS51" s="243"/>
      <c r="AT51" s="243"/>
      <c r="AU51" s="243"/>
      <c r="AV51" s="243"/>
      <c r="AW51" s="243"/>
      <c r="AX51" s="243"/>
      <c r="AY51" s="243"/>
      <c r="AZ51" s="243"/>
      <c r="BA51" s="243"/>
      <c r="BB51" s="243"/>
      <c r="BC51" s="14"/>
      <c r="BG51" s="4"/>
      <c r="BH51" s="4"/>
      <c r="BL51" s="1577"/>
      <c r="BM51" s="1623"/>
      <c r="BN51" s="1625"/>
      <c r="BO51" s="1625"/>
      <c r="BP51" s="1626"/>
      <c r="BQ51" s="1625"/>
      <c r="BR51" s="1625"/>
      <c r="BS51" s="1625"/>
      <c r="BY51" s="1631">
        <v>4</v>
      </c>
      <c r="BZ51" s="1632">
        <f>IF(CC57=15,1)</f>
        <v>1</v>
      </c>
      <c r="CA51" s="1641"/>
      <c r="CB51" s="1641"/>
      <c r="CC51" s="1637"/>
      <c r="CD51" s="1641"/>
      <c r="CE51" s="1641"/>
      <c r="CF51" s="1634">
        <f>IF(CC57=15,7)</f>
        <v>7</v>
      </c>
      <c r="CG51" s="1625"/>
      <c r="CH51" s="1625"/>
      <c r="CI51" s="1625"/>
      <c r="CJ51" s="1625"/>
      <c r="CK51" s="1625"/>
      <c r="CL51" s="1625"/>
      <c r="CM51" s="1626"/>
      <c r="CO51" s="1557"/>
      <c r="CP51" s="1557"/>
      <c r="CQ51" s="1557"/>
      <c r="CR51" s="1557"/>
      <c r="CS51" s="1557"/>
      <c r="CT51" s="1557"/>
      <c r="CU51" s="1557"/>
      <c r="CV51" s="1557"/>
      <c r="CW51" s="1557"/>
      <c r="CX51" s="1557"/>
      <c r="CY51" s="1557"/>
      <c r="CZ51" s="1557"/>
      <c r="DA51" s="1557"/>
      <c r="DB51" s="1557"/>
    </row>
    <row r="52" spans="2:106" ht="21.6" hidden="1" thickBot="1" x14ac:dyDescent="0.45">
      <c r="E52" s="85"/>
      <c r="F52" s="85"/>
      <c r="G52" s="85"/>
      <c r="H52" s="243"/>
      <c r="I52" s="243"/>
      <c r="J52" s="243"/>
      <c r="K52" s="243"/>
      <c r="L52" s="243"/>
      <c r="M52" s="243"/>
      <c r="N52" s="243"/>
      <c r="O52" s="243"/>
      <c r="P52" s="243"/>
      <c r="Q52" s="243"/>
      <c r="R52" s="243"/>
      <c r="S52" s="265"/>
      <c r="T52" s="266"/>
      <c r="U52" s="244"/>
      <c r="AF52" s="243"/>
      <c r="AG52" s="243"/>
      <c r="AH52" s="243"/>
      <c r="AI52" s="243"/>
      <c r="AJ52" s="243"/>
      <c r="AK52" s="243"/>
      <c r="AL52" s="243"/>
      <c r="AM52" s="243"/>
      <c r="AN52" s="243"/>
      <c r="AO52" s="243"/>
      <c r="AP52" s="243"/>
      <c r="AQ52" s="243"/>
      <c r="AR52" s="243"/>
      <c r="AS52" s="243"/>
      <c r="AT52" s="243"/>
      <c r="AU52" s="243"/>
      <c r="AV52" s="243"/>
      <c r="AW52" s="243"/>
      <c r="AX52" s="243"/>
      <c r="AY52" s="243"/>
      <c r="AZ52" s="243"/>
      <c r="BA52" s="243"/>
      <c r="BB52" s="243"/>
      <c r="BC52" s="14"/>
      <c r="BG52" s="4"/>
      <c r="BH52" s="4"/>
      <c r="BL52" s="1577"/>
      <c r="BM52" s="1623"/>
      <c r="BN52" s="1625"/>
      <c r="BO52" s="1625"/>
      <c r="BP52" s="1626"/>
      <c r="BQ52" s="1625"/>
      <c r="BR52" s="1625"/>
      <c r="BS52" s="1625"/>
      <c r="BY52" s="1631">
        <v>3</v>
      </c>
      <c r="BZ52" s="1643" t="b">
        <f>IF(CB57=14,1)</f>
        <v>0</v>
      </c>
      <c r="CA52" s="1638"/>
      <c r="CB52" s="1638"/>
      <c r="CC52" s="1638"/>
      <c r="CD52" s="1636" t="b">
        <f>IF(CB57=14,5)</f>
        <v>0</v>
      </c>
      <c r="CE52" s="1625"/>
      <c r="CF52" s="1625"/>
      <c r="CG52" s="1625"/>
      <c r="CH52" s="1625"/>
      <c r="CI52" s="1625"/>
      <c r="CJ52" s="1625"/>
      <c r="CK52" s="1625"/>
      <c r="CL52" s="1625"/>
      <c r="CM52" s="1626"/>
      <c r="CO52" s="1557"/>
      <c r="CP52" s="1557"/>
      <c r="CQ52" s="1557"/>
      <c r="CR52" s="1557"/>
      <c r="CS52" s="1557"/>
      <c r="CT52" s="1557"/>
      <c r="CU52" s="1557"/>
      <c r="CV52" s="1557"/>
      <c r="CW52" s="1557"/>
      <c r="CX52" s="1557"/>
      <c r="CY52" s="1557"/>
      <c r="CZ52" s="1557"/>
      <c r="DA52" s="1557"/>
      <c r="DB52" s="1557"/>
    </row>
    <row r="53" spans="2:106" ht="21.6" hidden="1" thickBot="1" x14ac:dyDescent="0.45">
      <c r="E53" s="85"/>
      <c r="F53" s="85"/>
      <c r="G53" s="85"/>
      <c r="H53" s="243"/>
      <c r="I53" s="243"/>
      <c r="J53" s="243"/>
      <c r="K53" s="243"/>
      <c r="L53" s="243"/>
      <c r="M53" s="243"/>
      <c r="N53" s="243"/>
      <c r="O53" s="243"/>
      <c r="P53" s="243"/>
      <c r="Q53" s="243"/>
      <c r="R53" s="243"/>
      <c r="S53" s="265"/>
      <c r="T53" s="265"/>
      <c r="U53" s="86"/>
      <c r="V53" s="243"/>
      <c r="W53" s="243"/>
      <c r="X53" s="243"/>
      <c r="Y53" s="243"/>
      <c r="Z53" s="243"/>
      <c r="AA53" s="243"/>
      <c r="AB53" s="86"/>
      <c r="AC53" s="86"/>
      <c r="AD53" s="86"/>
      <c r="AE53" s="86"/>
      <c r="AF53" s="243"/>
      <c r="AG53" s="243"/>
      <c r="AH53" s="243"/>
      <c r="AI53" s="243"/>
      <c r="AJ53" s="243"/>
      <c r="AK53" s="243"/>
      <c r="AL53" s="243"/>
      <c r="AM53" s="243"/>
      <c r="AN53" s="243"/>
      <c r="AO53" s="243"/>
      <c r="AP53" s="243"/>
      <c r="AQ53" s="243"/>
      <c r="AR53" s="243"/>
      <c r="AS53" s="243"/>
      <c r="AT53" s="243"/>
      <c r="AU53" s="243"/>
      <c r="AV53" s="243"/>
      <c r="AW53" s="243"/>
      <c r="AX53" s="243"/>
      <c r="AY53" s="243"/>
      <c r="AZ53" s="243"/>
      <c r="BA53" s="243"/>
      <c r="BB53" s="243"/>
      <c r="BC53" s="14"/>
      <c r="BG53" s="4"/>
      <c r="BH53" s="4"/>
      <c r="BL53" s="1577"/>
      <c r="BM53" s="1623"/>
      <c r="BN53" s="1625"/>
      <c r="BO53" s="1625"/>
      <c r="BP53" s="1626"/>
      <c r="BQ53" s="1625"/>
      <c r="BR53" s="1625"/>
      <c r="BS53" s="1625"/>
      <c r="BY53" s="1631">
        <v>2</v>
      </c>
      <c r="BZ53" s="1643" t="b">
        <f>IF(CA57=13,1)</f>
        <v>0</v>
      </c>
      <c r="CA53" s="1638"/>
      <c r="CB53" s="1636" t="b">
        <f>IF(CA57=13,3)</f>
        <v>0</v>
      </c>
      <c r="CC53" s="1625"/>
      <c r="CD53" s="1625"/>
      <c r="CE53" s="1625"/>
      <c r="CF53" s="1625"/>
      <c r="CG53" s="1625"/>
      <c r="CH53" s="1625"/>
      <c r="CI53" s="1625"/>
      <c r="CJ53" s="1625"/>
      <c r="CK53" s="1625"/>
      <c r="CL53" s="1625"/>
      <c r="CM53" s="1626"/>
      <c r="CO53" s="1557"/>
      <c r="CP53" s="1557"/>
      <c r="CQ53" s="1557"/>
      <c r="CR53" s="1557"/>
      <c r="CS53" s="1557"/>
      <c r="CT53" s="1557"/>
      <c r="CU53" s="1557"/>
      <c r="CV53" s="1557"/>
      <c r="CW53" s="1557"/>
      <c r="CX53" s="1557"/>
      <c r="CY53" s="1557"/>
      <c r="CZ53" s="1557"/>
      <c r="DA53" s="1557"/>
      <c r="DB53" s="1557"/>
    </row>
    <row r="54" spans="2:106" ht="21.6" hidden="1" thickBot="1" x14ac:dyDescent="0.45">
      <c r="E54" s="85"/>
      <c r="F54" s="85"/>
      <c r="G54" s="85"/>
      <c r="H54" s="243"/>
      <c r="I54" s="243"/>
      <c r="J54" s="243"/>
      <c r="K54" s="243"/>
      <c r="L54" s="243"/>
      <c r="M54" s="243"/>
      <c r="N54" s="243"/>
      <c r="O54" s="243"/>
      <c r="P54" s="243"/>
      <c r="Q54" s="243"/>
      <c r="R54" s="243"/>
      <c r="U54" s="86"/>
      <c r="V54" s="243"/>
      <c r="W54" s="243"/>
      <c r="X54" s="243"/>
      <c r="Y54" s="243"/>
      <c r="Z54" s="243"/>
      <c r="AA54" s="243"/>
      <c r="AB54" s="86"/>
      <c r="AC54" s="86"/>
      <c r="AD54" s="86"/>
      <c r="AE54" s="86"/>
      <c r="AF54" s="243"/>
      <c r="AG54" s="243"/>
      <c r="AH54" s="243"/>
      <c r="AI54" s="243"/>
      <c r="AJ54" s="243"/>
      <c r="AK54" s="243"/>
      <c r="AL54" s="243"/>
      <c r="AM54" s="243"/>
      <c r="AN54" s="243"/>
      <c r="AO54" s="243"/>
      <c r="AP54" s="243"/>
      <c r="AQ54" s="243"/>
      <c r="AR54" s="243"/>
      <c r="AS54" s="243"/>
      <c r="AT54" s="243"/>
      <c r="AU54" s="243"/>
      <c r="AV54" s="243"/>
      <c r="AW54" s="243"/>
      <c r="AX54" s="243"/>
      <c r="AY54" s="243"/>
      <c r="AZ54" s="243"/>
      <c r="BA54" s="243"/>
      <c r="BB54" s="243"/>
      <c r="BC54" s="14"/>
      <c r="BG54" s="4"/>
      <c r="BH54" s="4"/>
      <c r="BL54" s="1577"/>
      <c r="BM54" s="1623"/>
      <c r="BN54" s="1625"/>
      <c r="BO54" s="1625"/>
      <c r="BP54" s="1626"/>
      <c r="BQ54" s="1625"/>
      <c r="BR54" s="1625"/>
      <c r="BS54" s="1625"/>
      <c r="BT54" s="1554"/>
      <c r="BU54" s="1625"/>
      <c r="BY54" s="1625"/>
      <c r="BZ54" s="1625"/>
      <c r="CA54" s="1625"/>
      <c r="CB54" s="1625"/>
      <c r="CC54" s="1625"/>
      <c r="CD54" s="1625"/>
      <c r="CE54" s="1625"/>
      <c r="CF54" s="1625"/>
      <c r="CG54" s="1625"/>
      <c r="CH54" s="1625"/>
      <c r="CI54" s="1625"/>
      <c r="CJ54" s="1626"/>
      <c r="CK54" s="1644"/>
      <c r="CL54" s="1644"/>
      <c r="CM54" s="1644"/>
      <c r="CO54" s="1557"/>
      <c r="CP54" s="1557"/>
      <c r="CQ54" s="1557"/>
      <c r="CR54" s="1557"/>
      <c r="CS54" s="1557"/>
      <c r="CT54" s="1557"/>
      <c r="CU54" s="1557"/>
      <c r="CV54" s="1557"/>
      <c r="CW54" s="1557"/>
      <c r="CX54" s="1557"/>
      <c r="CY54" s="1557"/>
      <c r="CZ54" s="1557"/>
      <c r="DA54" s="1557"/>
      <c r="DB54" s="1557"/>
    </row>
    <row r="55" spans="2:106" ht="45" customHeight="1" thickBot="1" x14ac:dyDescent="0.45">
      <c r="E55" s="85"/>
      <c r="F55" s="85"/>
      <c r="G55" s="85"/>
      <c r="H55" s="243"/>
      <c r="I55" s="243"/>
      <c r="J55" s="243"/>
      <c r="K55" s="243"/>
      <c r="L55" s="243"/>
      <c r="M55" s="243"/>
      <c r="N55" s="243"/>
      <c r="O55" s="243"/>
      <c r="P55" s="243"/>
      <c r="Q55" s="243"/>
      <c r="R55" s="243"/>
      <c r="U55" s="86"/>
      <c r="V55" s="243"/>
      <c r="W55" s="243"/>
      <c r="X55" s="243"/>
      <c r="Y55" s="243"/>
      <c r="Z55" s="243"/>
      <c r="AA55" s="243"/>
      <c r="AB55" s="86"/>
      <c r="AC55" s="86"/>
      <c r="AD55" s="86"/>
      <c r="AE55" s="86"/>
      <c r="AF55" s="243"/>
      <c r="AG55" s="243"/>
      <c r="AH55" s="243"/>
      <c r="AI55" s="243"/>
      <c r="AJ55" s="243"/>
      <c r="AK55" s="243"/>
      <c r="AL55" s="243"/>
      <c r="AM55" s="243"/>
      <c r="AN55" s="243"/>
      <c r="AO55" s="243"/>
      <c r="AP55" s="243"/>
      <c r="AQ55" s="243"/>
      <c r="AR55" s="243"/>
      <c r="AS55" s="243"/>
      <c r="AT55" s="243"/>
      <c r="AU55" s="243"/>
      <c r="AV55" s="243"/>
      <c r="AW55" s="243"/>
      <c r="AX55" s="243"/>
      <c r="AY55" s="243"/>
      <c r="AZ55" s="243"/>
      <c r="BA55" s="243"/>
      <c r="BB55" s="243"/>
      <c r="BC55" s="14"/>
      <c r="BG55" s="4"/>
      <c r="BH55" s="4"/>
      <c r="BJ55" s="1623"/>
      <c r="BK55" s="1623"/>
      <c r="BL55" s="1645"/>
      <c r="BM55" s="1561" t="s">
        <v>227</v>
      </c>
      <c r="BN55" s="1646" t="s">
        <v>231</v>
      </c>
      <c r="BO55" s="1647"/>
      <c r="BP55" s="1648"/>
      <c r="BQ55" s="1648"/>
      <c r="BR55" s="1648"/>
      <c r="BS55" s="1648"/>
      <c r="BT55" s="1648"/>
      <c r="BU55" s="1648"/>
      <c r="BV55" s="1648"/>
      <c r="BW55" s="1648"/>
      <c r="BX55" s="1648"/>
      <c r="BY55" s="1648"/>
      <c r="BZ55" s="1649">
        <f>SUM(BZ39:BZ54)</f>
        <v>1</v>
      </c>
      <c r="CA55" s="1650">
        <f t="shared" ref="CA55:CP55" si="0">SUM(CA39:CA54)</f>
        <v>0</v>
      </c>
      <c r="CB55" s="1650">
        <f t="shared" si="0"/>
        <v>0</v>
      </c>
      <c r="CC55" s="1650">
        <f t="shared" si="0"/>
        <v>0</v>
      </c>
      <c r="CD55" s="1650">
        <f t="shared" si="0"/>
        <v>0</v>
      </c>
      <c r="CE55" s="1650">
        <f t="shared" si="0"/>
        <v>0</v>
      </c>
      <c r="CF55" s="1650">
        <f t="shared" si="0"/>
        <v>7</v>
      </c>
      <c r="CG55" s="1650">
        <f t="shared" si="0"/>
        <v>0</v>
      </c>
      <c r="CH55" s="1650">
        <f t="shared" si="0"/>
        <v>0</v>
      </c>
      <c r="CI55" s="1650">
        <f t="shared" si="0"/>
        <v>0</v>
      </c>
      <c r="CJ55" s="1650">
        <f t="shared" si="0"/>
        <v>0</v>
      </c>
      <c r="CK55" s="1650">
        <f t="shared" si="0"/>
        <v>0</v>
      </c>
      <c r="CL55" s="1650">
        <f t="shared" si="0"/>
        <v>0</v>
      </c>
      <c r="CM55" s="1650">
        <f t="shared" si="0"/>
        <v>0</v>
      </c>
      <c r="CN55" s="1650">
        <f t="shared" si="0"/>
        <v>0</v>
      </c>
      <c r="CO55" s="1650">
        <f t="shared" si="0"/>
        <v>0</v>
      </c>
      <c r="CP55" s="1651">
        <f t="shared" si="0"/>
        <v>0</v>
      </c>
      <c r="CQ55" s="1648"/>
      <c r="CR55" s="1648"/>
      <c r="CS55" s="1652"/>
      <c r="CT55" s="1652"/>
      <c r="CU55" s="1652"/>
      <c r="CV55" s="1652"/>
      <c r="CW55" s="1652"/>
      <c r="CX55" s="1652"/>
      <c r="CY55" s="1653"/>
      <c r="CZ55" s="1583"/>
      <c r="DA55" s="1557"/>
      <c r="DB55" s="1557"/>
    </row>
    <row r="56" spans="2:106" ht="45" customHeight="1" thickBot="1" x14ac:dyDescent="0.45">
      <c r="E56" s="85"/>
      <c r="F56" s="85"/>
      <c r="G56" s="85"/>
      <c r="H56" s="243"/>
      <c r="I56" s="243"/>
      <c r="J56" s="243"/>
      <c r="K56" s="243"/>
      <c r="L56" s="243"/>
      <c r="M56" s="243"/>
      <c r="N56" s="243"/>
      <c r="O56" s="243"/>
      <c r="P56" s="243"/>
      <c r="Q56" s="243"/>
      <c r="R56" s="243"/>
      <c r="U56" s="86"/>
      <c r="V56" s="243"/>
      <c r="W56" s="243"/>
      <c r="X56" s="243"/>
      <c r="Y56" s="243"/>
      <c r="Z56" s="243"/>
      <c r="AA56" s="243"/>
      <c r="AB56" s="86"/>
      <c r="AC56" s="86"/>
      <c r="AD56" s="86"/>
      <c r="AE56" s="86"/>
      <c r="AF56" s="243"/>
      <c r="AG56" s="243"/>
      <c r="AH56" s="243"/>
      <c r="AI56" s="243"/>
      <c r="AJ56" s="243"/>
      <c r="AK56" s="243"/>
      <c r="AL56" s="243"/>
      <c r="AM56" s="243"/>
      <c r="AN56" s="243"/>
      <c r="AO56" s="243"/>
      <c r="AP56" s="243"/>
      <c r="AQ56" s="243"/>
      <c r="AR56" s="243"/>
      <c r="AS56" s="243"/>
      <c r="AT56" s="243"/>
      <c r="AU56" s="243"/>
      <c r="AV56" s="243"/>
      <c r="AW56" s="243"/>
      <c r="AX56" s="243"/>
      <c r="AY56" s="243"/>
      <c r="AZ56" s="243"/>
      <c r="BA56" s="243"/>
      <c r="BB56" s="243"/>
      <c r="BC56" s="14"/>
      <c r="BG56" s="4"/>
      <c r="BH56" s="4"/>
      <c r="BJ56" s="1623"/>
      <c r="BK56" s="1550" t="b">
        <f>AND(BM56&gt;=10,$BA$110&gt;=10,$BB$110&gt;=10)</f>
        <v>1</v>
      </c>
      <c r="BL56" s="1570" t="str">
        <f>IF(BK56=TRUE,"O K","OVERLOAD")</f>
        <v>O K</v>
      </c>
      <c r="BM56" s="1571">
        <f>+$D$20/(BO25/2)</f>
        <v>63.872255489021953</v>
      </c>
      <c r="BN56" s="1654"/>
      <c r="BO56" s="1644"/>
      <c r="BP56" s="1655"/>
      <c r="BQ56" s="1644"/>
      <c r="BR56" s="1644"/>
      <c r="BS56" s="1644"/>
      <c r="BT56" s="1655"/>
      <c r="BU56" s="1644"/>
      <c r="BV56" s="1644"/>
      <c r="BW56" s="1644"/>
      <c r="BX56" s="1644"/>
      <c r="BY56" s="1644"/>
      <c r="BZ56" s="1644"/>
      <c r="CA56" s="1644"/>
      <c r="CB56" s="1644"/>
      <c r="CC56" s="1644"/>
      <c r="CD56" s="1644"/>
      <c r="CE56" s="1644"/>
      <c r="CF56" s="1644"/>
      <c r="CG56" s="1644"/>
      <c r="CH56" s="1644"/>
      <c r="CI56" s="1644"/>
      <c r="CJ56" s="1644"/>
      <c r="CK56" s="1644"/>
      <c r="CL56" s="1644"/>
      <c r="CM56" s="1644"/>
      <c r="CN56" s="1644"/>
      <c r="CO56" s="1644"/>
      <c r="CP56" s="1644"/>
      <c r="CQ56" s="1557"/>
      <c r="CR56" s="1557"/>
      <c r="CS56" s="1557"/>
      <c r="CT56" s="1557"/>
      <c r="CU56" s="1557"/>
      <c r="CV56" s="1557"/>
      <c r="CW56" s="1557"/>
      <c r="CX56" s="1557"/>
      <c r="CY56" s="1557"/>
      <c r="CZ56" s="1557"/>
      <c r="DA56" s="1557"/>
      <c r="DB56" s="1557"/>
    </row>
    <row r="57" spans="2:106" ht="21" hidden="1" x14ac:dyDescent="0.4">
      <c r="E57" s="85"/>
      <c r="F57" s="85"/>
      <c r="G57" s="85"/>
      <c r="H57" s="243"/>
      <c r="I57" s="243"/>
      <c r="J57" s="243"/>
      <c r="K57" s="243"/>
      <c r="L57" s="243"/>
      <c r="M57" s="243"/>
      <c r="N57" s="243"/>
      <c r="O57" s="243"/>
      <c r="P57" s="243"/>
      <c r="Q57" s="243"/>
      <c r="R57" s="243"/>
      <c r="S57" s="243"/>
      <c r="T57" s="243"/>
      <c r="U57" s="86"/>
      <c r="V57" s="243"/>
      <c r="W57" s="243"/>
      <c r="X57" s="243"/>
      <c r="Y57" s="243"/>
      <c r="Z57" s="243"/>
      <c r="AA57" s="243"/>
      <c r="AB57" s="86"/>
      <c r="AC57" s="86"/>
      <c r="AD57" s="86"/>
      <c r="AE57" s="86"/>
      <c r="AF57" s="243"/>
      <c r="AG57" s="243"/>
      <c r="AH57" s="243"/>
      <c r="AI57" s="243"/>
      <c r="AJ57" s="243"/>
      <c r="AK57" s="243"/>
      <c r="AL57" s="243"/>
      <c r="AM57" s="243"/>
      <c r="AN57" s="243"/>
      <c r="AO57" s="243"/>
      <c r="AP57" s="243"/>
      <c r="AQ57" s="243"/>
      <c r="AR57" s="243"/>
      <c r="AS57" s="243"/>
      <c r="AT57" s="243"/>
      <c r="AU57" s="243"/>
      <c r="AV57" s="243"/>
      <c r="AW57" s="243"/>
      <c r="AX57" s="243"/>
      <c r="AY57" s="243"/>
      <c r="AZ57" s="243"/>
      <c r="BA57" s="243"/>
      <c r="BB57" s="243"/>
      <c r="BC57" s="14"/>
      <c r="BG57" s="4"/>
      <c r="BH57" s="4"/>
      <c r="BJ57" s="1623"/>
      <c r="BK57" s="1623"/>
      <c r="BL57" s="1645"/>
      <c r="BM57" s="1623"/>
      <c r="BN57" s="1554"/>
      <c r="BO57" s="1656" t="b">
        <f>+BO200</f>
        <v>0</v>
      </c>
      <c r="BP57" s="1656" t="b">
        <f>+BO201</f>
        <v>0</v>
      </c>
      <c r="BQ57" s="1656" t="b">
        <f>+BO202</f>
        <v>0</v>
      </c>
      <c r="BR57" s="1656" t="b">
        <f>+BO203</f>
        <v>0</v>
      </c>
      <c r="BS57" s="1656" t="b">
        <f>+BO204</f>
        <v>0</v>
      </c>
      <c r="BT57" s="1656" t="b">
        <f>+BO205</f>
        <v>0</v>
      </c>
      <c r="BU57" s="1656" t="b">
        <f>+BO206</f>
        <v>0</v>
      </c>
      <c r="BV57" s="1656" t="b">
        <f>+BO207</f>
        <v>0</v>
      </c>
      <c r="BW57" s="1656" t="b">
        <f>+BO208</f>
        <v>0</v>
      </c>
      <c r="BX57" s="1656" t="b">
        <f>+BO209</f>
        <v>0</v>
      </c>
      <c r="BY57" s="1656" t="b">
        <f>+BO210</f>
        <v>0</v>
      </c>
      <c r="BZ57" s="1656" t="b">
        <f>+BO211</f>
        <v>0</v>
      </c>
      <c r="CA57" s="1656" t="b">
        <f>+BO212</f>
        <v>0</v>
      </c>
      <c r="CB57" s="1656" t="b">
        <f>+BO213</f>
        <v>0</v>
      </c>
      <c r="CC57" s="1656">
        <f>+BO214</f>
        <v>15</v>
      </c>
      <c r="CD57" s="1656" t="b">
        <f>+BO215</f>
        <v>0</v>
      </c>
      <c r="CE57" s="1656" t="b">
        <f>+BO216</f>
        <v>0</v>
      </c>
      <c r="CF57" s="1656" t="b">
        <f>+BO217</f>
        <v>0</v>
      </c>
      <c r="CG57" s="1656" t="b">
        <f>+BO218</f>
        <v>0</v>
      </c>
      <c r="CH57" s="1656" t="b">
        <f>+BO219</f>
        <v>0</v>
      </c>
      <c r="CI57" s="1656" t="b">
        <f>+BO220</f>
        <v>0</v>
      </c>
      <c r="CJ57" s="1656" t="b">
        <f>+BO221</f>
        <v>0</v>
      </c>
      <c r="CK57" s="1656" t="b">
        <f>+BO222</f>
        <v>0</v>
      </c>
      <c r="CL57" s="1656" t="b">
        <f>+BO223</f>
        <v>0</v>
      </c>
      <c r="CM57" s="1656" t="b">
        <f>+BO224</f>
        <v>0</v>
      </c>
      <c r="CN57" s="1656" t="b">
        <f>+BO225</f>
        <v>0</v>
      </c>
      <c r="CO57" s="1656" t="b">
        <f>+BO226</f>
        <v>0</v>
      </c>
      <c r="CP57" s="1656" t="b">
        <f>+BO227</f>
        <v>0</v>
      </c>
      <c r="CQ57" s="1656" t="b">
        <f>+BO228</f>
        <v>0</v>
      </c>
      <c r="CR57" s="1656" t="b">
        <f>+BO229</f>
        <v>0</v>
      </c>
      <c r="CS57" s="1656" t="b">
        <f>+BO230</f>
        <v>0</v>
      </c>
      <c r="CT57" s="1656" t="b">
        <f>+BO231</f>
        <v>0</v>
      </c>
      <c r="CU57" s="1656" t="b">
        <f>+BO232</f>
        <v>0</v>
      </c>
      <c r="CV57" s="1656" t="b">
        <f>+BO233</f>
        <v>0</v>
      </c>
      <c r="CW57" s="1656" t="b">
        <f>+BO234</f>
        <v>0</v>
      </c>
      <c r="CX57" s="1656" t="b">
        <f>+BO235</f>
        <v>0</v>
      </c>
      <c r="CY57" s="1656" t="b">
        <f>+BO236</f>
        <v>0</v>
      </c>
      <c r="CZ57" s="1657"/>
      <c r="DA57" s="1557"/>
      <c r="DB57" s="1557"/>
    </row>
    <row r="58" spans="2:106" ht="21" hidden="1" x14ac:dyDescent="0.4">
      <c r="E58" s="85"/>
      <c r="F58" s="85"/>
      <c r="G58" s="85"/>
      <c r="H58" s="243"/>
      <c r="I58" s="243"/>
      <c r="J58" s="243"/>
      <c r="K58" s="243"/>
      <c r="L58" s="243"/>
      <c r="M58" s="243"/>
      <c r="N58" s="243"/>
      <c r="O58" s="243"/>
      <c r="P58" s="243"/>
      <c r="Q58" s="243"/>
      <c r="R58" s="243"/>
      <c r="S58" s="243"/>
      <c r="T58" s="243"/>
      <c r="U58" s="86"/>
      <c r="V58" s="243"/>
      <c r="W58" s="243"/>
      <c r="X58" s="243"/>
      <c r="Y58" s="243"/>
      <c r="Z58" s="243"/>
      <c r="AA58" s="243"/>
      <c r="AB58" s="86"/>
      <c r="AC58" s="86"/>
      <c r="AD58" s="86"/>
      <c r="AE58" s="86"/>
      <c r="AF58" s="243"/>
      <c r="AG58" s="243"/>
      <c r="AH58" s="243"/>
      <c r="AI58" s="243"/>
      <c r="AJ58" s="243"/>
      <c r="AK58" s="243"/>
      <c r="AL58" s="243"/>
      <c r="AM58" s="243"/>
      <c r="AN58" s="243"/>
      <c r="AO58" s="243"/>
      <c r="AP58" s="243"/>
      <c r="AQ58" s="243"/>
      <c r="AR58" s="243"/>
      <c r="AS58" s="243"/>
      <c r="AT58" s="243"/>
      <c r="AU58" s="243"/>
      <c r="AV58" s="243"/>
      <c r="AW58" s="243"/>
      <c r="AX58" s="243"/>
      <c r="AY58" s="243"/>
      <c r="AZ58" s="243"/>
      <c r="BA58" s="243"/>
      <c r="BB58" s="243"/>
      <c r="BC58" s="14"/>
      <c r="BG58" s="4"/>
      <c r="BH58" s="4"/>
      <c r="BJ58" s="1623"/>
      <c r="BK58" s="1623"/>
      <c r="BL58" s="1645"/>
      <c r="BM58" s="1623"/>
      <c r="BN58" s="1556"/>
      <c r="BO58" s="1657" t="b">
        <f>+BO57</f>
        <v>0</v>
      </c>
      <c r="BP58" s="1657" t="b">
        <f t="shared" ref="BP58:CG58" si="1">+BP57</f>
        <v>0</v>
      </c>
      <c r="BQ58" s="1657" t="b">
        <f t="shared" si="1"/>
        <v>0</v>
      </c>
      <c r="BR58" s="1657" t="b">
        <f t="shared" si="1"/>
        <v>0</v>
      </c>
      <c r="BS58" s="1657" t="b">
        <f t="shared" si="1"/>
        <v>0</v>
      </c>
      <c r="BT58" s="1657" t="b">
        <f t="shared" si="1"/>
        <v>0</v>
      </c>
      <c r="BU58" s="1657" t="b">
        <f>+BU57</f>
        <v>0</v>
      </c>
      <c r="BV58" s="1657" t="b">
        <f t="shared" si="1"/>
        <v>0</v>
      </c>
      <c r="BW58" s="1657" t="b">
        <f t="shared" si="1"/>
        <v>0</v>
      </c>
      <c r="BX58" s="1657" t="b">
        <f t="shared" si="1"/>
        <v>0</v>
      </c>
      <c r="BY58" s="1657" t="b">
        <f t="shared" si="1"/>
        <v>0</v>
      </c>
      <c r="BZ58" s="1657" t="b">
        <f>+BZ57</f>
        <v>0</v>
      </c>
      <c r="CA58" s="1657" t="b">
        <f>+CA57</f>
        <v>0</v>
      </c>
      <c r="CB58" s="1657" t="b">
        <f>+CB57</f>
        <v>0</v>
      </c>
      <c r="CC58" s="1657">
        <f>+CC57</f>
        <v>15</v>
      </c>
      <c r="CD58" s="1657" t="b">
        <f>+CD57</f>
        <v>0</v>
      </c>
      <c r="CE58" s="1657" t="b">
        <f t="shared" si="1"/>
        <v>0</v>
      </c>
      <c r="CF58" s="1657" t="b">
        <f t="shared" si="1"/>
        <v>0</v>
      </c>
      <c r="CG58" s="1657" t="b">
        <f t="shared" si="1"/>
        <v>0</v>
      </c>
      <c r="CH58" s="1657" t="b">
        <f>+CH57</f>
        <v>0</v>
      </c>
      <c r="CI58" s="1657" t="b">
        <f>+CI57</f>
        <v>0</v>
      </c>
      <c r="CJ58" s="1657" t="b">
        <f t="shared" ref="CJ58:CY58" si="2">+CJ57</f>
        <v>0</v>
      </c>
      <c r="CK58" s="1657" t="b">
        <f t="shared" si="2"/>
        <v>0</v>
      </c>
      <c r="CL58" s="1657" t="b">
        <f t="shared" si="2"/>
        <v>0</v>
      </c>
      <c r="CM58" s="1657" t="b">
        <f t="shared" si="2"/>
        <v>0</v>
      </c>
      <c r="CN58" s="1657" t="b">
        <f t="shared" si="2"/>
        <v>0</v>
      </c>
      <c r="CO58" s="1657" t="b">
        <f t="shared" si="2"/>
        <v>0</v>
      </c>
      <c r="CP58" s="1657" t="b">
        <f t="shared" si="2"/>
        <v>0</v>
      </c>
      <c r="CQ58" s="1657" t="b">
        <f t="shared" si="2"/>
        <v>0</v>
      </c>
      <c r="CR58" s="1657" t="b">
        <f t="shared" si="2"/>
        <v>0</v>
      </c>
      <c r="CS58" s="1657" t="b">
        <f t="shared" si="2"/>
        <v>0</v>
      </c>
      <c r="CT58" s="1657" t="b">
        <f t="shared" si="2"/>
        <v>0</v>
      </c>
      <c r="CU58" s="1657" t="b">
        <f t="shared" si="2"/>
        <v>0</v>
      </c>
      <c r="CV58" s="1657" t="b">
        <f t="shared" si="2"/>
        <v>0</v>
      </c>
      <c r="CW58" s="1657" t="b">
        <f t="shared" si="2"/>
        <v>0</v>
      </c>
      <c r="CX58" s="1657" t="b">
        <f t="shared" si="2"/>
        <v>0</v>
      </c>
      <c r="CY58" s="1657" t="b">
        <f t="shared" si="2"/>
        <v>0</v>
      </c>
      <c r="CZ58" s="1657"/>
      <c r="DA58" s="1557"/>
      <c r="DB58" s="1557"/>
    </row>
    <row r="59" spans="2:106" ht="14.25" customHeight="1" thickBot="1" x14ac:dyDescent="0.45">
      <c r="E59" s="85"/>
      <c r="F59" s="85"/>
      <c r="G59" s="85"/>
      <c r="H59" s="243"/>
      <c r="I59" s="243"/>
      <c r="J59" s="243"/>
      <c r="K59" s="243"/>
      <c r="L59" s="243"/>
      <c r="M59" s="243"/>
      <c r="N59" s="243"/>
      <c r="O59" s="243"/>
      <c r="P59" s="243"/>
      <c r="Q59" s="243"/>
      <c r="R59" s="243"/>
      <c r="S59" s="243"/>
      <c r="T59" s="243"/>
      <c r="U59" s="86"/>
      <c r="V59" s="243"/>
      <c r="W59" s="243"/>
      <c r="X59" s="243"/>
      <c r="Y59" s="243"/>
      <c r="Z59" s="243"/>
      <c r="AA59" s="243"/>
      <c r="AB59" s="86"/>
      <c r="AC59" s="86"/>
      <c r="AD59" s="86"/>
      <c r="AE59" s="86"/>
      <c r="AF59" s="243"/>
      <c r="AG59" s="243"/>
      <c r="AH59" s="243"/>
      <c r="AI59" s="243"/>
      <c r="AJ59" s="243"/>
      <c r="AK59" s="243"/>
      <c r="AL59" s="243"/>
      <c r="AM59" s="243"/>
      <c r="AN59" s="243"/>
      <c r="AO59" s="243"/>
      <c r="AP59" s="243"/>
      <c r="AQ59" s="243"/>
      <c r="AR59" s="243"/>
      <c r="AS59" s="243"/>
      <c r="AT59" s="243"/>
      <c r="AU59" s="243"/>
      <c r="AV59" s="243"/>
      <c r="AW59" s="243"/>
      <c r="AX59" s="243"/>
      <c r="AY59" s="243"/>
      <c r="AZ59" s="243"/>
      <c r="BA59" s="243"/>
      <c r="BB59" s="243"/>
      <c r="BC59" s="14"/>
      <c r="BG59" s="4"/>
      <c r="BH59" s="4"/>
      <c r="BJ59" s="1623"/>
      <c r="BK59" s="1623"/>
      <c r="BL59" s="1645"/>
      <c r="BM59" s="1623"/>
      <c r="BN59" s="1556"/>
      <c r="BO59" s="1657"/>
      <c r="BP59" s="1657"/>
      <c r="BQ59" s="1657"/>
      <c r="BR59" s="1657"/>
      <c r="BS59" s="1657"/>
      <c r="BT59" s="1657"/>
      <c r="BU59" s="1657"/>
      <c r="BV59" s="1657"/>
      <c r="BW59" s="1657"/>
      <c r="BX59" s="1657"/>
      <c r="BY59" s="1657"/>
      <c r="BZ59" s="1657"/>
      <c r="CA59" s="1657"/>
      <c r="CB59" s="1657"/>
      <c r="CC59" s="1657"/>
      <c r="CD59" s="1657"/>
      <c r="CE59" s="1657"/>
      <c r="CF59" s="1657"/>
      <c r="CG59" s="1657"/>
      <c r="CH59" s="1657"/>
      <c r="CI59" s="1657"/>
      <c r="CJ59" s="1657"/>
      <c r="CK59" s="1657"/>
      <c r="CL59" s="1657"/>
      <c r="CM59" s="1657"/>
      <c r="CN59" s="1657"/>
      <c r="CO59" s="1657"/>
      <c r="CP59" s="1657"/>
      <c r="CQ59" s="1657"/>
      <c r="CR59" s="1657"/>
      <c r="CS59" s="1657"/>
      <c r="CT59" s="1657"/>
      <c r="CU59" s="1657"/>
      <c r="CV59" s="1657"/>
      <c r="CW59" s="1657"/>
      <c r="CX59" s="1657"/>
      <c r="CY59" s="1657"/>
      <c r="CZ59" s="1657"/>
      <c r="DA59" s="1557"/>
      <c r="DB59" s="1557"/>
    </row>
    <row r="60" spans="2:106" ht="42" customHeight="1" thickBot="1" x14ac:dyDescent="0.45">
      <c r="D60" s="85"/>
      <c r="E60" s="85"/>
      <c r="F60" s="85"/>
      <c r="G60" s="85"/>
      <c r="H60" s="243"/>
      <c r="I60" s="243"/>
      <c r="J60" s="243"/>
      <c r="K60" s="243"/>
      <c r="L60" s="243"/>
      <c r="M60" s="243"/>
      <c r="N60" s="243"/>
      <c r="O60" s="243"/>
      <c r="P60" s="243"/>
      <c r="Q60" s="243"/>
      <c r="R60" s="243"/>
      <c r="S60" s="243"/>
      <c r="T60" s="243"/>
      <c r="U60" s="86"/>
      <c r="V60" s="243"/>
      <c r="W60" s="243"/>
      <c r="X60" s="243"/>
      <c r="Y60" s="243"/>
      <c r="Z60" s="243"/>
      <c r="AA60" s="243"/>
      <c r="AB60" s="86"/>
      <c r="AC60" s="86"/>
      <c r="AD60" s="86"/>
      <c r="AE60" s="86"/>
      <c r="AF60" s="243"/>
      <c r="AG60" s="243"/>
      <c r="AH60" s="243"/>
      <c r="AI60" s="243"/>
      <c r="AJ60" s="243"/>
      <c r="AK60" s="243"/>
      <c r="AL60" s="243"/>
      <c r="AM60" s="243"/>
      <c r="AN60" s="243"/>
      <c r="AO60" s="243"/>
      <c r="AP60" s="243"/>
      <c r="AQ60" s="243"/>
      <c r="AR60" s="243"/>
      <c r="AS60" s="243"/>
      <c r="AT60" s="243"/>
      <c r="AU60" s="243"/>
      <c r="AV60" s="243"/>
      <c r="AW60" s="243"/>
      <c r="AX60" s="243"/>
      <c r="AY60" s="243"/>
      <c r="AZ60" s="243"/>
      <c r="BA60" s="243"/>
      <c r="BB60" s="243"/>
      <c r="BC60" s="14"/>
      <c r="BG60" s="4"/>
      <c r="BH60" s="4"/>
      <c r="BJ60" s="1623"/>
      <c r="BK60" s="1623"/>
      <c r="BL60" s="1645"/>
      <c r="BM60" s="1561" t="s">
        <v>227</v>
      </c>
      <c r="BN60" s="1658" t="s">
        <v>232</v>
      </c>
      <c r="BO60" s="1659" t="str">
        <f>IF(BO58=1,"17","")</f>
        <v/>
      </c>
      <c r="BP60" s="1660" t="str">
        <f>IF(BP58=2,"16","")</f>
        <v/>
      </c>
      <c r="BQ60" s="1660" t="str">
        <f>IF(BQ58=3,"15","")</f>
        <v/>
      </c>
      <c r="BR60" s="1660" t="str">
        <f>IF(BR58=4,"14","")</f>
        <v/>
      </c>
      <c r="BS60" s="1660" t="str">
        <f>IF(BS58=5,"13","")</f>
        <v/>
      </c>
      <c r="BT60" s="1660" t="str">
        <f>IF(BT58=6,"12","")</f>
        <v/>
      </c>
      <c r="BU60" s="1660" t="str">
        <f>IF(BU58=7,"11","")</f>
        <v/>
      </c>
      <c r="BV60" s="1660" t="str">
        <f>IF(BV58=8,"10","")</f>
        <v/>
      </c>
      <c r="BW60" s="1660" t="str">
        <f>IF(BW58=9,"9","")</f>
        <v/>
      </c>
      <c r="BX60" s="1660" t="str">
        <f>IF(BX58=10,"8","")</f>
        <v/>
      </c>
      <c r="BY60" s="1660" t="str">
        <f>IF(BY58=11,"7","")</f>
        <v/>
      </c>
      <c r="BZ60" s="1661" t="str">
        <f>IF(BZ58=12,"1","")</f>
        <v/>
      </c>
      <c r="CA60" s="1662" t="str">
        <f>IF(CA58=13,"2","")</f>
        <v/>
      </c>
      <c r="CB60" s="1662" t="str">
        <f>IF(CB58=14,"3","")</f>
        <v/>
      </c>
      <c r="CC60" s="1662" t="str">
        <f>IF(CC58=15,"4","")</f>
        <v>4</v>
      </c>
      <c r="CD60" s="1662" t="str">
        <f>IF(CD58=16,"5","")</f>
        <v/>
      </c>
      <c r="CE60" s="1662" t="str">
        <f>IF(CE58=17,"6","")</f>
        <v/>
      </c>
      <c r="CF60" s="1662" t="str">
        <f>IF(CF58=18,"7","")</f>
        <v/>
      </c>
      <c r="CG60" s="1662" t="str">
        <f>IF(CG58=19,"8","")</f>
        <v/>
      </c>
      <c r="CH60" s="1662" t="str">
        <f>IF(CH58=20,"9","")</f>
        <v/>
      </c>
      <c r="CI60" s="1662" t="str">
        <f>IF(CI58=21,"10","")</f>
        <v/>
      </c>
      <c r="CJ60" s="1662" t="str">
        <f>IF(CJ58=22,"11","")</f>
        <v/>
      </c>
      <c r="CK60" s="1662" t="str">
        <f>IF(CK58=23,"12","")</f>
        <v/>
      </c>
      <c r="CL60" s="1662" t="str">
        <f>IF(CL58=24,"13","")</f>
        <v/>
      </c>
      <c r="CM60" s="1662" t="str">
        <f>IF(CM58=25,"14","")</f>
        <v/>
      </c>
      <c r="CN60" s="1662" t="str">
        <f>IF(CN58=26,"15","")</f>
        <v/>
      </c>
      <c r="CO60" s="1662" t="str">
        <f>IF(CO58=27,"16","")</f>
        <v/>
      </c>
      <c r="CP60" s="1663" t="str">
        <f>IF(CP58=28,"17","")</f>
        <v/>
      </c>
      <c r="CQ60" s="1664" t="str">
        <f>IF(CQ58=29,"9","")</f>
        <v/>
      </c>
      <c r="CR60" s="1664" t="str">
        <f>IF(CR58=30,"10","")</f>
        <v/>
      </c>
      <c r="CS60" s="1664" t="str">
        <f>IF(CS58=31,"11","")</f>
        <v/>
      </c>
      <c r="CT60" s="1664" t="str">
        <f>IF(CT58=32,"12","")</f>
        <v/>
      </c>
      <c r="CU60" s="1664" t="str">
        <f>IF(CU58=33,"13","")</f>
        <v/>
      </c>
      <c r="CV60" s="1664" t="str">
        <f>IF(CV58=34,"14","")</f>
        <v/>
      </c>
      <c r="CW60" s="1664" t="str">
        <f>IF(CW58=35,"15","")</f>
        <v/>
      </c>
      <c r="CX60" s="1664" t="str">
        <f>IF(CX58=36,"16","")</f>
        <v/>
      </c>
      <c r="CY60" s="1665" t="str">
        <f>IF(CY58=37,"17","")</f>
        <v/>
      </c>
      <c r="CZ60" s="1666"/>
      <c r="DA60" s="1557"/>
      <c r="DB60" s="1557"/>
    </row>
    <row r="61" spans="2:106" ht="45" customHeight="1" thickBot="1" x14ac:dyDescent="0.45">
      <c r="D61" s="85"/>
      <c r="E61" s="85"/>
      <c r="F61" s="85"/>
      <c r="G61" s="85"/>
      <c r="H61" s="243"/>
      <c r="I61" s="243"/>
      <c r="J61" s="243"/>
      <c r="K61" s="243"/>
      <c r="L61" s="243"/>
      <c r="M61" s="243"/>
      <c r="N61" s="243"/>
      <c r="O61" s="243"/>
      <c r="P61" s="243"/>
      <c r="Q61" s="243"/>
      <c r="R61" s="243"/>
      <c r="S61" s="243"/>
      <c r="T61" s="243"/>
      <c r="U61" s="86"/>
      <c r="V61" s="243"/>
      <c r="W61" s="243"/>
      <c r="X61" s="243"/>
      <c r="Y61" s="243"/>
      <c r="Z61" s="243"/>
      <c r="AA61" s="243"/>
      <c r="AB61" s="86"/>
      <c r="AC61" s="86"/>
      <c r="AD61" s="86"/>
      <c r="AE61" s="86"/>
      <c r="AF61" s="243"/>
      <c r="AG61" s="243"/>
      <c r="AH61" s="243"/>
      <c r="AI61" s="243"/>
      <c r="AJ61" s="243"/>
      <c r="AK61" s="243"/>
      <c r="AL61" s="243"/>
      <c r="AM61" s="243"/>
      <c r="AN61" s="243"/>
      <c r="AO61" s="243"/>
      <c r="AP61" s="243"/>
      <c r="AQ61" s="243"/>
      <c r="AR61" s="243"/>
      <c r="AS61" s="243"/>
      <c r="AT61" s="243"/>
      <c r="AU61" s="243"/>
      <c r="AV61" s="243"/>
      <c r="AW61" s="243"/>
      <c r="AX61" s="243"/>
      <c r="AY61" s="243"/>
      <c r="AZ61" s="243"/>
      <c r="BA61" s="243"/>
      <c r="BB61" s="243"/>
      <c r="BC61" s="14"/>
      <c r="BG61" s="4"/>
      <c r="BH61" s="4"/>
      <c r="BJ61" s="1623"/>
      <c r="BK61" s="1550" t="b">
        <f>AND(BM61&gt;=10,$BA$110&gt;=10,$BB$110&gt;=10)</f>
        <v>1</v>
      </c>
      <c r="BL61" s="1570" t="str">
        <f>IF(BK61=TRUE,"O K","OVERLOAD")</f>
        <v>O K</v>
      </c>
      <c r="BM61" s="1571">
        <f>+$D$20/(BO25)</f>
        <v>31.936127744510976</v>
      </c>
      <c r="BN61" s="1667" t="s">
        <v>233</v>
      </c>
      <c r="BO61" s="1668">
        <v>-10</v>
      </c>
      <c r="BP61" s="1668">
        <v>-9</v>
      </c>
      <c r="BQ61" s="1668">
        <v>-8</v>
      </c>
      <c r="BR61" s="1668">
        <v>-7</v>
      </c>
      <c r="BS61" s="1668">
        <v>-6</v>
      </c>
      <c r="BT61" s="1668">
        <v>-5</v>
      </c>
      <c r="BU61" s="1668">
        <v>-4</v>
      </c>
      <c r="BV61" s="1668">
        <v>-3</v>
      </c>
      <c r="BW61" s="1668">
        <v>-2</v>
      </c>
      <c r="BX61" s="1668">
        <v>-1</v>
      </c>
      <c r="BY61" s="1668">
        <v>0</v>
      </c>
      <c r="BZ61" s="1668">
        <v>1</v>
      </c>
      <c r="CA61" s="1668">
        <v>2</v>
      </c>
      <c r="CB61" s="1668">
        <v>3</v>
      </c>
      <c r="CC61" s="1668">
        <v>4</v>
      </c>
      <c r="CD61" s="1668">
        <v>5</v>
      </c>
      <c r="CE61" s="1668">
        <v>6</v>
      </c>
      <c r="CF61" s="1668">
        <v>7</v>
      </c>
      <c r="CG61" s="1668">
        <v>8</v>
      </c>
      <c r="CH61" s="1668">
        <v>9</v>
      </c>
      <c r="CI61" s="1669">
        <v>10</v>
      </c>
      <c r="CJ61" s="1668">
        <v>11</v>
      </c>
      <c r="CK61" s="1668">
        <v>12</v>
      </c>
      <c r="CL61" s="1668">
        <v>13</v>
      </c>
      <c r="CM61" s="1668">
        <v>14</v>
      </c>
      <c r="CN61" s="1668">
        <v>15</v>
      </c>
      <c r="CO61" s="1668">
        <v>16</v>
      </c>
      <c r="CP61" s="1668">
        <v>17</v>
      </c>
      <c r="CQ61" s="1668">
        <v>18</v>
      </c>
      <c r="CR61" s="1668">
        <v>19</v>
      </c>
      <c r="CS61" s="1668">
        <v>20</v>
      </c>
      <c r="CT61" s="1668">
        <v>21</v>
      </c>
      <c r="CU61" s="1668">
        <v>22</v>
      </c>
      <c r="CV61" s="1668">
        <v>23</v>
      </c>
      <c r="CW61" s="1668">
        <v>24</v>
      </c>
      <c r="CX61" s="1668">
        <v>25</v>
      </c>
      <c r="CY61" s="1670">
        <v>26</v>
      </c>
      <c r="CZ61" s="1557"/>
      <c r="DA61" s="1557"/>
      <c r="DB61" s="1557"/>
    </row>
    <row r="62" spans="2:106" ht="21" hidden="1" x14ac:dyDescent="0.4">
      <c r="B62" s="84"/>
      <c r="C62" s="84"/>
      <c r="D62" s="85"/>
      <c r="E62" s="85"/>
      <c r="F62" s="85"/>
      <c r="G62" s="85"/>
      <c r="H62" s="243"/>
      <c r="I62" s="243"/>
      <c r="J62" s="243"/>
      <c r="K62" s="243"/>
      <c r="L62" s="243"/>
      <c r="M62" s="243"/>
      <c r="N62" s="243"/>
      <c r="O62" s="243"/>
      <c r="P62" s="243"/>
      <c r="Q62" s="243"/>
      <c r="R62" s="243"/>
      <c r="S62" s="243"/>
      <c r="T62" s="243"/>
      <c r="U62" s="86"/>
      <c r="V62" s="243"/>
      <c r="W62" s="243"/>
      <c r="X62" s="243"/>
      <c r="Y62" s="243"/>
      <c r="Z62" s="243"/>
      <c r="AA62" s="243"/>
      <c r="AB62" s="86"/>
      <c r="AC62" s="86"/>
      <c r="AD62" s="86"/>
      <c r="AE62" s="86"/>
      <c r="AF62" s="243"/>
      <c r="AG62" s="243"/>
      <c r="AH62" s="243"/>
      <c r="AI62" s="243"/>
      <c r="AJ62" s="243"/>
      <c r="AK62" s="243"/>
      <c r="AL62" s="243"/>
      <c r="AM62" s="243"/>
      <c r="AN62" s="243"/>
      <c r="AO62" s="243"/>
      <c r="AP62" s="243"/>
      <c r="AQ62" s="243"/>
      <c r="AR62" s="243"/>
      <c r="AS62" s="243"/>
      <c r="AT62" s="243"/>
      <c r="AU62" s="243"/>
      <c r="AV62" s="243"/>
      <c r="AW62" s="243"/>
      <c r="AX62" s="243"/>
      <c r="AY62" s="243"/>
      <c r="AZ62" s="243"/>
      <c r="BA62" s="243"/>
      <c r="BB62" s="243"/>
      <c r="BC62" s="14"/>
      <c r="BG62" s="4"/>
      <c r="BH62" s="4"/>
      <c r="BJ62" s="1623"/>
      <c r="BK62" s="1623"/>
      <c r="BL62" s="1623"/>
      <c r="BN62" s="1557"/>
      <c r="BO62" s="1671">
        <v>1</v>
      </c>
      <c r="BP62" s="1671">
        <v>2</v>
      </c>
      <c r="BQ62" s="1671">
        <v>3</v>
      </c>
      <c r="BR62" s="1671">
        <v>4</v>
      </c>
      <c r="BS62" s="1671">
        <v>5</v>
      </c>
      <c r="BT62" s="1671">
        <v>6</v>
      </c>
      <c r="BU62" s="1671">
        <v>7</v>
      </c>
      <c r="BV62" s="1671">
        <v>8</v>
      </c>
      <c r="BW62" s="1671">
        <v>9</v>
      </c>
      <c r="BX62" s="1671">
        <v>10</v>
      </c>
      <c r="BY62" s="1671">
        <v>11</v>
      </c>
      <c r="BZ62" s="1671">
        <v>12</v>
      </c>
      <c r="CA62" s="1671">
        <v>13</v>
      </c>
      <c r="CB62" s="1671">
        <v>14</v>
      </c>
      <c r="CC62" s="1671">
        <v>15</v>
      </c>
      <c r="CD62" s="1671">
        <v>16</v>
      </c>
      <c r="CE62" s="1671">
        <v>17</v>
      </c>
      <c r="CF62" s="1671">
        <v>18</v>
      </c>
      <c r="CG62" s="1671">
        <v>19</v>
      </c>
      <c r="CH62" s="1671">
        <v>20</v>
      </c>
      <c r="CI62" s="1671">
        <v>21</v>
      </c>
      <c r="CJ62" s="1671">
        <v>22</v>
      </c>
      <c r="CK62" s="1671">
        <v>23</v>
      </c>
      <c r="CL62" s="1671">
        <v>24</v>
      </c>
      <c r="CM62" s="1671">
        <v>25</v>
      </c>
      <c r="CN62" s="1671">
        <v>26</v>
      </c>
      <c r="CO62" s="1671">
        <v>27</v>
      </c>
      <c r="CP62" s="1671">
        <v>28</v>
      </c>
      <c r="CQ62" s="1671">
        <v>29</v>
      </c>
      <c r="CR62" s="1671">
        <v>30</v>
      </c>
      <c r="CS62" s="1671">
        <v>31</v>
      </c>
      <c r="CT62" s="1671">
        <v>32</v>
      </c>
      <c r="CU62" s="1671">
        <v>33</v>
      </c>
      <c r="CV62" s="1671">
        <v>34</v>
      </c>
      <c r="CW62" s="1671">
        <v>35</v>
      </c>
      <c r="CX62" s="1671">
        <v>36</v>
      </c>
      <c r="CY62" s="1671">
        <v>37</v>
      </c>
      <c r="CZ62" s="1671"/>
      <c r="DA62" s="1557"/>
      <c r="DB62" s="1557"/>
    </row>
    <row r="63" spans="2:106" ht="23.4" hidden="1" thickBot="1" x14ac:dyDescent="0.45">
      <c r="B63" s="84"/>
      <c r="C63" s="84"/>
      <c r="D63" s="85"/>
      <c r="E63" s="85"/>
      <c r="F63" s="85"/>
      <c r="G63" s="85"/>
      <c r="H63" s="243"/>
      <c r="I63" s="243"/>
      <c r="J63" s="243"/>
      <c r="K63" s="243"/>
      <c r="L63" s="243"/>
      <c r="M63" s="243"/>
      <c r="N63" s="243"/>
      <c r="O63" s="243"/>
      <c r="P63" s="243"/>
      <c r="Q63" s="243"/>
      <c r="R63" s="243"/>
      <c r="S63" s="243"/>
      <c r="T63" s="243"/>
      <c r="U63" s="86"/>
      <c r="V63" s="243"/>
      <c r="W63" s="243"/>
      <c r="X63" s="243"/>
      <c r="Y63" s="243"/>
      <c r="Z63" s="243"/>
      <c r="AA63" s="243"/>
      <c r="AB63" s="86"/>
      <c r="AC63" s="86"/>
      <c r="AD63" s="86"/>
      <c r="AE63" s="86"/>
      <c r="AF63" s="243"/>
      <c r="AG63" s="243"/>
      <c r="AH63" s="243"/>
      <c r="AI63" s="243"/>
      <c r="AJ63" s="243"/>
      <c r="AK63" s="243"/>
      <c r="AL63" s="243"/>
      <c r="AM63" s="243"/>
      <c r="AN63" s="243"/>
      <c r="AO63" s="243"/>
      <c r="AP63" s="243"/>
      <c r="AQ63" s="243"/>
      <c r="AR63" s="243"/>
      <c r="AS63" s="243"/>
      <c r="AT63" s="243"/>
      <c r="AU63" s="243"/>
      <c r="AV63" s="243"/>
      <c r="AW63" s="243"/>
      <c r="AX63" s="243"/>
      <c r="AY63" s="243"/>
      <c r="AZ63" s="243"/>
      <c r="BA63" s="243"/>
      <c r="BB63" s="243"/>
      <c r="BC63" s="14"/>
      <c r="BG63" s="4"/>
      <c r="BH63" s="4"/>
      <c r="BL63" s="1577"/>
      <c r="BM63" s="1601"/>
      <c r="BN63" s="1672"/>
      <c r="BO63" s="1673"/>
      <c r="BP63" s="1673"/>
      <c r="BQ63" s="1673"/>
      <c r="BR63" s="1673"/>
      <c r="BS63" s="1673"/>
      <c r="BT63" s="1673"/>
      <c r="BU63" s="1673"/>
      <c r="BV63" s="1673"/>
      <c r="BW63" s="1603"/>
      <c r="BX63" s="1603"/>
      <c r="BY63" s="1604"/>
      <c r="BZ63" s="1604"/>
      <c r="CA63" s="1604"/>
      <c r="CB63" s="1604"/>
      <c r="CC63" s="1604"/>
      <c r="CD63" s="1604"/>
      <c r="CE63" s="1604"/>
      <c r="CF63" s="1604"/>
      <c r="CG63" s="1604"/>
      <c r="CH63" s="1604"/>
      <c r="CI63" s="1604"/>
      <c r="CJ63" s="1604"/>
      <c r="CK63" s="1604"/>
      <c r="CL63" s="1605"/>
      <c r="CM63" s="1606"/>
      <c r="CN63" s="1606"/>
      <c r="CO63" s="1606"/>
      <c r="CP63" s="1606"/>
      <c r="CQ63" s="1600"/>
      <c r="CR63" s="1600"/>
      <c r="CS63" s="1600"/>
      <c r="CT63" s="1600"/>
      <c r="CU63" s="1600"/>
      <c r="CV63" s="1600"/>
      <c r="CW63" s="1600"/>
      <c r="CX63" s="1600"/>
      <c r="CY63" s="1600"/>
      <c r="CZ63" s="1600"/>
      <c r="DA63" s="1624"/>
      <c r="DB63" s="1557"/>
    </row>
    <row r="64" spans="2:106" ht="23.4" hidden="1" thickBot="1" x14ac:dyDescent="0.45">
      <c r="B64" s="266"/>
      <c r="E64" s="85"/>
      <c r="F64" s="85"/>
      <c r="G64" s="85"/>
      <c r="H64" s="243"/>
      <c r="I64" s="243"/>
      <c r="J64" s="243"/>
      <c r="K64" s="243"/>
      <c r="L64" s="243"/>
      <c r="M64" s="243"/>
      <c r="N64" s="243"/>
      <c r="O64" s="243"/>
      <c r="P64" s="243"/>
      <c r="Q64" s="243"/>
      <c r="R64" s="243"/>
      <c r="S64" s="243"/>
      <c r="T64" s="243"/>
      <c r="U64" s="86"/>
      <c r="V64" s="243"/>
      <c r="W64" s="243"/>
      <c r="X64" s="243"/>
      <c r="Y64" s="243"/>
      <c r="Z64" s="243"/>
      <c r="AA64" s="243"/>
      <c r="AB64" s="86"/>
      <c r="AC64" s="86"/>
      <c r="AD64" s="86"/>
      <c r="AE64" s="86"/>
      <c r="AF64" s="243"/>
      <c r="AG64" s="243"/>
      <c r="AH64" s="243"/>
      <c r="AI64" s="243"/>
      <c r="AJ64" s="243"/>
      <c r="AK64" s="243"/>
      <c r="AL64" s="243"/>
      <c r="AM64" s="243"/>
      <c r="AN64" s="243"/>
      <c r="AO64" s="243"/>
      <c r="AP64" s="243"/>
      <c r="AQ64" s="243"/>
      <c r="AR64" s="243"/>
      <c r="AS64" s="243"/>
      <c r="AT64" s="243"/>
      <c r="AU64" s="243"/>
      <c r="AV64" s="243"/>
      <c r="AW64" s="243"/>
      <c r="AX64" s="243"/>
      <c r="AY64" s="243"/>
      <c r="AZ64" s="243"/>
      <c r="BA64" s="243"/>
      <c r="BB64" s="243"/>
      <c r="BC64" s="14"/>
      <c r="BG64" s="4"/>
      <c r="BH64" s="4"/>
      <c r="BL64" s="1577"/>
      <c r="BM64" s="1601"/>
      <c r="BN64" s="1672">
        <v>36</v>
      </c>
      <c r="BO64" s="1673"/>
      <c r="BP64" s="1673"/>
      <c r="BQ64" s="1673"/>
      <c r="BR64" s="1673"/>
      <c r="BS64" s="1673"/>
      <c r="BT64" s="1673"/>
      <c r="BU64" s="1673"/>
      <c r="BV64" s="1673"/>
      <c r="BW64" s="1603"/>
      <c r="BX64" s="1603"/>
      <c r="BY64" s="1604"/>
      <c r="BZ64" s="1604"/>
      <c r="CA64" s="1604"/>
      <c r="CB64" s="1604"/>
      <c r="CC64" s="1604"/>
      <c r="CD64" s="1604"/>
      <c r="CE64" s="1604"/>
      <c r="CF64" s="1674"/>
      <c r="CG64" s="1675"/>
      <c r="CH64" s="1676"/>
      <c r="CI64" s="1604"/>
      <c r="CJ64" s="1604"/>
      <c r="CK64" s="1604"/>
      <c r="CL64" s="1605"/>
      <c r="CM64" s="1606"/>
      <c r="CN64" s="1606"/>
      <c r="CO64" s="1606"/>
      <c r="CP64" s="1606"/>
      <c r="CQ64" s="1600"/>
      <c r="CR64" s="1600"/>
      <c r="CS64" s="1600"/>
      <c r="CT64" s="1600"/>
      <c r="CU64" s="1600"/>
      <c r="CV64" s="1600"/>
      <c r="CW64" s="1677" t="b">
        <f>IF(CX57=36,35)</f>
        <v>0</v>
      </c>
      <c r="CX64" s="1678"/>
      <c r="CY64" s="1634" t="b">
        <f>IF(CX57=36,37)</f>
        <v>0</v>
      </c>
      <c r="CZ64" s="1600"/>
      <c r="DA64" s="1624"/>
      <c r="DB64" s="1557"/>
    </row>
    <row r="65" spans="2:142" ht="23.4" hidden="1" thickBot="1" x14ac:dyDescent="0.45">
      <c r="B65" s="84"/>
      <c r="C65" s="84"/>
      <c r="D65" s="85"/>
      <c r="E65" s="85"/>
      <c r="F65" s="85"/>
      <c r="G65" s="85"/>
      <c r="H65" s="243"/>
      <c r="I65" s="243"/>
      <c r="J65" s="243"/>
      <c r="K65" s="243"/>
      <c r="L65" s="243"/>
      <c r="M65" s="243"/>
      <c r="N65" s="243"/>
      <c r="O65" s="243"/>
      <c r="P65" s="243"/>
      <c r="Q65" s="243"/>
      <c r="R65" s="243"/>
      <c r="S65" s="243"/>
      <c r="T65" s="243"/>
      <c r="U65" s="86"/>
      <c r="V65" s="243"/>
      <c r="W65" s="243"/>
      <c r="X65" s="243"/>
      <c r="Y65" s="243"/>
      <c r="Z65" s="243"/>
      <c r="AA65" s="243"/>
      <c r="AB65" s="86"/>
      <c r="AC65" s="86"/>
      <c r="AD65" s="86"/>
      <c r="AE65" s="86"/>
      <c r="AF65" s="243"/>
      <c r="AG65" s="243"/>
      <c r="AH65" s="243"/>
      <c r="AI65" s="243"/>
      <c r="AJ65" s="243"/>
      <c r="AK65" s="243"/>
      <c r="AL65" s="243"/>
      <c r="AM65" s="243"/>
      <c r="AN65" s="243"/>
      <c r="AO65" s="243"/>
      <c r="AP65" s="243"/>
      <c r="AQ65" s="243"/>
      <c r="AR65" s="243"/>
      <c r="AS65" s="243"/>
      <c r="AT65" s="243"/>
      <c r="AU65" s="243"/>
      <c r="AV65" s="243"/>
      <c r="AW65" s="243"/>
      <c r="AX65" s="243"/>
      <c r="AY65" s="243"/>
      <c r="AZ65" s="243"/>
      <c r="BA65" s="243"/>
      <c r="BB65" s="243"/>
      <c r="BC65" s="14"/>
      <c r="BG65" s="4"/>
      <c r="BH65" s="4"/>
      <c r="BL65" s="1577"/>
      <c r="BM65" s="1601"/>
      <c r="BN65" s="1672">
        <v>35</v>
      </c>
      <c r="BO65" s="1673"/>
      <c r="BP65" s="1673"/>
      <c r="BQ65" s="1673"/>
      <c r="BR65" s="1673"/>
      <c r="BS65" s="1673"/>
      <c r="BT65" s="1673"/>
      <c r="BU65" s="1673"/>
      <c r="BV65" s="1673"/>
      <c r="BW65" s="1603"/>
      <c r="BX65" s="1603"/>
      <c r="BY65" s="1604"/>
      <c r="BZ65" s="1604"/>
      <c r="CA65" s="1604"/>
      <c r="CB65" s="1604"/>
      <c r="CC65" s="1604"/>
      <c r="CD65" s="1604"/>
      <c r="CE65" s="1604"/>
      <c r="CF65" s="1679"/>
      <c r="CG65" s="1604"/>
      <c r="CH65" s="1680"/>
      <c r="CI65" s="1604"/>
      <c r="CJ65" s="1604"/>
      <c r="CK65" s="1604"/>
      <c r="CL65" s="1605"/>
      <c r="CM65" s="1606"/>
      <c r="CN65" s="1606"/>
      <c r="CO65" s="1606"/>
      <c r="CP65" s="1606"/>
      <c r="CQ65" s="1600"/>
      <c r="CR65" s="1600"/>
      <c r="CS65" s="1600"/>
      <c r="CT65" s="1600"/>
      <c r="CU65" s="1677" t="b">
        <f>IF(CW57=35,33)</f>
        <v>0</v>
      </c>
      <c r="CV65" s="1678"/>
      <c r="CW65" s="1678"/>
      <c r="CX65" s="1678"/>
      <c r="CY65" s="1634" t="b">
        <f>IF(CW57=35,37)</f>
        <v>0</v>
      </c>
      <c r="CZ65" s="1600"/>
      <c r="DA65" s="1624"/>
      <c r="DB65" s="1557"/>
    </row>
    <row r="66" spans="2:142" ht="23.4" hidden="1" thickBot="1" x14ac:dyDescent="0.45">
      <c r="B66" s="85"/>
      <c r="C66" s="85"/>
      <c r="D66" s="85"/>
      <c r="E66" s="85"/>
      <c r="F66" s="85"/>
      <c r="G66" s="85"/>
      <c r="H66" s="243"/>
      <c r="I66" s="243"/>
      <c r="J66" s="243"/>
      <c r="K66" s="243"/>
      <c r="L66" s="243"/>
      <c r="M66" s="243"/>
      <c r="N66" s="243"/>
      <c r="O66" s="243"/>
      <c r="P66" s="243"/>
      <c r="Q66" s="243"/>
      <c r="R66" s="243"/>
      <c r="S66" s="243"/>
      <c r="T66" s="243"/>
      <c r="U66" s="86"/>
      <c r="V66" s="243"/>
      <c r="W66" s="243"/>
      <c r="X66" s="243"/>
      <c r="Y66" s="243"/>
      <c r="Z66" s="243"/>
      <c r="AA66" s="243"/>
      <c r="AB66" s="86"/>
      <c r="AC66" s="86"/>
      <c r="AD66" s="86"/>
      <c r="AE66" s="86"/>
      <c r="AF66" s="243"/>
      <c r="AG66" s="243"/>
      <c r="AH66" s="243"/>
      <c r="AI66" s="243"/>
      <c r="AJ66" s="243"/>
      <c r="AK66" s="243"/>
      <c r="AL66" s="243"/>
      <c r="AM66" s="243"/>
      <c r="AN66" s="243"/>
      <c r="AO66" s="243"/>
      <c r="AP66" s="243"/>
      <c r="AQ66" s="243"/>
      <c r="AR66" s="243"/>
      <c r="AS66" s="243"/>
      <c r="AT66" s="243"/>
      <c r="AU66" s="243"/>
      <c r="AV66" s="243"/>
      <c r="AW66" s="243"/>
      <c r="AX66" s="243"/>
      <c r="AY66" s="243"/>
      <c r="AZ66" s="243"/>
      <c r="BA66" s="243"/>
      <c r="BB66" s="243"/>
      <c r="BC66" s="14"/>
      <c r="BG66" s="4"/>
      <c r="BH66" s="4"/>
      <c r="BL66" s="1577"/>
      <c r="BM66" s="1601"/>
      <c r="BN66" s="1672">
        <v>34</v>
      </c>
      <c r="BO66" s="1673"/>
      <c r="BP66" s="1673"/>
      <c r="BQ66" s="1673"/>
      <c r="BR66" s="1673"/>
      <c r="BS66" s="1673"/>
      <c r="BT66" s="1673"/>
      <c r="BU66" s="1673"/>
      <c r="BV66" s="1673"/>
      <c r="BW66" s="1603"/>
      <c r="BX66" s="1603"/>
      <c r="BY66" s="1604"/>
      <c r="BZ66" s="1604"/>
      <c r="CA66" s="1604"/>
      <c r="CB66" s="1604"/>
      <c r="CC66" s="1604"/>
      <c r="CD66" s="1604"/>
      <c r="CE66" s="1604"/>
      <c r="CF66" s="1679"/>
      <c r="CG66" s="1604"/>
      <c r="CH66" s="1680"/>
      <c r="CI66" s="1604"/>
      <c r="CJ66" s="1604"/>
      <c r="CK66" s="1604"/>
      <c r="CL66" s="1605"/>
      <c r="CM66" s="1606"/>
      <c r="CN66" s="1606"/>
      <c r="CO66" s="1606"/>
      <c r="CP66" s="1606"/>
      <c r="CQ66" s="1600"/>
      <c r="CR66" s="1600"/>
      <c r="CS66" s="1677" t="b">
        <f>IF(CV57=34,31)</f>
        <v>0</v>
      </c>
      <c r="CT66" s="1678"/>
      <c r="CU66" s="1678"/>
      <c r="CV66" s="1678"/>
      <c r="CW66" s="1678"/>
      <c r="CX66" s="1678"/>
      <c r="CY66" s="1634" t="b">
        <f>IF(CV57=34,37)</f>
        <v>0</v>
      </c>
      <c r="CZ66" s="1600"/>
      <c r="DA66" s="1624"/>
      <c r="DB66" s="1557"/>
    </row>
    <row r="67" spans="2:142" ht="23.4" hidden="1" thickBot="1" x14ac:dyDescent="0.45">
      <c r="B67" s="85"/>
      <c r="C67" s="85"/>
      <c r="D67" s="85"/>
      <c r="E67" s="85"/>
      <c r="F67" s="85"/>
      <c r="G67" s="85"/>
      <c r="H67" s="243"/>
      <c r="I67" s="243"/>
      <c r="J67" s="243"/>
      <c r="K67" s="243"/>
      <c r="L67" s="243"/>
      <c r="M67" s="243"/>
      <c r="N67" s="243"/>
      <c r="O67" s="243"/>
      <c r="P67" s="243"/>
      <c r="Q67" s="243"/>
      <c r="R67" s="243"/>
      <c r="S67" s="243"/>
      <c r="T67" s="243"/>
      <c r="U67" s="86"/>
      <c r="V67" s="243"/>
      <c r="W67" s="243"/>
      <c r="X67" s="243"/>
      <c r="Y67" s="243"/>
      <c r="Z67" s="243"/>
      <c r="AA67" s="243"/>
      <c r="AB67" s="86"/>
      <c r="AC67" s="86"/>
      <c r="AD67" s="86"/>
      <c r="AE67" s="86"/>
      <c r="AF67" s="243"/>
      <c r="AG67" s="243"/>
      <c r="AH67" s="243"/>
      <c r="AI67" s="243"/>
      <c r="AJ67" s="243"/>
      <c r="AK67" s="243"/>
      <c r="AL67" s="243"/>
      <c r="AM67" s="243"/>
      <c r="AN67" s="243"/>
      <c r="AO67" s="243"/>
      <c r="AP67" s="243"/>
      <c r="AQ67" s="243"/>
      <c r="AR67" s="243"/>
      <c r="AS67" s="243"/>
      <c r="AT67" s="243"/>
      <c r="AU67" s="243"/>
      <c r="AV67" s="243"/>
      <c r="AW67" s="243"/>
      <c r="AX67" s="243"/>
      <c r="AY67" s="243"/>
      <c r="AZ67" s="243"/>
      <c r="BA67" s="243"/>
      <c r="BB67" s="243"/>
      <c r="BC67" s="14"/>
      <c r="BF67" s="39"/>
      <c r="BG67" s="40"/>
      <c r="BH67" s="40"/>
      <c r="BI67" s="4"/>
      <c r="BL67" s="1577"/>
      <c r="BM67" s="1601"/>
      <c r="BN67" s="1672">
        <v>33</v>
      </c>
      <c r="BO67" s="1673"/>
      <c r="BP67" s="1673"/>
      <c r="BQ67" s="1673"/>
      <c r="BR67" s="1673"/>
      <c r="BS67" s="1673"/>
      <c r="BT67" s="1673"/>
      <c r="BU67" s="1673"/>
      <c r="BV67" s="1673"/>
      <c r="BW67" s="1603"/>
      <c r="BX67" s="1603"/>
      <c r="BY67" s="1604"/>
      <c r="BZ67" s="1604"/>
      <c r="CA67" s="1604"/>
      <c r="CB67" s="1604"/>
      <c r="CC67" s="1604"/>
      <c r="CD67" s="1604"/>
      <c r="CE67" s="1604"/>
      <c r="CF67" s="1679"/>
      <c r="CG67" s="1604"/>
      <c r="CH67" s="1680"/>
      <c r="CI67" s="1604"/>
      <c r="CJ67" s="1604"/>
      <c r="CK67" s="1604"/>
      <c r="CL67" s="1605"/>
      <c r="CM67" s="1606"/>
      <c r="CN67" s="1606"/>
      <c r="CO67" s="1606"/>
      <c r="CP67" s="1606"/>
      <c r="CQ67" s="1677" t="b">
        <f>IF(CU57=33,29)</f>
        <v>0</v>
      </c>
      <c r="CR67" s="1678"/>
      <c r="CS67" s="1678"/>
      <c r="CT67" s="1678"/>
      <c r="CU67" s="1678"/>
      <c r="CV67" s="1678"/>
      <c r="CW67" s="1678"/>
      <c r="CX67" s="1678"/>
      <c r="CY67" s="1634" t="b">
        <f>IF(CU57=33,37)</f>
        <v>0</v>
      </c>
      <c r="CZ67" s="1600"/>
      <c r="DA67" s="1624"/>
      <c r="DB67" s="1557"/>
    </row>
    <row r="68" spans="2:142" ht="21.6" hidden="1" thickBot="1" x14ac:dyDescent="0.45">
      <c r="B68" s="85"/>
      <c r="C68" s="85"/>
      <c r="D68" s="85"/>
      <c r="E68" s="85"/>
      <c r="F68" s="85"/>
      <c r="G68" s="85"/>
      <c r="H68" s="243"/>
      <c r="I68" s="243"/>
      <c r="J68" s="243"/>
      <c r="K68" s="243"/>
      <c r="L68" s="243"/>
      <c r="M68" s="243"/>
      <c r="N68" s="243"/>
      <c r="O68" s="243"/>
      <c r="P68" s="243"/>
      <c r="Q68" s="243"/>
      <c r="R68" s="243"/>
      <c r="S68" s="243"/>
      <c r="T68" s="243"/>
      <c r="U68" s="86"/>
      <c r="V68" s="243"/>
      <c r="W68" s="243"/>
      <c r="X68" s="243"/>
      <c r="Y68" s="243"/>
      <c r="Z68" s="243"/>
      <c r="AA68" s="243"/>
      <c r="AB68" s="86"/>
      <c r="AC68" s="86"/>
      <c r="AD68" s="86"/>
      <c r="AE68" s="86"/>
      <c r="AF68" s="243"/>
      <c r="AG68" s="243"/>
      <c r="AH68" s="243"/>
      <c r="AI68" s="243"/>
      <c r="AJ68" s="243"/>
      <c r="AK68" s="243"/>
      <c r="AL68" s="243"/>
      <c r="AM68" s="243"/>
      <c r="AN68" s="243"/>
      <c r="AO68" s="243"/>
      <c r="AP68" s="243"/>
      <c r="AQ68" s="243"/>
      <c r="AR68" s="243"/>
      <c r="AS68" s="243"/>
      <c r="AT68" s="243"/>
      <c r="AU68" s="243"/>
      <c r="AV68" s="243"/>
      <c r="AW68" s="243"/>
      <c r="AX68" s="243"/>
      <c r="AY68" s="243"/>
      <c r="AZ68" s="243"/>
      <c r="BA68" s="243"/>
      <c r="BB68" s="243"/>
      <c r="BC68" s="14"/>
      <c r="BF68" s="39"/>
      <c r="BG68" s="40"/>
      <c r="BH68" s="40"/>
      <c r="BI68" s="4"/>
      <c r="BL68" s="1577"/>
      <c r="BM68" s="1551"/>
      <c r="BN68" s="1672">
        <v>32</v>
      </c>
      <c r="BO68" s="1644"/>
      <c r="BP68" s="1644"/>
      <c r="BQ68" s="1644"/>
      <c r="BR68" s="1644"/>
      <c r="BS68" s="1644"/>
      <c r="BT68" s="1655"/>
      <c r="BU68" s="1644"/>
      <c r="BV68" s="1644"/>
      <c r="BW68" s="1644"/>
      <c r="BX68" s="1644"/>
      <c r="BY68" s="1644"/>
      <c r="BZ68" s="1644"/>
      <c r="CA68" s="1644"/>
      <c r="CB68" s="1644"/>
      <c r="CC68" s="1644"/>
      <c r="CD68" s="1644"/>
      <c r="CE68" s="1644"/>
      <c r="CF68" s="1681"/>
      <c r="CG68" s="1644"/>
      <c r="CH68" s="1682"/>
      <c r="CI68" s="1644"/>
      <c r="CJ68" s="1644"/>
      <c r="CK68" s="1644"/>
      <c r="CL68" s="1655"/>
      <c r="CM68" s="1557"/>
      <c r="CN68" s="1557"/>
      <c r="CO68" s="1677" t="b">
        <f>IF(CT57=32,27)</f>
        <v>0</v>
      </c>
      <c r="CP68" s="1642"/>
      <c r="CQ68" s="1642"/>
      <c r="CR68" s="1642"/>
      <c r="CS68" s="1642"/>
      <c r="CT68" s="1642"/>
      <c r="CU68" s="1642"/>
      <c r="CV68" s="1642"/>
      <c r="CW68" s="1642"/>
      <c r="CX68" s="1642"/>
      <c r="CY68" s="1634" t="b">
        <f>IF(CT57=32,37)</f>
        <v>0</v>
      </c>
      <c r="CZ68" s="1557"/>
      <c r="DA68" s="1557"/>
      <c r="DB68" s="1557"/>
    </row>
    <row r="69" spans="2:142" ht="21.6" hidden="1" thickBot="1" x14ac:dyDescent="0.45">
      <c r="B69" s="85"/>
      <c r="C69" s="85"/>
      <c r="D69" s="85"/>
      <c r="E69" s="85"/>
      <c r="F69" s="85"/>
      <c r="G69" s="85"/>
      <c r="H69" s="243"/>
      <c r="I69" s="243"/>
      <c r="J69" s="243"/>
      <c r="K69" s="243"/>
      <c r="L69" s="243"/>
      <c r="M69" s="243"/>
      <c r="N69" s="243"/>
      <c r="O69" s="243"/>
      <c r="P69" s="243"/>
      <c r="Q69" s="243"/>
      <c r="R69" s="243"/>
      <c r="S69" s="243"/>
      <c r="T69" s="243"/>
      <c r="U69" s="86"/>
      <c r="V69" s="243"/>
      <c r="W69" s="243"/>
      <c r="X69" s="243"/>
      <c r="Y69" s="243"/>
      <c r="Z69" s="243"/>
      <c r="AA69" s="243"/>
      <c r="AB69" s="86"/>
      <c r="AC69" s="86"/>
      <c r="AD69" s="86"/>
      <c r="AE69" s="86"/>
      <c r="AF69" s="243"/>
      <c r="AG69" s="243"/>
      <c r="AH69" s="243"/>
      <c r="AI69" s="243"/>
      <c r="AJ69" s="243"/>
      <c r="AK69" s="243"/>
      <c r="AL69" s="243"/>
      <c r="AM69" s="243"/>
      <c r="AN69" s="243"/>
      <c r="AO69" s="243"/>
      <c r="AP69" s="243"/>
      <c r="AQ69" s="243"/>
      <c r="AR69" s="243"/>
      <c r="AS69" s="243"/>
      <c r="AT69" s="243"/>
      <c r="AU69" s="243"/>
      <c r="AV69" s="243"/>
      <c r="AW69" s="243"/>
      <c r="AX69" s="243"/>
      <c r="AY69" s="243"/>
      <c r="AZ69" s="243"/>
      <c r="BA69" s="243"/>
      <c r="BB69" s="243"/>
      <c r="BC69" s="14"/>
      <c r="BF69" s="39"/>
      <c r="BG69" s="40"/>
      <c r="BH69" s="40"/>
      <c r="BI69" s="4"/>
      <c r="BL69" s="1577"/>
      <c r="BM69" s="1551"/>
      <c r="BN69" s="1672">
        <v>31</v>
      </c>
      <c r="BO69" s="1644"/>
      <c r="BP69" s="1644"/>
      <c r="BQ69" s="1644"/>
      <c r="BR69" s="1644"/>
      <c r="BS69" s="1644"/>
      <c r="BT69" s="1655"/>
      <c r="BU69" s="1644"/>
      <c r="BV69" s="1644"/>
      <c r="BW69" s="1644"/>
      <c r="BX69" s="1644"/>
      <c r="BY69" s="1644"/>
      <c r="BZ69" s="1644"/>
      <c r="CA69" s="1644"/>
      <c r="CB69" s="1644"/>
      <c r="CC69" s="1644"/>
      <c r="CD69" s="1644"/>
      <c r="CE69" s="1644"/>
      <c r="CF69" s="1681"/>
      <c r="CG69" s="1644"/>
      <c r="CH69" s="1682"/>
      <c r="CI69" s="1644"/>
      <c r="CJ69" s="1644"/>
      <c r="CK69" s="1644"/>
      <c r="CL69" s="1655"/>
      <c r="CM69" s="1677" t="b">
        <f>IF(CS57=31,25)</f>
        <v>0</v>
      </c>
      <c r="CN69" s="1642"/>
      <c r="CO69" s="1642"/>
      <c r="CP69" s="1642"/>
      <c r="CQ69" s="1642"/>
      <c r="CR69" s="1642"/>
      <c r="CS69" s="1642"/>
      <c r="CT69" s="1642"/>
      <c r="CU69" s="1642"/>
      <c r="CV69" s="1642"/>
      <c r="CW69" s="1642"/>
      <c r="CX69" s="1642"/>
      <c r="CY69" s="1634" t="b">
        <f>IF(CS57=31,37)</f>
        <v>0</v>
      </c>
      <c r="CZ69" s="1557"/>
      <c r="DA69" s="1557"/>
      <c r="DB69" s="1557"/>
    </row>
    <row r="70" spans="2:142" ht="21.6" hidden="1" thickBot="1" x14ac:dyDescent="0.45">
      <c r="B70" s="85"/>
      <c r="C70" s="85"/>
      <c r="D70" s="85"/>
      <c r="E70" s="85"/>
      <c r="F70" s="85"/>
      <c r="G70" s="85"/>
      <c r="H70" s="243"/>
      <c r="I70" s="243"/>
      <c r="J70" s="243"/>
      <c r="K70" s="243"/>
      <c r="L70" s="243"/>
      <c r="M70" s="243"/>
      <c r="N70" s="243"/>
      <c r="O70" s="243"/>
      <c r="P70" s="243"/>
      <c r="Q70" s="243"/>
      <c r="R70" s="243"/>
      <c r="S70" s="243"/>
      <c r="T70" s="243"/>
      <c r="U70" s="86"/>
      <c r="V70" s="243"/>
      <c r="W70" s="243"/>
      <c r="X70" s="243"/>
      <c r="Y70" s="243"/>
      <c r="Z70" s="243"/>
      <c r="AA70" s="243"/>
      <c r="AB70" s="86"/>
      <c r="AC70" s="86"/>
      <c r="AD70" s="86"/>
      <c r="AE70" s="86"/>
      <c r="AF70" s="243"/>
      <c r="AG70" s="243"/>
      <c r="AH70" s="243"/>
      <c r="AI70" s="243"/>
      <c r="AJ70" s="243"/>
      <c r="AK70" s="243"/>
      <c r="AL70" s="243"/>
      <c r="AM70" s="243"/>
      <c r="AN70" s="243"/>
      <c r="AO70" s="243"/>
      <c r="AP70" s="243"/>
      <c r="AQ70" s="243"/>
      <c r="AR70" s="243"/>
      <c r="AS70" s="243"/>
      <c r="AT70" s="243"/>
      <c r="AU70" s="243"/>
      <c r="AV70" s="243"/>
      <c r="AW70" s="243"/>
      <c r="AX70" s="243"/>
      <c r="AY70" s="243"/>
      <c r="AZ70" s="243"/>
      <c r="BA70" s="243"/>
      <c r="BB70" s="243"/>
      <c r="BC70" s="14"/>
      <c r="BF70" s="39"/>
      <c r="BG70" s="40"/>
      <c r="BH70" s="40"/>
      <c r="BI70" s="4"/>
      <c r="BL70" s="1577"/>
      <c r="BM70" s="1551"/>
      <c r="BN70" s="1672">
        <v>30</v>
      </c>
      <c r="BO70" s="1644"/>
      <c r="BP70" s="1644"/>
      <c r="BQ70" s="1644"/>
      <c r="BR70" s="1644"/>
      <c r="BS70" s="1644"/>
      <c r="BT70" s="1655"/>
      <c r="BU70" s="1644"/>
      <c r="BV70" s="1644"/>
      <c r="BW70" s="1644"/>
      <c r="BX70" s="1644"/>
      <c r="BY70" s="1644"/>
      <c r="BZ70" s="1644"/>
      <c r="CA70" s="1644"/>
      <c r="CB70" s="1644"/>
      <c r="CC70" s="1644"/>
      <c r="CD70" s="1644"/>
      <c r="CE70" s="1644"/>
      <c r="CF70" s="1681"/>
      <c r="CG70" s="1644"/>
      <c r="CH70" s="1682"/>
      <c r="CI70" s="1644"/>
      <c r="CJ70" s="1644"/>
      <c r="CK70" s="1677" t="b">
        <f>IF(CR57=30,23)</f>
        <v>0</v>
      </c>
      <c r="CL70" s="1683"/>
      <c r="CM70" s="1642"/>
      <c r="CN70" s="1642"/>
      <c r="CO70" s="1642"/>
      <c r="CP70" s="1642"/>
      <c r="CQ70" s="1642"/>
      <c r="CR70" s="1642"/>
      <c r="CS70" s="1642"/>
      <c r="CT70" s="1642"/>
      <c r="CU70" s="1642"/>
      <c r="CV70" s="1642"/>
      <c r="CW70" s="1642"/>
      <c r="CX70" s="1642"/>
      <c r="CY70" s="1634" t="b">
        <f>IF(CR57=30,37)</f>
        <v>0</v>
      </c>
      <c r="CZ70" s="1557"/>
      <c r="DA70" s="1557"/>
      <c r="DB70" s="1557"/>
    </row>
    <row r="71" spans="2:142" ht="21.6" hidden="1" thickBot="1" x14ac:dyDescent="0.45">
      <c r="B71" s="85"/>
      <c r="C71" s="85"/>
      <c r="D71" s="85"/>
      <c r="E71" s="85"/>
      <c r="F71" s="85"/>
      <c r="G71" s="85"/>
      <c r="H71" s="243"/>
      <c r="I71" s="243"/>
      <c r="J71" s="243"/>
      <c r="K71" s="243"/>
      <c r="L71" s="243"/>
      <c r="M71" s="243"/>
      <c r="N71" s="243"/>
      <c r="O71" s="243"/>
      <c r="P71" s="243"/>
      <c r="Q71" s="243"/>
      <c r="R71" s="243"/>
      <c r="S71" s="243"/>
      <c r="T71" s="243"/>
      <c r="U71" s="86"/>
      <c r="V71" s="243"/>
      <c r="W71" s="243"/>
      <c r="X71" s="243"/>
      <c r="Y71" s="243"/>
      <c r="Z71" s="243"/>
      <c r="AA71" s="243"/>
      <c r="AB71" s="86"/>
      <c r="AC71" s="86"/>
      <c r="AD71" s="86"/>
      <c r="AE71" s="86"/>
      <c r="AF71" s="243"/>
      <c r="AG71" s="243"/>
      <c r="AH71" s="243"/>
      <c r="AI71" s="243"/>
      <c r="AJ71" s="243"/>
      <c r="AK71" s="243"/>
      <c r="AL71" s="243"/>
      <c r="AM71" s="243"/>
      <c r="AN71" s="243"/>
      <c r="AO71" s="243"/>
      <c r="AP71" s="243"/>
      <c r="AQ71" s="243"/>
      <c r="AR71" s="243"/>
      <c r="AS71" s="243"/>
      <c r="AT71" s="243"/>
      <c r="AU71" s="243"/>
      <c r="AV71" s="243"/>
      <c r="AW71" s="243"/>
      <c r="AX71" s="243"/>
      <c r="AY71" s="243"/>
      <c r="AZ71" s="243"/>
      <c r="BA71" s="243"/>
      <c r="BB71" s="243"/>
      <c r="BC71" s="14"/>
      <c r="BF71" s="39"/>
      <c r="BG71" s="40"/>
      <c r="BH71" s="40"/>
      <c r="BI71" s="4"/>
      <c r="BL71" s="1577"/>
      <c r="BM71" s="1685"/>
      <c r="BN71" s="1672">
        <v>29</v>
      </c>
      <c r="BO71" s="1557"/>
      <c r="BP71" s="1557"/>
      <c r="BQ71" s="1557"/>
      <c r="BR71" s="1557"/>
      <c r="BS71" s="1557"/>
      <c r="BT71" s="1557"/>
      <c r="BU71" s="1557"/>
      <c r="BV71" s="1557"/>
      <c r="BW71" s="1557"/>
      <c r="BX71" s="1557"/>
      <c r="BY71" s="1557"/>
      <c r="BZ71" s="1557"/>
      <c r="CA71" s="1557"/>
      <c r="CB71" s="1557"/>
      <c r="CC71" s="1557"/>
      <c r="CD71" s="1557"/>
      <c r="CE71" s="1557"/>
      <c r="CF71" s="1686"/>
      <c r="CG71" s="1556"/>
      <c r="CH71" s="1687"/>
      <c r="CI71" s="1632" t="b">
        <f>IF(CQ57=29,21)</f>
        <v>0</v>
      </c>
      <c r="CJ71" s="1642"/>
      <c r="CK71" s="1642"/>
      <c r="CL71" s="1642"/>
      <c r="CM71" s="1642"/>
      <c r="CN71" s="1642"/>
      <c r="CO71" s="1642"/>
      <c r="CP71" s="1641"/>
      <c r="CQ71" s="1642"/>
      <c r="CR71" s="1641"/>
      <c r="CS71" s="1688"/>
      <c r="CT71" s="1688"/>
      <c r="CU71" s="1688"/>
      <c r="CV71" s="1688"/>
      <c r="CW71" s="1688"/>
      <c r="CX71" s="1688"/>
      <c r="CY71" s="1634" t="b">
        <f>IF(CQ57=29,37)</f>
        <v>0</v>
      </c>
      <c r="CZ71" s="1554"/>
      <c r="DA71" s="1557"/>
      <c r="DB71" s="1557"/>
    </row>
    <row r="72" spans="2:142" ht="21.6" hidden="1" thickBot="1" x14ac:dyDescent="0.45">
      <c r="B72" s="85"/>
      <c r="C72" s="85"/>
      <c r="D72" s="85"/>
      <c r="E72" s="85"/>
      <c r="F72" s="85"/>
      <c r="G72" s="85"/>
      <c r="H72" s="243"/>
      <c r="I72" s="243"/>
      <c r="J72" s="243"/>
      <c r="K72" s="243"/>
      <c r="L72" s="243"/>
      <c r="M72" s="243"/>
      <c r="N72" s="243"/>
      <c r="O72" s="243"/>
      <c r="P72" s="243"/>
      <c r="Q72" s="243"/>
      <c r="R72" s="243"/>
      <c r="S72" s="243"/>
      <c r="T72" s="243"/>
      <c r="U72" s="86"/>
      <c r="V72" s="243"/>
      <c r="W72" s="243"/>
      <c r="X72" s="243"/>
      <c r="Y72" s="243"/>
      <c r="Z72" s="243"/>
      <c r="AA72" s="243"/>
      <c r="AB72" s="86"/>
      <c r="AC72" s="86"/>
      <c r="AD72" s="86"/>
      <c r="AE72" s="86"/>
      <c r="AF72" s="243"/>
      <c r="AG72" s="243"/>
      <c r="AH72" s="243"/>
      <c r="AI72" s="243"/>
      <c r="AJ72" s="243"/>
      <c r="AK72" s="243"/>
      <c r="AL72" s="243"/>
      <c r="AM72" s="243"/>
      <c r="AN72" s="243"/>
      <c r="AO72" s="243"/>
      <c r="AP72" s="243"/>
      <c r="AQ72" s="243"/>
      <c r="AR72" s="243"/>
      <c r="AS72" s="243"/>
      <c r="AT72" s="243"/>
      <c r="AU72" s="243"/>
      <c r="AV72" s="243"/>
      <c r="AW72" s="243"/>
      <c r="AX72" s="243"/>
      <c r="AY72" s="243"/>
      <c r="AZ72" s="243"/>
      <c r="BA72" s="243"/>
      <c r="BB72" s="243"/>
      <c r="BC72" s="14"/>
      <c r="BF72" s="39"/>
      <c r="BG72" s="40"/>
      <c r="BH72" s="40"/>
      <c r="BI72" s="4"/>
      <c r="BL72" s="1577"/>
      <c r="BM72" s="1685"/>
      <c r="BN72" s="1672">
        <v>28</v>
      </c>
      <c r="BO72" s="1557"/>
      <c r="BP72" s="1557"/>
      <c r="BQ72" s="1557"/>
      <c r="BR72" s="1557"/>
      <c r="BS72" s="1557"/>
      <c r="BT72" s="1557"/>
      <c r="BU72" s="1557"/>
      <c r="BV72" s="1557"/>
      <c r="BW72" s="1557"/>
      <c r="BX72" s="1557"/>
      <c r="BY72" s="1557"/>
      <c r="BZ72" s="1557"/>
      <c r="CA72" s="1557"/>
      <c r="CB72" s="1557"/>
      <c r="CC72" s="1557"/>
      <c r="CD72" s="1557"/>
      <c r="CE72" s="1557"/>
      <c r="CF72" s="1686"/>
      <c r="CG72" s="1556"/>
      <c r="CH72" s="1687"/>
      <c r="CI72" s="1643" t="b">
        <f>IF(CP57=28,21)</f>
        <v>0</v>
      </c>
      <c r="CJ72" s="1640"/>
      <c r="CK72" s="1640"/>
      <c r="CL72" s="1640"/>
      <c r="CM72" s="1640"/>
      <c r="CN72" s="1639"/>
      <c r="CO72" s="1640"/>
      <c r="CP72" s="1640"/>
      <c r="CQ72" s="1640"/>
      <c r="CR72" s="1639"/>
      <c r="CS72" s="1689"/>
      <c r="CT72" s="1689"/>
      <c r="CU72" s="1689"/>
      <c r="CV72" s="1689"/>
      <c r="CW72" s="1636" t="b">
        <f>IF(CP57=28,35)</f>
        <v>0</v>
      </c>
      <c r="CX72" s="1554"/>
      <c r="CY72" s="1554"/>
      <c r="CZ72" s="1554"/>
      <c r="DA72" s="1557"/>
      <c r="DB72" s="1557"/>
    </row>
    <row r="73" spans="2:142" ht="21.6" hidden="1" thickBot="1" x14ac:dyDescent="0.45">
      <c r="B73" s="85"/>
      <c r="C73" s="85"/>
      <c r="D73" s="85"/>
      <c r="E73" s="85"/>
      <c r="F73" s="85"/>
      <c r="G73" s="85"/>
      <c r="H73" s="243"/>
      <c r="I73" s="243"/>
      <c r="J73" s="243"/>
      <c r="K73" s="243"/>
      <c r="L73" s="243"/>
      <c r="M73" s="243"/>
      <c r="N73" s="243"/>
      <c r="O73" s="243"/>
      <c r="P73" s="243"/>
      <c r="Q73" s="243"/>
      <c r="R73" s="243"/>
      <c r="S73" s="243"/>
      <c r="T73" s="243"/>
      <c r="U73" s="86"/>
      <c r="V73" s="243"/>
      <c r="W73" s="243"/>
      <c r="X73" s="243"/>
      <c r="Y73" s="243"/>
      <c r="Z73" s="243"/>
      <c r="AA73" s="243"/>
      <c r="AB73" s="86"/>
      <c r="AC73" s="86"/>
      <c r="AD73" s="86"/>
      <c r="AE73" s="86"/>
      <c r="AF73" s="243"/>
      <c r="AG73" s="243"/>
      <c r="AH73" s="243"/>
      <c r="AI73" s="243"/>
      <c r="AJ73" s="243"/>
      <c r="AK73" s="243"/>
      <c r="AL73" s="243"/>
      <c r="AM73" s="243"/>
      <c r="AN73" s="243"/>
      <c r="AO73" s="243"/>
      <c r="AP73" s="243"/>
      <c r="AQ73" s="243"/>
      <c r="AR73" s="243"/>
      <c r="AS73" s="243"/>
      <c r="AT73" s="243"/>
      <c r="AU73" s="243"/>
      <c r="AV73" s="243"/>
      <c r="AW73" s="243"/>
      <c r="AX73" s="243"/>
      <c r="AY73" s="243"/>
      <c r="AZ73" s="243"/>
      <c r="BA73" s="243"/>
      <c r="BB73" s="243"/>
      <c r="BC73" s="14"/>
      <c r="BF73" s="39"/>
      <c r="BG73" s="40"/>
      <c r="BH73" s="40"/>
      <c r="BI73" s="27"/>
      <c r="BL73" s="1577"/>
      <c r="BM73" s="1685"/>
      <c r="BN73" s="1672">
        <v>27</v>
      </c>
      <c r="BO73" s="1557"/>
      <c r="BP73" s="1557"/>
      <c r="BQ73" s="1557"/>
      <c r="BR73" s="1557"/>
      <c r="BS73" s="1557"/>
      <c r="BT73" s="1557"/>
      <c r="BU73" s="1557"/>
      <c r="BV73" s="1557"/>
      <c r="BW73" s="1557"/>
      <c r="BX73" s="1557"/>
      <c r="BY73" s="1557"/>
      <c r="BZ73" s="1557"/>
      <c r="CA73" s="1557"/>
      <c r="CB73" s="1557"/>
      <c r="CC73" s="1557"/>
      <c r="CD73" s="1557"/>
      <c r="CE73" s="1557"/>
      <c r="CF73" s="1686"/>
      <c r="CG73" s="1556"/>
      <c r="CH73" s="1687"/>
      <c r="CI73" s="1643" t="b">
        <f>IF(CO57=27,21)</f>
        <v>0</v>
      </c>
      <c r="CJ73" s="1640"/>
      <c r="CK73" s="1640"/>
      <c r="CL73" s="1639"/>
      <c r="CM73" s="1640"/>
      <c r="CN73" s="1640"/>
      <c r="CO73" s="1640"/>
      <c r="CP73" s="1640"/>
      <c r="CQ73" s="1640"/>
      <c r="CR73" s="1639"/>
      <c r="CS73" s="1689"/>
      <c r="CT73" s="1689"/>
      <c r="CU73" s="1636" t="b">
        <f>IF(CO57=27,33)</f>
        <v>0</v>
      </c>
      <c r="CV73" s="1554"/>
      <c r="CW73" s="1554"/>
      <c r="CX73" s="1554"/>
      <c r="CY73" s="1554"/>
      <c r="CZ73" s="1554"/>
      <c r="DA73" s="1557"/>
      <c r="DB73" s="1557"/>
    </row>
    <row r="74" spans="2:142" ht="21.6" hidden="1" thickBot="1" x14ac:dyDescent="0.45">
      <c r="B74" s="85"/>
      <c r="C74" s="85"/>
      <c r="D74" s="85"/>
      <c r="E74" s="85"/>
      <c r="F74" s="85"/>
      <c r="G74" s="85"/>
      <c r="H74" s="243"/>
      <c r="I74" s="243"/>
      <c r="J74" s="243"/>
      <c r="K74" s="243"/>
      <c r="L74" s="243"/>
      <c r="M74" s="243"/>
      <c r="N74" s="243"/>
      <c r="O74" s="243"/>
      <c r="P74" s="243"/>
      <c r="Q74" s="243"/>
      <c r="R74" s="243"/>
      <c r="S74" s="243"/>
      <c r="T74" s="243"/>
      <c r="U74" s="86"/>
      <c r="V74" s="243"/>
      <c r="W74" s="243"/>
      <c r="X74" s="243"/>
      <c r="Y74" s="243"/>
      <c r="Z74" s="243"/>
      <c r="AA74" s="243"/>
      <c r="AB74" s="86"/>
      <c r="AC74" s="86"/>
      <c r="AD74" s="86"/>
      <c r="AE74" s="86"/>
      <c r="AF74" s="243"/>
      <c r="AG74" s="243"/>
      <c r="AH74" s="243"/>
      <c r="AI74" s="243"/>
      <c r="AJ74" s="243"/>
      <c r="AK74" s="243"/>
      <c r="AL74" s="243"/>
      <c r="AM74" s="243"/>
      <c r="AN74" s="243"/>
      <c r="AO74" s="243"/>
      <c r="AP74" s="243"/>
      <c r="AQ74" s="243"/>
      <c r="AR74" s="243"/>
      <c r="AS74" s="243"/>
      <c r="AT74" s="243"/>
      <c r="AU74" s="243"/>
      <c r="AV74" s="243"/>
      <c r="AW74" s="243"/>
      <c r="AX74" s="243"/>
      <c r="AY74" s="243"/>
      <c r="AZ74" s="243"/>
      <c r="BA74" s="243"/>
      <c r="BB74" s="243"/>
      <c r="BC74" s="14"/>
      <c r="BF74" s="41"/>
      <c r="BG74" s="40"/>
      <c r="BH74" s="40"/>
      <c r="BI74" s="27"/>
      <c r="BL74" s="1577"/>
      <c r="BM74" s="1551"/>
      <c r="BN74" s="1672">
        <v>26</v>
      </c>
      <c r="BO74" s="1557"/>
      <c r="BP74" s="1557"/>
      <c r="BQ74" s="1557"/>
      <c r="BR74" s="1557"/>
      <c r="BS74" s="1557"/>
      <c r="BT74" s="1557"/>
      <c r="BU74" s="1557"/>
      <c r="BV74" s="1557"/>
      <c r="BW74" s="1557"/>
      <c r="BX74" s="1557"/>
      <c r="BY74" s="1557"/>
      <c r="BZ74" s="1557"/>
      <c r="CA74" s="1557"/>
      <c r="CB74" s="1557"/>
      <c r="CC74" s="1557"/>
      <c r="CD74" s="1557"/>
      <c r="CE74" s="1557"/>
      <c r="CF74" s="1686"/>
      <c r="CG74" s="1556"/>
      <c r="CH74" s="1687"/>
      <c r="CI74" s="1643" t="b">
        <f>IF(CN57=26,21)</f>
        <v>0</v>
      </c>
      <c r="CJ74" s="1639"/>
      <c r="CK74" s="1640"/>
      <c r="CL74" s="1640"/>
      <c r="CM74" s="1640"/>
      <c r="CN74" s="1640"/>
      <c r="CO74" s="1640"/>
      <c r="CP74" s="1640"/>
      <c r="CQ74" s="1640"/>
      <c r="CR74" s="1639"/>
      <c r="CS74" s="1636" t="b">
        <f>IF(CN57=26,31)</f>
        <v>0</v>
      </c>
      <c r="CT74" s="1554"/>
      <c r="CU74" s="1554"/>
      <c r="CV74" s="1554"/>
      <c r="CW74" s="1554"/>
      <c r="CX74" s="1554"/>
      <c r="CY74" s="1554"/>
      <c r="CZ74" s="1554"/>
      <c r="DA74" s="1557"/>
      <c r="DB74" s="1557"/>
    </row>
    <row r="75" spans="2:142" ht="21.6" hidden="1" thickBot="1" x14ac:dyDescent="0.45">
      <c r="B75" s="85"/>
      <c r="C75" s="85"/>
      <c r="D75" s="85"/>
      <c r="E75" s="85"/>
      <c r="F75" s="85"/>
      <c r="G75" s="85"/>
      <c r="H75" s="243"/>
      <c r="I75" s="243"/>
      <c r="J75" s="243"/>
      <c r="K75" s="243"/>
      <c r="L75" s="243"/>
      <c r="M75" s="243"/>
      <c r="N75" s="243"/>
      <c r="O75" s="243"/>
      <c r="P75" s="243"/>
      <c r="Q75" s="243"/>
      <c r="R75" s="243"/>
      <c r="S75" s="243"/>
      <c r="T75" s="243"/>
      <c r="U75" s="86"/>
      <c r="V75" s="243"/>
      <c r="W75" s="243"/>
      <c r="X75" s="243"/>
      <c r="Y75" s="243"/>
      <c r="Z75" s="243"/>
      <c r="AA75" s="243"/>
      <c r="AB75" s="86"/>
      <c r="AC75" s="86"/>
      <c r="AD75" s="86"/>
      <c r="AE75" s="86"/>
      <c r="AF75" s="243"/>
      <c r="AG75" s="243"/>
      <c r="AH75" s="243"/>
      <c r="AI75" s="243"/>
      <c r="AJ75" s="243"/>
      <c r="AK75" s="243"/>
      <c r="AL75" s="243"/>
      <c r="AM75" s="243"/>
      <c r="AN75" s="243"/>
      <c r="AO75" s="243"/>
      <c r="AP75" s="243"/>
      <c r="AQ75" s="243"/>
      <c r="AR75" s="243"/>
      <c r="AS75" s="243"/>
      <c r="AT75" s="243"/>
      <c r="AU75" s="243"/>
      <c r="AV75" s="243"/>
      <c r="AW75" s="243"/>
      <c r="AX75" s="243"/>
      <c r="AY75" s="243"/>
      <c r="AZ75" s="243"/>
      <c r="BA75" s="243"/>
      <c r="BB75" s="243"/>
      <c r="BC75" s="14"/>
      <c r="BF75" s="40"/>
      <c r="BG75" s="40"/>
      <c r="BH75" s="40"/>
      <c r="BI75" s="27"/>
      <c r="BL75" s="1577"/>
      <c r="BM75" s="1691"/>
      <c r="BN75" s="1672">
        <v>25</v>
      </c>
      <c r="BO75" s="1557"/>
      <c r="BP75" s="1557"/>
      <c r="BQ75" s="1557"/>
      <c r="BR75" s="1557"/>
      <c r="BS75" s="1557"/>
      <c r="BT75" s="1557"/>
      <c r="BU75" s="1557"/>
      <c r="BV75" s="1557"/>
      <c r="BW75" s="1557"/>
      <c r="BX75" s="1557"/>
      <c r="BY75" s="1557"/>
      <c r="CA75" s="1557"/>
      <c r="CB75" s="1557"/>
      <c r="CC75" s="1557"/>
      <c r="CD75" s="1557"/>
      <c r="CE75" s="1557"/>
      <c r="CF75" s="1686"/>
      <c r="CG75" s="1556"/>
      <c r="CI75" s="1692" t="b">
        <f>IF(CM57=25,21)</f>
        <v>0</v>
      </c>
      <c r="CJ75" s="1640"/>
      <c r="CK75" s="1640"/>
      <c r="CL75" s="1640"/>
      <c r="CM75" s="1640"/>
      <c r="CN75" s="1640"/>
      <c r="CO75" s="1640"/>
      <c r="CP75" s="1640"/>
      <c r="CQ75" s="1636" t="b">
        <f>IF(CM57=25,29)</f>
        <v>0</v>
      </c>
      <c r="CS75" s="1554"/>
      <c r="CT75" s="1554"/>
      <c r="CU75" s="1554"/>
      <c r="CV75" s="1554"/>
      <c r="CW75" s="1554"/>
      <c r="CX75" s="1554"/>
      <c r="CY75" s="1554"/>
      <c r="CZ75" s="1554"/>
      <c r="DA75" s="1557"/>
      <c r="DB75" s="1557"/>
    </row>
    <row r="76" spans="2:142" ht="21.6" hidden="1" thickBot="1" x14ac:dyDescent="0.45">
      <c r="B76" s="85"/>
      <c r="C76" s="85"/>
      <c r="D76" s="85"/>
      <c r="E76" s="85"/>
      <c r="F76" s="85"/>
      <c r="G76" s="85"/>
      <c r="H76" s="243"/>
      <c r="I76" s="243"/>
      <c r="J76" s="243"/>
      <c r="K76" s="243"/>
      <c r="L76" s="243"/>
      <c r="M76" s="243"/>
      <c r="N76" s="243"/>
      <c r="O76" s="243"/>
      <c r="P76" s="243"/>
      <c r="Q76" s="243"/>
      <c r="R76" s="243"/>
      <c r="S76" s="243"/>
      <c r="T76" s="243"/>
      <c r="U76" s="86"/>
      <c r="V76" s="243"/>
      <c r="W76" s="243"/>
      <c r="X76" s="243"/>
      <c r="Y76" s="243"/>
      <c r="Z76" s="243"/>
      <c r="AA76" s="243"/>
      <c r="AB76" s="86"/>
      <c r="AC76" s="86"/>
      <c r="AD76" s="86"/>
      <c r="AE76" s="86"/>
      <c r="AF76" s="243"/>
      <c r="AG76" s="243"/>
      <c r="AH76" s="243"/>
      <c r="AI76" s="243"/>
      <c r="AJ76" s="243"/>
      <c r="AK76" s="243"/>
      <c r="AL76" s="243"/>
      <c r="AM76" s="243"/>
      <c r="AN76" s="243"/>
      <c r="AO76" s="243"/>
      <c r="AP76" s="243"/>
      <c r="AQ76" s="243"/>
      <c r="AR76" s="243"/>
      <c r="AS76" s="243"/>
      <c r="AT76" s="243"/>
      <c r="AU76" s="243"/>
      <c r="AV76" s="243"/>
      <c r="AW76" s="243"/>
      <c r="AX76" s="243"/>
      <c r="AY76" s="243"/>
      <c r="AZ76" s="243"/>
      <c r="BA76" s="243"/>
      <c r="BB76" s="243"/>
      <c r="BC76" s="14"/>
      <c r="BF76" s="40"/>
      <c r="BG76" s="40"/>
      <c r="BH76" s="40"/>
      <c r="BI76" s="27"/>
      <c r="BL76" s="1577"/>
      <c r="BM76" s="1691"/>
      <c r="BN76" s="1693">
        <v>24</v>
      </c>
      <c r="BO76" s="1557"/>
      <c r="BP76" s="1557"/>
      <c r="BQ76" s="1557"/>
      <c r="BR76" s="1557"/>
      <c r="BS76" s="1557"/>
      <c r="BT76" s="1557"/>
      <c r="BU76" s="1557"/>
      <c r="BV76" s="1557"/>
      <c r="BW76" s="1557"/>
      <c r="BX76" s="1557"/>
      <c r="BY76" s="1557"/>
      <c r="BZ76" s="1632" t="b">
        <f>IF(CL57=24,12)</f>
        <v>0</v>
      </c>
      <c r="CA76" s="1642"/>
      <c r="CB76" s="1642"/>
      <c r="CC76" s="1642"/>
      <c r="CD76" s="1642"/>
      <c r="CE76" s="1642"/>
      <c r="CF76" s="1641"/>
      <c r="CG76" s="1642"/>
      <c r="CH76" s="1694"/>
      <c r="CI76" s="1642"/>
      <c r="CJ76" s="1642"/>
      <c r="CK76" s="1642"/>
      <c r="CL76" s="1642"/>
      <c r="CM76" s="1642"/>
      <c r="CN76" s="1642"/>
      <c r="CO76" s="1642"/>
      <c r="CP76" s="1642"/>
      <c r="CQ76" s="1642"/>
      <c r="CR76" s="1641"/>
      <c r="CS76" s="1688"/>
      <c r="CT76" s="1688"/>
      <c r="CU76" s="1688"/>
      <c r="CV76" s="1688"/>
      <c r="CW76" s="1688"/>
      <c r="CX76" s="1634" t="b">
        <f>IF(CL57=24,36)</f>
        <v>0</v>
      </c>
      <c r="CY76" s="1554"/>
      <c r="CZ76" s="1554"/>
      <c r="DA76" s="1557"/>
      <c r="DB76" s="1557"/>
    </row>
    <row r="77" spans="2:142" ht="21.6" hidden="1" thickBot="1" x14ac:dyDescent="0.45">
      <c r="B77" s="85"/>
      <c r="C77" s="85"/>
      <c r="D77" s="85"/>
      <c r="E77" s="85"/>
      <c r="F77" s="85"/>
      <c r="G77" s="85"/>
      <c r="H77" s="243"/>
      <c r="I77" s="243"/>
      <c r="J77" s="243"/>
      <c r="K77" s="243"/>
      <c r="L77" s="243"/>
      <c r="M77" s="243"/>
      <c r="N77" s="243"/>
      <c r="O77" s="243"/>
      <c r="P77" s="243"/>
      <c r="Q77" s="243"/>
      <c r="R77" s="243"/>
      <c r="S77" s="243"/>
      <c r="T77" s="243"/>
      <c r="U77" s="86"/>
      <c r="V77" s="243"/>
      <c r="W77" s="243"/>
      <c r="X77" s="243"/>
      <c r="Y77" s="243"/>
      <c r="Z77" s="243"/>
      <c r="AA77" s="243"/>
      <c r="AB77" s="86"/>
      <c r="AC77" s="86"/>
      <c r="AD77" s="86"/>
      <c r="AE77" s="86"/>
      <c r="AF77" s="243"/>
      <c r="AG77" s="243"/>
      <c r="AH77" s="243"/>
      <c r="AI77" s="243"/>
      <c r="AJ77" s="243"/>
      <c r="AK77" s="243"/>
      <c r="AL77" s="243"/>
      <c r="AM77" s="243"/>
      <c r="AN77" s="243"/>
      <c r="AO77" s="243"/>
      <c r="AP77" s="243"/>
      <c r="AQ77" s="243"/>
      <c r="AR77" s="243"/>
      <c r="AS77" s="243"/>
      <c r="AT77" s="243"/>
      <c r="AU77" s="243"/>
      <c r="AV77" s="243"/>
      <c r="AW77" s="243"/>
      <c r="AX77" s="243"/>
      <c r="AY77" s="243"/>
      <c r="AZ77" s="243"/>
      <c r="BA77" s="243"/>
      <c r="BB77" s="243"/>
      <c r="BC77" s="14"/>
      <c r="BF77" s="40"/>
      <c r="BG77" s="40"/>
      <c r="BH77" s="40"/>
      <c r="BI77" s="27"/>
      <c r="BL77" s="1577"/>
      <c r="BM77" s="1691"/>
      <c r="BN77" s="1693">
        <v>23</v>
      </c>
      <c r="BO77" s="1557"/>
      <c r="BP77" s="1557"/>
      <c r="BQ77" s="1557"/>
      <c r="BR77" s="1557"/>
      <c r="BS77" s="1557"/>
      <c r="BT77" s="1557"/>
      <c r="BU77" s="1557"/>
      <c r="BV77" s="1557"/>
      <c r="BW77" s="1557"/>
      <c r="BX77" s="1557"/>
      <c r="BY77" s="1557"/>
      <c r="BZ77" s="1643" t="b">
        <f>IF(CK57=23,12)</f>
        <v>0</v>
      </c>
      <c r="CA77" s="1640"/>
      <c r="CB77" s="1640"/>
      <c r="CC77" s="1640"/>
      <c r="CD77" s="1639"/>
      <c r="CE77" s="1640"/>
      <c r="CF77" s="1695"/>
      <c r="CG77" s="1640"/>
      <c r="CH77" s="1696"/>
      <c r="CI77" s="1640"/>
      <c r="CJ77" s="1640"/>
      <c r="CK77" s="1640"/>
      <c r="CL77" s="1640"/>
      <c r="CM77" s="1640"/>
      <c r="CN77" s="1640"/>
      <c r="CO77" s="1640"/>
      <c r="CP77" s="1640"/>
      <c r="CQ77" s="1640"/>
      <c r="CR77" s="1639"/>
      <c r="CS77" s="1689"/>
      <c r="CT77" s="1689"/>
      <c r="CU77" s="1689"/>
      <c r="CV77" s="1636" t="b">
        <f>IF(CK57=23,34)</f>
        <v>0</v>
      </c>
      <c r="CW77" s="1554"/>
      <c r="CX77" s="1554"/>
      <c r="CY77" s="1554"/>
      <c r="CZ77" s="1554"/>
      <c r="DA77" s="1557"/>
      <c r="DB77" s="1557"/>
    </row>
    <row r="78" spans="2:142" ht="21.6" hidden="1" thickBot="1" x14ac:dyDescent="0.45">
      <c r="B78" s="85"/>
      <c r="C78" s="85"/>
      <c r="D78" s="85"/>
      <c r="E78" s="85"/>
      <c r="F78" s="85"/>
      <c r="G78" s="85"/>
      <c r="H78" s="243"/>
      <c r="I78" s="243"/>
      <c r="J78" s="243"/>
      <c r="K78" s="243"/>
      <c r="L78" s="243"/>
      <c r="M78" s="243"/>
      <c r="N78" s="243"/>
      <c r="O78" s="243"/>
      <c r="P78" s="243"/>
      <c r="Q78" s="243"/>
      <c r="R78" s="243"/>
      <c r="S78" s="243"/>
      <c r="T78" s="243"/>
      <c r="U78" s="86"/>
      <c r="V78" s="243"/>
      <c r="W78" s="243"/>
      <c r="X78" s="243"/>
      <c r="Y78" s="243"/>
      <c r="Z78" s="243"/>
      <c r="AA78" s="243"/>
      <c r="AB78" s="86"/>
      <c r="AC78" s="86"/>
      <c r="AD78" s="86"/>
      <c r="AE78" s="86"/>
      <c r="AF78" s="243"/>
      <c r="AG78" s="243"/>
      <c r="AH78" s="243"/>
      <c r="AI78" s="243"/>
      <c r="AJ78" s="243"/>
      <c r="AK78" s="243"/>
      <c r="AL78" s="243"/>
      <c r="AM78" s="243"/>
      <c r="AN78" s="243"/>
      <c r="AO78" s="243"/>
      <c r="AP78" s="243"/>
      <c r="AQ78" s="243"/>
      <c r="AR78" s="243"/>
      <c r="AS78" s="243"/>
      <c r="AT78" s="243"/>
      <c r="AU78" s="243"/>
      <c r="AV78" s="243"/>
      <c r="AW78" s="243"/>
      <c r="AX78" s="243"/>
      <c r="AY78" s="243"/>
      <c r="AZ78" s="243"/>
      <c r="BA78" s="243"/>
      <c r="BB78" s="243"/>
      <c r="BC78" s="14"/>
      <c r="BF78" s="40"/>
      <c r="BG78" s="40"/>
      <c r="BH78" s="40"/>
      <c r="BI78" s="27"/>
      <c r="BL78" s="1577"/>
      <c r="BM78" s="1691"/>
      <c r="BN78" s="1693">
        <v>22</v>
      </c>
      <c r="BO78" s="1554"/>
      <c r="BP78" s="1554"/>
      <c r="BQ78" s="1554"/>
      <c r="BR78" s="1554"/>
      <c r="BS78" s="1554"/>
      <c r="BT78" s="1554"/>
      <c r="BU78" s="1554"/>
      <c r="BV78" s="1554"/>
      <c r="BW78" s="1554"/>
      <c r="BX78" s="1554"/>
      <c r="BY78" s="1554"/>
      <c r="BZ78" s="1643" t="b">
        <f>IF(CJ57=22,12)</f>
        <v>0</v>
      </c>
      <c r="CA78" s="1689"/>
      <c r="CB78" s="1689"/>
      <c r="CC78" s="1689"/>
      <c r="CD78" s="1639"/>
      <c r="CE78" s="1689"/>
      <c r="CF78" s="1697"/>
      <c r="CG78" s="1689"/>
      <c r="CH78" s="1698"/>
      <c r="CI78" s="1689"/>
      <c r="CJ78" s="1689"/>
      <c r="CK78" s="1689"/>
      <c r="CL78" s="1689"/>
      <c r="CM78" s="1640"/>
      <c r="CN78" s="1640"/>
      <c r="CO78" s="1639"/>
      <c r="CP78" s="1640"/>
      <c r="CQ78" s="1640"/>
      <c r="CR78" s="1640"/>
      <c r="CS78" s="1640"/>
      <c r="CT78" s="1636" t="b">
        <f>IF(CJ57=22,32)</f>
        <v>0</v>
      </c>
      <c r="CU78" s="1557"/>
      <c r="CV78" s="1557"/>
      <c r="CW78" s="1557"/>
      <c r="CX78" s="1557"/>
      <c r="CY78" s="1557"/>
      <c r="CZ78" s="1557"/>
      <c r="DA78" s="1557"/>
      <c r="DB78" s="1557"/>
    </row>
    <row r="79" spans="2:142" ht="21.6" hidden="1" thickBot="1" x14ac:dyDescent="0.45">
      <c r="B79" s="85"/>
      <c r="C79" s="85"/>
      <c r="D79" s="85"/>
      <c r="E79" s="85"/>
      <c r="F79" s="85"/>
      <c r="G79" s="85"/>
      <c r="H79" s="243"/>
      <c r="I79" s="243"/>
      <c r="J79" s="243"/>
      <c r="K79" s="243"/>
      <c r="L79" s="243"/>
      <c r="M79" s="243"/>
      <c r="N79" s="243"/>
      <c r="O79" s="243"/>
      <c r="P79" s="243"/>
      <c r="Q79" s="243"/>
      <c r="R79" s="243"/>
      <c r="S79" s="243"/>
      <c r="T79" s="243"/>
      <c r="U79" s="86"/>
      <c r="V79" s="243"/>
      <c r="W79" s="243"/>
      <c r="X79" s="243"/>
      <c r="Y79" s="243"/>
      <c r="Z79" s="243"/>
      <c r="AA79" s="243"/>
      <c r="AB79" s="86"/>
      <c r="AC79" s="86"/>
      <c r="AD79" s="86"/>
      <c r="AE79" s="86"/>
      <c r="AF79" s="243"/>
      <c r="AG79" s="243"/>
      <c r="AH79" s="243"/>
      <c r="AI79" s="243"/>
      <c r="AJ79" s="243"/>
      <c r="AK79" s="243"/>
      <c r="AL79" s="243"/>
      <c r="AM79" s="243"/>
      <c r="AN79" s="243"/>
      <c r="AO79" s="243"/>
      <c r="AP79" s="243"/>
      <c r="AQ79" s="243"/>
      <c r="AR79" s="243"/>
      <c r="AS79" s="243"/>
      <c r="AT79" s="243"/>
      <c r="AU79" s="243"/>
      <c r="AV79" s="243"/>
      <c r="AW79" s="243"/>
      <c r="AX79" s="243"/>
      <c r="AY79" s="243"/>
      <c r="AZ79" s="243"/>
      <c r="BA79" s="243"/>
      <c r="BB79" s="243"/>
      <c r="BC79" s="14"/>
      <c r="BF79" s="40"/>
      <c r="BG79" s="40"/>
      <c r="BH79" s="40"/>
      <c r="BI79" s="27"/>
      <c r="BL79" s="1577"/>
      <c r="BM79" s="1691"/>
      <c r="BN79" s="1693">
        <v>21</v>
      </c>
      <c r="BO79" s="1557"/>
      <c r="BP79" s="1557"/>
      <c r="BQ79" s="1557"/>
      <c r="BR79" s="1557"/>
      <c r="BS79" s="1557"/>
      <c r="BT79" s="1557"/>
      <c r="BU79" s="1557"/>
      <c r="BV79" s="1557"/>
      <c r="BW79" s="1557"/>
      <c r="BX79" s="1557"/>
      <c r="BY79" s="1557"/>
      <c r="BZ79" s="1643" t="b">
        <f>IF(CI57=21,12)</f>
        <v>0</v>
      </c>
      <c r="CA79" s="1640"/>
      <c r="CB79" s="1640"/>
      <c r="CC79" s="1640"/>
      <c r="CD79" s="1640"/>
      <c r="CE79" s="1640"/>
      <c r="CF79" s="1695"/>
      <c r="CG79" s="1640"/>
      <c r="CH79" s="1696"/>
      <c r="CI79" s="1640"/>
      <c r="CJ79" s="1640"/>
      <c r="CK79" s="1640"/>
      <c r="CL79" s="1640"/>
      <c r="CM79" s="1640"/>
      <c r="CN79" s="1640"/>
      <c r="CO79" s="1640"/>
      <c r="CP79" s="1640"/>
      <c r="CQ79" s="1640"/>
      <c r="CR79" s="1636" t="b">
        <f>IF(CI57=21,30)</f>
        <v>0</v>
      </c>
      <c r="CS79" s="1554"/>
      <c r="CT79" s="1554"/>
      <c r="CU79" s="1554"/>
      <c r="CV79" s="1554"/>
      <c r="CW79" s="1554"/>
      <c r="CX79" s="1554"/>
      <c r="CY79" s="1554"/>
      <c r="CZ79" s="1554"/>
      <c r="DA79" s="1557"/>
      <c r="DB79" s="1557"/>
      <c r="DE79" s="1994"/>
      <c r="DF79" s="1994"/>
      <c r="DG79" s="182"/>
      <c r="DH79" s="182"/>
      <c r="DI79" s="183"/>
      <c r="DJ79" s="184"/>
      <c r="DK79" s="184"/>
      <c r="DL79" s="184"/>
      <c r="DM79" s="184"/>
      <c r="DN79" s="184"/>
      <c r="DO79" s="184"/>
      <c r="DP79" s="184"/>
      <c r="DQ79" s="184"/>
      <c r="DR79" s="184"/>
      <c r="DS79" s="184"/>
      <c r="DT79" s="184"/>
      <c r="DU79" s="184"/>
      <c r="DV79" s="184"/>
      <c r="DW79" s="184"/>
      <c r="DX79" s="184"/>
      <c r="DY79" s="184"/>
      <c r="DZ79" s="184"/>
      <c r="EA79" s="184"/>
      <c r="EB79" s="184"/>
      <c r="EC79" s="185"/>
      <c r="ED79" s="185"/>
      <c r="EE79" s="185"/>
      <c r="EF79" s="185"/>
      <c r="EG79" s="185"/>
      <c r="EH79" s="185"/>
      <c r="EI79" s="185"/>
      <c r="EJ79" s="185"/>
      <c r="EK79" s="143"/>
      <c r="EL79" s="143"/>
    </row>
    <row r="80" spans="2:142" ht="21.6" hidden="1" thickBot="1" x14ac:dyDescent="0.45">
      <c r="B80" s="85"/>
      <c r="C80" s="85"/>
      <c r="D80" s="85"/>
      <c r="E80" s="85"/>
      <c r="G80" s="85"/>
      <c r="H80" s="243"/>
      <c r="I80" s="243"/>
      <c r="J80" s="243"/>
      <c r="K80" s="243"/>
      <c r="L80" s="243"/>
      <c r="M80" s="243"/>
      <c r="N80" s="243"/>
      <c r="O80" s="243"/>
      <c r="P80" s="243"/>
      <c r="Q80" s="243"/>
      <c r="R80" s="243"/>
      <c r="S80" s="243"/>
      <c r="T80" s="243"/>
      <c r="U80" s="86"/>
      <c r="V80" s="243"/>
      <c r="W80" s="243"/>
      <c r="X80" s="243"/>
      <c r="Y80" s="243"/>
      <c r="Z80" s="243"/>
      <c r="AA80" s="243"/>
      <c r="AB80" s="86"/>
      <c r="AC80" s="86"/>
      <c r="AD80" s="86"/>
      <c r="AE80" s="86"/>
      <c r="AF80" s="243"/>
      <c r="AG80" s="243"/>
      <c r="AH80" s="243"/>
      <c r="AI80" s="243"/>
      <c r="AJ80" s="243"/>
      <c r="AK80" s="243"/>
      <c r="AL80" s="243"/>
      <c r="AM80" s="243"/>
      <c r="AN80" s="243"/>
      <c r="AO80" s="243"/>
      <c r="AP80" s="243"/>
      <c r="AQ80" s="243"/>
      <c r="AR80" s="243"/>
      <c r="AS80" s="243"/>
      <c r="AT80" s="243"/>
      <c r="AU80" s="243"/>
      <c r="AV80" s="243"/>
      <c r="AW80" s="243"/>
      <c r="AX80" s="243"/>
      <c r="AY80" s="243"/>
      <c r="AZ80" s="243"/>
      <c r="BA80" s="243"/>
      <c r="BB80" s="243"/>
      <c r="BC80" s="14"/>
      <c r="BF80" s="40"/>
      <c r="BG80" s="40"/>
      <c r="BH80" s="40"/>
      <c r="BI80" s="27"/>
      <c r="BL80" s="1577"/>
      <c r="BM80" s="1699"/>
      <c r="BN80" s="1693">
        <v>20</v>
      </c>
      <c r="BO80" s="1557"/>
      <c r="BP80" s="1557"/>
      <c r="BQ80" s="1557"/>
      <c r="BR80" s="1557"/>
      <c r="BS80" s="1557"/>
      <c r="BT80" s="1557"/>
      <c r="BU80" s="1557"/>
      <c r="BV80" s="1557"/>
      <c r="BY80" s="1700"/>
      <c r="BZ80" s="1632" t="b">
        <f>IF(CH57=20,12)</f>
        <v>0</v>
      </c>
      <c r="CA80" s="1642"/>
      <c r="CB80" s="1642"/>
      <c r="CC80" s="1642"/>
      <c r="CD80" s="1642"/>
      <c r="CE80" s="1642"/>
      <c r="CF80" s="1701"/>
      <c r="CG80" s="1642"/>
      <c r="CH80" s="1694"/>
      <c r="CI80" s="1642"/>
      <c r="CJ80" s="1642"/>
      <c r="CK80" s="1642"/>
      <c r="CL80" s="1642"/>
      <c r="CM80" s="1642"/>
      <c r="CN80" s="1642"/>
      <c r="CO80" s="1642"/>
      <c r="CP80" s="1634" t="b">
        <f>IF(CH57=20,28)</f>
        <v>0</v>
      </c>
      <c r="CQ80" s="1700"/>
      <c r="CS80" s="1554"/>
      <c r="CT80" s="1554"/>
      <c r="CU80" s="1554"/>
      <c r="CV80" s="1554"/>
      <c r="CW80" s="1554"/>
      <c r="CX80" s="1554"/>
      <c r="CY80" s="1554"/>
      <c r="CZ80" s="1554"/>
      <c r="DA80" s="1557"/>
      <c r="DB80" s="1557"/>
      <c r="EI80" s="185"/>
      <c r="EJ80" s="185"/>
    </row>
    <row r="81" spans="2:140" ht="21.6" hidden="1" thickBot="1" x14ac:dyDescent="0.45">
      <c r="B81" s="85"/>
      <c r="C81" s="85"/>
      <c r="D81" s="85"/>
      <c r="E81" s="85"/>
      <c r="H81" s="243"/>
      <c r="I81" s="243"/>
      <c r="J81" s="243"/>
      <c r="K81" s="243"/>
      <c r="L81" s="243"/>
      <c r="M81" s="243"/>
      <c r="N81" s="243"/>
      <c r="O81" s="243"/>
      <c r="P81" s="243"/>
      <c r="Q81" s="243"/>
      <c r="R81" s="243"/>
      <c r="S81" s="243"/>
      <c r="T81" s="243"/>
      <c r="U81" s="86"/>
      <c r="V81" s="243"/>
      <c r="W81" s="243"/>
      <c r="X81" s="243"/>
      <c r="Y81" s="243"/>
      <c r="Z81" s="243"/>
      <c r="AA81" s="243"/>
      <c r="AB81" s="86"/>
      <c r="AC81" s="86"/>
      <c r="AD81" s="86"/>
      <c r="AE81" s="86"/>
      <c r="AF81" s="243"/>
      <c r="AG81" s="243"/>
      <c r="AH81" s="243"/>
      <c r="AI81" s="243"/>
      <c r="AJ81" s="243"/>
      <c r="AK81" s="243"/>
      <c r="AL81" s="243"/>
      <c r="AM81" s="243"/>
      <c r="AN81" s="243"/>
      <c r="AO81" s="243"/>
      <c r="AP81" s="243"/>
      <c r="AQ81" s="243"/>
      <c r="AR81" s="243"/>
      <c r="AS81" s="243"/>
      <c r="AT81" s="243"/>
      <c r="AU81" s="243"/>
      <c r="AV81" s="243"/>
      <c r="AW81" s="243"/>
      <c r="AX81" s="243"/>
      <c r="AY81" s="243"/>
      <c r="AZ81" s="243"/>
      <c r="BA81" s="243"/>
      <c r="BB81" s="243"/>
      <c r="BC81" s="14"/>
      <c r="BF81" s="40"/>
      <c r="BG81" s="40"/>
      <c r="BH81" s="40"/>
      <c r="BI81" s="27"/>
      <c r="BL81" s="1577"/>
      <c r="BM81" s="1699"/>
      <c r="BN81" s="1693">
        <v>19</v>
      </c>
      <c r="BO81" s="1557"/>
      <c r="BP81" s="1557"/>
      <c r="BQ81" s="1557"/>
      <c r="BR81" s="1557"/>
      <c r="BS81" s="1557"/>
      <c r="BT81" s="1557"/>
      <c r="BU81" s="1557"/>
      <c r="BV81" s="1557"/>
      <c r="BX81" s="1702"/>
      <c r="BY81" s="1702"/>
      <c r="BZ81" s="1632" t="b">
        <f>IF(CG57=19,12)</f>
        <v>0</v>
      </c>
      <c r="CA81" s="1688"/>
      <c r="CB81" s="1688"/>
      <c r="CC81" s="1641"/>
      <c r="CD81" s="1688"/>
      <c r="CE81" s="1688"/>
      <c r="CF81" s="1703"/>
      <c r="CG81" s="1688"/>
      <c r="CH81" s="1704"/>
      <c r="CI81" s="1641"/>
      <c r="CJ81" s="1688"/>
      <c r="CK81" s="1688"/>
      <c r="CL81" s="1688"/>
      <c r="CM81" s="1642"/>
      <c r="CN81" s="1634" t="b">
        <f>IF(CG57=19,26)</f>
        <v>0</v>
      </c>
      <c r="CO81" s="1705"/>
      <c r="CP81" s="1700"/>
      <c r="CR81" s="1557"/>
      <c r="CS81" s="1557"/>
      <c r="CT81" s="1557"/>
      <c r="CU81" s="1557"/>
      <c r="CV81" s="1557"/>
      <c r="CW81" s="1557"/>
      <c r="CX81" s="1557"/>
      <c r="CY81" s="1557"/>
      <c r="CZ81" s="1557"/>
      <c r="DA81" s="1557"/>
      <c r="DB81" s="1557"/>
      <c r="EI81" s="185"/>
      <c r="EJ81" s="185"/>
    </row>
    <row r="82" spans="2:140" ht="21.6" hidden="1" thickBot="1" x14ac:dyDescent="0.45">
      <c r="B82" s="85"/>
      <c r="C82" s="85"/>
      <c r="D82" s="85"/>
      <c r="E82" s="85"/>
      <c r="H82" s="243"/>
      <c r="I82" s="243"/>
      <c r="J82" s="243"/>
      <c r="K82" s="243"/>
      <c r="L82" s="243"/>
      <c r="M82" s="243"/>
      <c r="N82" s="243"/>
      <c r="O82" s="243"/>
      <c r="P82" s="243"/>
      <c r="Q82" s="243"/>
      <c r="R82" s="243"/>
      <c r="S82" s="243"/>
      <c r="T82" s="243"/>
      <c r="U82" s="86"/>
      <c r="V82" s="243"/>
      <c r="W82" s="243"/>
      <c r="X82" s="243"/>
      <c r="Y82" s="243"/>
      <c r="Z82" s="243"/>
      <c r="AA82" s="243"/>
      <c r="AB82" s="86"/>
      <c r="AC82" s="86"/>
      <c r="AD82" s="86"/>
      <c r="AE82" s="86"/>
      <c r="AF82" s="243"/>
      <c r="AG82" s="243"/>
      <c r="AH82" s="243"/>
      <c r="AI82" s="243"/>
      <c r="AJ82" s="243"/>
      <c r="AK82" s="243"/>
      <c r="AL82" s="243"/>
      <c r="AM82" s="243"/>
      <c r="AN82" s="243"/>
      <c r="AO82" s="243"/>
      <c r="AP82" s="243"/>
      <c r="AQ82" s="243"/>
      <c r="AR82" s="243"/>
      <c r="AS82" s="243"/>
      <c r="AT82" s="243"/>
      <c r="AU82" s="243"/>
      <c r="AV82" s="243"/>
      <c r="AW82" s="243"/>
      <c r="AX82" s="243"/>
      <c r="AY82" s="243"/>
      <c r="AZ82" s="243"/>
      <c r="BA82" s="243"/>
      <c r="BB82" s="243"/>
      <c r="BC82" s="14"/>
      <c r="BF82" s="40"/>
      <c r="BG82" s="40"/>
      <c r="BH82" s="40"/>
      <c r="BI82" s="27"/>
      <c r="BL82" s="1577"/>
      <c r="BM82" s="1699"/>
      <c r="BN82" s="1693">
        <v>18</v>
      </c>
      <c r="BO82" s="1554"/>
      <c r="BP82" s="1554"/>
      <c r="BQ82" s="1554"/>
      <c r="BR82" s="1554"/>
      <c r="BS82" s="1554"/>
      <c r="BT82" s="1554"/>
      <c r="BU82" s="1554"/>
      <c r="BV82" s="1554"/>
      <c r="BX82" s="1632" t="b">
        <f>IF(CF57=18,10)</f>
        <v>0</v>
      </c>
      <c r="BY82" s="1688"/>
      <c r="BZ82" s="1688"/>
      <c r="CA82" s="1688"/>
      <c r="CB82" s="1688"/>
      <c r="CC82" s="1641"/>
      <c r="CD82" s="1688"/>
      <c r="CE82" s="1688"/>
      <c r="CF82" s="1703"/>
      <c r="CG82" s="1688"/>
      <c r="CH82" s="1704"/>
      <c r="CI82" s="1641"/>
      <c r="CJ82" s="1688"/>
      <c r="CK82" s="1688"/>
      <c r="CL82" s="1688"/>
      <c r="CM82" s="1642"/>
      <c r="CN82" s="1634" t="b">
        <f>IF(CF57=18,26)</f>
        <v>0</v>
      </c>
      <c r="CP82" s="1557"/>
      <c r="CQ82" s="1557"/>
      <c r="CR82" s="1557"/>
      <c r="CS82" s="1557"/>
      <c r="CT82" s="1557"/>
      <c r="CU82" s="1557"/>
      <c r="CV82" s="1557"/>
      <c r="CW82" s="1557"/>
      <c r="CX82" s="1557"/>
      <c r="CY82" s="1557"/>
      <c r="CZ82" s="1557"/>
      <c r="DA82" s="1557"/>
      <c r="DB82" s="1557"/>
      <c r="EI82" s="185"/>
      <c r="EJ82" s="185"/>
    </row>
    <row r="83" spans="2:140" ht="21.6" hidden="1" thickBot="1" x14ac:dyDescent="0.45">
      <c r="B83" s="85"/>
      <c r="C83" s="85"/>
      <c r="D83" s="85"/>
      <c r="E83" s="85"/>
      <c r="G83" s="85"/>
      <c r="H83" s="243"/>
      <c r="I83" s="243"/>
      <c r="J83" s="243"/>
      <c r="K83" s="243"/>
      <c r="L83" s="243"/>
      <c r="M83" s="243"/>
      <c r="N83" s="243"/>
      <c r="O83" s="243"/>
      <c r="P83" s="243"/>
      <c r="Q83" s="243"/>
      <c r="R83" s="243"/>
      <c r="S83" s="243"/>
      <c r="T83" s="243"/>
      <c r="U83" s="86"/>
      <c r="V83" s="243"/>
      <c r="W83" s="243"/>
      <c r="X83" s="243"/>
      <c r="Y83" s="243"/>
      <c r="Z83" s="243"/>
      <c r="AA83" s="243"/>
      <c r="AB83" s="86"/>
      <c r="AC83" s="86"/>
      <c r="AD83" s="86"/>
      <c r="AE83" s="86"/>
      <c r="AF83" s="243"/>
      <c r="AG83" s="243"/>
      <c r="AH83" s="243"/>
      <c r="AI83" s="243"/>
      <c r="AJ83" s="243"/>
      <c r="AK83" s="243"/>
      <c r="AL83" s="243"/>
      <c r="AM83" s="243"/>
      <c r="AN83" s="243"/>
      <c r="AO83" s="243"/>
      <c r="AP83" s="243"/>
      <c r="AQ83" s="243"/>
      <c r="AR83" s="243"/>
      <c r="AS83" s="243"/>
      <c r="AT83" s="243"/>
      <c r="AU83" s="243"/>
      <c r="AV83" s="243"/>
      <c r="AW83" s="243"/>
      <c r="AX83" s="243"/>
      <c r="AY83" s="243"/>
      <c r="AZ83" s="243"/>
      <c r="BA83" s="243"/>
      <c r="BB83" s="243"/>
      <c r="BC83" s="14"/>
      <c r="BF83" s="40"/>
      <c r="BG83" s="40"/>
      <c r="BH83" s="40"/>
      <c r="BI83" s="27"/>
      <c r="BL83" s="1577"/>
      <c r="BM83" s="1699"/>
      <c r="BN83" s="1706">
        <v>17</v>
      </c>
      <c r="BO83" s="1554"/>
      <c r="BP83" s="1554"/>
      <c r="BQ83" s="1554"/>
      <c r="BR83" s="1554"/>
      <c r="BS83" s="1554"/>
      <c r="BT83" s="1554"/>
      <c r="BU83" s="1554"/>
      <c r="BV83" s="1632" t="b">
        <f>IF(CE57=17,8)</f>
        <v>0</v>
      </c>
      <c r="BW83" s="1641"/>
      <c r="BX83" s="1641"/>
      <c r="BY83" s="1688"/>
      <c r="BZ83" s="1688"/>
      <c r="CA83" s="1688"/>
      <c r="CB83" s="1688"/>
      <c r="CC83" s="1688"/>
      <c r="CD83" s="1688"/>
      <c r="CE83" s="1688"/>
      <c r="CF83" s="1703"/>
      <c r="CG83" s="1688"/>
      <c r="CH83" s="1704"/>
      <c r="CI83" s="1688"/>
      <c r="CJ83" s="1688"/>
      <c r="CK83" s="1688"/>
      <c r="CL83" s="1641"/>
      <c r="CM83" s="1641"/>
      <c r="CN83" s="1634" t="b">
        <f>IF(CE57=17,26)</f>
        <v>0</v>
      </c>
      <c r="CO83" s="1557"/>
      <c r="CP83" s="1557"/>
      <c r="CQ83" s="1557"/>
      <c r="CR83" s="1557"/>
      <c r="CS83" s="1557"/>
      <c r="CT83" s="1557"/>
      <c r="CU83" s="1557"/>
      <c r="CV83" s="1557"/>
      <c r="CW83" s="1557"/>
      <c r="CX83" s="1557"/>
      <c r="CY83" s="1557"/>
      <c r="CZ83" s="1557"/>
      <c r="DA83" s="1557"/>
      <c r="DB83" s="1557"/>
      <c r="EI83" s="185"/>
      <c r="EJ83" s="185"/>
    </row>
    <row r="84" spans="2:140" ht="21.6" hidden="1" thickBot="1" x14ac:dyDescent="0.45">
      <c r="B84" s="85"/>
      <c r="C84" s="85"/>
      <c r="D84" s="85"/>
      <c r="E84" s="85"/>
      <c r="G84" s="85"/>
      <c r="H84" s="243"/>
      <c r="I84" s="243"/>
      <c r="J84" s="243"/>
      <c r="K84" s="243"/>
      <c r="L84" s="243"/>
      <c r="M84" s="243"/>
      <c r="N84" s="243"/>
      <c r="O84" s="243"/>
      <c r="P84" s="243"/>
      <c r="Q84" s="243"/>
      <c r="R84" s="243"/>
      <c r="S84" s="243"/>
      <c r="T84" s="243"/>
      <c r="U84" s="86"/>
      <c r="V84" s="243"/>
      <c r="W84" s="243"/>
      <c r="X84" s="243"/>
      <c r="Y84" s="243"/>
      <c r="Z84" s="243"/>
      <c r="AA84" s="243"/>
      <c r="AB84" s="86"/>
      <c r="AC84" s="86"/>
      <c r="AD84" s="86"/>
      <c r="AE84" s="86"/>
      <c r="AF84" s="243"/>
      <c r="AG84" s="243"/>
      <c r="AH84" s="243"/>
      <c r="AI84" s="243"/>
      <c r="AJ84" s="243"/>
      <c r="AK84" s="243"/>
      <c r="AL84" s="243"/>
      <c r="AM84" s="243"/>
      <c r="AN84" s="243"/>
      <c r="AO84" s="243"/>
      <c r="AP84" s="243"/>
      <c r="AQ84" s="243"/>
      <c r="AR84" s="243"/>
      <c r="AS84" s="243"/>
      <c r="AT84" s="243"/>
      <c r="AU84" s="243"/>
      <c r="AV84" s="243"/>
      <c r="AW84" s="243"/>
      <c r="AX84" s="243"/>
      <c r="AY84" s="243"/>
      <c r="AZ84" s="243"/>
      <c r="BA84" s="243"/>
      <c r="BB84" s="243"/>
      <c r="BC84" s="14"/>
      <c r="BF84" s="40"/>
      <c r="BG84" s="40"/>
      <c r="BH84" s="40"/>
      <c r="BI84" s="27"/>
      <c r="BL84" s="1577"/>
      <c r="BM84" s="1699"/>
      <c r="BN84" s="1706">
        <v>16</v>
      </c>
      <c r="BO84" s="1554"/>
      <c r="BP84" s="1554"/>
      <c r="BQ84" s="1554"/>
      <c r="BR84" s="1554"/>
      <c r="BS84" s="1554"/>
      <c r="BT84" s="1707" t="b">
        <f>IF(CD57=16,6)</f>
        <v>0</v>
      </c>
      <c r="BU84" s="1708"/>
      <c r="BV84" s="1709"/>
      <c r="BW84" s="1709"/>
      <c r="BX84" s="1708"/>
      <c r="BY84" s="1708"/>
      <c r="BZ84" s="1708"/>
      <c r="CA84" s="1708"/>
      <c r="CB84" s="1708"/>
      <c r="CC84" s="1708"/>
      <c r="CD84" s="1708"/>
      <c r="CE84" s="1708"/>
      <c r="CF84" s="1710"/>
      <c r="CG84" s="1708"/>
      <c r="CH84" s="1711"/>
      <c r="CI84" s="1708"/>
      <c r="CJ84" s="1708"/>
      <c r="CK84" s="1709"/>
      <c r="CL84" s="1709"/>
      <c r="CM84" s="1712"/>
      <c r="CN84" s="1713" t="b">
        <f>IF(CD57=16,26)</f>
        <v>0</v>
      </c>
      <c r="CO84" s="1557"/>
      <c r="CP84" s="1557"/>
      <c r="CQ84" s="1557"/>
      <c r="CR84" s="1557"/>
      <c r="CS84" s="1557"/>
      <c r="CT84" s="1557"/>
      <c r="CU84" s="1557"/>
      <c r="CV84" s="1557"/>
      <c r="CW84" s="1557"/>
      <c r="CX84" s="1557"/>
      <c r="CY84" s="1557"/>
      <c r="CZ84" s="1557"/>
      <c r="DA84" s="1557"/>
      <c r="DB84" s="1557"/>
      <c r="DE84" s="198"/>
      <c r="DF84" s="198"/>
      <c r="DG84" s="198"/>
      <c r="DH84" s="198"/>
      <c r="DI84" s="198"/>
      <c r="DJ84" s="199"/>
      <c r="DK84" s="198"/>
      <c r="DL84" s="198"/>
      <c r="DM84" s="198"/>
      <c r="DN84" s="198"/>
      <c r="DO84" s="198"/>
      <c r="DP84" s="198"/>
      <c r="DQ84" s="198"/>
      <c r="DR84" s="198"/>
      <c r="DS84" s="198"/>
      <c r="DT84" s="198"/>
      <c r="DU84" s="198"/>
      <c r="DV84" s="198"/>
      <c r="DW84" s="198"/>
      <c r="DX84" s="198"/>
      <c r="DY84" s="198"/>
      <c r="DZ84" s="198"/>
      <c r="EA84" s="198"/>
      <c r="EB84" s="199"/>
      <c r="EC84" s="185"/>
      <c r="ED84" s="185"/>
      <c r="EE84" s="185"/>
      <c r="EF84" s="185"/>
      <c r="EG84" s="185"/>
      <c r="EH84" s="185"/>
      <c r="EI84" s="185"/>
      <c r="EJ84" s="185"/>
    </row>
    <row r="85" spans="2:140" ht="21.6" hidden="1" thickBot="1" x14ac:dyDescent="0.45">
      <c r="B85" s="85"/>
      <c r="C85" s="85"/>
      <c r="D85" s="85"/>
      <c r="E85" s="85"/>
      <c r="F85" s="85"/>
      <c r="G85" s="85"/>
      <c r="H85" s="243"/>
      <c r="I85" s="243"/>
      <c r="J85" s="243"/>
      <c r="K85" s="243"/>
      <c r="L85" s="243"/>
      <c r="M85" s="243"/>
      <c r="N85" s="243"/>
      <c r="O85" s="243"/>
      <c r="P85" s="243"/>
      <c r="Q85" s="243"/>
      <c r="R85" s="243"/>
      <c r="S85" s="243"/>
      <c r="T85" s="243"/>
      <c r="U85" s="86"/>
      <c r="V85" s="243"/>
      <c r="W85" s="243"/>
      <c r="X85" s="243"/>
      <c r="Y85" s="243"/>
      <c r="Z85" s="243"/>
      <c r="AA85" s="243"/>
      <c r="AB85" s="86"/>
      <c r="AC85" s="86"/>
      <c r="AD85" s="86"/>
      <c r="AE85" s="86"/>
      <c r="AF85" s="243"/>
      <c r="AG85" s="243"/>
      <c r="AH85" s="243"/>
      <c r="AI85" s="243"/>
      <c r="AJ85" s="243"/>
      <c r="AK85" s="243"/>
      <c r="AL85" s="243"/>
      <c r="AM85" s="243"/>
      <c r="AN85" s="243"/>
      <c r="AO85" s="243"/>
      <c r="AP85" s="243"/>
      <c r="AQ85" s="243"/>
      <c r="AR85" s="243"/>
      <c r="AS85" s="243"/>
      <c r="AT85" s="243"/>
      <c r="AU85" s="243"/>
      <c r="AV85" s="243"/>
      <c r="AW85" s="243"/>
      <c r="AX85" s="243"/>
      <c r="AY85" s="243"/>
      <c r="AZ85" s="243"/>
      <c r="BA85" s="243"/>
      <c r="BB85" s="243"/>
      <c r="BC85" s="14"/>
      <c r="BF85" s="40"/>
      <c r="BG85" s="40"/>
      <c r="BH85" s="40"/>
      <c r="BI85" s="27"/>
      <c r="BL85" s="1577"/>
      <c r="BM85" s="1699"/>
      <c r="BN85" s="1693">
        <v>15</v>
      </c>
      <c r="BO85" s="1554"/>
      <c r="BP85" s="1554"/>
      <c r="BQ85" s="1554"/>
      <c r="BR85" s="1632">
        <f>IF(CC57=15,4)</f>
        <v>4</v>
      </c>
      <c r="BS85" s="1688"/>
      <c r="BT85" s="1688"/>
      <c r="BU85" s="1688"/>
      <c r="BV85" s="1641"/>
      <c r="BW85" s="1688"/>
      <c r="BX85" s="1688"/>
      <c r="BY85" s="1641"/>
      <c r="BZ85" s="1688"/>
      <c r="CA85" s="1688"/>
      <c r="CB85" s="1688"/>
      <c r="CC85" s="1688"/>
      <c r="CD85" s="1688"/>
      <c r="CE85" s="1688"/>
      <c r="CF85" s="1703"/>
      <c r="CG85" s="1641"/>
      <c r="CH85" s="1704"/>
      <c r="CI85" s="1688"/>
      <c r="CJ85" s="1641"/>
      <c r="CK85" s="1688"/>
      <c r="CL85" s="1688"/>
      <c r="CM85" s="1642"/>
      <c r="CN85" s="1634">
        <f>IF(CC57=15,26)</f>
        <v>26</v>
      </c>
      <c r="CO85" s="1557"/>
      <c r="CP85" s="1557"/>
      <c r="CQ85" s="1557"/>
      <c r="CR85" s="1557"/>
      <c r="CS85" s="1557"/>
      <c r="CT85" s="1557"/>
      <c r="CU85" s="1557"/>
      <c r="CV85" s="1557"/>
      <c r="CW85" s="1557"/>
      <c r="CX85" s="1557"/>
      <c r="CY85" s="1557"/>
      <c r="CZ85" s="1557"/>
      <c r="DA85" s="1557"/>
      <c r="DB85" s="1557"/>
      <c r="DE85" s="198"/>
      <c r="DF85" s="198"/>
      <c r="DG85" s="198"/>
      <c r="DH85" s="198"/>
      <c r="DI85" s="198"/>
      <c r="DJ85" s="199"/>
      <c r="DK85" s="198"/>
      <c r="DL85" s="198"/>
      <c r="DM85" s="198"/>
      <c r="DN85" s="198"/>
      <c r="DO85" s="198"/>
      <c r="DP85" s="198"/>
      <c r="DQ85" s="198"/>
      <c r="DR85" s="198"/>
      <c r="DS85" s="198"/>
      <c r="DT85" s="198"/>
      <c r="DU85" s="198"/>
      <c r="DV85" s="198"/>
      <c r="DW85" s="198"/>
      <c r="DX85" s="198"/>
      <c r="DY85" s="198"/>
      <c r="DZ85" s="198"/>
      <c r="EA85" s="198"/>
      <c r="EB85" s="199"/>
      <c r="EC85" s="185"/>
      <c r="ED85" s="185"/>
      <c r="EE85" s="185"/>
      <c r="EF85" s="185"/>
      <c r="EG85" s="185"/>
      <c r="EH85" s="185"/>
      <c r="EI85" s="185"/>
      <c r="EJ85" s="185"/>
    </row>
    <row r="86" spans="2:140" ht="21.6" hidden="1" thickBot="1" x14ac:dyDescent="0.45">
      <c r="B86" s="85"/>
      <c r="C86" s="85"/>
      <c r="D86" s="85"/>
      <c r="E86" s="85"/>
      <c r="F86" s="85"/>
      <c r="G86" s="85"/>
      <c r="H86" s="243"/>
      <c r="I86" s="243"/>
      <c r="J86" s="243"/>
      <c r="K86" s="243"/>
      <c r="L86" s="243"/>
      <c r="M86" s="243"/>
      <c r="N86" s="243"/>
      <c r="O86" s="243"/>
      <c r="P86" s="243"/>
      <c r="Q86" s="243"/>
      <c r="R86" s="243"/>
      <c r="S86" s="243"/>
      <c r="T86" s="243"/>
      <c r="U86" s="86"/>
      <c r="V86" s="243"/>
      <c r="W86" s="243"/>
      <c r="X86" s="243"/>
      <c r="Y86" s="243"/>
      <c r="Z86" s="243"/>
      <c r="AA86" s="243"/>
      <c r="AB86" s="86"/>
      <c r="AC86" s="86"/>
      <c r="AD86" s="86"/>
      <c r="AE86" s="86"/>
      <c r="AF86" s="243"/>
      <c r="AG86" s="243"/>
      <c r="AH86" s="243"/>
      <c r="AI86" s="243"/>
      <c r="AJ86" s="243"/>
      <c r="AK86" s="243"/>
      <c r="AL86" s="243"/>
      <c r="AM86" s="243"/>
      <c r="AN86" s="243"/>
      <c r="AO86" s="243"/>
      <c r="AP86" s="243"/>
      <c r="AQ86" s="243"/>
      <c r="AR86" s="243"/>
      <c r="AS86" s="243"/>
      <c r="AT86" s="243"/>
      <c r="AU86" s="243"/>
      <c r="AV86" s="243"/>
      <c r="AW86" s="243"/>
      <c r="AX86" s="243"/>
      <c r="AY86" s="243"/>
      <c r="AZ86" s="243"/>
      <c r="BA86" s="243"/>
      <c r="BB86" s="243"/>
      <c r="BC86" s="14"/>
      <c r="BF86" s="40"/>
      <c r="BG86" s="40"/>
      <c r="BI86" s="27"/>
      <c r="BL86" s="1577"/>
      <c r="BM86" s="1699"/>
      <c r="BN86" s="1693">
        <v>14</v>
      </c>
      <c r="BO86" s="1554"/>
      <c r="BP86" s="1632" t="b">
        <f>IF(CB57=14,2)</f>
        <v>0</v>
      </c>
      <c r="BQ86" s="1688"/>
      <c r="BR86" s="1688"/>
      <c r="BS86" s="1688"/>
      <c r="BT86" s="1641"/>
      <c r="BU86" s="1688"/>
      <c r="BV86" s="1688"/>
      <c r="BW86" s="1641"/>
      <c r="BX86" s="1688"/>
      <c r="BY86" s="1688"/>
      <c r="BZ86" s="1688"/>
      <c r="CA86" s="1688"/>
      <c r="CB86" s="1688"/>
      <c r="CC86" s="1688"/>
      <c r="CD86" s="1688"/>
      <c r="CE86" s="1688"/>
      <c r="CF86" s="1703"/>
      <c r="CG86" s="1641"/>
      <c r="CH86" s="1704"/>
      <c r="CI86" s="1688"/>
      <c r="CJ86" s="1641"/>
      <c r="CK86" s="1688"/>
      <c r="CL86" s="1688"/>
      <c r="CM86" s="1642"/>
      <c r="CN86" s="1634" t="b">
        <f>IF(CB57=14,26)</f>
        <v>0</v>
      </c>
      <c r="CO86" s="1557"/>
      <c r="CP86" s="1557"/>
      <c r="CQ86" s="1557"/>
      <c r="CR86" s="1557"/>
      <c r="CS86" s="1557"/>
      <c r="CT86" s="1557"/>
      <c r="CU86" s="1557"/>
      <c r="CV86" s="1557"/>
      <c r="CW86" s="1557"/>
      <c r="CX86" s="1557"/>
      <c r="CY86" s="1557"/>
      <c r="CZ86" s="1557"/>
      <c r="DA86" s="1557"/>
      <c r="DB86" s="1557"/>
      <c r="EI86" s="185"/>
      <c r="EJ86" s="185"/>
    </row>
    <row r="87" spans="2:140" ht="21.6" hidden="1" thickBot="1" x14ac:dyDescent="0.45">
      <c r="B87" s="84"/>
      <c r="C87" s="84"/>
      <c r="F87" s="85"/>
      <c r="G87" s="85"/>
      <c r="H87" s="243"/>
      <c r="I87" s="243"/>
      <c r="J87" s="243"/>
      <c r="K87" s="243"/>
      <c r="L87" s="243"/>
      <c r="M87" s="243"/>
      <c r="N87" s="243"/>
      <c r="O87" s="243"/>
      <c r="P87" s="243"/>
      <c r="Q87" s="243"/>
      <c r="R87" s="243"/>
      <c r="S87" s="243"/>
      <c r="T87" s="243"/>
      <c r="U87" s="86"/>
      <c r="V87" s="243"/>
      <c r="W87" s="243"/>
      <c r="X87" s="243"/>
      <c r="Y87" s="243"/>
      <c r="Z87" s="243"/>
      <c r="AA87" s="243"/>
      <c r="AB87" s="86"/>
      <c r="AC87" s="86"/>
      <c r="AD87" s="86"/>
      <c r="AE87" s="86"/>
      <c r="AF87" s="243"/>
      <c r="AG87" s="243"/>
      <c r="AH87" s="243"/>
      <c r="AI87" s="243"/>
      <c r="AJ87" s="243"/>
      <c r="AK87" s="243"/>
      <c r="AL87" s="243"/>
      <c r="AM87" s="243"/>
      <c r="AN87" s="243"/>
      <c r="AO87" s="243"/>
      <c r="AP87" s="243"/>
      <c r="AQ87" s="243"/>
      <c r="AR87" s="243"/>
      <c r="AS87" s="243"/>
      <c r="AT87" s="243"/>
      <c r="AU87" s="243"/>
      <c r="AV87" s="243"/>
      <c r="AW87" s="243"/>
      <c r="AX87" s="243"/>
      <c r="AY87" s="243"/>
      <c r="AZ87" s="243"/>
      <c r="BA87" s="243"/>
      <c r="BB87" s="243"/>
      <c r="BC87" s="14"/>
      <c r="BF87" s="40"/>
      <c r="BG87" s="40"/>
      <c r="BI87" s="27"/>
      <c r="BL87" s="1577"/>
      <c r="BM87" s="1699"/>
      <c r="BN87" s="1693">
        <v>13</v>
      </c>
      <c r="BO87" s="1554"/>
      <c r="BP87" s="1554"/>
      <c r="BQ87" s="1554"/>
      <c r="BS87" s="1714"/>
      <c r="BT87" s="1714"/>
      <c r="BU87" s="1715"/>
      <c r="BV87" s="1714"/>
      <c r="BW87" s="1643" t="b">
        <f>IF(CA57=13,9)</f>
        <v>0</v>
      </c>
      <c r="BX87" s="1689"/>
      <c r="BY87" s="1689"/>
      <c r="BZ87" s="1689"/>
      <c r="CA87" s="1689"/>
      <c r="CB87" s="1689"/>
      <c r="CC87" s="1689"/>
      <c r="CD87" s="1689"/>
      <c r="CE87" s="1636" t="b">
        <f>IF(CA57=13,17)</f>
        <v>0</v>
      </c>
      <c r="CF87" s="1716"/>
      <c r="CG87" s="1715"/>
      <c r="CH87" s="1717"/>
      <c r="CI87" s="1714"/>
      <c r="CK87" s="1554"/>
      <c r="CL87" s="1554"/>
      <c r="CM87" s="1557"/>
      <c r="CN87" s="1557"/>
      <c r="CO87" s="1557"/>
      <c r="CP87" s="1557"/>
      <c r="CQ87" s="1557"/>
      <c r="CR87" s="1557"/>
      <c r="CS87" s="1557"/>
      <c r="CT87" s="1557"/>
      <c r="CU87" s="1557"/>
      <c r="CV87" s="1557"/>
      <c r="CW87" s="1557"/>
      <c r="CX87" s="1557"/>
      <c r="CY87" s="1557"/>
      <c r="CZ87" s="1557"/>
      <c r="DA87" s="1557"/>
      <c r="DB87" s="1557"/>
      <c r="EI87" s="185"/>
      <c r="EJ87" s="185"/>
    </row>
    <row r="88" spans="2:140" ht="21.6" hidden="1" thickBot="1" x14ac:dyDescent="0.45">
      <c r="B88" s="84"/>
      <c r="C88" s="84"/>
      <c r="G88" s="85"/>
      <c r="H88" s="243"/>
      <c r="I88" s="243"/>
      <c r="J88" s="243"/>
      <c r="K88" s="243"/>
      <c r="L88" s="243"/>
      <c r="M88" s="243"/>
      <c r="N88" s="243"/>
      <c r="O88" s="243"/>
      <c r="P88" s="243"/>
      <c r="Q88" s="243"/>
      <c r="R88" s="243"/>
      <c r="S88" s="243"/>
      <c r="T88" s="243"/>
      <c r="U88" s="86"/>
      <c r="V88" s="243"/>
      <c r="W88" s="243"/>
      <c r="X88" s="243"/>
      <c r="Y88" s="243"/>
      <c r="Z88" s="243"/>
      <c r="AA88" s="243"/>
      <c r="AB88" s="86"/>
      <c r="AC88" s="86"/>
      <c r="AD88" s="86"/>
      <c r="AE88" s="86"/>
      <c r="AF88" s="243"/>
      <c r="AG88" s="243"/>
      <c r="AH88" s="243"/>
      <c r="AI88" s="243"/>
      <c r="AJ88" s="243"/>
      <c r="AK88" s="243"/>
      <c r="AL88" s="243"/>
      <c r="AM88" s="243"/>
      <c r="AN88" s="243"/>
      <c r="AO88" s="243"/>
      <c r="AP88" s="243"/>
      <c r="AQ88" s="243"/>
      <c r="AR88" s="243"/>
      <c r="AS88" s="243"/>
      <c r="AT88" s="243"/>
      <c r="AU88" s="243"/>
      <c r="AV88" s="243"/>
      <c r="AW88" s="243"/>
      <c r="AX88" s="243"/>
      <c r="AY88" s="243"/>
      <c r="AZ88" s="243"/>
      <c r="BA88" s="243"/>
      <c r="BB88" s="243"/>
      <c r="BC88" s="14"/>
      <c r="BF88" s="40"/>
      <c r="BG88" s="40"/>
      <c r="BI88" s="27"/>
      <c r="BL88" s="1577"/>
      <c r="BM88" s="1699"/>
      <c r="BN88" s="1693">
        <v>12</v>
      </c>
      <c r="BO88" s="1554"/>
      <c r="BQ88" s="1702"/>
      <c r="BR88" s="1702"/>
      <c r="BS88" s="1705"/>
      <c r="BT88" s="1702"/>
      <c r="BU88" s="1632" t="b">
        <f>IF(BZ57=12,7)</f>
        <v>0</v>
      </c>
      <c r="BV88" s="1688"/>
      <c r="BW88" s="1688"/>
      <c r="BX88" s="1688"/>
      <c r="BY88" s="1688"/>
      <c r="BZ88" s="1688"/>
      <c r="CA88" s="1688"/>
      <c r="CB88" s="1688"/>
      <c r="CC88" s="1688"/>
      <c r="CD88" s="1688"/>
      <c r="CE88" s="1634" t="b">
        <f>IF(BZ57=12,17)</f>
        <v>0</v>
      </c>
      <c r="CF88" s="1718"/>
      <c r="CG88" s="1705"/>
      <c r="CH88" s="1719"/>
      <c r="CI88" s="1702"/>
      <c r="CK88" s="1554"/>
      <c r="CL88" s="1554"/>
      <c r="CM88" s="1557"/>
      <c r="CN88" s="1557"/>
      <c r="CO88" s="1557"/>
      <c r="CP88" s="1557"/>
      <c r="CQ88" s="1557"/>
      <c r="CR88" s="1557"/>
      <c r="CS88" s="1557"/>
      <c r="CT88" s="1557"/>
      <c r="CU88" s="1557"/>
      <c r="CV88" s="1557"/>
      <c r="CW88" s="1557"/>
      <c r="CX88" s="1557"/>
      <c r="CY88" s="1557"/>
      <c r="CZ88" s="1557"/>
      <c r="DA88" s="1557"/>
      <c r="DB88" s="1557"/>
      <c r="EI88" s="185"/>
      <c r="EJ88" s="185"/>
    </row>
    <row r="89" spans="2:140" ht="21.6" hidden="1" thickBot="1" x14ac:dyDescent="0.45">
      <c r="C89" s="666"/>
      <c r="G89" s="85"/>
      <c r="H89" s="243"/>
      <c r="I89" s="243"/>
      <c r="J89" s="243"/>
      <c r="K89" s="243"/>
      <c r="L89" s="243"/>
      <c r="M89" s="243"/>
      <c r="N89" s="243"/>
      <c r="O89" s="243"/>
      <c r="P89" s="243"/>
      <c r="Q89" s="243"/>
      <c r="R89" s="243"/>
      <c r="S89" s="243"/>
      <c r="T89" s="243"/>
      <c r="U89" s="86"/>
      <c r="V89" s="243"/>
      <c r="W89" s="243"/>
      <c r="X89" s="243"/>
      <c r="Y89" s="243"/>
      <c r="Z89" s="243"/>
      <c r="AA89" s="243"/>
      <c r="AB89" s="86"/>
      <c r="AC89" s="86"/>
      <c r="AD89" s="86"/>
      <c r="AE89" s="86"/>
      <c r="AF89" s="243"/>
      <c r="AG89" s="243"/>
      <c r="AH89" s="243"/>
      <c r="AI89" s="243"/>
      <c r="AJ89" s="243"/>
      <c r="AK89" s="243"/>
      <c r="AL89" s="243"/>
      <c r="AM89" s="243"/>
      <c r="AN89" s="243"/>
      <c r="AO89" s="243"/>
      <c r="AP89" s="243"/>
      <c r="AQ89" s="243"/>
      <c r="AR89" s="243"/>
      <c r="AS89" s="243"/>
      <c r="AT89" s="243"/>
      <c r="AU89" s="243"/>
      <c r="AV89" s="243"/>
      <c r="AW89" s="243"/>
      <c r="AX89" s="243"/>
      <c r="AY89" s="243"/>
      <c r="AZ89" s="243"/>
      <c r="BA89" s="243"/>
      <c r="BB89" s="243"/>
      <c r="BC89" s="14"/>
      <c r="BF89" s="40"/>
      <c r="BG89" s="40"/>
      <c r="BI89" s="27"/>
      <c r="BL89" s="1577"/>
      <c r="BM89" s="1699"/>
      <c r="BN89" s="1693">
        <v>11</v>
      </c>
      <c r="BP89" s="1714"/>
      <c r="BQ89" s="1715"/>
      <c r="BR89" s="1714"/>
      <c r="BS89" s="1632" t="b">
        <f>IF(BY57=11,5)</f>
        <v>0</v>
      </c>
      <c r="BT89" s="1688"/>
      <c r="BU89" s="1688"/>
      <c r="BV89" s="1688"/>
      <c r="BW89" s="1688"/>
      <c r="BX89" s="1688"/>
      <c r="BY89" s="1688"/>
      <c r="BZ89" s="1688"/>
      <c r="CA89" s="1688"/>
      <c r="CB89" s="1688"/>
      <c r="CC89" s="1688"/>
      <c r="CD89" s="1688"/>
      <c r="CE89" s="1634" t="b">
        <f>IF(BY57=11,17)</f>
        <v>0</v>
      </c>
      <c r="CF89" s="1716"/>
      <c r="CG89" s="1715"/>
      <c r="CH89" s="1717"/>
      <c r="CJ89" s="1554"/>
      <c r="CK89" s="1554"/>
      <c r="CL89" s="1554"/>
      <c r="CM89" s="1557"/>
      <c r="CN89" s="1557"/>
      <c r="CO89" s="1557"/>
      <c r="CP89" s="1557"/>
      <c r="CQ89" s="1557"/>
      <c r="CR89" s="1557"/>
      <c r="CS89" s="1557"/>
      <c r="CT89" s="1557"/>
      <c r="CU89" s="1557"/>
      <c r="CV89" s="1557"/>
      <c r="CW89" s="1557"/>
      <c r="CX89" s="1557"/>
      <c r="CY89" s="1557"/>
      <c r="CZ89" s="1557"/>
      <c r="DA89" s="1557"/>
      <c r="DB89" s="1557"/>
      <c r="EI89" s="185"/>
      <c r="EJ89" s="185"/>
    </row>
    <row r="90" spans="2:140" ht="21.6" hidden="1" thickBot="1" x14ac:dyDescent="0.45">
      <c r="G90" s="85"/>
      <c r="H90" s="243"/>
      <c r="I90" s="243"/>
      <c r="J90" s="243"/>
      <c r="K90" s="243"/>
      <c r="L90" s="243"/>
      <c r="M90" s="243"/>
      <c r="N90" s="243"/>
      <c r="O90" s="243"/>
      <c r="P90" s="243"/>
      <c r="Q90" s="243"/>
      <c r="R90" s="243"/>
      <c r="S90" s="243"/>
      <c r="T90" s="243"/>
      <c r="U90" s="86"/>
      <c r="V90" s="243"/>
      <c r="W90" s="243"/>
      <c r="X90" s="243"/>
      <c r="Y90" s="243"/>
      <c r="Z90" s="243"/>
      <c r="AA90" s="243"/>
      <c r="AB90" s="86"/>
      <c r="AC90" s="86"/>
      <c r="AD90" s="86"/>
      <c r="AE90" s="86"/>
      <c r="AF90" s="243"/>
      <c r="AG90" s="243"/>
      <c r="AH90" s="243"/>
      <c r="AI90" s="243"/>
      <c r="AJ90" s="243"/>
      <c r="AK90" s="243"/>
      <c r="AL90" s="243"/>
      <c r="AM90" s="243"/>
      <c r="AN90" s="243"/>
      <c r="AO90" s="243"/>
      <c r="AP90" s="243"/>
      <c r="AQ90" s="243"/>
      <c r="AR90" s="243"/>
      <c r="AS90" s="243"/>
      <c r="AT90" s="243"/>
      <c r="AU90" s="243"/>
      <c r="AV90" s="243"/>
      <c r="AW90" s="243"/>
      <c r="AX90" s="243"/>
      <c r="AY90" s="243"/>
      <c r="AZ90" s="243"/>
      <c r="BA90" s="243"/>
      <c r="BB90" s="243"/>
      <c r="BC90" s="14"/>
      <c r="BF90" s="40"/>
      <c r="BG90" s="40"/>
      <c r="BI90" s="27"/>
      <c r="BL90" s="1577"/>
      <c r="BM90" s="1699"/>
      <c r="BN90" s="1693">
        <v>10</v>
      </c>
      <c r="BP90" s="1714"/>
      <c r="BQ90" s="1632" t="b">
        <f>IF(BX57=10,3)</f>
        <v>0</v>
      </c>
      <c r="BR90" s="1688"/>
      <c r="BS90" s="1688"/>
      <c r="BT90" s="1688"/>
      <c r="BU90" s="1688"/>
      <c r="BV90" s="1688"/>
      <c r="BW90" s="1688"/>
      <c r="BX90" s="1688"/>
      <c r="BY90" s="1688"/>
      <c r="BZ90" s="1688"/>
      <c r="CA90" s="1688"/>
      <c r="CB90" s="1688"/>
      <c r="CC90" s="1688"/>
      <c r="CD90" s="1688"/>
      <c r="CE90" s="1634" t="b">
        <f>IF(BX57=10,17)</f>
        <v>0</v>
      </c>
      <c r="CF90" s="1716"/>
      <c r="CH90" s="1720"/>
      <c r="CI90" s="1554"/>
      <c r="CJ90" s="1554"/>
      <c r="CK90" s="1554"/>
      <c r="CL90" s="1554"/>
      <c r="CM90" s="1557"/>
      <c r="CN90" s="1557"/>
      <c r="CO90" s="1557"/>
      <c r="CP90" s="1557"/>
      <c r="CQ90" s="1557"/>
      <c r="CR90" s="1557"/>
      <c r="CS90" s="1557"/>
      <c r="CT90" s="1557"/>
      <c r="CU90" s="1557"/>
      <c r="CV90" s="1557"/>
      <c r="CW90" s="1557"/>
      <c r="CX90" s="1557"/>
      <c r="CY90" s="1557"/>
      <c r="CZ90" s="1557"/>
      <c r="DA90" s="1557"/>
      <c r="DB90" s="1557"/>
      <c r="EI90" s="185"/>
      <c r="EJ90" s="185"/>
    </row>
    <row r="91" spans="2:140" ht="21.6" hidden="1" thickBot="1" x14ac:dyDescent="0.45">
      <c r="B91" s="55"/>
      <c r="C91" s="55"/>
      <c r="D91" s="56"/>
      <c r="E91" s="56"/>
      <c r="F91" s="56"/>
      <c r="G91" s="56"/>
      <c r="BG91" s="4"/>
      <c r="BH91" s="4"/>
      <c r="BI91" s="27"/>
      <c r="BL91" s="1577"/>
      <c r="BM91" s="1699"/>
      <c r="BN91" s="1693">
        <v>9</v>
      </c>
      <c r="BO91" s="1632" t="b">
        <f>IF(BW57=9,1)</f>
        <v>0</v>
      </c>
      <c r="BP91" s="1688"/>
      <c r="BQ91" s="1688"/>
      <c r="BR91" s="1688"/>
      <c r="BS91" s="1688"/>
      <c r="BT91" s="1688"/>
      <c r="BU91" s="1688"/>
      <c r="BV91" s="1688"/>
      <c r="BW91" s="1688"/>
      <c r="BX91" s="1688"/>
      <c r="BY91" s="1688"/>
      <c r="BZ91" s="1688"/>
      <c r="CA91" s="1688"/>
      <c r="CB91" s="1688"/>
      <c r="CC91" s="1688"/>
      <c r="CD91" s="1688"/>
      <c r="CE91" s="1634" t="b">
        <f>IF(BW57=9,17)</f>
        <v>0</v>
      </c>
      <c r="CF91" s="1554"/>
      <c r="CG91" s="1554"/>
      <c r="CH91" s="1720"/>
      <c r="CI91" s="1554"/>
      <c r="CJ91" s="1554"/>
      <c r="CK91" s="1554"/>
      <c r="CL91" s="1554"/>
      <c r="CM91" s="1557"/>
      <c r="CN91" s="1557"/>
      <c r="CO91" s="1557"/>
      <c r="CP91" s="1557"/>
      <c r="CQ91" s="1557"/>
      <c r="CR91" s="1557"/>
      <c r="CS91" s="1557"/>
      <c r="CT91" s="1557"/>
      <c r="CU91" s="1557"/>
      <c r="CV91" s="1557"/>
      <c r="CW91" s="1557"/>
      <c r="CX91" s="1557"/>
      <c r="CY91" s="1557"/>
      <c r="CZ91" s="1557"/>
      <c r="DA91" s="1557"/>
      <c r="DB91" s="1557"/>
      <c r="DC91" s="4"/>
      <c r="EI91" s="185"/>
      <c r="EJ91" s="185"/>
    </row>
    <row r="92" spans="2:140" ht="21.6" hidden="1" thickBot="1" x14ac:dyDescent="0.45">
      <c r="BG92" s="27"/>
      <c r="BH92" s="27"/>
      <c r="BI92" s="27"/>
      <c r="BL92" s="1577"/>
      <c r="BM92" s="1699"/>
      <c r="BN92" s="1693">
        <v>8</v>
      </c>
      <c r="BO92" s="1632" t="b">
        <f>IF(BV57=8,1)</f>
        <v>0</v>
      </c>
      <c r="BP92" s="1688"/>
      <c r="BQ92" s="1641"/>
      <c r="BR92" s="1688"/>
      <c r="BS92" s="1688"/>
      <c r="BT92" s="1688"/>
      <c r="BU92" s="1688"/>
      <c r="BV92" s="1688"/>
      <c r="BW92" s="1688"/>
      <c r="BX92" s="1688"/>
      <c r="BY92" s="1688"/>
      <c r="BZ92" s="1688"/>
      <c r="CA92" s="1641"/>
      <c r="CB92" s="1688"/>
      <c r="CC92" s="1634" t="b">
        <f>IF(BV57=8,15)</f>
        <v>0</v>
      </c>
      <c r="CD92" s="1554"/>
      <c r="CE92" s="1554"/>
      <c r="CF92" s="1721"/>
      <c r="CG92" s="1554"/>
      <c r="CH92" s="1720"/>
      <c r="CI92" s="1554"/>
      <c r="CJ92" s="1554"/>
      <c r="CK92" s="1554"/>
      <c r="CL92" s="1554"/>
      <c r="CM92" s="1557"/>
      <c r="CN92" s="1557"/>
      <c r="CO92" s="1557"/>
      <c r="CP92" s="1557"/>
      <c r="CQ92" s="1557"/>
      <c r="CR92" s="1557"/>
      <c r="CS92" s="1557"/>
      <c r="CT92" s="1557"/>
      <c r="CU92" s="1557"/>
      <c r="CV92" s="1557"/>
      <c r="CW92" s="1557"/>
      <c r="CX92" s="1557"/>
      <c r="CY92" s="1557"/>
      <c r="CZ92" s="1557"/>
      <c r="DA92" s="1557"/>
      <c r="DB92" s="1557"/>
      <c r="DC92" s="4"/>
      <c r="EI92" s="185"/>
      <c r="EJ92" s="185"/>
    </row>
    <row r="93" spans="2:140" ht="21.6" hidden="1" thickBot="1" x14ac:dyDescent="0.45">
      <c r="B93" s="14"/>
      <c r="BG93" s="27"/>
      <c r="BH93" s="27"/>
      <c r="BI93" s="27"/>
      <c r="BL93" s="1577"/>
      <c r="BM93" s="1699"/>
      <c r="BN93" s="1693">
        <v>7</v>
      </c>
      <c r="BO93" s="1632" t="b">
        <f>IF(BU57=7,1)</f>
        <v>0</v>
      </c>
      <c r="BP93" s="1641"/>
      <c r="BQ93" s="1688"/>
      <c r="BR93" s="1688"/>
      <c r="BS93" s="1688"/>
      <c r="BT93" s="1688"/>
      <c r="BU93" s="1688"/>
      <c r="BV93" s="1688"/>
      <c r="BW93" s="1688"/>
      <c r="BX93" s="1688"/>
      <c r="BY93" s="1641"/>
      <c r="BZ93" s="1641"/>
      <c r="CA93" s="1634" t="b">
        <f>IF(BU57=7,13)</f>
        <v>0</v>
      </c>
      <c r="CB93" s="1554"/>
      <c r="CC93" s="1554"/>
      <c r="CD93" s="1554"/>
      <c r="CE93" s="1554"/>
      <c r="CF93" s="1721"/>
      <c r="CG93" s="1554"/>
      <c r="CH93" s="1720"/>
      <c r="CI93" s="1554"/>
      <c r="CJ93" s="1554"/>
      <c r="CK93" s="1554"/>
      <c r="CL93" s="1554"/>
      <c r="CM93" s="1557"/>
      <c r="CN93" s="1557"/>
      <c r="CO93" s="1557"/>
      <c r="CP93" s="1557"/>
      <c r="CQ93" s="1557"/>
      <c r="CR93" s="1557"/>
      <c r="CS93" s="1557"/>
      <c r="CT93" s="1557"/>
      <c r="CU93" s="1557"/>
      <c r="CV93" s="1557"/>
      <c r="CW93" s="1557"/>
      <c r="CX93" s="1557"/>
      <c r="CY93" s="1557"/>
      <c r="CZ93" s="1557"/>
      <c r="DA93" s="1557"/>
      <c r="DB93" s="1557"/>
      <c r="DC93" s="4"/>
      <c r="EI93" s="185"/>
      <c r="EJ93" s="185"/>
    </row>
    <row r="94" spans="2:140" ht="21.6" hidden="1" thickBot="1" x14ac:dyDescent="0.45">
      <c r="B94" s="55"/>
      <c r="C94" s="55"/>
      <c r="D94" s="56"/>
      <c r="E94" s="56"/>
      <c r="F94" s="56"/>
      <c r="G94" s="56"/>
      <c r="BG94" s="27"/>
      <c r="BH94" s="27"/>
      <c r="BI94" s="27"/>
      <c r="BL94" s="1577"/>
      <c r="BM94" s="1699"/>
      <c r="BN94" s="1693">
        <v>6</v>
      </c>
      <c r="BO94" s="1643" t="b">
        <f>IF(BT57=6,1)</f>
        <v>0</v>
      </c>
      <c r="BP94" s="1689"/>
      <c r="BQ94" s="1689"/>
      <c r="BR94" s="1689"/>
      <c r="BS94" s="1689"/>
      <c r="BT94" s="1689"/>
      <c r="BU94" s="1689"/>
      <c r="BV94" s="1689"/>
      <c r="BW94" s="1689"/>
      <c r="BX94" s="1689"/>
      <c r="BY94" s="1636" t="b">
        <f>IF(BT57=6,11)</f>
        <v>0</v>
      </c>
      <c r="BZ94" s="1554"/>
      <c r="CA94" s="1554"/>
      <c r="CB94" s="1554"/>
      <c r="CC94" s="1554"/>
      <c r="CD94" s="1554"/>
      <c r="CE94" s="1554"/>
      <c r="CF94" s="1721"/>
      <c r="CG94" s="1554"/>
      <c r="CH94" s="1720"/>
      <c r="CI94" s="1554"/>
      <c r="CJ94" s="1554"/>
      <c r="CK94" s="1554"/>
      <c r="CL94" s="1554"/>
      <c r="CM94" s="1557"/>
      <c r="CN94" s="1557"/>
      <c r="CO94" s="1557"/>
      <c r="CP94" s="1557"/>
      <c r="CQ94" s="1557"/>
      <c r="CR94" s="1557"/>
      <c r="CS94" s="1557"/>
      <c r="CT94" s="1557"/>
      <c r="CU94" s="1557"/>
      <c r="CV94" s="1557"/>
      <c r="CW94" s="1557"/>
      <c r="CX94" s="1557"/>
      <c r="CY94" s="1557"/>
      <c r="CZ94" s="1557"/>
      <c r="DA94" s="1557"/>
      <c r="DB94" s="1557"/>
      <c r="DC94" s="4"/>
      <c r="EI94" s="185"/>
      <c r="EJ94" s="185"/>
    </row>
    <row r="95" spans="2:140" ht="21.6" hidden="1" thickBot="1" x14ac:dyDescent="0.45">
      <c r="B95" s="55"/>
      <c r="C95" s="55"/>
      <c r="D95" s="56"/>
      <c r="E95" s="56"/>
      <c r="F95" s="56"/>
      <c r="G95" s="56"/>
      <c r="H95" s="244"/>
      <c r="I95" s="244"/>
      <c r="J95" s="244"/>
      <c r="K95" s="244"/>
      <c r="L95" s="244"/>
      <c r="M95" s="244"/>
      <c r="N95" s="244"/>
      <c r="O95" s="244"/>
      <c r="P95" s="244"/>
      <c r="Q95" s="244"/>
      <c r="R95" s="244"/>
      <c r="AB95" s="244"/>
      <c r="AC95" s="244"/>
      <c r="AD95" s="244"/>
      <c r="AE95" s="244"/>
      <c r="AF95" s="244"/>
      <c r="AG95" s="244"/>
      <c r="AH95" s="244"/>
      <c r="AI95" s="244"/>
      <c r="AJ95" s="244"/>
      <c r="AK95" s="244"/>
      <c r="AL95" s="244"/>
      <c r="AM95" s="244"/>
      <c r="AN95" s="244"/>
      <c r="AO95" s="244"/>
      <c r="AP95" s="244"/>
      <c r="AQ95" s="244"/>
      <c r="AR95" s="244"/>
      <c r="AS95" s="244"/>
      <c r="AT95" s="244"/>
      <c r="AU95" s="244"/>
      <c r="AV95" s="244"/>
      <c r="AW95" s="244"/>
      <c r="AX95" s="244"/>
      <c r="AY95" s="244"/>
      <c r="AZ95" s="244"/>
      <c r="BA95" s="244"/>
      <c r="BB95" s="244"/>
      <c r="BC95" s="7"/>
      <c r="BG95" s="27"/>
      <c r="BL95" s="1577"/>
      <c r="BM95" s="1699"/>
      <c r="BN95" s="1693">
        <v>5</v>
      </c>
      <c r="BO95" s="1643" t="b">
        <f>IF(BS57=5,1)</f>
        <v>0</v>
      </c>
      <c r="BP95" s="1639"/>
      <c r="BQ95" s="1689"/>
      <c r="BR95" s="1689"/>
      <c r="BS95" s="1689"/>
      <c r="BT95" s="1689"/>
      <c r="BU95" s="1689"/>
      <c r="BV95" s="1639"/>
      <c r="BW95" s="1636" t="b">
        <f>IF(BS57=5,9)</f>
        <v>0</v>
      </c>
      <c r="BX95" s="1554"/>
      <c r="BY95" s="1554"/>
      <c r="BZ95" s="1554"/>
      <c r="CA95" s="1554"/>
      <c r="CB95" s="1554"/>
      <c r="CC95" s="1554"/>
      <c r="CD95" s="1554"/>
      <c r="CE95" s="1554"/>
      <c r="CF95" s="1721"/>
      <c r="CG95" s="1554"/>
      <c r="CH95" s="1720"/>
      <c r="CI95" s="1554"/>
      <c r="CJ95" s="1554"/>
      <c r="CK95" s="1554"/>
      <c r="CL95" s="1554"/>
      <c r="CM95" s="1557"/>
      <c r="CN95" s="1557"/>
      <c r="CO95" s="1557"/>
      <c r="CP95" s="1557"/>
      <c r="CQ95" s="1557"/>
      <c r="CR95" s="1557"/>
      <c r="CS95" s="1557"/>
      <c r="CT95" s="1557"/>
      <c r="CU95" s="1557"/>
      <c r="CV95" s="1557"/>
      <c r="CW95" s="1557"/>
      <c r="CX95" s="1557"/>
      <c r="CY95" s="1557"/>
      <c r="CZ95" s="1557"/>
      <c r="DA95" s="1557"/>
      <c r="DB95" s="1557"/>
      <c r="DC95" s="4"/>
      <c r="EI95" s="185"/>
      <c r="EJ95" s="185"/>
    </row>
    <row r="96" spans="2:140" ht="21.6" hidden="1" thickBot="1" x14ac:dyDescent="0.45">
      <c r="B96" s="24"/>
      <c r="C96" s="24"/>
      <c r="D96" s="15"/>
      <c r="E96" s="15"/>
      <c r="F96" s="15"/>
      <c r="G96" s="15"/>
      <c r="H96" s="244"/>
      <c r="I96" s="244"/>
      <c r="J96" s="244"/>
      <c r="K96" s="244"/>
      <c r="L96" s="244"/>
      <c r="M96" s="244"/>
      <c r="N96" s="244"/>
      <c r="O96" s="244"/>
      <c r="P96" s="244"/>
      <c r="Q96" s="244"/>
      <c r="R96" s="244"/>
      <c r="AF96" s="244"/>
      <c r="AG96" s="244"/>
      <c r="AH96" s="244"/>
      <c r="AI96" s="244"/>
      <c r="AJ96" s="244"/>
      <c r="AK96" s="244"/>
      <c r="AL96" s="244"/>
      <c r="AM96" s="244"/>
      <c r="AN96" s="244"/>
      <c r="AO96" s="244"/>
      <c r="AP96" s="244"/>
      <c r="AQ96" s="244"/>
      <c r="AR96" s="244"/>
      <c r="AS96" s="244"/>
      <c r="AT96" s="244"/>
      <c r="AU96" s="244"/>
      <c r="AV96" s="244"/>
      <c r="AW96" s="244"/>
      <c r="AX96" s="244"/>
      <c r="AY96" s="244"/>
      <c r="AZ96" s="244"/>
      <c r="BA96" s="244"/>
      <c r="BB96" s="244"/>
      <c r="BC96" s="7"/>
      <c r="BG96" s="27"/>
      <c r="BL96" s="1577"/>
      <c r="BM96" s="1699"/>
      <c r="BN96" s="1693">
        <v>4</v>
      </c>
      <c r="BO96" s="1643" t="b">
        <f>IF(BR57=4,1)</f>
        <v>0</v>
      </c>
      <c r="BP96" s="1689"/>
      <c r="BQ96" s="1689"/>
      <c r="BR96" s="1689"/>
      <c r="BS96" s="1689"/>
      <c r="BT96" s="1689"/>
      <c r="BU96" s="1636" t="b">
        <f>IF(BR57=4,7)</f>
        <v>0</v>
      </c>
      <c r="BV96" s="1554"/>
      <c r="BW96" s="1722"/>
      <c r="BX96" s="1722"/>
      <c r="BY96" s="1554"/>
      <c r="BZ96" s="1722"/>
      <c r="CA96" s="1554"/>
      <c r="CB96" s="1554"/>
      <c r="CC96" s="1554"/>
      <c r="CD96" s="1554"/>
      <c r="CE96" s="1554"/>
      <c r="CF96" s="1721"/>
      <c r="CG96" s="1554"/>
      <c r="CH96" s="1720"/>
      <c r="CI96" s="1554"/>
      <c r="CJ96" s="1554"/>
      <c r="CK96" s="1554"/>
      <c r="CL96" s="1554"/>
      <c r="CM96" s="1557"/>
      <c r="CN96" s="1557"/>
      <c r="CO96" s="1557"/>
      <c r="CP96" s="1557"/>
      <c r="CQ96" s="1557"/>
      <c r="CR96" s="1557"/>
      <c r="CS96" s="1557"/>
      <c r="CT96" s="1557"/>
      <c r="CU96" s="1557"/>
      <c r="CV96" s="1557"/>
      <c r="CW96" s="1557"/>
      <c r="CX96" s="1557"/>
      <c r="CY96" s="1557"/>
      <c r="CZ96" s="1557"/>
      <c r="DA96" s="1557"/>
      <c r="DB96" s="1557"/>
      <c r="DC96" s="27"/>
      <c r="EI96" s="185"/>
      <c r="EJ96" s="185"/>
    </row>
    <row r="97" spans="2:140" ht="21.6" hidden="1" thickBot="1" x14ac:dyDescent="0.45">
      <c r="B97" s="25"/>
      <c r="C97" s="25"/>
      <c r="D97" s="15"/>
      <c r="E97" s="15"/>
      <c r="F97" s="15"/>
      <c r="G97" s="15"/>
      <c r="H97" s="244"/>
      <c r="I97" s="244"/>
      <c r="J97" s="244"/>
      <c r="K97" s="244"/>
      <c r="L97" s="244"/>
      <c r="M97" s="244"/>
      <c r="N97" s="244"/>
      <c r="O97" s="244"/>
      <c r="P97" s="244"/>
      <c r="Q97" s="244"/>
      <c r="R97" s="244"/>
      <c r="U97" s="149"/>
      <c r="V97" s="149"/>
      <c r="W97" s="149"/>
      <c r="X97" s="149"/>
      <c r="Y97" s="149"/>
      <c r="Z97" s="149"/>
      <c r="AA97" s="149"/>
      <c r="AF97" s="149"/>
      <c r="AG97" s="149"/>
      <c r="AH97" s="149"/>
      <c r="AI97" s="149"/>
      <c r="AJ97" s="149"/>
      <c r="AK97" s="149"/>
      <c r="AL97" s="149"/>
      <c r="AM97" s="149"/>
      <c r="AN97" s="149"/>
      <c r="AO97" s="149"/>
      <c r="AP97" s="149"/>
      <c r="AQ97" s="149"/>
      <c r="AR97" s="149"/>
      <c r="AS97" s="149"/>
      <c r="AT97" s="149"/>
      <c r="AU97" s="149"/>
      <c r="AV97" s="149"/>
      <c r="AW97" s="149"/>
      <c r="AX97" s="149"/>
      <c r="AY97" s="149"/>
      <c r="AZ97" s="149"/>
      <c r="BA97" s="149"/>
      <c r="BB97" s="149"/>
      <c r="BC97" s="10"/>
      <c r="BG97" s="27"/>
      <c r="BL97" s="1577"/>
      <c r="BM97" s="1699"/>
      <c r="BN97" s="1693">
        <v>3</v>
      </c>
      <c r="BO97" s="1643" t="b">
        <f>IF(BQ57=3,1)</f>
        <v>0</v>
      </c>
      <c r="BP97" s="1689"/>
      <c r="BQ97" s="1689"/>
      <c r="BR97" s="1689"/>
      <c r="BS97" s="1636" t="b">
        <f>IF(BQ57=3,5)</f>
        <v>0</v>
      </c>
      <c r="BT97" s="1554"/>
      <c r="BU97" s="1554"/>
      <c r="BV97" s="1554"/>
      <c r="BW97" s="1554"/>
      <c r="BX97" s="1554"/>
      <c r="BY97" s="1554"/>
      <c r="BZ97" s="1554"/>
      <c r="CA97" s="1554"/>
      <c r="CB97" s="1554"/>
      <c r="CC97" s="1554"/>
      <c r="CD97" s="1554"/>
      <c r="CE97" s="1554"/>
      <c r="CF97" s="1721"/>
      <c r="CG97" s="1554"/>
      <c r="CH97" s="1720"/>
      <c r="CI97" s="1554"/>
      <c r="CJ97" s="1554"/>
      <c r="CK97" s="1554"/>
      <c r="CL97" s="1554"/>
      <c r="CM97" s="1557"/>
      <c r="CN97" s="1557"/>
      <c r="CO97" s="1557"/>
      <c r="CP97" s="1557"/>
      <c r="CQ97" s="1557"/>
      <c r="CR97" s="1557"/>
      <c r="CS97" s="1557"/>
      <c r="CT97" s="1557"/>
      <c r="CU97" s="1557"/>
      <c r="CV97" s="1557"/>
      <c r="CW97" s="1557"/>
      <c r="CX97" s="1557"/>
      <c r="CY97" s="1557"/>
      <c r="CZ97" s="1557"/>
      <c r="DA97" s="1557"/>
      <c r="DB97" s="1557"/>
      <c r="DC97" s="27"/>
      <c r="EI97" s="185"/>
      <c r="EJ97" s="185"/>
    </row>
    <row r="98" spans="2:140" ht="21" hidden="1" x14ac:dyDescent="0.4">
      <c r="B98" s="25"/>
      <c r="C98" s="25"/>
      <c r="D98" s="15"/>
      <c r="E98" s="15"/>
      <c r="F98" s="15"/>
      <c r="G98" s="15"/>
      <c r="H98" s="244"/>
      <c r="I98" s="244"/>
      <c r="J98" s="244"/>
      <c r="K98" s="244"/>
      <c r="L98" s="244"/>
      <c r="M98" s="244"/>
      <c r="N98" s="244"/>
      <c r="O98" s="244"/>
      <c r="P98" s="244"/>
      <c r="Q98" s="244"/>
      <c r="R98" s="244"/>
      <c r="U98" s="149"/>
      <c r="V98" s="149"/>
      <c r="W98" s="149"/>
      <c r="X98" s="149"/>
      <c r="Y98" s="149"/>
      <c r="Z98" s="149"/>
      <c r="AA98" s="149"/>
      <c r="AF98" s="149"/>
      <c r="AG98" s="149"/>
      <c r="AH98" s="149"/>
      <c r="AI98" s="149"/>
      <c r="AJ98" s="149"/>
      <c r="AK98" s="149"/>
      <c r="AL98" s="149"/>
      <c r="AM98" s="149"/>
      <c r="AN98" s="149"/>
      <c r="AO98" s="149"/>
      <c r="AP98" s="149"/>
      <c r="AQ98" s="149"/>
      <c r="AR98" s="149"/>
      <c r="AS98" s="149"/>
      <c r="AT98" s="149"/>
      <c r="AU98" s="149"/>
      <c r="AV98" s="149"/>
      <c r="AW98" s="149"/>
      <c r="AX98" s="149"/>
      <c r="AY98" s="149"/>
      <c r="AZ98" s="149"/>
      <c r="BA98" s="149"/>
      <c r="BB98" s="149"/>
      <c r="BC98" s="10"/>
      <c r="BG98" s="27"/>
      <c r="BL98" s="1577"/>
      <c r="BM98" s="1699"/>
      <c r="BN98" s="1693">
        <v>2</v>
      </c>
      <c r="BO98" s="1723" t="b">
        <f>IF(BP57=2,1)</f>
        <v>0</v>
      </c>
      <c r="BP98" s="1724"/>
      <c r="BQ98" s="1725" t="b">
        <f>IF(BP57=2,3)</f>
        <v>0</v>
      </c>
      <c r="BR98" s="1554"/>
      <c r="BS98" s="1554"/>
      <c r="BT98" s="1554"/>
      <c r="BU98" s="1554"/>
      <c r="BV98" s="1554"/>
      <c r="BW98" s="1554"/>
      <c r="BX98" s="1554"/>
      <c r="BY98" s="1554"/>
      <c r="BZ98" s="1554"/>
      <c r="CA98" s="1554"/>
      <c r="CB98" s="1554"/>
      <c r="CC98" s="1554"/>
      <c r="CD98" s="1554"/>
      <c r="CE98" s="1554"/>
      <c r="CF98" s="1721"/>
      <c r="CG98" s="1554"/>
      <c r="CH98" s="1720"/>
      <c r="CI98" s="1554"/>
      <c r="CJ98" s="1554"/>
      <c r="CK98" s="1554"/>
      <c r="CL98" s="1554"/>
      <c r="CM98" s="1557"/>
      <c r="CN98" s="1557"/>
      <c r="CO98" s="1557"/>
      <c r="CP98" s="1557"/>
      <c r="CQ98" s="1557"/>
      <c r="CR98" s="1557"/>
      <c r="CS98" s="1557"/>
      <c r="CT98" s="1557"/>
      <c r="CU98" s="1557"/>
      <c r="CV98" s="1557"/>
      <c r="CW98" s="1557"/>
      <c r="CX98" s="1557"/>
      <c r="CY98" s="1557"/>
      <c r="CZ98" s="1557"/>
      <c r="DA98" s="1557"/>
      <c r="DB98" s="1557"/>
      <c r="DC98" s="27"/>
      <c r="EI98" s="185"/>
      <c r="EJ98" s="185"/>
    </row>
    <row r="99" spans="2:140" ht="21.6" hidden="1" thickBot="1" x14ac:dyDescent="0.45">
      <c r="B99" s="25"/>
      <c r="C99" s="25"/>
      <c r="D99" s="15"/>
      <c r="E99" s="15"/>
      <c r="F99" s="15"/>
      <c r="G99" s="15"/>
      <c r="H99" s="244"/>
      <c r="I99" s="244"/>
      <c r="J99" s="244"/>
      <c r="K99" s="244"/>
      <c r="L99" s="244"/>
      <c r="M99" s="244"/>
      <c r="N99" s="244"/>
      <c r="O99" s="244"/>
      <c r="P99" s="244"/>
      <c r="Q99" s="244"/>
      <c r="R99" s="244"/>
      <c r="U99" s="149"/>
      <c r="V99" s="149"/>
      <c r="W99" s="149"/>
      <c r="X99" s="149"/>
      <c r="Y99" s="149"/>
      <c r="Z99" s="149"/>
      <c r="AA99" s="149"/>
      <c r="AF99" s="149"/>
      <c r="AG99" s="149"/>
      <c r="AH99" s="149"/>
      <c r="AI99" s="149"/>
      <c r="AJ99" s="149"/>
      <c r="AK99" s="149"/>
      <c r="AL99" s="149"/>
      <c r="AM99" s="149"/>
      <c r="AN99" s="149"/>
      <c r="AO99" s="149"/>
      <c r="AP99" s="149"/>
      <c r="AQ99" s="149"/>
      <c r="AR99" s="149"/>
      <c r="AS99" s="149"/>
      <c r="AT99" s="149"/>
      <c r="AU99" s="149"/>
      <c r="AV99" s="149"/>
      <c r="AW99" s="149"/>
      <c r="AX99" s="149"/>
      <c r="AY99" s="149"/>
      <c r="AZ99" s="149"/>
      <c r="BA99" s="149"/>
      <c r="BB99" s="149"/>
      <c r="BC99" s="10"/>
      <c r="BG99" s="27"/>
      <c r="BL99" s="1577"/>
      <c r="BM99" s="1699"/>
      <c r="BN99" s="1726"/>
      <c r="BO99" s="1727">
        <f t="shared" ref="BO99:CE99" si="3">SUM(BO64:BO98)</f>
        <v>0</v>
      </c>
      <c r="BP99" s="1727">
        <f t="shared" si="3"/>
        <v>0</v>
      </c>
      <c r="BQ99" s="1727">
        <f t="shared" si="3"/>
        <v>0</v>
      </c>
      <c r="BR99" s="1727">
        <f t="shared" si="3"/>
        <v>4</v>
      </c>
      <c r="BS99" s="1727">
        <f t="shared" si="3"/>
        <v>0</v>
      </c>
      <c r="BT99" s="1727">
        <f t="shared" si="3"/>
        <v>0</v>
      </c>
      <c r="BU99" s="1727">
        <f t="shared" si="3"/>
        <v>0</v>
      </c>
      <c r="BV99" s="1727">
        <f t="shared" si="3"/>
        <v>0</v>
      </c>
      <c r="BW99" s="1727">
        <f t="shared" si="3"/>
        <v>0</v>
      </c>
      <c r="BX99" s="1727">
        <f t="shared" si="3"/>
        <v>0</v>
      </c>
      <c r="BY99" s="1727">
        <f t="shared" si="3"/>
        <v>0</v>
      </c>
      <c r="BZ99" s="1727">
        <f t="shared" si="3"/>
        <v>0</v>
      </c>
      <c r="CA99" s="1727">
        <f t="shared" si="3"/>
        <v>0</v>
      </c>
      <c r="CB99" s="1727">
        <f t="shared" si="3"/>
        <v>0</v>
      </c>
      <c r="CC99" s="1727">
        <f t="shared" si="3"/>
        <v>0</v>
      </c>
      <c r="CD99" s="1727">
        <f t="shared" si="3"/>
        <v>0</v>
      </c>
      <c r="CE99" s="1728">
        <f t="shared" si="3"/>
        <v>0</v>
      </c>
      <c r="CF99" s="1729"/>
      <c r="CG99" s="1730"/>
      <c r="CH99" s="1731"/>
      <c r="CI99" s="1732">
        <f t="shared" ref="CI99:CY99" si="4">SUM(CI64:CI98)</f>
        <v>0</v>
      </c>
      <c r="CJ99" s="1727">
        <f t="shared" si="4"/>
        <v>0</v>
      </c>
      <c r="CK99" s="1727">
        <f t="shared" si="4"/>
        <v>0</v>
      </c>
      <c r="CL99" s="1727">
        <f t="shared" si="4"/>
        <v>0</v>
      </c>
      <c r="CM99" s="1727">
        <f t="shared" si="4"/>
        <v>0</v>
      </c>
      <c r="CN99" s="1727">
        <f t="shared" si="4"/>
        <v>26</v>
      </c>
      <c r="CO99" s="1727">
        <f t="shared" si="4"/>
        <v>0</v>
      </c>
      <c r="CP99" s="1727">
        <f t="shared" si="4"/>
        <v>0</v>
      </c>
      <c r="CQ99" s="1727">
        <f t="shared" si="4"/>
        <v>0</v>
      </c>
      <c r="CR99" s="1727">
        <f t="shared" si="4"/>
        <v>0</v>
      </c>
      <c r="CS99" s="1727">
        <f t="shared" si="4"/>
        <v>0</v>
      </c>
      <c r="CT99" s="1727">
        <f t="shared" si="4"/>
        <v>0</v>
      </c>
      <c r="CU99" s="1727">
        <f t="shared" si="4"/>
        <v>0</v>
      </c>
      <c r="CV99" s="1727">
        <f t="shared" si="4"/>
        <v>0</v>
      </c>
      <c r="CW99" s="1727">
        <f t="shared" si="4"/>
        <v>0</v>
      </c>
      <c r="CX99" s="1727">
        <f t="shared" si="4"/>
        <v>0</v>
      </c>
      <c r="CY99" s="1727">
        <f t="shared" si="4"/>
        <v>0</v>
      </c>
      <c r="CZ99" s="1557"/>
      <c r="DA99" s="1557"/>
      <c r="DB99" s="1557"/>
      <c r="DC99" s="27"/>
      <c r="EI99" s="185"/>
      <c r="EJ99" s="185"/>
    </row>
    <row r="100" spans="2:140" ht="21" customHeight="1" thickBot="1" x14ac:dyDescent="0.45">
      <c r="B100" s="25"/>
      <c r="C100" s="25"/>
      <c r="D100" s="15"/>
      <c r="E100" s="15"/>
      <c r="F100" s="15"/>
      <c r="G100" s="15"/>
      <c r="H100" s="244"/>
      <c r="I100" s="244"/>
      <c r="J100" s="244"/>
      <c r="K100" s="244"/>
      <c r="L100" s="244"/>
      <c r="M100" s="244"/>
      <c r="N100" s="244"/>
      <c r="O100" s="244"/>
      <c r="P100" s="244"/>
      <c r="Q100" s="244"/>
      <c r="R100" s="244"/>
      <c r="U100" s="149"/>
      <c r="V100" s="149"/>
      <c r="W100" s="149"/>
      <c r="X100" s="149"/>
      <c r="Y100" s="149"/>
      <c r="Z100" s="149"/>
      <c r="AA100" s="149"/>
      <c r="AF100" s="149"/>
      <c r="AG100" s="149"/>
      <c r="AH100" s="149"/>
      <c r="AI100" s="149"/>
      <c r="AJ100" s="149"/>
      <c r="AK100" s="149"/>
      <c r="AL100" s="149"/>
      <c r="AM100" s="149"/>
      <c r="AN100" s="149"/>
      <c r="AO100" s="149"/>
      <c r="AP100" s="149"/>
      <c r="AQ100" s="149"/>
      <c r="AR100" s="149"/>
      <c r="AS100" s="149"/>
      <c r="AT100" s="149"/>
      <c r="AU100" s="149"/>
      <c r="AV100" s="149"/>
      <c r="AW100" s="149"/>
      <c r="AX100" s="149"/>
      <c r="AY100" s="149"/>
      <c r="AZ100" s="149"/>
      <c r="BA100" s="149"/>
      <c r="BB100" s="149"/>
      <c r="BC100" s="10"/>
      <c r="BG100" s="27"/>
      <c r="BL100" s="1577"/>
      <c r="BM100" s="1699"/>
      <c r="BN100" s="1726"/>
      <c r="BO100" s="1733"/>
      <c r="BP100" s="1733"/>
      <c r="BQ100" s="1733"/>
      <c r="BR100" s="1733"/>
      <c r="BS100" s="1733"/>
      <c r="BT100" s="1733"/>
      <c r="BU100" s="1733"/>
      <c r="BV100" s="1733"/>
      <c r="BW100" s="1733"/>
      <c r="BX100" s="1733"/>
      <c r="BY100" s="1733"/>
      <c r="BZ100" s="1733"/>
      <c r="CA100" s="1733"/>
      <c r="CB100" s="1733"/>
      <c r="CC100" s="1733"/>
      <c r="CD100" s="1733"/>
      <c r="CE100" s="1733"/>
      <c r="CF100" s="1733"/>
      <c r="CG100" s="1733"/>
      <c r="CH100" s="1733"/>
      <c r="CI100" s="1733"/>
      <c r="CJ100" s="1733"/>
      <c r="CK100" s="1733"/>
      <c r="CL100" s="1733"/>
      <c r="CM100" s="1733"/>
      <c r="CN100" s="1733"/>
      <c r="CO100" s="1733"/>
      <c r="CP100" s="1733"/>
      <c r="CQ100" s="1733"/>
      <c r="CR100" s="1733"/>
      <c r="CS100" s="1733"/>
      <c r="CT100" s="1733"/>
      <c r="CU100" s="1733"/>
      <c r="CV100" s="1733"/>
      <c r="CW100" s="1733"/>
      <c r="CX100" s="1733"/>
      <c r="CY100" s="1733"/>
      <c r="CZ100" s="1557"/>
      <c r="DA100" s="1557"/>
      <c r="DB100" s="1557"/>
      <c r="DC100" s="27"/>
      <c r="EI100" s="185"/>
      <c r="EJ100" s="185"/>
    </row>
    <row r="101" spans="2:140" ht="49.5" customHeight="1" thickBot="1" x14ac:dyDescent="0.4">
      <c r="B101" s="25"/>
      <c r="D101" s="416" t="str">
        <f>IF(BJ110&gt;0," ","change the angle of frame or of cabinets")</f>
        <v xml:space="preserve"> </v>
      </c>
      <c r="E101" s="114"/>
      <c r="F101" s="114"/>
      <c r="G101" s="114"/>
      <c r="H101" s="244"/>
      <c r="I101" s="244"/>
      <c r="J101" s="244"/>
      <c r="K101" s="244"/>
      <c r="L101" s="244"/>
      <c r="M101" s="244"/>
      <c r="N101" s="244"/>
      <c r="O101" s="244"/>
      <c r="P101" s="244"/>
      <c r="Q101" s="244"/>
      <c r="R101" s="244"/>
      <c r="S101" s="244"/>
      <c r="T101" s="244"/>
      <c r="V101" s="244"/>
      <c r="W101" s="244"/>
      <c r="X101" s="244"/>
      <c r="Y101" s="244"/>
      <c r="Z101" s="244"/>
      <c r="AA101" s="244"/>
      <c r="AF101" s="244"/>
      <c r="AG101" s="244"/>
      <c r="AH101" s="244"/>
      <c r="AI101" s="244"/>
      <c r="AJ101" s="244"/>
      <c r="AK101" s="244"/>
      <c r="AL101" s="244"/>
      <c r="AM101" s="244"/>
      <c r="AN101" s="244"/>
      <c r="AO101" s="244"/>
      <c r="AP101" s="244"/>
      <c r="AQ101" s="244"/>
      <c r="AR101" s="244"/>
      <c r="AS101" s="244"/>
      <c r="AT101" s="244"/>
      <c r="AU101" s="244"/>
      <c r="AV101" s="244"/>
      <c r="AW101" s="244"/>
      <c r="AX101" s="244"/>
      <c r="AY101" s="244"/>
      <c r="AZ101" s="244"/>
      <c r="BA101" s="244"/>
      <c r="BB101" s="244"/>
      <c r="BC101" s="7"/>
      <c r="BG101" s="27"/>
      <c r="BL101" s="1577"/>
      <c r="BM101" s="1699"/>
      <c r="CZ101" s="1557"/>
      <c r="DA101" s="1557"/>
      <c r="DB101" s="1557"/>
      <c r="DC101" s="27"/>
      <c r="EI101" s="185"/>
      <c r="EJ101" s="185"/>
    </row>
    <row r="102" spans="2:140" ht="49.5" customHeight="1" thickBot="1" x14ac:dyDescent="0.4">
      <c r="B102" s="2043" t="s">
        <v>226</v>
      </c>
      <c r="D102" s="416" t="str">
        <f>IF(DB110&lt;0," ","change the angle of frame or of cabinets")</f>
        <v xml:space="preserve"> </v>
      </c>
      <c r="E102" s="114"/>
      <c r="F102" s="114"/>
      <c r="G102" s="114"/>
      <c r="H102" s="244"/>
      <c r="I102" s="244"/>
      <c r="J102" s="244"/>
      <c r="K102" s="244"/>
      <c r="L102" s="244"/>
      <c r="M102" s="244"/>
      <c r="N102" s="244"/>
      <c r="O102" s="244"/>
      <c r="P102" s="244"/>
      <c r="Q102" s="244"/>
      <c r="R102" s="244"/>
      <c r="S102" s="244"/>
      <c r="T102" s="244"/>
      <c r="V102" s="313"/>
      <c r="W102" s="313"/>
      <c r="X102" s="313"/>
      <c r="Y102" s="313"/>
      <c r="Z102" s="313"/>
      <c r="AA102" s="313"/>
      <c r="AF102" s="266"/>
      <c r="AG102" s="266"/>
      <c r="AH102" s="266"/>
      <c r="AI102" s="266"/>
      <c r="AJ102" s="266"/>
      <c r="AK102" s="266"/>
      <c r="AL102" s="266"/>
      <c r="AM102" s="266"/>
      <c r="AN102" s="266"/>
      <c r="AO102" s="266"/>
      <c r="AP102" s="266"/>
      <c r="AQ102" s="266"/>
      <c r="AR102" s="266"/>
      <c r="AS102" s="266"/>
      <c r="AT102" s="266"/>
      <c r="AU102" s="266"/>
      <c r="AV102" s="266"/>
      <c r="AW102" s="266"/>
      <c r="AX102" s="266"/>
      <c r="AY102" s="266"/>
      <c r="AZ102" s="266"/>
      <c r="BA102" s="266"/>
      <c r="BB102" s="266"/>
      <c r="BC102" s="32"/>
      <c r="BG102" s="27"/>
      <c r="BL102" s="1577"/>
      <c r="BM102" s="1699"/>
      <c r="CZ102" s="1557"/>
      <c r="DA102" s="1557"/>
      <c r="DB102" s="1557"/>
      <c r="DC102" s="27"/>
      <c r="EI102" s="185"/>
      <c r="EJ102" s="185"/>
    </row>
    <row r="103" spans="2:140" ht="49.5" customHeight="1" thickBot="1" x14ac:dyDescent="0.5">
      <c r="B103" s="2044"/>
      <c r="C103" s="749"/>
      <c r="D103" s="1775" t="str">
        <f>IF(BJ110&gt;(+COS(($B$104*-1)*3.14159265358979/180)*451.5)," ","USE EXBAR AR AT THE FRONT")</f>
        <v xml:space="preserve"> </v>
      </c>
      <c r="E103" s="114"/>
      <c r="F103" s="114"/>
      <c r="G103" s="114"/>
      <c r="H103" s="244"/>
      <c r="I103" s="244"/>
      <c r="J103" s="244"/>
      <c r="K103" s="244"/>
      <c r="L103" s="244"/>
      <c r="M103" s="244"/>
      <c r="N103" s="244"/>
      <c r="O103" s="244"/>
      <c r="P103" s="244"/>
      <c r="Q103" s="244"/>
      <c r="R103" s="244"/>
      <c r="S103" s="244"/>
      <c r="T103" s="244"/>
      <c r="AF103" s="244"/>
      <c r="AG103" s="244"/>
      <c r="AH103" s="244"/>
      <c r="AI103" s="244"/>
      <c r="AJ103" s="244"/>
      <c r="AK103" s="244"/>
      <c r="AL103" s="244"/>
      <c r="AM103" s="244"/>
      <c r="AN103" s="244"/>
      <c r="AO103" s="244"/>
      <c r="AP103" s="244"/>
      <c r="AQ103" s="244"/>
      <c r="AR103" s="244"/>
      <c r="AS103" s="244"/>
      <c r="AT103" s="244"/>
      <c r="AU103" s="244"/>
      <c r="AV103" s="244"/>
      <c r="AW103" s="244"/>
      <c r="AX103" s="244"/>
      <c r="AY103" s="244"/>
      <c r="AZ103" s="244"/>
      <c r="BA103" s="244"/>
      <c r="BB103" s="244"/>
      <c r="BC103" s="7"/>
      <c r="BG103" s="27"/>
      <c r="BL103" s="1577"/>
      <c r="BM103" s="1699"/>
      <c r="BN103" s="1726"/>
      <c r="BO103" s="1733"/>
      <c r="BP103" s="1733"/>
      <c r="BQ103" s="1733"/>
      <c r="BR103" s="1733"/>
      <c r="BS103" s="1733"/>
      <c r="BT103" s="1733"/>
      <c r="BU103" s="1733"/>
      <c r="BV103" s="1733"/>
      <c r="BW103" s="1733"/>
      <c r="BX103" s="1733"/>
      <c r="BY103" s="1733"/>
      <c r="BZ103" s="1733"/>
      <c r="CA103" s="1733"/>
      <c r="CB103" s="1733"/>
      <c r="CC103" s="1733"/>
      <c r="CD103" s="1733"/>
      <c r="CE103" s="1733"/>
      <c r="CF103" s="1733"/>
      <c r="CG103" s="1733"/>
      <c r="CH103" s="1733"/>
      <c r="CI103" s="1733"/>
      <c r="CJ103" s="1733"/>
      <c r="CK103" s="1733"/>
      <c r="CL103" s="1733"/>
      <c r="CM103" s="1733"/>
      <c r="CN103" s="1733"/>
      <c r="CO103" s="1733"/>
      <c r="CP103" s="1733"/>
      <c r="CQ103" s="1733"/>
      <c r="CR103" s="1733"/>
      <c r="CS103" s="1733"/>
      <c r="CT103" s="1733"/>
      <c r="CU103" s="1733"/>
      <c r="CV103" s="1733"/>
      <c r="CW103" s="1733"/>
      <c r="CX103" s="1733"/>
      <c r="CY103" s="1733"/>
      <c r="CZ103" s="1557"/>
      <c r="DA103" s="1557"/>
      <c r="DB103" s="1557"/>
      <c r="DC103" s="27"/>
      <c r="EI103" s="185"/>
      <c r="EJ103" s="185"/>
    </row>
    <row r="104" spans="2:140" ht="49.5" customHeight="1" thickBot="1" x14ac:dyDescent="0.45">
      <c r="B104" s="741">
        <v>0</v>
      </c>
      <c r="C104" s="749"/>
      <c r="D104" s="1776" t="str">
        <f>IF(DB110&lt;-(+COS(($B$104*-1)*3.14159265358979/180)*365.5)," ","USE EXBAR AR AT THE BACK")</f>
        <v xml:space="preserve"> </v>
      </c>
      <c r="E104" s="114"/>
      <c r="F104" s="114"/>
      <c r="G104" s="114"/>
      <c r="AF104" s="244"/>
      <c r="AG104" s="244"/>
      <c r="AH104" s="244"/>
      <c r="AI104" s="244"/>
      <c r="AJ104" s="244"/>
      <c r="AK104" s="244"/>
      <c r="AL104" s="244"/>
      <c r="AM104" s="244"/>
      <c r="AN104" s="244"/>
      <c r="AO104" s="244"/>
      <c r="AP104" s="244"/>
      <c r="AQ104" s="244"/>
      <c r="AR104" s="244"/>
      <c r="AS104" s="244"/>
      <c r="AT104" s="244"/>
      <c r="AU104" s="244"/>
      <c r="AV104" s="244"/>
      <c r="AW104" s="244"/>
      <c r="AX104" s="244"/>
      <c r="AY104" s="244"/>
      <c r="AZ104" s="244"/>
      <c r="BA104" s="244"/>
      <c r="BB104" s="244"/>
      <c r="BC104" s="7"/>
      <c r="BG104" s="27"/>
      <c r="BL104" s="1577"/>
      <c r="BM104" s="1561" t="s">
        <v>227</v>
      </c>
      <c r="BN104" s="1734" t="s">
        <v>234</v>
      </c>
      <c r="BO104" s="1735" t="str">
        <f>IF(BO99=1,"17","")</f>
        <v/>
      </c>
      <c r="BP104" s="1736" t="str">
        <f>IF(BP99=2,"16","")</f>
        <v/>
      </c>
      <c r="BQ104" s="1736" t="str">
        <f>IF(BQ99=3,"15","")</f>
        <v/>
      </c>
      <c r="BR104" s="1736" t="str">
        <f>IF(BR99=4,"14","")</f>
        <v>14</v>
      </c>
      <c r="BS104" s="1736" t="str">
        <f>IF(BS99=5,"13","")</f>
        <v/>
      </c>
      <c r="BT104" s="1736" t="str">
        <f>IF(BT99=6,"12","")</f>
        <v/>
      </c>
      <c r="BU104" s="1736" t="str">
        <f>IF(BU99=7,"11","")</f>
        <v/>
      </c>
      <c r="BV104" s="1736" t="str">
        <f>IF(BV99=8,"10","")</f>
        <v/>
      </c>
      <c r="BW104" s="1736" t="str">
        <f>IF(BW99=9,"9","")</f>
        <v/>
      </c>
      <c r="BX104" s="1736" t="str">
        <f>IF(BX99=10,"8","")</f>
        <v/>
      </c>
      <c r="BY104" s="1736" t="str">
        <f>IF(BY99=11,"7","")</f>
        <v/>
      </c>
      <c r="BZ104" s="1737" t="str">
        <f>IF(BZ99=12,"6  ADS ","")</f>
        <v/>
      </c>
      <c r="CA104" s="1736" t="str">
        <f>IF(CA99=13,"5","")</f>
        <v/>
      </c>
      <c r="CB104" s="1736" t="str">
        <f>IF(CB99=14,"4","")</f>
        <v/>
      </c>
      <c r="CC104" s="1736" t="str">
        <f>IF(CC99=15,"3","")</f>
        <v/>
      </c>
      <c r="CD104" s="1736" t="str">
        <f>IF(CD99=16,"2","")</f>
        <v/>
      </c>
      <c r="CE104" s="1736" t="str">
        <f>IF(CE99=17,"1","")</f>
        <v/>
      </c>
      <c r="CF104" s="1738"/>
      <c r="CG104" s="1739"/>
      <c r="CH104" s="1740"/>
      <c r="CI104" s="1741" t="str">
        <f>IF(CI99=21,"1 ","")</f>
        <v/>
      </c>
      <c r="CJ104" s="1742" t="str">
        <f>IF(CJ99=22,"2 ","")</f>
        <v/>
      </c>
      <c r="CK104" s="1742" t="str">
        <f>IF(CK99=23,"3 ","")</f>
        <v/>
      </c>
      <c r="CL104" s="1742" t="str">
        <f>IF(CL99=24,"4 ","")</f>
        <v/>
      </c>
      <c r="CM104" s="1742" t="str">
        <f>IF(CM99=25,"5 ","")</f>
        <v/>
      </c>
      <c r="CN104" s="1743" t="str">
        <f>IF(CN99=26,"6  ADS ","")</f>
        <v xml:space="preserve">6  ADS </v>
      </c>
      <c r="CO104" s="1742" t="str">
        <f>IF(CO99=27,"7 ","")</f>
        <v/>
      </c>
      <c r="CP104" s="1742" t="str">
        <f>IF(CP99=28,"8 ","")</f>
        <v/>
      </c>
      <c r="CQ104" s="1742" t="str">
        <f>IF(CQ99=29,"9 ","")</f>
        <v/>
      </c>
      <c r="CR104" s="1742" t="str">
        <f>IF(CR99=30,"10 ","")</f>
        <v/>
      </c>
      <c r="CS104" s="1742" t="str">
        <f>IF(CS99=31,"11 ","")</f>
        <v/>
      </c>
      <c r="CT104" s="1742" t="str">
        <f>IF(CT99=32,"12 ","")</f>
        <v/>
      </c>
      <c r="CU104" s="1742" t="str">
        <f>IF(CU99=33,"13 ","")</f>
        <v/>
      </c>
      <c r="CV104" s="1742" t="str">
        <f>IF(CV99=34,"14 ","")</f>
        <v/>
      </c>
      <c r="CW104" s="1742" t="str">
        <f>IF(CW99=35,"15 ","")</f>
        <v/>
      </c>
      <c r="CX104" s="1742" t="str">
        <f>IF(CX99=36,"16 ","")</f>
        <v/>
      </c>
      <c r="CY104" s="1744" t="str">
        <f>IF(CY99=37,"17 ","")</f>
        <v/>
      </c>
      <c r="CZ104" s="1745"/>
      <c r="DA104" s="1557"/>
      <c r="DB104" s="1557"/>
      <c r="DC104" s="27"/>
      <c r="EI104" s="185"/>
      <c r="EJ104" s="185"/>
    </row>
    <row r="105" spans="2:140" ht="45" customHeight="1" thickBot="1" x14ac:dyDescent="0.45">
      <c r="AF105" s="244"/>
      <c r="AG105" s="244"/>
      <c r="AH105" s="244"/>
      <c r="AI105" s="244"/>
      <c r="AJ105" s="244"/>
      <c r="AK105" s="244"/>
      <c r="AL105" s="244"/>
      <c r="AM105" s="244"/>
      <c r="AN105" s="244"/>
      <c r="AO105" s="244"/>
      <c r="AP105" s="244"/>
      <c r="AQ105" s="244"/>
      <c r="AR105" s="244"/>
      <c r="AS105" s="244"/>
      <c r="AT105" s="244"/>
      <c r="AU105" s="244"/>
      <c r="AV105" s="244"/>
      <c r="AW105" s="244"/>
      <c r="AX105" s="244"/>
      <c r="AY105" s="244"/>
      <c r="AZ105" s="244"/>
      <c r="BA105" s="244"/>
      <c r="BB105" s="244"/>
      <c r="BC105" s="7"/>
      <c r="BG105" s="27"/>
      <c r="BK105" s="1550" t="b">
        <f>AND(BM105&gt;=10,$BA$110&gt;=10,$BB$110&gt;=10)</f>
        <v>1</v>
      </c>
      <c r="BL105" s="1570" t="str">
        <f>IF(BK105=TRUE,"O K","OVERLOAD")</f>
        <v>O K</v>
      </c>
      <c r="BM105" s="1571">
        <f>+$D$20/(BO25/2)</f>
        <v>63.872255489021953</v>
      </c>
      <c r="BN105" s="1667" t="s">
        <v>233</v>
      </c>
      <c r="BO105" s="1668">
        <v>-10</v>
      </c>
      <c r="BP105" s="1668">
        <v>-9</v>
      </c>
      <c r="BQ105" s="1668">
        <v>-8</v>
      </c>
      <c r="BR105" s="1668">
        <v>-7</v>
      </c>
      <c r="BS105" s="1668">
        <v>-6</v>
      </c>
      <c r="BT105" s="1668">
        <v>-5</v>
      </c>
      <c r="BU105" s="1668">
        <v>-4</v>
      </c>
      <c r="BV105" s="1668">
        <v>-3</v>
      </c>
      <c r="BW105" s="1668">
        <v>-2</v>
      </c>
      <c r="BX105" s="1668">
        <v>-1</v>
      </c>
      <c r="BY105" s="1668">
        <v>0</v>
      </c>
      <c r="BZ105" s="1668">
        <v>1</v>
      </c>
      <c r="CA105" s="1668">
        <v>2</v>
      </c>
      <c r="CB105" s="1668">
        <v>3</v>
      </c>
      <c r="CC105" s="1668">
        <v>4</v>
      </c>
      <c r="CD105" s="1668">
        <v>5</v>
      </c>
      <c r="CE105" s="1668">
        <v>6</v>
      </c>
      <c r="CF105" s="1668">
        <v>7</v>
      </c>
      <c r="CG105" s="1668">
        <v>8</v>
      </c>
      <c r="CH105" s="1668">
        <v>9</v>
      </c>
      <c r="CI105" s="1668">
        <v>10</v>
      </c>
      <c r="CJ105" s="1668">
        <v>11</v>
      </c>
      <c r="CK105" s="1668">
        <v>12</v>
      </c>
      <c r="CL105" s="1668">
        <v>13</v>
      </c>
      <c r="CM105" s="1668">
        <v>14</v>
      </c>
      <c r="CN105" s="1668">
        <v>15</v>
      </c>
      <c r="CO105" s="1668">
        <v>16</v>
      </c>
      <c r="CP105" s="1668">
        <v>17</v>
      </c>
      <c r="CQ105" s="1668">
        <v>18</v>
      </c>
      <c r="CR105" s="1668">
        <v>19</v>
      </c>
      <c r="CS105" s="1668">
        <v>20</v>
      </c>
      <c r="CT105" s="1668">
        <v>21</v>
      </c>
      <c r="CU105" s="1668">
        <v>22</v>
      </c>
      <c r="CV105" s="1668">
        <v>23</v>
      </c>
      <c r="CW105" s="1668">
        <v>24</v>
      </c>
      <c r="CX105" s="1668">
        <v>25</v>
      </c>
      <c r="CY105" s="1670">
        <v>26</v>
      </c>
      <c r="CZ105" s="1557"/>
      <c r="DA105" s="1557"/>
      <c r="DB105" s="1557"/>
      <c r="DC105" s="27"/>
      <c r="EI105" s="185"/>
      <c r="EJ105" s="185"/>
    </row>
    <row r="106" spans="2:140" ht="76.5" customHeight="1" thickTop="1" thickBot="1" x14ac:dyDescent="0.45">
      <c r="B106" s="695" t="s">
        <v>42</v>
      </c>
      <c r="C106" s="707"/>
      <c r="D106" s="708"/>
      <c r="E106" s="74"/>
      <c r="F106" s="74"/>
      <c r="G106" s="74"/>
      <c r="H106" s="248"/>
      <c r="I106" s="248"/>
      <c r="J106" s="248"/>
      <c r="K106" s="248"/>
      <c r="L106" s="248"/>
      <c r="M106" s="248"/>
      <c r="N106" s="248"/>
      <c r="O106" s="248"/>
      <c r="P106" s="248"/>
      <c r="Q106" s="248"/>
      <c r="R106" s="248"/>
      <c r="S106" s="255" t="s">
        <v>105</v>
      </c>
      <c r="T106" s="255">
        <f>SUM(V110:V133)/B107</f>
        <v>146.5</v>
      </c>
      <c r="U106" s="295"/>
      <c r="V106" s="245"/>
      <c r="AB106" s="245"/>
      <c r="AC106" s="245"/>
      <c r="AD106" s="245"/>
      <c r="AE106" s="245"/>
      <c r="AF106" s="245"/>
      <c r="AG106" s="245"/>
      <c r="AH106" s="245"/>
      <c r="AI106" s="245"/>
      <c r="AJ106" s="245"/>
      <c r="AK106" s="245"/>
      <c r="AL106" s="245"/>
      <c r="AM106" s="245"/>
      <c r="AN106" s="245"/>
      <c r="AO106" s="245"/>
      <c r="AP106" s="245"/>
      <c r="AQ106" s="245"/>
      <c r="AR106" s="245"/>
      <c r="AS106" s="245"/>
      <c r="AT106" s="245"/>
      <c r="AU106" s="245"/>
      <c r="AV106" s="245"/>
      <c r="AW106" s="245"/>
      <c r="AX106" s="245"/>
      <c r="AY106" s="245"/>
      <c r="AZ106" s="245"/>
      <c r="BA106" s="245"/>
      <c r="BB106" s="245"/>
      <c r="BC106" s="4"/>
      <c r="BD106" s="36"/>
      <c r="BE106" s="36"/>
      <c r="BF106" s="36"/>
      <c r="BG106" s="27"/>
      <c r="BJ106" s="1623"/>
      <c r="BK106" s="1623"/>
      <c r="BL106" s="1623"/>
      <c r="BM106" s="1623"/>
      <c r="BN106" s="1557"/>
      <c r="BO106" s="1671"/>
      <c r="BP106" s="1671"/>
      <c r="BQ106" s="1671"/>
      <c r="BR106" s="1671"/>
      <c r="BS106" s="1671"/>
      <c r="BT106" s="1671"/>
      <c r="BU106" s="1671"/>
      <c r="BV106" s="1671"/>
      <c r="BW106" s="1671"/>
      <c r="BX106" s="1671"/>
      <c r="BY106" s="1671"/>
      <c r="BZ106" s="1746"/>
      <c r="CA106" s="1671"/>
      <c r="CB106" s="1671"/>
      <c r="CC106" s="1671"/>
      <c r="CD106" s="1671"/>
      <c r="CE106" s="1671"/>
      <c r="CF106" s="1671"/>
      <c r="CG106" s="1671"/>
      <c r="CH106" s="1671"/>
      <c r="CI106" s="1671"/>
      <c r="CJ106" s="1671"/>
      <c r="CK106" s="1671"/>
      <c r="CL106" s="1671"/>
      <c r="CM106" s="1671"/>
      <c r="CN106" s="1671"/>
      <c r="CO106" s="1671"/>
      <c r="CP106" s="1671"/>
      <c r="CQ106" s="1671"/>
      <c r="CR106" s="1671"/>
      <c r="CS106" s="1671"/>
      <c r="CT106" s="1671"/>
      <c r="CU106" s="1671"/>
      <c r="CV106" s="1671"/>
      <c r="CW106" s="1671"/>
      <c r="CX106" s="1671"/>
      <c r="CY106" s="1671"/>
      <c r="CZ106" s="1671"/>
    </row>
    <row r="107" spans="2:140" ht="25.8" thickTop="1" thickBot="1" x14ac:dyDescent="0.45">
      <c r="B107" s="743">
        <v>1</v>
      </c>
      <c r="C107" s="671"/>
      <c r="D107" s="704" t="s">
        <v>71</v>
      </c>
      <c r="E107" s="445"/>
      <c r="F107" s="445"/>
      <c r="G107" s="445"/>
      <c r="H107" s="246"/>
      <c r="I107" s="247"/>
      <c r="J107" s="247"/>
      <c r="K107" s="247"/>
      <c r="L107" s="247"/>
      <c r="M107" s="247"/>
      <c r="N107" s="247"/>
      <c r="O107" s="247"/>
      <c r="P107" s="247"/>
      <c r="Q107" s="247"/>
      <c r="R107" s="247"/>
      <c r="S107" s="303"/>
      <c r="T107" s="304"/>
      <c r="U107" s="266"/>
      <c r="V107" s="296"/>
      <c r="W107" s="2047" t="s">
        <v>178</v>
      </c>
      <c r="X107" s="2047"/>
      <c r="Y107" s="2047"/>
      <c r="Z107" s="2047"/>
      <c r="AA107" s="2047"/>
      <c r="AB107" s="296"/>
      <c r="AC107" s="296"/>
      <c r="AD107" s="296"/>
      <c r="AE107" s="296"/>
      <c r="AF107" s="296"/>
      <c r="AG107" s="296"/>
      <c r="AH107" s="296"/>
      <c r="AI107" s="296"/>
      <c r="AJ107" s="296"/>
      <c r="AK107" s="296"/>
      <c r="AL107" s="296"/>
      <c r="AM107" s="296"/>
      <c r="AN107" s="296"/>
      <c r="AO107" s="296"/>
      <c r="AP107" s="296"/>
      <c r="AQ107" s="296"/>
      <c r="AR107" s="296"/>
      <c r="AS107" s="296"/>
      <c r="AT107" s="296"/>
      <c r="AU107" s="296"/>
      <c r="AV107" s="296"/>
      <c r="AW107" s="296"/>
      <c r="AX107" s="296"/>
      <c r="AY107" s="296"/>
      <c r="AZ107" s="296"/>
      <c r="BA107" s="2045" t="s">
        <v>68</v>
      </c>
      <c r="BB107" s="2046"/>
      <c r="BC107" s="5"/>
      <c r="BD107" s="33"/>
      <c r="BE107" s="33"/>
      <c r="BF107" s="33"/>
      <c r="BG107" s="27"/>
      <c r="BH107" s="27"/>
      <c r="BJ107" s="1623"/>
      <c r="BK107" s="1623"/>
      <c r="BL107" s="1623"/>
      <c r="BM107" s="1623"/>
      <c r="BN107" s="1554"/>
      <c r="BO107" s="1554"/>
      <c r="BP107" s="1554"/>
      <c r="BQ107" s="1554"/>
      <c r="BR107" s="1554"/>
      <c r="BS107" s="1554"/>
      <c r="BT107" s="1747"/>
      <c r="BU107" s="1747"/>
      <c r="BV107" s="1747"/>
      <c r="BW107" s="1747"/>
      <c r="BX107" s="1747"/>
      <c r="BY107" s="1747"/>
      <c r="BZ107" s="1747"/>
      <c r="CA107" s="1747"/>
      <c r="CB107" s="1747"/>
      <c r="CC107" s="1747"/>
      <c r="CD107" s="1747"/>
      <c r="CE107" s="1747"/>
      <c r="CF107" s="1747"/>
      <c r="CG107" s="1747"/>
      <c r="CH107" s="1556"/>
      <c r="CI107" s="1557"/>
      <c r="CJ107" s="1557"/>
      <c r="CK107" s="1557"/>
      <c r="CL107" s="1557"/>
      <c r="CM107" s="1557"/>
      <c r="CN107" s="1557"/>
      <c r="CO107" s="1557"/>
      <c r="CP107" s="1557"/>
      <c r="CQ107" s="1557"/>
      <c r="CR107" s="1557"/>
      <c r="CS107" s="1557"/>
      <c r="CT107" s="1557"/>
      <c r="CU107" s="1557"/>
      <c r="CV107" s="1557"/>
      <c r="CW107" s="1557"/>
      <c r="CX107" s="1557"/>
      <c r="CY107" s="1557"/>
      <c r="CZ107" s="1557"/>
      <c r="DA107" s="1557"/>
      <c r="DB107" s="1557"/>
    </row>
    <row r="108" spans="2:140" ht="18.600000000000001" hidden="1" thickTop="1" thickBot="1" x14ac:dyDescent="0.35">
      <c r="B108" s="358"/>
      <c r="C108" s="76"/>
      <c r="D108" s="698" t="s">
        <v>13</v>
      </c>
      <c r="E108" s="15"/>
      <c r="F108" s="15"/>
      <c r="G108" s="15"/>
      <c r="H108" s="297" t="s">
        <v>4</v>
      </c>
      <c r="I108" s="297" t="s">
        <v>1</v>
      </c>
      <c r="J108" s="248" t="s">
        <v>0</v>
      </c>
      <c r="K108" s="248" t="s">
        <v>2</v>
      </c>
      <c r="L108" s="248" t="s">
        <v>3</v>
      </c>
      <c r="M108" s="248" t="s">
        <v>8</v>
      </c>
      <c r="N108" s="248" t="s">
        <v>5</v>
      </c>
      <c r="O108" s="248" t="s">
        <v>6</v>
      </c>
      <c r="P108" s="248" t="s">
        <v>7</v>
      </c>
      <c r="Q108" s="248" t="s">
        <v>9</v>
      </c>
      <c r="R108" s="316" t="s">
        <v>10</v>
      </c>
      <c r="S108" s="248" t="s">
        <v>11</v>
      </c>
      <c r="T108" s="249" t="s">
        <v>12</v>
      </c>
      <c r="U108" s="265"/>
      <c r="V108" s="273"/>
      <c r="W108" s="309" t="s">
        <v>185</v>
      </c>
      <c r="X108" s="447" t="s">
        <v>179</v>
      </c>
      <c r="Y108" s="309" t="s">
        <v>187</v>
      </c>
      <c r="Z108" s="448" t="s">
        <v>186</v>
      </c>
      <c r="AA108" s="448" t="s">
        <v>181</v>
      </c>
      <c r="AB108" s="273"/>
      <c r="AC108" s="255" t="s">
        <v>184</v>
      </c>
      <c r="AD108" s="255"/>
      <c r="AE108" s="255"/>
      <c r="AF108" s="273"/>
      <c r="AG108" s="273"/>
      <c r="AH108" s="273"/>
      <c r="AI108" s="273"/>
      <c r="AJ108" s="273"/>
      <c r="AK108" s="273"/>
      <c r="AL108" s="273"/>
      <c r="AM108" s="273"/>
      <c r="AN108" s="273"/>
      <c r="AO108" s="273"/>
      <c r="AP108" s="273"/>
      <c r="AQ108" s="273"/>
      <c r="AR108" s="273"/>
      <c r="AS108" s="273"/>
      <c r="AT108" s="273"/>
      <c r="AU108" s="273" t="s">
        <v>108</v>
      </c>
      <c r="AV108" s="273"/>
      <c r="AW108" s="273"/>
      <c r="AX108" s="273"/>
      <c r="AY108" s="272"/>
      <c r="AZ108" s="273"/>
      <c r="BA108" s="273"/>
      <c r="BB108" s="273"/>
      <c r="BC108" s="6"/>
      <c r="BD108" s="16"/>
      <c r="BE108" s="7"/>
      <c r="BF108" s="7"/>
      <c r="BG108" s="27"/>
      <c r="BH108" s="27"/>
      <c r="BJ108" s="1623"/>
      <c r="BK108" s="1623"/>
      <c r="BL108" s="1623"/>
      <c r="BM108" s="1623"/>
      <c r="BN108" s="1748"/>
      <c r="BO108" s="1748"/>
      <c r="BP108" s="1748"/>
      <c r="BQ108" s="1748"/>
      <c r="BR108" s="1748"/>
      <c r="BS108" s="1748"/>
      <c r="BT108" s="1749"/>
      <c r="BU108" s="1749"/>
      <c r="BV108" s="1749"/>
      <c r="BW108" s="1749"/>
      <c r="BX108" s="1749"/>
      <c r="BY108" s="1749"/>
      <c r="BZ108" s="1749"/>
      <c r="CA108" s="1749"/>
      <c r="CB108" s="1749"/>
      <c r="CC108" s="1749"/>
      <c r="CD108" s="1749"/>
      <c r="CE108" s="1749"/>
      <c r="CF108" s="1749"/>
      <c r="CG108" s="1749"/>
      <c r="CH108" s="1750"/>
    </row>
    <row r="109" spans="2:140" ht="46.5" customHeight="1" thickTop="1" thickBot="1" x14ac:dyDescent="0.45">
      <c r="B109" s="384"/>
      <c r="C109" s="29"/>
      <c r="D109" s="709" t="s">
        <v>24</v>
      </c>
      <c r="E109" s="445"/>
      <c r="F109" s="385" t="s">
        <v>58</v>
      </c>
      <c r="G109" s="50"/>
      <c r="H109" s="298"/>
      <c r="I109" s="317"/>
      <c r="J109" s="244"/>
      <c r="K109" s="244"/>
      <c r="L109" s="244"/>
      <c r="M109" s="244"/>
      <c r="N109" s="244"/>
      <c r="O109" s="244"/>
      <c r="P109" s="244"/>
      <c r="Q109" s="244"/>
      <c r="R109" s="316"/>
      <c r="S109" s="244"/>
      <c r="T109" s="250"/>
      <c r="U109" s="265"/>
      <c r="V109" s="273"/>
      <c r="W109" s="273"/>
      <c r="X109" s="273"/>
      <c r="Y109" s="273"/>
      <c r="Z109" s="273"/>
      <c r="AA109" s="273"/>
      <c r="AB109" s="273"/>
      <c r="AC109" s="456">
        <f>SUM(AC110:AC133)</f>
        <v>146.5</v>
      </c>
      <c r="AD109" s="162"/>
      <c r="AE109" s="162"/>
      <c r="AF109" s="273" t="s">
        <v>51</v>
      </c>
      <c r="AG109" s="273"/>
      <c r="AH109" s="274" t="s">
        <v>44</v>
      </c>
      <c r="AI109" s="386"/>
      <c r="AJ109" s="387" t="s">
        <v>96</v>
      </c>
      <c r="AK109" s="275" t="s">
        <v>45</v>
      </c>
      <c r="AL109" s="388" t="s">
        <v>46</v>
      </c>
      <c r="AM109" s="389" t="s">
        <v>97</v>
      </c>
      <c r="AN109" s="276" t="s">
        <v>47</v>
      </c>
      <c r="AO109" s="388" t="s">
        <v>48</v>
      </c>
      <c r="AP109" s="277" t="s">
        <v>61</v>
      </c>
      <c r="AQ109" s="390" t="s">
        <v>49</v>
      </c>
      <c r="AR109" s="277" t="s">
        <v>115</v>
      </c>
      <c r="AS109" s="278" t="s">
        <v>50</v>
      </c>
      <c r="AT109" s="278" t="s">
        <v>52</v>
      </c>
      <c r="AU109" s="277" t="s">
        <v>117</v>
      </c>
      <c r="AV109" s="278"/>
      <c r="AW109" s="279" t="s">
        <v>54</v>
      </c>
      <c r="AX109" s="279" t="s">
        <v>55</v>
      </c>
      <c r="AY109" s="280" t="s">
        <v>25</v>
      </c>
      <c r="AZ109" s="280" t="s">
        <v>26</v>
      </c>
      <c r="BA109" s="391" t="s">
        <v>25</v>
      </c>
      <c r="BB109" s="391" t="s">
        <v>26</v>
      </c>
      <c r="BC109" s="7"/>
      <c r="BD109" s="16"/>
      <c r="BE109" s="7"/>
      <c r="BF109" s="7"/>
      <c r="BG109" s="27"/>
      <c r="BH109" s="27"/>
      <c r="BJ109" s="1751" t="s">
        <v>95</v>
      </c>
      <c r="BK109" s="1623"/>
      <c r="BL109" s="1752"/>
      <c r="BM109" s="1623"/>
      <c r="BN109" s="1552"/>
      <c r="BQ109" s="1748"/>
      <c r="BR109" s="1748"/>
      <c r="BS109" s="1748"/>
      <c r="BT109" s="1749"/>
      <c r="BU109" s="1749"/>
      <c r="BV109" s="1749"/>
      <c r="BW109" s="1749"/>
      <c r="BX109" s="1749"/>
      <c r="BY109" s="1749"/>
      <c r="BZ109" s="1749"/>
      <c r="CA109" s="1749"/>
      <c r="CB109" s="1749"/>
      <c r="CC109" s="1749"/>
      <c r="CD109" s="1749"/>
      <c r="CE109" s="1749"/>
      <c r="CF109" s="1749"/>
      <c r="CG109" s="1749"/>
      <c r="CH109" s="1750"/>
      <c r="CP109" s="1552"/>
      <c r="DB109" s="1751" t="s">
        <v>94</v>
      </c>
    </row>
    <row r="110" spans="2:140" ht="21" customHeight="1" thickBot="1" x14ac:dyDescent="0.35">
      <c r="B110" s="87">
        <v>1</v>
      </c>
      <c r="C110" s="668">
        <f>+(B104*-1)+D110</f>
        <v>0</v>
      </c>
      <c r="D110" s="738">
        <v>0</v>
      </c>
      <c r="E110" s="333" t="s">
        <v>73</v>
      </c>
      <c r="F110" s="81">
        <f>+G110</f>
        <v>0</v>
      </c>
      <c r="G110" s="81">
        <f>+D110</f>
        <v>0</v>
      </c>
      <c r="H110" s="392">
        <v>190.76</v>
      </c>
      <c r="I110" s="393">
        <v>79.651040199999997</v>
      </c>
      <c r="J110" s="394">
        <f>+I110-C110</f>
        <v>79.651040199999997</v>
      </c>
      <c r="K110" s="394">
        <f>+J110/2</f>
        <v>39.825520099999999</v>
      </c>
      <c r="L110" s="394">
        <f t="shared" ref="L110:L133" si="5">SIN(K110*3.14159265358979/180)</f>
        <v>0.64045183696587837</v>
      </c>
      <c r="M110" s="394">
        <f t="shared" ref="M110:M133" si="6">+L110*H110</f>
        <v>122.17259241961095</v>
      </c>
      <c r="N110" s="394">
        <f t="shared" ref="N110:N133" si="7">+M110*2</f>
        <v>244.3451848392219</v>
      </c>
      <c r="O110" s="394">
        <f>+C110/2</f>
        <v>0</v>
      </c>
      <c r="P110" s="394">
        <f t="shared" ref="P110:P133" si="8">SIN(O110*3.14159265358979/180)</f>
        <v>0</v>
      </c>
      <c r="Q110" s="394">
        <f t="shared" ref="Q110:Q133" si="9">+P110*N110</f>
        <v>0</v>
      </c>
      <c r="R110" s="395">
        <v>146.5</v>
      </c>
      <c r="S110" s="394">
        <f>+R110+Q110</f>
        <v>146.5</v>
      </c>
      <c r="T110" s="396">
        <f t="shared" ref="T110:T133" si="10">+S110</f>
        <v>146.5</v>
      </c>
      <c r="U110" s="248"/>
      <c r="V110" s="397">
        <f t="shared" ref="V110:V133" si="11">IF(B110&lt;($B$107+1),T110,0)</f>
        <v>146.5</v>
      </c>
      <c r="W110" s="458">
        <v>39.825520099999999</v>
      </c>
      <c r="X110" s="397">
        <f>+W110+AI135</f>
        <v>39.825520099999999</v>
      </c>
      <c r="Y110" s="458">
        <v>190.75559999999999</v>
      </c>
      <c r="Z110" s="448">
        <f>+COS(X110*3.14159265358979/180)*Y110</f>
        <v>146.49998343586765</v>
      </c>
      <c r="AA110" s="459">
        <f>+AC109-Z110</f>
        <v>1.6564132351959415E-5</v>
      </c>
      <c r="AB110" s="300" t="str">
        <f t="shared" ref="AB110:AB133" si="12">IF(AZ110&lt;0,"pin in groundstacking hole"," ")</f>
        <v xml:space="preserve"> </v>
      </c>
      <c r="AC110" s="457">
        <f>IF(AD110=1,AF110)</f>
        <v>146.5</v>
      </c>
      <c r="AD110" s="457">
        <f>MAX(AE$110:AE$133)</f>
        <v>1</v>
      </c>
      <c r="AE110" s="457">
        <f>IF(V110=0,0,1)</f>
        <v>1</v>
      </c>
      <c r="AF110" s="397">
        <f>SUM(V110:V133)/($B$107)</f>
        <v>146.5</v>
      </c>
      <c r="AG110" s="397"/>
      <c r="AH110" s="398">
        <f>C110</f>
        <v>0</v>
      </c>
      <c r="AI110" s="399">
        <f>IF(B110&lt;($B$107+1),AH110)</f>
        <v>0</v>
      </c>
      <c r="AJ110" s="400">
        <f>69.3447148-AH110</f>
        <v>69.344714800000006</v>
      </c>
      <c r="AK110" s="401">
        <f t="shared" ref="AK110:AK133" si="13">SIN(AJ110*3.14159265358979/180)</f>
        <v>0.93571960494171247</v>
      </c>
      <c r="AL110" s="402">
        <f>+AK110*192.42</f>
        <v>180.0511663828843</v>
      </c>
      <c r="AM110" s="400">
        <f>50.1744799+AH110</f>
        <v>50.174479900000001</v>
      </c>
      <c r="AN110" s="403">
        <f>SIN(AM110*3.14159265358979/180)</f>
        <v>0.76799833627881664</v>
      </c>
      <c r="AO110" s="402">
        <f>+AN110*190.76</f>
        <v>146.50336262854705</v>
      </c>
      <c r="AP110" s="404">
        <f>+((AF110*AQ110)+($AG$143*$AQ$143)+($AQ$164*$AG$164))/AR110</f>
        <v>172.43440765912405</v>
      </c>
      <c r="AQ110" s="402">
        <f>25.5*B107</f>
        <v>25.5</v>
      </c>
      <c r="AR110" s="404">
        <f>+AQ110+$AQ$164+$AQ$143+30+30</f>
        <v>183</v>
      </c>
      <c r="AS110" s="405">
        <f>+AO110+AL110</f>
        <v>326.55452901143133</v>
      </c>
      <c r="AT110" s="406">
        <f>+V110-AO110</f>
        <v>-3.3626285470518269E-3</v>
      </c>
      <c r="AU110" s="407">
        <f>+AP110-AT110</f>
        <v>172.4377702876711</v>
      </c>
      <c r="AV110" s="406"/>
      <c r="AW110" s="408">
        <f>+((AS110-AU110)/AS110)*AR110</f>
        <v>86.36648504562875</v>
      </c>
      <c r="AX110" s="408">
        <f>+(AU110/AS110)*AR110</f>
        <v>96.633514954371265</v>
      </c>
      <c r="AY110" s="292">
        <f t="shared" ref="AY110:AY133" si="14">2*$C$18/AW110</f>
        <v>134.31135924857358</v>
      </c>
      <c r="AZ110" s="292">
        <f t="shared" ref="AZ110:AZ133" si="15">$D$18/AX110</f>
        <v>103.48376548986998</v>
      </c>
      <c r="BA110" s="294">
        <f>ABS(AY110)</f>
        <v>134.31135924857358</v>
      </c>
      <c r="BB110" s="294">
        <f>ABS(AZ110)</f>
        <v>103.48376548986998</v>
      </c>
      <c r="BC110" s="2" t="s">
        <v>56</v>
      </c>
      <c r="BD110" s="11"/>
      <c r="BG110" s="27"/>
      <c r="BH110" s="27"/>
      <c r="BJ110" s="1751">
        <f>-+BL200</f>
        <v>597.93439395652103</v>
      </c>
      <c r="BK110" s="1623"/>
      <c r="BL110" s="1752"/>
      <c r="BM110" s="1623"/>
      <c r="BN110" s="1552"/>
      <c r="BQ110" s="1748"/>
      <c r="BR110" s="1748"/>
      <c r="BS110" s="1748"/>
      <c r="BT110" s="1749"/>
      <c r="BU110" s="1749"/>
      <c r="BV110" s="1749"/>
      <c r="BW110" s="1749"/>
      <c r="BX110" s="1749"/>
      <c r="BY110" s="1749"/>
      <c r="BZ110" s="1749"/>
      <c r="CA110" s="1749"/>
      <c r="CB110" s="1749"/>
      <c r="CC110" s="1749"/>
      <c r="CD110" s="1749"/>
      <c r="CE110" s="1749"/>
      <c r="CF110" s="1749"/>
      <c r="CG110" s="1749"/>
      <c r="CH110" s="1750"/>
      <c r="CN110" s="1753"/>
      <c r="CP110" s="1552"/>
      <c r="DB110" s="1751">
        <f>+-BL236</f>
        <v>-950.06560604347897</v>
      </c>
    </row>
    <row r="111" spans="2:140" ht="21" customHeight="1" thickBot="1" x14ac:dyDescent="0.35">
      <c r="B111" s="88">
        <v>2</v>
      </c>
      <c r="C111" s="20"/>
      <c r="D111" s="738">
        <v>0</v>
      </c>
      <c r="E111" s="333" t="s">
        <v>72</v>
      </c>
      <c r="F111" s="81" t="e">
        <f t="shared" ref="F111:F133" si="16">+G111</f>
        <v>#DIV/0!</v>
      </c>
      <c r="G111" s="81" t="e">
        <f>+D111+BC111</f>
        <v>#DIV/0!</v>
      </c>
      <c r="H111" s="299">
        <v>190.76</v>
      </c>
      <c r="I111" s="318">
        <v>79.651040199999997</v>
      </c>
      <c r="J111" s="251">
        <f t="shared" ref="J111:J133" si="17">+I111-D111</f>
        <v>79.651040199999997</v>
      </c>
      <c r="K111" s="251">
        <f t="shared" ref="K111:K133" si="18">+J111/2</f>
        <v>39.825520099999999</v>
      </c>
      <c r="L111" s="251">
        <f t="shared" si="5"/>
        <v>0.64045183696587837</v>
      </c>
      <c r="M111" s="251">
        <f t="shared" si="6"/>
        <v>122.17259241961095</v>
      </c>
      <c r="N111" s="251">
        <f t="shared" si="7"/>
        <v>244.3451848392219</v>
      </c>
      <c r="O111" s="251">
        <f>+C110+(D111/2)</f>
        <v>0</v>
      </c>
      <c r="P111" s="251">
        <f t="shared" si="8"/>
        <v>0</v>
      </c>
      <c r="Q111" s="251">
        <f t="shared" si="9"/>
        <v>0</v>
      </c>
      <c r="R111" s="251">
        <f t="shared" ref="R111:R133" si="19">+T110</f>
        <v>146.5</v>
      </c>
      <c r="S111" s="251">
        <f>+R111+Q111</f>
        <v>146.5</v>
      </c>
      <c r="T111" s="252">
        <f t="shared" si="10"/>
        <v>146.5</v>
      </c>
      <c r="U111" s="244"/>
      <c r="V111" s="282">
        <f t="shared" si="11"/>
        <v>0</v>
      </c>
      <c r="W111" s="282"/>
      <c r="X111" s="282"/>
      <c r="Y111" s="282"/>
      <c r="Z111" s="282"/>
      <c r="AA111" s="282"/>
      <c r="AB111" s="300" t="e">
        <f t="shared" si="12"/>
        <v>#DIV/0!</v>
      </c>
      <c r="AC111" s="457" t="b">
        <f>IF(AD111=2,AF111)</f>
        <v>0</v>
      </c>
      <c r="AD111" s="457">
        <f t="shared" ref="AD111:AD133" si="20">MAX(AE$110:AE$133)</f>
        <v>1</v>
      </c>
      <c r="AE111" s="457">
        <f>IF(V111=0,0,2)</f>
        <v>0</v>
      </c>
      <c r="AF111" s="282" t="e">
        <f>SUM(V111:V133)/($B$107-B110)</f>
        <v>#DIV/0!</v>
      </c>
      <c r="AG111" s="282"/>
      <c r="AH111" s="301">
        <f>SUM(D111)+$C$110</f>
        <v>0</v>
      </c>
      <c r="AI111" s="399" t="b">
        <f t="shared" ref="AI111:AI133" si="21">IF(B111&lt;($B$107+1),AH111)</f>
        <v>0</v>
      </c>
      <c r="AJ111" s="173">
        <f t="shared" ref="AJ111:AJ133" si="22">69.3447148-AH111</f>
        <v>69.344714800000006</v>
      </c>
      <c r="AK111" s="284">
        <f t="shared" si="13"/>
        <v>0.93571960494171247</v>
      </c>
      <c r="AL111" s="174">
        <f t="shared" ref="AL111:AL133" si="23">+AK111*192.42</f>
        <v>180.0511663828843</v>
      </c>
      <c r="AM111" s="173">
        <f t="shared" ref="AM111:AM133" si="24">50.1744799+AH111</f>
        <v>50.174479900000001</v>
      </c>
      <c r="AN111" s="285">
        <f t="shared" ref="AN111:AN133" si="25">SIN(AM111*3.14159265358979/180)</f>
        <v>0.76799833627881664</v>
      </c>
      <c r="AO111" s="174">
        <f t="shared" ref="AO111:AO133" si="26">+AN111*190.76</f>
        <v>146.50336262854705</v>
      </c>
      <c r="AP111" s="404" t="e">
        <f t="shared" ref="AP111:AP133" si="27">+((AF111*AQ111)+($AG$143*$AQ$143)+($AQ$164*$AG$164))/AR111</f>
        <v>#DIV/0!</v>
      </c>
      <c r="AQ111" s="174">
        <f t="shared" ref="AQ111:AQ133" si="28">25.5*($B$107-B110)</f>
        <v>0</v>
      </c>
      <c r="AR111" s="287">
        <f t="shared" ref="AR111:AR133" si="29">+AQ111+$AQ$164+$AQ$143+30+30</f>
        <v>157.5</v>
      </c>
      <c r="AS111" s="288">
        <f t="shared" ref="AS111:AS133" si="30">+AO111+AL111</f>
        <v>326.55452901143133</v>
      </c>
      <c r="AT111" s="289">
        <f>+V111-AO111</f>
        <v>-146.50336262854705</v>
      </c>
      <c r="AU111" s="290" t="e">
        <f t="shared" ref="AU111:AU133" si="31">+AP111-AT111</f>
        <v>#DIV/0!</v>
      </c>
      <c r="AV111" s="289"/>
      <c r="AW111" s="291" t="e">
        <f t="shared" ref="AW111:AW133" si="32">+((AS111-AU111)/AS111)*AR111</f>
        <v>#DIV/0!</v>
      </c>
      <c r="AX111" s="291" t="e">
        <f t="shared" ref="AX111:AX133" si="33">+(AU111/AS111)*AR111</f>
        <v>#DIV/0!</v>
      </c>
      <c r="AY111" s="292" t="e">
        <f t="shared" si="14"/>
        <v>#DIV/0!</v>
      </c>
      <c r="AZ111" s="292" t="e">
        <f t="shared" si="15"/>
        <v>#DIV/0!</v>
      </c>
      <c r="BA111" s="294" t="e">
        <f t="shared" ref="BA111:BB133" si="34">ABS(AY111)</f>
        <v>#DIV/0!</v>
      </c>
      <c r="BB111" s="294" t="e">
        <f t="shared" si="34"/>
        <v>#DIV/0!</v>
      </c>
      <c r="BC111" t="e">
        <f t="shared" ref="BC111:BC133" si="35">IF(AZ111&lt;0,0.3,0)</f>
        <v>#DIV/0!</v>
      </c>
      <c r="BG111" s="27"/>
      <c r="BH111" s="27"/>
      <c r="BK111" s="1623"/>
      <c r="BL111" s="1623"/>
      <c r="BM111" s="1623"/>
      <c r="BN111" s="1748"/>
      <c r="BO111" s="1748"/>
      <c r="BP111" s="1748"/>
      <c r="BQ111" s="1748"/>
      <c r="BR111" s="1748"/>
      <c r="BS111" s="1748"/>
      <c r="BT111" s="1749"/>
      <c r="BU111" s="1749"/>
      <c r="BV111" s="1749"/>
      <c r="BW111" s="1749"/>
      <c r="BX111" s="1749"/>
      <c r="BY111" s="1749"/>
      <c r="BZ111" s="1749"/>
      <c r="CA111" s="1749"/>
      <c r="CB111" s="1749"/>
      <c r="CC111" s="1749"/>
      <c r="CD111" s="1749"/>
      <c r="CE111" s="1749"/>
      <c r="CF111" s="1749"/>
      <c r="CG111" s="1749"/>
      <c r="CH111" s="1750"/>
    </row>
    <row r="112" spans="2:140" ht="21" customHeight="1" thickBot="1" x14ac:dyDescent="0.5">
      <c r="B112" s="88">
        <v>3</v>
      </c>
      <c r="C112" s="20"/>
      <c r="D112" s="738">
        <v>0</v>
      </c>
      <c r="E112" s="333" t="s">
        <v>72</v>
      </c>
      <c r="F112" s="81">
        <f t="shared" si="16"/>
        <v>0</v>
      </c>
      <c r="G112" s="81">
        <f>+D112+BC112</f>
        <v>0</v>
      </c>
      <c r="H112" s="299">
        <v>190.76</v>
      </c>
      <c r="I112" s="318">
        <v>79.651040199999997</v>
      </c>
      <c r="J112" s="251">
        <f t="shared" si="17"/>
        <v>79.651040199999997</v>
      </c>
      <c r="K112" s="251">
        <f t="shared" si="18"/>
        <v>39.825520099999999</v>
      </c>
      <c r="L112" s="251">
        <f t="shared" si="5"/>
        <v>0.64045183696587837</v>
      </c>
      <c r="M112" s="251">
        <f t="shared" si="6"/>
        <v>122.17259241961095</v>
      </c>
      <c r="N112" s="251">
        <f t="shared" si="7"/>
        <v>244.3451848392219</v>
      </c>
      <c r="O112" s="251">
        <f>+C110+D111+(D112/2)</f>
        <v>0</v>
      </c>
      <c r="P112" s="251">
        <f t="shared" si="8"/>
        <v>0</v>
      </c>
      <c r="Q112" s="251">
        <f t="shared" si="9"/>
        <v>0</v>
      </c>
      <c r="R112" s="251">
        <f t="shared" si="19"/>
        <v>146.5</v>
      </c>
      <c r="S112" s="251">
        <f t="shared" ref="S112:S133" si="36">+S111+Q112</f>
        <v>146.5</v>
      </c>
      <c r="T112" s="252">
        <f t="shared" si="10"/>
        <v>146.5</v>
      </c>
      <c r="U112" s="244"/>
      <c r="V112" s="282">
        <f t="shared" si="11"/>
        <v>0</v>
      </c>
      <c r="W112" s="282"/>
      <c r="X112" s="282"/>
      <c r="Y112" s="282"/>
      <c r="Z112" s="282"/>
      <c r="AA112" s="282"/>
      <c r="AB112" s="300" t="str">
        <f t="shared" si="12"/>
        <v xml:space="preserve"> </v>
      </c>
      <c r="AC112" s="457" t="b">
        <f>IF(AD112=3,AF112)</f>
        <v>0</v>
      </c>
      <c r="AD112" s="457">
        <f t="shared" si="20"/>
        <v>1</v>
      </c>
      <c r="AE112" s="457">
        <f>IF(V112=0,0,3)</f>
        <v>0</v>
      </c>
      <c r="AF112" s="282">
        <f>SUM(V112:V133)/($B$107-B111)</f>
        <v>0</v>
      </c>
      <c r="AG112" s="282"/>
      <c r="AH112" s="301">
        <f>SUM(D111:D112)+$C$110</f>
        <v>0</v>
      </c>
      <c r="AI112" s="399" t="b">
        <f t="shared" si="21"/>
        <v>0</v>
      </c>
      <c r="AJ112" s="173">
        <f t="shared" si="22"/>
        <v>69.344714800000006</v>
      </c>
      <c r="AK112" s="284">
        <f t="shared" si="13"/>
        <v>0.93571960494171247</v>
      </c>
      <c r="AL112" s="174">
        <f t="shared" si="23"/>
        <v>180.0511663828843</v>
      </c>
      <c r="AM112" s="173">
        <f t="shared" si="24"/>
        <v>50.174479900000001</v>
      </c>
      <c r="AN112" s="285">
        <f t="shared" si="25"/>
        <v>0.76799833627881664</v>
      </c>
      <c r="AO112" s="174">
        <f t="shared" si="26"/>
        <v>146.50336262854705</v>
      </c>
      <c r="AP112" s="404">
        <f t="shared" si="27"/>
        <v>210.75565607287652</v>
      </c>
      <c r="AQ112" s="174">
        <f t="shared" si="28"/>
        <v>-25.5</v>
      </c>
      <c r="AR112" s="287">
        <f t="shared" si="29"/>
        <v>132</v>
      </c>
      <c r="AS112" s="288">
        <f t="shared" si="30"/>
        <v>326.55452901143133</v>
      </c>
      <c r="AT112" s="289">
        <f>+V112-AO112</f>
        <v>-146.50336262854705</v>
      </c>
      <c r="AU112" s="290">
        <f t="shared" si="31"/>
        <v>357.25901870142354</v>
      </c>
      <c r="AV112" s="289"/>
      <c r="AW112" s="291">
        <f t="shared" si="32"/>
        <v>-12.411380884376262</v>
      </c>
      <c r="AX112" s="291">
        <f t="shared" si="33"/>
        <v>144.41138088437626</v>
      </c>
      <c r="AY112" s="292">
        <f t="shared" si="14"/>
        <v>-934.62605878144893</v>
      </c>
      <c r="AZ112" s="292">
        <f t="shared" si="15"/>
        <v>69.246619890758836</v>
      </c>
      <c r="BA112" s="294">
        <f t="shared" si="34"/>
        <v>934.62605878144893</v>
      </c>
      <c r="BB112" s="294">
        <f t="shared" si="34"/>
        <v>69.246619890758836</v>
      </c>
      <c r="BC112">
        <f t="shared" si="35"/>
        <v>0</v>
      </c>
      <c r="BG112" s="27"/>
      <c r="BH112" s="27"/>
      <c r="BK112" s="1754"/>
      <c r="BL112" s="1754"/>
      <c r="BM112" s="1754"/>
      <c r="BN112" s="1748"/>
      <c r="BO112" s="1748"/>
      <c r="BP112" s="1748"/>
      <c r="BQ112" s="1748"/>
      <c r="BR112" s="1748"/>
      <c r="BS112" s="1748"/>
      <c r="BT112" s="1749"/>
      <c r="BU112" s="1749"/>
      <c r="BV112" s="1749"/>
      <c r="BW112" s="1749"/>
      <c r="BX112" s="1749"/>
      <c r="BY112" s="1749"/>
      <c r="BZ112" s="1749"/>
      <c r="CA112" s="1749"/>
      <c r="CB112" s="1749"/>
      <c r="CC112" s="1749"/>
      <c r="CD112" s="1749"/>
      <c r="CE112" s="1749"/>
      <c r="CF112" s="1749"/>
      <c r="CG112" s="1749"/>
      <c r="CH112" s="1750"/>
    </row>
    <row r="113" spans="1:128" ht="21" customHeight="1" thickBot="1" x14ac:dyDescent="0.5">
      <c r="B113" s="88">
        <v>4</v>
      </c>
      <c r="C113" s="20"/>
      <c r="D113" s="738">
        <v>0</v>
      </c>
      <c r="E113" s="333" t="s">
        <v>72</v>
      </c>
      <c r="F113" s="81">
        <f t="shared" si="16"/>
        <v>0</v>
      </c>
      <c r="G113" s="81">
        <f>+D113+BC113</f>
        <v>0</v>
      </c>
      <c r="H113" s="299">
        <v>190.76</v>
      </c>
      <c r="I113" s="318">
        <v>79.651040199999997</v>
      </c>
      <c r="J113" s="251">
        <f t="shared" si="17"/>
        <v>79.651040199999997</v>
      </c>
      <c r="K113" s="251">
        <f t="shared" si="18"/>
        <v>39.825520099999999</v>
      </c>
      <c r="L113" s="251">
        <f t="shared" si="5"/>
        <v>0.64045183696587837</v>
      </c>
      <c r="M113" s="251">
        <f t="shared" si="6"/>
        <v>122.17259241961095</v>
      </c>
      <c r="N113" s="251">
        <f t="shared" si="7"/>
        <v>244.3451848392219</v>
      </c>
      <c r="O113" s="251">
        <f>+C110+D111+D112+(D113/2)</f>
        <v>0</v>
      </c>
      <c r="P113" s="251">
        <f t="shared" si="8"/>
        <v>0</v>
      </c>
      <c r="Q113" s="251">
        <f t="shared" si="9"/>
        <v>0</v>
      </c>
      <c r="R113" s="251">
        <f t="shared" si="19"/>
        <v>146.5</v>
      </c>
      <c r="S113" s="251">
        <f t="shared" si="36"/>
        <v>146.5</v>
      </c>
      <c r="T113" s="252">
        <f t="shared" si="10"/>
        <v>146.5</v>
      </c>
      <c r="U113" s="244"/>
      <c r="V113" s="282">
        <f t="shared" si="11"/>
        <v>0</v>
      </c>
      <c r="W113" s="282"/>
      <c r="X113" s="282"/>
      <c r="Y113" s="282"/>
      <c r="Z113" s="282"/>
      <c r="AA113" s="282"/>
      <c r="AB113" s="300" t="str">
        <f t="shared" si="12"/>
        <v xml:space="preserve"> </v>
      </c>
      <c r="AC113" s="457" t="b">
        <f>IF(AD113=4,AF113)</f>
        <v>0</v>
      </c>
      <c r="AD113" s="457">
        <f t="shared" si="20"/>
        <v>1</v>
      </c>
      <c r="AE113" s="457">
        <f>IF(V113=0,0,4)</f>
        <v>0</v>
      </c>
      <c r="AF113" s="282">
        <f>SUM(V113:V133)/($B$107-B112)</f>
        <v>0</v>
      </c>
      <c r="AG113" s="282"/>
      <c r="AH113" s="301">
        <f>SUM(D111:D113)+$C$110</f>
        <v>0</v>
      </c>
      <c r="AI113" s="399" t="b">
        <f t="shared" si="21"/>
        <v>0</v>
      </c>
      <c r="AJ113" s="173">
        <f t="shared" si="22"/>
        <v>69.344714800000006</v>
      </c>
      <c r="AK113" s="284">
        <f t="shared" si="13"/>
        <v>0.93571960494171247</v>
      </c>
      <c r="AL113" s="174">
        <f t="shared" si="23"/>
        <v>180.0511663828843</v>
      </c>
      <c r="AM113" s="173">
        <f t="shared" si="24"/>
        <v>50.174479900000001</v>
      </c>
      <c r="AN113" s="285">
        <f t="shared" si="25"/>
        <v>0.76799833627881664</v>
      </c>
      <c r="AO113" s="174">
        <f t="shared" si="26"/>
        <v>146.50336262854705</v>
      </c>
      <c r="AP113" s="404">
        <f t="shared" si="27"/>
        <v>261.21827794948075</v>
      </c>
      <c r="AQ113" s="174">
        <f t="shared" si="28"/>
        <v>-51</v>
      </c>
      <c r="AR113" s="287">
        <f t="shared" si="29"/>
        <v>106.5</v>
      </c>
      <c r="AS113" s="288">
        <f t="shared" si="30"/>
        <v>326.55452901143133</v>
      </c>
      <c r="AT113" s="289">
        <f>+V113-AO113</f>
        <v>-146.50336262854705</v>
      </c>
      <c r="AU113" s="290">
        <f t="shared" si="31"/>
        <v>407.7216405780278</v>
      </c>
      <c r="AV113" s="289"/>
      <c r="AW113" s="291">
        <f t="shared" si="32"/>
        <v>-26.47122184466755</v>
      </c>
      <c r="AX113" s="291">
        <f t="shared" si="33"/>
        <v>132.97122184466755</v>
      </c>
      <c r="AY113" s="292">
        <f t="shared" si="14"/>
        <v>-438.21173303100636</v>
      </c>
      <c r="AZ113" s="292">
        <f t="shared" si="15"/>
        <v>75.204242401274314</v>
      </c>
      <c r="BA113" s="294">
        <f t="shared" si="34"/>
        <v>438.21173303100636</v>
      </c>
      <c r="BB113" s="294">
        <f t="shared" si="34"/>
        <v>75.204242401274314</v>
      </c>
      <c r="BC113">
        <f t="shared" si="35"/>
        <v>0</v>
      </c>
      <c r="BG113" s="27"/>
      <c r="BH113" s="27"/>
      <c r="BK113" s="1754"/>
      <c r="BL113" s="1754"/>
      <c r="BM113" s="1754"/>
      <c r="BN113" s="1748"/>
      <c r="BO113" s="1748"/>
      <c r="BP113" s="1748"/>
      <c r="BQ113" s="1748"/>
      <c r="BR113" s="1748"/>
      <c r="BS113" s="1748"/>
      <c r="BT113" s="1749"/>
      <c r="BU113" s="1749"/>
      <c r="BV113" s="1749"/>
      <c r="BW113" s="1749"/>
      <c r="BX113" s="1749"/>
      <c r="BY113" s="1749"/>
      <c r="BZ113" s="1749"/>
      <c r="CA113" s="1749"/>
      <c r="CB113" s="1749"/>
      <c r="CC113" s="1749"/>
      <c r="CD113" s="1749"/>
      <c r="CE113" s="1749"/>
      <c r="CF113" s="1749"/>
      <c r="CG113" s="1749"/>
      <c r="CH113" s="1750"/>
    </row>
    <row r="114" spans="1:128" ht="21" customHeight="1" thickBot="1" x14ac:dyDescent="0.5">
      <c r="B114" s="88">
        <v>5</v>
      </c>
      <c r="C114" s="20"/>
      <c r="D114" s="738">
        <v>0</v>
      </c>
      <c r="E114" s="333" t="s">
        <v>72</v>
      </c>
      <c r="F114" s="81">
        <f t="shared" si="16"/>
        <v>0</v>
      </c>
      <c r="G114" s="81">
        <f>+D114+BC114</f>
        <v>0</v>
      </c>
      <c r="H114" s="299">
        <v>190.76</v>
      </c>
      <c r="I114" s="318">
        <v>79.651040199999997</v>
      </c>
      <c r="J114" s="251">
        <f t="shared" si="17"/>
        <v>79.651040199999997</v>
      </c>
      <c r="K114" s="251">
        <f t="shared" si="18"/>
        <v>39.825520099999999</v>
      </c>
      <c r="L114" s="251">
        <f t="shared" si="5"/>
        <v>0.64045183696587837</v>
      </c>
      <c r="M114" s="251">
        <f t="shared" si="6"/>
        <v>122.17259241961095</v>
      </c>
      <c r="N114" s="251">
        <f t="shared" si="7"/>
        <v>244.3451848392219</v>
      </c>
      <c r="O114" s="251">
        <f>+C110+D111+D112+D113+(D114/2)</f>
        <v>0</v>
      </c>
      <c r="P114" s="251">
        <f t="shared" si="8"/>
        <v>0</v>
      </c>
      <c r="Q114" s="251">
        <f t="shared" si="9"/>
        <v>0</v>
      </c>
      <c r="R114" s="251">
        <f t="shared" si="19"/>
        <v>146.5</v>
      </c>
      <c r="S114" s="251">
        <f t="shared" si="36"/>
        <v>146.5</v>
      </c>
      <c r="T114" s="252">
        <f t="shared" si="10"/>
        <v>146.5</v>
      </c>
      <c r="U114" s="244"/>
      <c r="V114" s="282">
        <f t="shared" si="11"/>
        <v>0</v>
      </c>
      <c r="W114" s="282"/>
      <c r="X114" s="282"/>
      <c r="Y114" s="282"/>
      <c r="Z114" s="282"/>
      <c r="AA114" s="282"/>
      <c r="AB114" s="300" t="str">
        <f t="shared" si="12"/>
        <v xml:space="preserve"> </v>
      </c>
      <c r="AC114" s="457" t="b">
        <f>IF(AD114=5,AF114)</f>
        <v>0</v>
      </c>
      <c r="AD114" s="457">
        <f t="shared" si="20"/>
        <v>1</v>
      </c>
      <c r="AE114" s="457">
        <f>IF(V114=0,0,5)</f>
        <v>0</v>
      </c>
      <c r="AF114" s="282">
        <f>SUM(V114:V133)/($B$107-B113)</f>
        <v>0</v>
      </c>
      <c r="AG114" s="282"/>
      <c r="AH114" s="301">
        <f>SUM(D111:D114)+$C$110</f>
        <v>0</v>
      </c>
      <c r="AI114" s="399" t="b">
        <f t="shared" si="21"/>
        <v>0</v>
      </c>
      <c r="AJ114" s="173">
        <f t="shared" si="22"/>
        <v>69.344714800000006</v>
      </c>
      <c r="AK114" s="284">
        <f t="shared" si="13"/>
        <v>0.93571960494171247</v>
      </c>
      <c r="AL114" s="174">
        <f t="shared" si="23"/>
        <v>180.0511663828843</v>
      </c>
      <c r="AM114" s="173">
        <f t="shared" si="24"/>
        <v>50.174479900000001</v>
      </c>
      <c r="AN114" s="285">
        <f t="shared" si="25"/>
        <v>0.76799833627881664</v>
      </c>
      <c r="AO114" s="174">
        <f t="shared" si="26"/>
        <v>146.50336262854705</v>
      </c>
      <c r="AP114" s="404">
        <f t="shared" si="27"/>
        <v>343.45366174839137</v>
      </c>
      <c r="AQ114" s="174">
        <f t="shared" si="28"/>
        <v>-76.5</v>
      </c>
      <c r="AR114" s="287">
        <f t="shared" si="29"/>
        <v>81</v>
      </c>
      <c r="AS114" s="288">
        <f t="shared" si="30"/>
        <v>326.55452901143133</v>
      </c>
      <c r="AT114" s="289">
        <f t="shared" ref="AT114:AT133" si="37">+V114-AO114</f>
        <v>-146.50336262854705</v>
      </c>
      <c r="AU114" s="290">
        <f t="shared" si="31"/>
        <v>489.95702437693842</v>
      </c>
      <c r="AV114" s="289"/>
      <c r="AW114" s="291">
        <f t="shared" si="32"/>
        <v>-40.531062804958836</v>
      </c>
      <c r="AX114" s="291">
        <f t="shared" si="33"/>
        <v>121.53106280495884</v>
      </c>
      <c r="AY114" s="292">
        <f t="shared" si="14"/>
        <v>-286.20024241211803</v>
      </c>
      <c r="AZ114" s="292">
        <f t="shared" si="15"/>
        <v>82.283490074045247</v>
      </c>
      <c r="BA114" s="294">
        <f t="shared" si="34"/>
        <v>286.20024241211803</v>
      </c>
      <c r="BB114" s="294">
        <f t="shared" si="34"/>
        <v>82.283490074045247</v>
      </c>
      <c r="BC114">
        <f t="shared" si="35"/>
        <v>0</v>
      </c>
      <c r="BD114" s="10"/>
      <c r="BE114" s="10"/>
      <c r="BF114" s="10"/>
      <c r="BG114" s="27"/>
      <c r="BH114" s="27"/>
      <c r="BK114" s="1754"/>
      <c r="BL114" s="1754"/>
      <c r="BM114" s="1754"/>
      <c r="BN114" s="1748"/>
      <c r="BW114" s="1748"/>
      <c r="BX114" s="1748"/>
      <c r="BY114" s="1748"/>
      <c r="BZ114" s="1748"/>
      <c r="CA114" s="1748"/>
      <c r="CB114" s="1748"/>
      <c r="CC114" s="1748"/>
      <c r="CD114" s="1748"/>
      <c r="CE114" s="1748"/>
      <c r="CF114" s="1748"/>
      <c r="CG114" s="1748"/>
      <c r="CH114" s="1748"/>
      <c r="CI114" s="1748"/>
      <c r="CJ114" s="1748"/>
      <c r="CK114" s="1748"/>
      <c r="CL114" s="1748"/>
      <c r="CM114" s="1748"/>
      <c r="CN114" s="1748"/>
      <c r="CO114" s="1748"/>
      <c r="CP114" s="1748"/>
      <c r="CQ114" s="1748"/>
      <c r="CR114" s="1748"/>
      <c r="CS114" s="1748"/>
      <c r="CT114" s="1748"/>
      <c r="CU114" s="1748"/>
      <c r="CV114" s="1748"/>
      <c r="CW114" s="1748"/>
      <c r="CX114" s="1748"/>
      <c r="CY114" s="1748"/>
    </row>
    <row r="115" spans="1:128" ht="21" customHeight="1" thickBot="1" x14ac:dyDescent="0.5">
      <c r="B115" s="88">
        <v>6</v>
      </c>
      <c r="C115" s="20"/>
      <c r="D115" s="738">
        <v>0</v>
      </c>
      <c r="E115" s="333" t="s">
        <v>72</v>
      </c>
      <c r="F115" s="81">
        <f t="shared" si="16"/>
        <v>0</v>
      </c>
      <c r="G115" s="81">
        <f t="shared" ref="G115:G133" si="38">+D115+BC115</f>
        <v>0</v>
      </c>
      <c r="H115" s="299">
        <v>190.76</v>
      </c>
      <c r="I115" s="318">
        <v>79.651040199999997</v>
      </c>
      <c r="J115" s="251">
        <f t="shared" si="17"/>
        <v>79.651040199999997</v>
      </c>
      <c r="K115" s="251">
        <f t="shared" si="18"/>
        <v>39.825520099999999</v>
      </c>
      <c r="L115" s="251">
        <f t="shared" si="5"/>
        <v>0.64045183696587837</v>
      </c>
      <c r="M115" s="251">
        <f t="shared" si="6"/>
        <v>122.17259241961095</v>
      </c>
      <c r="N115" s="251">
        <f t="shared" si="7"/>
        <v>244.3451848392219</v>
      </c>
      <c r="O115" s="251">
        <f>+C110+D111+D112+D113+D114+(D115/2)</f>
        <v>0</v>
      </c>
      <c r="P115" s="251">
        <f t="shared" si="8"/>
        <v>0</v>
      </c>
      <c r="Q115" s="251">
        <f t="shared" si="9"/>
        <v>0</v>
      </c>
      <c r="R115" s="251">
        <f t="shared" si="19"/>
        <v>146.5</v>
      </c>
      <c r="S115" s="251">
        <f t="shared" si="36"/>
        <v>146.5</v>
      </c>
      <c r="T115" s="252">
        <f t="shared" si="10"/>
        <v>146.5</v>
      </c>
      <c r="U115" s="244"/>
      <c r="V115" s="282">
        <f t="shared" si="11"/>
        <v>0</v>
      </c>
      <c r="W115" s="282"/>
      <c r="X115" s="282"/>
      <c r="Y115" s="282"/>
      <c r="Z115" s="282"/>
      <c r="AA115" s="282"/>
      <c r="AB115" s="300" t="str">
        <f t="shared" si="12"/>
        <v xml:space="preserve"> </v>
      </c>
      <c r="AC115" s="457" t="b">
        <f>IF(AD115=6,AF115)</f>
        <v>0</v>
      </c>
      <c r="AD115" s="457">
        <f t="shared" si="20"/>
        <v>1</v>
      </c>
      <c r="AE115" s="457">
        <f>IF(V115=0,0,6)</f>
        <v>0</v>
      </c>
      <c r="AF115" s="282">
        <f>SUM(V115:V133)/($B$107-B114)</f>
        <v>0</v>
      </c>
      <c r="AG115" s="282"/>
      <c r="AH115" s="301">
        <f>SUM(D111:D115)+$C$110</f>
        <v>0</v>
      </c>
      <c r="AI115" s="399" t="b">
        <f t="shared" si="21"/>
        <v>0</v>
      </c>
      <c r="AJ115" s="173">
        <f t="shared" si="22"/>
        <v>69.344714800000006</v>
      </c>
      <c r="AK115" s="284">
        <f t="shared" si="13"/>
        <v>0.93571960494171247</v>
      </c>
      <c r="AL115" s="174">
        <f t="shared" si="23"/>
        <v>180.0511663828843</v>
      </c>
      <c r="AM115" s="173">
        <f t="shared" si="24"/>
        <v>50.174479900000001</v>
      </c>
      <c r="AN115" s="285">
        <f t="shared" si="25"/>
        <v>0.76799833627881664</v>
      </c>
      <c r="AO115" s="174">
        <f t="shared" si="26"/>
        <v>146.50336262854705</v>
      </c>
      <c r="AP115" s="404">
        <f t="shared" si="27"/>
        <v>501.25669552467929</v>
      </c>
      <c r="AQ115" s="174">
        <f t="shared" si="28"/>
        <v>-102</v>
      </c>
      <c r="AR115" s="287">
        <f t="shared" si="29"/>
        <v>55.5</v>
      </c>
      <c r="AS115" s="288">
        <f t="shared" si="30"/>
        <v>326.55452901143133</v>
      </c>
      <c r="AT115" s="289">
        <f t="shared" si="37"/>
        <v>-146.50336262854705</v>
      </c>
      <c r="AU115" s="290">
        <f t="shared" si="31"/>
        <v>647.76005815322628</v>
      </c>
      <c r="AV115" s="289"/>
      <c r="AW115" s="291">
        <f t="shared" si="32"/>
        <v>-54.590903765250104</v>
      </c>
      <c r="AX115" s="291">
        <f t="shared" si="33"/>
        <v>110.0909037652501</v>
      </c>
      <c r="AY115" s="292">
        <f t="shared" si="14"/>
        <v>-212.48961273625207</v>
      </c>
      <c r="AZ115" s="292">
        <f t="shared" si="15"/>
        <v>90.834025863964911</v>
      </c>
      <c r="BA115" s="294">
        <f t="shared" si="34"/>
        <v>212.48961273625207</v>
      </c>
      <c r="BB115" s="294">
        <f t="shared" si="34"/>
        <v>90.834025863964911</v>
      </c>
      <c r="BC115">
        <f t="shared" si="35"/>
        <v>0</v>
      </c>
      <c r="BD115" s="10"/>
      <c r="BE115" s="10"/>
      <c r="BF115" s="10"/>
      <c r="BG115" s="27"/>
      <c r="BH115" s="27"/>
      <c r="BK115" s="1754"/>
      <c r="BL115" s="1754"/>
      <c r="BM115" s="1754"/>
      <c r="CG115" s="1755"/>
      <c r="CH115" s="1755"/>
      <c r="CI115" s="1755"/>
      <c r="CJ115" s="1755"/>
      <c r="CK115" s="1755"/>
      <c r="CL115" s="1755"/>
    </row>
    <row r="116" spans="1:128" ht="21" customHeight="1" thickBot="1" x14ac:dyDescent="0.5">
      <c r="B116" s="88">
        <v>7</v>
      </c>
      <c r="C116" s="20"/>
      <c r="D116" s="738">
        <v>0</v>
      </c>
      <c r="E116" s="333" t="s">
        <v>72</v>
      </c>
      <c r="F116" s="81">
        <f t="shared" si="16"/>
        <v>0</v>
      </c>
      <c r="G116" s="81">
        <f t="shared" si="38"/>
        <v>0</v>
      </c>
      <c r="H116" s="299">
        <v>190.76</v>
      </c>
      <c r="I116" s="318">
        <v>79.651040199999997</v>
      </c>
      <c r="J116" s="251">
        <f t="shared" si="17"/>
        <v>79.651040199999997</v>
      </c>
      <c r="K116" s="251">
        <f t="shared" si="18"/>
        <v>39.825520099999999</v>
      </c>
      <c r="L116" s="251">
        <f t="shared" si="5"/>
        <v>0.64045183696587837</v>
      </c>
      <c r="M116" s="251">
        <f t="shared" si="6"/>
        <v>122.17259241961095</v>
      </c>
      <c r="N116" s="251">
        <f t="shared" si="7"/>
        <v>244.3451848392219</v>
      </c>
      <c r="O116" s="251">
        <f>+C110+D111+D112+D113+D114+D115+(D116/2)</f>
        <v>0</v>
      </c>
      <c r="P116" s="251">
        <f t="shared" si="8"/>
        <v>0</v>
      </c>
      <c r="Q116" s="251">
        <f t="shared" si="9"/>
        <v>0</v>
      </c>
      <c r="R116" s="251">
        <f t="shared" si="19"/>
        <v>146.5</v>
      </c>
      <c r="S116" s="251">
        <f t="shared" si="36"/>
        <v>146.5</v>
      </c>
      <c r="T116" s="252">
        <f t="shared" si="10"/>
        <v>146.5</v>
      </c>
      <c r="U116" s="244"/>
      <c r="V116" s="282">
        <f t="shared" si="11"/>
        <v>0</v>
      </c>
      <c r="W116" s="282"/>
      <c r="X116" s="282"/>
      <c r="Y116" s="282"/>
      <c r="Z116" s="282"/>
      <c r="AA116" s="282"/>
      <c r="AB116" s="300" t="str">
        <f t="shared" si="12"/>
        <v xml:space="preserve"> </v>
      </c>
      <c r="AC116" s="457" t="b">
        <f>IF(AD116=7,AF116)</f>
        <v>0</v>
      </c>
      <c r="AD116" s="457">
        <f t="shared" si="20"/>
        <v>1</v>
      </c>
      <c r="AE116" s="457">
        <f>IF(V116=0,0,7)</f>
        <v>0</v>
      </c>
      <c r="AF116" s="282">
        <f>SUM(V116:V133)/($B$107-B115)</f>
        <v>0</v>
      </c>
      <c r="AG116" s="282"/>
      <c r="AH116" s="301">
        <f>SUM(D111:D116)+$C$110</f>
        <v>0</v>
      </c>
      <c r="AI116" s="399" t="b">
        <f t="shared" si="21"/>
        <v>0</v>
      </c>
      <c r="AJ116" s="173">
        <f t="shared" si="22"/>
        <v>69.344714800000006</v>
      </c>
      <c r="AK116" s="284">
        <f t="shared" si="13"/>
        <v>0.93571960494171247</v>
      </c>
      <c r="AL116" s="174">
        <f t="shared" si="23"/>
        <v>180.0511663828843</v>
      </c>
      <c r="AM116" s="173">
        <f t="shared" si="24"/>
        <v>50.174479900000001</v>
      </c>
      <c r="AN116" s="285">
        <f t="shared" si="25"/>
        <v>0.76799833627881664</v>
      </c>
      <c r="AO116" s="174">
        <f t="shared" si="26"/>
        <v>146.50336262854705</v>
      </c>
      <c r="AP116" s="404">
        <f t="shared" si="27"/>
        <v>927.32488672065665</v>
      </c>
      <c r="AQ116" s="174">
        <f t="shared" si="28"/>
        <v>-127.5</v>
      </c>
      <c r="AR116" s="287">
        <f t="shared" si="29"/>
        <v>30</v>
      </c>
      <c r="AS116" s="288">
        <f t="shared" si="30"/>
        <v>326.55452901143133</v>
      </c>
      <c r="AT116" s="289">
        <f t="shared" si="37"/>
        <v>-146.50336262854705</v>
      </c>
      <c r="AU116" s="290">
        <f t="shared" si="31"/>
        <v>1073.8282493492038</v>
      </c>
      <c r="AV116" s="289"/>
      <c r="AW116" s="291">
        <f t="shared" si="32"/>
        <v>-68.650744725541401</v>
      </c>
      <c r="AX116" s="291">
        <f t="shared" si="33"/>
        <v>98.650744725541401</v>
      </c>
      <c r="AY116" s="292">
        <f t="shared" si="14"/>
        <v>-168.97121868634645</v>
      </c>
      <c r="AZ116" s="292">
        <f t="shared" si="15"/>
        <v>101.36770916247251</v>
      </c>
      <c r="BA116" s="294">
        <f t="shared" si="34"/>
        <v>168.97121868634645</v>
      </c>
      <c r="BB116" s="294">
        <f t="shared" si="34"/>
        <v>101.36770916247251</v>
      </c>
      <c r="BC116">
        <f t="shared" si="35"/>
        <v>0</v>
      </c>
      <c r="BG116" s="27"/>
      <c r="BH116" s="27"/>
      <c r="BK116" s="1754"/>
      <c r="BL116" s="1754"/>
      <c r="BM116" s="1754"/>
    </row>
    <row r="117" spans="1:128" ht="21" customHeight="1" thickBot="1" x14ac:dyDescent="0.5">
      <c r="B117" s="88">
        <v>8</v>
      </c>
      <c r="C117" s="20"/>
      <c r="D117" s="738">
        <v>0</v>
      </c>
      <c r="E117" s="333" t="s">
        <v>72</v>
      </c>
      <c r="F117" s="81">
        <f t="shared" si="16"/>
        <v>0</v>
      </c>
      <c r="G117" s="81">
        <f t="shared" si="38"/>
        <v>0</v>
      </c>
      <c r="H117" s="299">
        <v>190.76</v>
      </c>
      <c r="I117" s="318">
        <v>79.651040199999997</v>
      </c>
      <c r="J117" s="251">
        <f t="shared" si="17"/>
        <v>79.651040199999997</v>
      </c>
      <c r="K117" s="251">
        <f t="shared" si="18"/>
        <v>39.825520099999999</v>
      </c>
      <c r="L117" s="251">
        <f t="shared" si="5"/>
        <v>0.64045183696587837</v>
      </c>
      <c r="M117" s="251">
        <f t="shared" si="6"/>
        <v>122.17259241961095</v>
      </c>
      <c r="N117" s="251">
        <f t="shared" si="7"/>
        <v>244.3451848392219</v>
      </c>
      <c r="O117" s="251">
        <f>+C110+D111+D112+D113+D114+D115+D116+(D117/2)</f>
        <v>0</v>
      </c>
      <c r="P117" s="251">
        <f t="shared" si="8"/>
        <v>0</v>
      </c>
      <c r="Q117" s="251">
        <f t="shared" si="9"/>
        <v>0</v>
      </c>
      <c r="R117" s="251">
        <f t="shared" si="19"/>
        <v>146.5</v>
      </c>
      <c r="S117" s="251">
        <f t="shared" si="36"/>
        <v>146.5</v>
      </c>
      <c r="T117" s="252">
        <f t="shared" si="10"/>
        <v>146.5</v>
      </c>
      <c r="U117" s="244"/>
      <c r="V117" s="282">
        <f t="shared" si="11"/>
        <v>0</v>
      </c>
      <c r="W117" s="282"/>
      <c r="X117" s="282"/>
      <c r="Y117" s="282"/>
      <c r="Z117" s="282"/>
      <c r="AA117" s="282"/>
      <c r="AB117" s="300" t="str">
        <f t="shared" si="12"/>
        <v xml:space="preserve"> </v>
      </c>
      <c r="AC117" s="457" t="b">
        <f>IF(AD117=8,AF117)</f>
        <v>0</v>
      </c>
      <c r="AD117" s="457">
        <f t="shared" si="20"/>
        <v>1</v>
      </c>
      <c r="AE117" s="457">
        <f>IF(V117=0,0,8)</f>
        <v>0</v>
      </c>
      <c r="AF117" s="282">
        <f>SUM(V117:V133)/($B$107-B116)</f>
        <v>0</v>
      </c>
      <c r="AG117" s="282"/>
      <c r="AH117" s="301">
        <f>SUM(D111:D117)+$C$110</f>
        <v>0</v>
      </c>
      <c r="AI117" s="399" t="b">
        <f t="shared" si="21"/>
        <v>0</v>
      </c>
      <c r="AJ117" s="173">
        <f t="shared" si="22"/>
        <v>69.344714800000006</v>
      </c>
      <c r="AK117" s="284">
        <f t="shared" si="13"/>
        <v>0.93571960494171247</v>
      </c>
      <c r="AL117" s="174">
        <f t="shared" si="23"/>
        <v>180.0511663828843</v>
      </c>
      <c r="AM117" s="173">
        <f t="shared" si="24"/>
        <v>50.174479900000001</v>
      </c>
      <c r="AN117" s="285">
        <f t="shared" si="25"/>
        <v>0.76799833627881664</v>
      </c>
      <c r="AO117" s="174">
        <f t="shared" si="26"/>
        <v>146.50336262854705</v>
      </c>
      <c r="AP117" s="404">
        <f t="shared" si="27"/>
        <v>6182.1659114710446</v>
      </c>
      <c r="AQ117" s="174">
        <f t="shared" si="28"/>
        <v>-153</v>
      </c>
      <c r="AR117" s="287">
        <f t="shared" si="29"/>
        <v>4.5</v>
      </c>
      <c r="AS117" s="288">
        <f t="shared" si="30"/>
        <v>326.55452901143133</v>
      </c>
      <c r="AT117" s="289">
        <f t="shared" si="37"/>
        <v>-146.50336262854705</v>
      </c>
      <c r="AU117" s="290">
        <f t="shared" si="31"/>
        <v>6328.6692740995913</v>
      </c>
      <c r="AV117" s="289"/>
      <c r="AW117" s="291">
        <f t="shared" si="32"/>
        <v>-82.710585685832655</v>
      </c>
      <c r="AX117" s="291">
        <f t="shared" si="33"/>
        <v>87.210585685832655</v>
      </c>
      <c r="AY117" s="292">
        <f t="shared" si="14"/>
        <v>-140.24806986691357</v>
      </c>
      <c r="AZ117" s="292">
        <f t="shared" si="15"/>
        <v>114.66497927240154</v>
      </c>
      <c r="BA117" s="294">
        <f t="shared" si="34"/>
        <v>140.24806986691357</v>
      </c>
      <c r="BB117" s="294">
        <f t="shared" si="34"/>
        <v>114.66497927240154</v>
      </c>
      <c r="BC117">
        <f t="shared" si="35"/>
        <v>0</v>
      </c>
      <c r="BG117" s="27"/>
      <c r="BH117" s="27"/>
      <c r="BK117" s="1754"/>
      <c r="BL117" s="1754"/>
      <c r="BM117" s="1754"/>
    </row>
    <row r="118" spans="1:128" ht="21" customHeight="1" thickBot="1" x14ac:dyDescent="0.5">
      <c r="B118" s="88">
        <v>9</v>
      </c>
      <c r="C118" s="20"/>
      <c r="D118" s="738">
        <v>0</v>
      </c>
      <c r="E118" s="333" t="s">
        <v>72</v>
      </c>
      <c r="F118" s="81">
        <f t="shared" si="16"/>
        <v>0</v>
      </c>
      <c r="G118" s="81">
        <f t="shared" si="38"/>
        <v>0</v>
      </c>
      <c r="H118" s="299">
        <v>190.76</v>
      </c>
      <c r="I118" s="318">
        <v>79.651040199999997</v>
      </c>
      <c r="J118" s="251">
        <f t="shared" si="17"/>
        <v>79.651040199999997</v>
      </c>
      <c r="K118" s="251">
        <f t="shared" si="18"/>
        <v>39.825520099999999</v>
      </c>
      <c r="L118" s="251">
        <f t="shared" si="5"/>
        <v>0.64045183696587837</v>
      </c>
      <c r="M118" s="251">
        <f t="shared" si="6"/>
        <v>122.17259241961095</v>
      </c>
      <c r="N118" s="251">
        <f t="shared" si="7"/>
        <v>244.3451848392219</v>
      </c>
      <c r="O118" s="251">
        <f>+C110+D111+D112+D113+D114+D115+D116+D117+(D118/2)</f>
        <v>0</v>
      </c>
      <c r="P118" s="251">
        <f t="shared" si="8"/>
        <v>0</v>
      </c>
      <c r="Q118" s="251">
        <f t="shared" si="9"/>
        <v>0</v>
      </c>
      <c r="R118" s="251">
        <f t="shared" si="19"/>
        <v>146.5</v>
      </c>
      <c r="S118" s="251">
        <f t="shared" si="36"/>
        <v>146.5</v>
      </c>
      <c r="T118" s="252">
        <f t="shared" si="10"/>
        <v>146.5</v>
      </c>
      <c r="U118" s="244"/>
      <c r="V118" s="282">
        <f t="shared" si="11"/>
        <v>0</v>
      </c>
      <c r="W118" s="282"/>
      <c r="X118" s="282"/>
      <c r="Y118" s="282"/>
      <c r="Z118" s="282"/>
      <c r="AA118" s="282"/>
      <c r="AB118" s="300" t="str">
        <f t="shared" si="12"/>
        <v xml:space="preserve"> </v>
      </c>
      <c r="AC118" s="457" t="b">
        <f>IF(AD118=9,AF118)</f>
        <v>0</v>
      </c>
      <c r="AD118" s="457">
        <f t="shared" si="20"/>
        <v>1</v>
      </c>
      <c r="AE118" s="457">
        <f>IF(V118=0,0,9)</f>
        <v>0</v>
      </c>
      <c r="AF118" s="282">
        <f>SUM(V118:V133)/($B$107-B117)</f>
        <v>0</v>
      </c>
      <c r="AG118" s="282"/>
      <c r="AH118" s="301">
        <f>SUM(D111:D118)+$C$110</f>
        <v>0</v>
      </c>
      <c r="AI118" s="399" t="b">
        <f t="shared" si="21"/>
        <v>0</v>
      </c>
      <c r="AJ118" s="173">
        <f t="shared" si="22"/>
        <v>69.344714800000006</v>
      </c>
      <c r="AK118" s="284">
        <f t="shared" si="13"/>
        <v>0.93571960494171247</v>
      </c>
      <c r="AL118" s="174">
        <f t="shared" si="23"/>
        <v>180.0511663828843</v>
      </c>
      <c r="AM118" s="173">
        <f t="shared" si="24"/>
        <v>50.174479900000001</v>
      </c>
      <c r="AN118" s="285">
        <f t="shared" si="25"/>
        <v>0.76799833627881664</v>
      </c>
      <c r="AO118" s="174">
        <f t="shared" si="26"/>
        <v>146.50336262854705</v>
      </c>
      <c r="AP118" s="404">
        <f t="shared" si="27"/>
        <v>-1324.7498381723667</v>
      </c>
      <c r="AQ118" s="174">
        <f t="shared" si="28"/>
        <v>-178.5</v>
      </c>
      <c r="AR118" s="287">
        <f t="shared" si="29"/>
        <v>-21</v>
      </c>
      <c r="AS118" s="288">
        <f t="shared" si="30"/>
        <v>326.55452901143133</v>
      </c>
      <c r="AT118" s="289">
        <f t="shared" si="37"/>
        <v>-146.50336262854705</v>
      </c>
      <c r="AU118" s="290">
        <f t="shared" si="31"/>
        <v>-1178.2464755438195</v>
      </c>
      <c r="AV118" s="289"/>
      <c r="AW118" s="291">
        <f t="shared" si="32"/>
        <v>-96.770426646123951</v>
      </c>
      <c r="AX118" s="291">
        <f t="shared" si="33"/>
        <v>75.770426646123937</v>
      </c>
      <c r="AY118" s="292">
        <f t="shared" si="14"/>
        <v>-119.87133261713926</v>
      </c>
      <c r="AZ118" s="292">
        <f t="shared" si="15"/>
        <v>131.97761240943933</v>
      </c>
      <c r="BA118" s="294">
        <f t="shared" si="34"/>
        <v>119.87133261713926</v>
      </c>
      <c r="BB118" s="294">
        <f t="shared" si="34"/>
        <v>131.97761240943933</v>
      </c>
      <c r="BC118">
        <f t="shared" si="35"/>
        <v>0</v>
      </c>
      <c r="BG118" s="27"/>
      <c r="BH118" s="27"/>
      <c r="BK118" s="1754"/>
      <c r="BL118" s="1754"/>
      <c r="BM118" s="1754"/>
    </row>
    <row r="119" spans="1:128" ht="21" customHeight="1" thickBot="1" x14ac:dyDescent="0.5">
      <c r="B119" s="88">
        <v>10</v>
      </c>
      <c r="C119" s="20"/>
      <c r="D119" s="738">
        <v>0</v>
      </c>
      <c r="E119" s="333" t="s">
        <v>72</v>
      </c>
      <c r="F119" s="81">
        <f t="shared" si="16"/>
        <v>0</v>
      </c>
      <c r="G119" s="81">
        <f t="shared" si="38"/>
        <v>0</v>
      </c>
      <c r="H119" s="299">
        <v>190.76</v>
      </c>
      <c r="I119" s="318">
        <v>79.651040199999997</v>
      </c>
      <c r="J119" s="251">
        <f t="shared" si="17"/>
        <v>79.651040199999997</v>
      </c>
      <c r="K119" s="251">
        <f t="shared" si="18"/>
        <v>39.825520099999999</v>
      </c>
      <c r="L119" s="251">
        <f t="shared" si="5"/>
        <v>0.64045183696587837</v>
      </c>
      <c r="M119" s="251">
        <f t="shared" si="6"/>
        <v>122.17259241961095</v>
      </c>
      <c r="N119" s="251">
        <f t="shared" si="7"/>
        <v>244.3451848392219</v>
      </c>
      <c r="O119" s="251">
        <f>+C110+D111+D112+D113+D114+D115+D116+D117+D118+(D119/2)</f>
        <v>0</v>
      </c>
      <c r="P119" s="251">
        <f t="shared" si="8"/>
        <v>0</v>
      </c>
      <c r="Q119" s="251">
        <f t="shared" si="9"/>
        <v>0</v>
      </c>
      <c r="R119" s="251">
        <f t="shared" si="19"/>
        <v>146.5</v>
      </c>
      <c r="S119" s="251">
        <f t="shared" si="36"/>
        <v>146.5</v>
      </c>
      <c r="T119" s="252">
        <f t="shared" si="10"/>
        <v>146.5</v>
      </c>
      <c r="U119" s="244"/>
      <c r="V119" s="282">
        <f t="shared" si="11"/>
        <v>0</v>
      </c>
      <c r="W119" s="282"/>
      <c r="X119" s="282"/>
      <c r="Y119" s="282"/>
      <c r="Z119" s="282"/>
      <c r="AA119" s="282"/>
      <c r="AB119" s="300" t="str">
        <f t="shared" si="12"/>
        <v xml:space="preserve"> </v>
      </c>
      <c r="AC119" s="457" t="b">
        <f>IF(AD119=10,AF119)</f>
        <v>0</v>
      </c>
      <c r="AD119" s="457">
        <f t="shared" si="20"/>
        <v>1</v>
      </c>
      <c r="AE119" s="457">
        <f>IF(V119=0,0,10)</f>
        <v>0</v>
      </c>
      <c r="AF119" s="282">
        <f>SUM(V119:V133)/($B$107-B118)</f>
        <v>0</v>
      </c>
      <c r="AG119" s="282"/>
      <c r="AH119" s="301">
        <f>SUM(D111:D119)+$C$110</f>
        <v>0</v>
      </c>
      <c r="AI119" s="399" t="b">
        <f t="shared" si="21"/>
        <v>0</v>
      </c>
      <c r="AJ119" s="173">
        <f t="shared" si="22"/>
        <v>69.344714800000006</v>
      </c>
      <c r="AK119" s="284">
        <f t="shared" si="13"/>
        <v>0.93571960494171247</v>
      </c>
      <c r="AL119" s="174">
        <f t="shared" si="23"/>
        <v>180.0511663828843</v>
      </c>
      <c r="AM119" s="173">
        <f t="shared" si="24"/>
        <v>50.174479900000001</v>
      </c>
      <c r="AN119" s="285">
        <f t="shared" si="25"/>
        <v>0.76799833627881664</v>
      </c>
      <c r="AO119" s="174">
        <f t="shared" si="26"/>
        <v>146.50336262854705</v>
      </c>
      <c r="AP119" s="404">
        <f t="shared" si="27"/>
        <v>-598.27412046493976</v>
      </c>
      <c r="AQ119" s="174">
        <f t="shared" si="28"/>
        <v>-204</v>
      </c>
      <c r="AR119" s="287">
        <f t="shared" si="29"/>
        <v>-46.5</v>
      </c>
      <c r="AS119" s="288">
        <f t="shared" si="30"/>
        <v>326.55452901143133</v>
      </c>
      <c r="AT119" s="289">
        <f t="shared" si="37"/>
        <v>-146.50336262854705</v>
      </c>
      <c r="AU119" s="290">
        <f t="shared" si="31"/>
        <v>-451.7707578363927</v>
      </c>
      <c r="AV119" s="289"/>
      <c r="AW119" s="291">
        <f t="shared" si="32"/>
        <v>-110.83026760641522</v>
      </c>
      <c r="AX119" s="291">
        <f t="shared" si="33"/>
        <v>64.330267606415219</v>
      </c>
      <c r="AY119" s="292">
        <f t="shared" si="14"/>
        <v>-104.66454922940702</v>
      </c>
      <c r="AZ119" s="292">
        <f t="shared" si="15"/>
        <v>155.44782218506998</v>
      </c>
      <c r="BA119" s="294">
        <f t="shared" si="34"/>
        <v>104.66454922940702</v>
      </c>
      <c r="BB119" s="294">
        <f t="shared" si="34"/>
        <v>155.44782218506998</v>
      </c>
      <c r="BC119">
        <f t="shared" si="35"/>
        <v>0</v>
      </c>
      <c r="BG119" s="27"/>
      <c r="BH119" s="27"/>
      <c r="BK119" s="1754"/>
      <c r="BL119" s="1754"/>
      <c r="BM119" s="1754"/>
      <c r="BN119" s="1551"/>
    </row>
    <row r="120" spans="1:128" ht="21" customHeight="1" thickBot="1" x14ac:dyDescent="0.5">
      <c r="A120" s="9"/>
      <c r="B120" s="88">
        <v>11</v>
      </c>
      <c r="C120" s="20"/>
      <c r="D120" s="738">
        <v>0</v>
      </c>
      <c r="E120" s="333" t="s">
        <v>72</v>
      </c>
      <c r="F120" s="81">
        <f t="shared" si="16"/>
        <v>0</v>
      </c>
      <c r="G120" s="81">
        <f t="shared" si="38"/>
        <v>0</v>
      </c>
      <c r="H120" s="299">
        <v>190.76</v>
      </c>
      <c r="I120" s="318">
        <v>79.651040199999997</v>
      </c>
      <c r="J120" s="251">
        <f t="shared" si="17"/>
        <v>79.651040199999997</v>
      </c>
      <c r="K120" s="251">
        <f t="shared" si="18"/>
        <v>39.825520099999999</v>
      </c>
      <c r="L120" s="251">
        <f t="shared" si="5"/>
        <v>0.64045183696587837</v>
      </c>
      <c r="M120" s="251">
        <f t="shared" si="6"/>
        <v>122.17259241961095</v>
      </c>
      <c r="N120" s="251">
        <f t="shared" si="7"/>
        <v>244.3451848392219</v>
      </c>
      <c r="O120" s="251">
        <f>+C110+D111+D112+D113+D114+D115+D116+D117+D118+D119+(D120/2)</f>
        <v>0</v>
      </c>
      <c r="P120" s="251">
        <f t="shared" si="8"/>
        <v>0</v>
      </c>
      <c r="Q120" s="251">
        <f t="shared" si="9"/>
        <v>0</v>
      </c>
      <c r="R120" s="251">
        <f t="shared" si="19"/>
        <v>146.5</v>
      </c>
      <c r="S120" s="251">
        <f t="shared" si="36"/>
        <v>146.5</v>
      </c>
      <c r="T120" s="252">
        <f t="shared" si="10"/>
        <v>146.5</v>
      </c>
      <c r="U120" s="244"/>
      <c r="V120" s="282">
        <f t="shared" si="11"/>
        <v>0</v>
      </c>
      <c r="W120" s="282"/>
      <c r="X120" s="282"/>
      <c r="Y120" s="282"/>
      <c r="Z120" s="282"/>
      <c r="AA120" s="282"/>
      <c r="AB120" s="300" t="str">
        <f t="shared" si="12"/>
        <v xml:space="preserve"> </v>
      </c>
      <c r="AC120" s="457" t="b">
        <f>IF(AD120=11,AF120)</f>
        <v>0</v>
      </c>
      <c r="AD120" s="457">
        <f t="shared" si="20"/>
        <v>1</v>
      </c>
      <c r="AE120" s="457">
        <f>IF(V120=0,0,11)</f>
        <v>0</v>
      </c>
      <c r="AF120" s="282">
        <f>SUM(V120:V133)/($B$107-B119)</f>
        <v>0</v>
      </c>
      <c r="AG120" s="282"/>
      <c r="AH120" s="301">
        <f>SUM(D111:D120)+$C$110</f>
        <v>0</v>
      </c>
      <c r="AI120" s="399" t="b">
        <f t="shared" si="21"/>
        <v>0</v>
      </c>
      <c r="AJ120" s="173">
        <f t="shared" si="22"/>
        <v>69.344714800000006</v>
      </c>
      <c r="AK120" s="284">
        <f t="shared" si="13"/>
        <v>0.93571960494171247</v>
      </c>
      <c r="AL120" s="174">
        <f t="shared" si="23"/>
        <v>180.0511663828843</v>
      </c>
      <c r="AM120" s="173">
        <f t="shared" si="24"/>
        <v>50.174479900000001</v>
      </c>
      <c r="AN120" s="285">
        <f t="shared" si="25"/>
        <v>0.76799833627881664</v>
      </c>
      <c r="AO120" s="174">
        <f t="shared" si="26"/>
        <v>146.50336262854705</v>
      </c>
      <c r="AP120" s="404">
        <f t="shared" si="27"/>
        <v>-386.38536946694029</v>
      </c>
      <c r="AQ120" s="174">
        <f t="shared" si="28"/>
        <v>-229.5</v>
      </c>
      <c r="AR120" s="287">
        <f t="shared" si="29"/>
        <v>-72</v>
      </c>
      <c r="AS120" s="288">
        <f t="shared" si="30"/>
        <v>326.55452901143133</v>
      </c>
      <c r="AT120" s="289">
        <f t="shared" si="37"/>
        <v>-146.50336262854705</v>
      </c>
      <c r="AU120" s="290">
        <f t="shared" si="31"/>
        <v>-239.88200683839324</v>
      </c>
      <c r="AV120" s="289"/>
      <c r="AW120" s="291">
        <f t="shared" si="32"/>
        <v>-124.89010856670652</v>
      </c>
      <c r="AX120" s="291">
        <f t="shared" si="33"/>
        <v>52.890108566706509</v>
      </c>
      <c r="AY120" s="292">
        <f t="shared" si="14"/>
        <v>-92.881655185720234</v>
      </c>
      <c r="AZ120" s="292">
        <f t="shared" si="15"/>
        <v>189.07127005397834</v>
      </c>
      <c r="BA120" s="294">
        <f t="shared" si="34"/>
        <v>92.881655185720234</v>
      </c>
      <c r="BB120" s="294">
        <f t="shared" si="34"/>
        <v>189.07127005397834</v>
      </c>
      <c r="BC120">
        <f t="shared" si="35"/>
        <v>0</v>
      </c>
      <c r="BG120" s="27"/>
      <c r="BH120" s="27"/>
      <c r="BK120" s="1754"/>
      <c r="BL120" s="1754"/>
      <c r="BM120" s="1754"/>
      <c r="BN120" s="1551"/>
    </row>
    <row r="121" spans="1:128" ht="21" customHeight="1" thickBot="1" x14ac:dyDescent="0.5">
      <c r="A121" s="9"/>
      <c r="B121" s="88">
        <v>12</v>
      </c>
      <c r="C121" s="20"/>
      <c r="D121" s="738">
        <v>0</v>
      </c>
      <c r="E121" s="333" t="s">
        <v>72</v>
      </c>
      <c r="F121" s="81">
        <f t="shared" si="16"/>
        <v>0</v>
      </c>
      <c r="G121" s="81">
        <f t="shared" si="38"/>
        <v>0</v>
      </c>
      <c r="H121" s="299">
        <v>190.76</v>
      </c>
      <c r="I121" s="318">
        <v>79.651040199999997</v>
      </c>
      <c r="J121" s="251">
        <f t="shared" si="17"/>
        <v>79.651040199999997</v>
      </c>
      <c r="K121" s="251">
        <f t="shared" si="18"/>
        <v>39.825520099999999</v>
      </c>
      <c r="L121" s="251">
        <f t="shared" si="5"/>
        <v>0.64045183696587837</v>
      </c>
      <c r="M121" s="251">
        <f t="shared" si="6"/>
        <v>122.17259241961095</v>
      </c>
      <c r="N121" s="251">
        <f t="shared" si="7"/>
        <v>244.3451848392219</v>
      </c>
      <c r="O121" s="251">
        <f>+C110+D111+D112+D113+D114+D115+D116+D117+D118+D119+D120+(D121/2)</f>
        <v>0</v>
      </c>
      <c r="P121" s="251">
        <f t="shared" si="8"/>
        <v>0</v>
      </c>
      <c r="Q121" s="251">
        <f t="shared" si="9"/>
        <v>0</v>
      </c>
      <c r="R121" s="251">
        <f t="shared" si="19"/>
        <v>146.5</v>
      </c>
      <c r="S121" s="251">
        <f t="shared" si="36"/>
        <v>146.5</v>
      </c>
      <c r="T121" s="252">
        <f t="shared" si="10"/>
        <v>146.5</v>
      </c>
      <c r="U121" s="244"/>
      <c r="V121" s="282">
        <f t="shared" si="11"/>
        <v>0</v>
      </c>
      <c r="W121" s="282"/>
      <c r="X121" s="282"/>
      <c r="Y121" s="282"/>
      <c r="Z121" s="282"/>
      <c r="AA121" s="282"/>
      <c r="AB121" s="300" t="str">
        <f t="shared" si="12"/>
        <v xml:space="preserve"> </v>
      </c>
      <c r="AC121" s="457" t="b">
        <f>IF(AD121=12,AF121)</f>
        <v>0</v>
      </c>
      <c r="AD121" s="457">
        <f t="shared" si="20"/>
        <v>1</v>
      </c>
      <c r="AE121" s="457">
        <f>IF(V121=0,0,12)</f>
        <v>0</v>
      </c>
      <c r="AF121" s="282">
        <f>SUM(V121:V133)/($B$107-B120)</f>
        <v>0</v>
      </c>
      <c r="AG121" s="282"/>
      <c r="AH121" s="301">
        <f>SUM(D111:D121)+$C$110</f>
        <v>0</v>
      </c>
      <c r="AI121" s="399" t="b">
        <f t="shared" si="21"/>
        <v>0</v>
      </c>
      <c r="AJ121" s="173">
        <f t="shared" si="22"/>
        <v>69.344714800000006</v>
      </c>
      <c r="AK121" s="284">
        <f t="shared" si="13"/>
        <v>0.93571960494171247</v>
      </c>
      <c r="AL121" s="174">
        <f t="shared" si="23"/>
        <v>180.0511663828843</v>
      </c>
      <c r="AM121" s="173">
        <f t="shared" si="24"/>
        <v>50.174479900000001</v>
      </c>
      <c r="AN121" s="285">
        <f t="shared" si="25"/>
        <v>0.76799833627881664</v>
      </c>
      <c r="AO121" s="174">
        <f t="shared" si="26"/>
        <v>146.50336262854705</v>
      </c>
      <c r="AP121" s="404">
        <f t="shared" si="27"/>
        <v>-285.33073437558664</v>
      </c>
      <c r="AQ121" s="174">
        <f t="shared" si="28"/>
        <v>-255</v>
      </c>
      <c r="AR121" s="287">
        <f t="shared" si="29"/>
        <v>-97.5</v>
      </c>
      <c r="AS121" s="288">
        <f t="shared" si="30"/>
        <v>326.55452901143133</v>
      </c>
      <c r="AT121" s="289">
        <f t="shared" si="37"/>
        <v>-146.50336262854705</v>
      </c>
      <c r="AU121" s="290">
        <f t="shared" si="31"/>
        <v>-138.82737174703959</v>
      </c>
      <c r="AV121" s="289"/>
      <c r="AW121" s="291">
        <f t="shared" si="32"/>
        <v>-138.94994952699778</v>
      </c>
      <c r="AX121" s="291">
        <f t="shared" si="33"/>
        <v>41.449949526997777</v>
      </c>
      <c r="AY121" s="292">
        <f t="shared" si="14"/>
        <v>-83.483297687316792</v>
      </c>
      <c r="AZ121" s="292">
        <f t="shared" si="15"/>
        <v>241.25481729444945</v>
      </c>
      <c r="BA121" s="294">
        <f t="shared" si="34"/>
        <v>83.483297687316792</v>
      </c>
      <c r="BB121" s="294">
        <f t="shared" si="34"/>
        <v>241.25481729444945</v>
      </c>
      <c r="BC121">
        <f t="shared" si="35"/>
        <v>0</v>
      </c>
      <c r="BG121" s="27"/>
      <c r="BH121" s="27"/>
      <c r="BK121" s="1754"/>
      <c r="BL121" s="1754"/>
      <c r="BM121" s="1754"/>
      <c r="BN121" s="1551"/>
    </row>
    <row r="122" spans="1:128" ht="21" customHeight="1" thickBot="1" x14ac:dyDescent="0.5">
      <c r="B122" s="88">
        <v>13</v>
      </c>
      <c r="C122" s="20"/>
      <c r="D122" s="738">
        <v>0</v>
      </c>
      <c r="E122" s="333" t="s">
        <v>72</v>
      </c>
      <c r="F122" s="81">
        <f t="shared" si="16"/>
        <v>0</v>
      </c>
      <c r="G122" s="81">
        <f t="shared" si="38"/>
        <v>0</v>
      </c>
      <c r="H122" s="299">
        <v>190.76</v>
      </c>
      <c r="I122" s="318">
        <v>79.651040199999997</v>
      </c>
      <c r="J122" s="251">
        <f t="shared" si="17"/>
        <v>79.651040199999997</v>
      </c>
      <c r="K122" s="251">
        <f t="shared" si="18"/>
        <v>39.825520099999999</v>
      </c>
      <c r="L122" s="251">
        <f t="shared" si="5"/>
        <v>0.64045183696587837</v>
      </c>
      <c r="M122" s="251">
        <f t="shared" si="6"/>
        <v>122.17259241961095</v>
      </c>
      <c r="N122" s="251">
        <f t="shared" si="7"/>
        <v>244.3451848392219</v>
      </c>
      <c r="O122" s="251">
        <f>+C110+D111+D112+D113+D114+D115+D116+D117+D118+D119+D120+D121+(D122/2)</f>
        <v>0</v>
      </c>
      <c r="P122" s="251">
        <f t="shared" si="8"/>
        <v>0</v>
      </c>
      <c r="Q122" s="251">
        <f t="shared" si="9"/>
        <v>0</v>
      </c>
      <c r="R122" s="251">
        <f t="shared" si="19"/>
        <v>146.5</v>
      </c>
      <c r="S122" s="251">
        <f t="shared" si="36"/>
        <v>146.5</v>
      </c>
      <c r="T122" s="252">
        <f t="shared" si="10"/>
        <v>146.5</v>
      </c>
      <c r="U122" s="244"/>
      <c r="V122" s="282">
        <f t="shared" si="11"/>
        <v>0</v>
      </c>
      <c r="W122" s="282"/>
      <c r="X122" s="282"/>
      <c r="Y122" s="282"/>
      <c r="Z122" s="282"/>
      <c r="AA122" s="282"/>
      <c r="AB122" s="300" t="str">
        <f t="shared" si="12"/>
        <v xml:space="preserve"> </v>
      </c>
      <c r="AC122" s="457" t="b">
        <f>IF(AD122=13,AF122)</f>
        <v>0</v>
      </c>
      <c r="AD122" s="457">
        <f t="shared" si="20"/>
        <v>1</v>
      </c>
      <c r="AE122" s="457">
        <f>IF(V122=0,0,13)</f>
        <v>0</v>
      </c>
      <c r="AF122" s="282">
        <f>SUM(V122:V133)/($B$107-B121)</f>
        <v>0</v>
      </c>
      <c r="AG122" s="282"/>
      <c r="AH122" s="301">
        <f>SUM(D111:D122)+$C$110</f>
        <v>0</v>
      </c>
      <c r="AI122" s="399" t="b">
        <f t="shared" si="21"/>
        <v>0</v>
      </c>
      <c r="AJ122" s="173">
        <f t="shared" si="22"/>
        <v>69.344714800000006</v>
      </c>
      <c r="AK122" s="284">
        <f t="shared" si="13"/>
        <v>0.93571960494171247</v>
      </c>
      <c r="AL122" s="174">
        <f t="shared" si="23"/>
        <v>180.0511663828843</v>
      </c>
      <c r="AM122" s="173">
        <f t="shared" si="24"/>
        <v>50.174479900000001</v>
      </c>
      <c r="AN122" s="285">
        <f t="shared" si="25"/>
        <v>0.76799833627881664</v>
      </c>
      <c r="AO122" s="174">
        <f t="shared" si="26"/>
        <v>146.50336262854705</v>
      </c>
      <c r="AP122" s="404">
        <f t="shared" si="27"/>
        <v>-226.17680163918456</v>
      </c>
      <c r="AQ122" s="174">
        <f t="shared" si="28"/>
        <v>-280.5</v>
      </c>
      <c r="AR122" s="287">
        <f t="shared" si="29"/>
        <v>-123</v>
      </c>
      <c r="AS122" s="288">
        <f t="shared" si="30"/>
        <v>326.55452901143133</v>
      </c>
      <c r="AT122" s="289">
        <f t="shared" si="37"/>
        <v>-146.50336262854705</v>
      </c>
      <c r="AU122" s="290">
        <f t="shared" si="31"/>
        <v>-79.673439010637509</v>
      </c>
      <c r="AV122" s="289"/>
      <c r="AW122" s="291">
        <f t="shared" si="32"/>
        <v>-153.00979048728905</v>
      </c>
      <c r="AX122" s="291">
        <f t="shared" si="33"/>
        <v>30.009790487289067</v>
      </c>
      <c r="AY122" s="292">
        <f t="shared" si="14"/>
        <v>-75.812142236503774</v>
      </c>
      <c r="AZ122" s="292">
        <f t="shared" si="15"/>
        <v>333.22458563099917</v>
      </c>
      <c r="BA122" s="294">
        <f t="shared" si="34"/>
        <v>75.812142236503774</v>
      </c>
      <c r="BB122" s="294">
        <f t="shared" si="34"/>
        <v>333.22458563099917</v>
      </c>
      <c r="BC122">
        <f t="shared" si="35"/>
        <v>0</v>
      </c>
      <c r="BG122" s="27"/>
      <c r="BH122" s="27"/>
      <c r="BI122" s="27"/>
      <c r="BK122" s="1754"/>
      <c r="BL122" s="1754"/>
      <c r="BM122" s="1754"/>
      <c r="BN122" s="1551"/>
    </row>
    <row r="123" spans="1:128" ht="21" customHeight="1" thickBot="1" x14ac:dyDescent="0.5">
      <c r="B123" s="88">
        <v>14</v>
      </c>
      <c r="C123" s="20"/>
      <c r="D123" s="738">
        <v>0</v>
      </c>
      <c r="E123" s="333" t="s">
        <v>72</v>
      </c>
      <c r="F123" s="81">
        <f t="shared" si="16"/>
        <v>0</v>
      </c>
      <c r="G123" s="81">
        <f t="shared" si="38"/>
        <v>0</v>
      </c>
      <c r="H123" s="299">
        <v>190.76</v>
      </c>
      <c r="I123" s="318">
        <v>79.651040199999997</v>
      </c>
      <c r="J123" s="251">
        <f t="shared" si="17"/>
        <v>79.651040199999997</v>
      </c>
      <c r="K123" s="251">
        <f t="shared" si="18"/>
        <v>39.825520099999999</v>
      </c>
      <c r="L123" s="251">
        <f t="shared" si="5"/>
        <v>0.64045183696587837</v>
      </c>
      <c r="M123" s="251">
        <f t="shared" si="6"/>
        <v>122.17259241961095</v>
      </c>
      <c r="N123" s="251">
        <f t="shared" si="7"/>
        <v>244.3451848392219</v>
      </c>
      <c r="O123" s="251">
        <f>+C110+D111+D112+D113+D114+D115+D116+D117+D118+D119+D120+D121+D122+(D123/2)</f>
        <v>0</v>
      </c>
      <c r="P123" s="251">
        <f t="shared" si="8"/>
        <v>0</v>
      </c>
      <c r="Q123" s="251">
        <f t="shared" si="9"/>
        <v>0</v>
      </c>
      <c r="R123" s="251">
        <f t="shared" si="19"/>
        <v>146.5</v>
      </c>
      <c r="S123" s="251">
        <f t="shared" si="36"/>
        <v>146.5</v>
      </c>
      <c r="T123" s="252">
        <f t="shared" si="10"/>
        <v>146.5</v>
      </c>
      <c r="U123" s="244"/>
      <c r="V123" s="282">
        <f t="shared" si="11"/>
        <v>0</v>
      </c>
      <c r="W123" s="282"/>
      <c r="X123" s="282"/>
      <c r="Y123" s="282"/>
      <c r="Z123" s="282"/>
      <c r="AA123" s="282"/>
      <c r="AB123" s="300" t="str">
        <f t="shared" si="12"/>
        <v xml:space="preserve"> </v>
      </c>
      <c r="AC123" s="457" t="b">
        <f>IF(AD123=14,AF123)</f>
        <v>0</v>
      </c>
      <c r="AD123" s="457">
        <f t="shared" si="20"/>
        <v>1</v>
      </c>
      <c r="AE123" s="457">
        <f>IF(V123=0,0,14)</f>
        <v>0</v>
      </c>
      <c r="AF123" s="282">
        <f>SUM(V123:V133)/($B$107-B122)</f>
        <v>0</v>
      </c>
      <c r="AG123" s="282"/>
      <c r="AH123" s="301">
        <f>SUM(D111:D123)+$C$110</f>
        <v>0</v>
      </c>
      <c r="AI123" s="399" t="b">
        <f t="shared" si="21"/>
        <v>0</v>
      </c>
      <c r="AJ123" s="173">
        <f t="shared" si="22"/>
        <v>69.344714800000006</v>
      </c>
      <c r="AK123" s="284">
        <f t="shared" si="13"/>
        <v>0.93571960494171247</v>
      </c>
      <c r="AL123" s="174">
        <f t="shared" si="23"/>
        <v>180.0511663828843</v>
      </c>
      <c r="AM123" s="173">
        <f t="shared" si="24"/>
        <v>50.174479900000001</v>
      </c>
      <c r="AN123" s="285">
        <f t="shared" si="25"/>
        <v>0.76799833627881664</v>
      </c>
      <c r="AO123" s="174">
        <f t="shared" si="26"/>
        <v>146.50336262854705</v>
      </c>
      <c r="AP123" s="404">
        <f t="shared" si="27"/>
        <v>-187.338360953668</v>
      </c>
      <c r="AQ123" s="174">
        <f t="shared" si="28"/>
        <v>-306</v>
      </c>
      <c r="AR123" s="287">
        <f t="shared" si="29"/>
        <v>-148.5</v>
      </c>
      <c r="AS123" s="288">
        <f t="shared" si="30"/>
        <v>326.55452901143133</v>
      </c>
      <c r="AT123" s="289">
        <f t="shared" si="37"/>
        <v>-146.50336262854705</v>
      </c>
      <c r="AU123" s="290">
        <f t="shared" si="31"/>
        <v>-40.834998325120949</v>
      </c>
      <c r="AV123" s="289"/>
      <c r="AW123" s="291">
        <f t="shared" si="32"/>
        <v>-167.06963144758035</v>
      </c>
      <c r="AX123" s="291">
        <f t="shared" si="33"/>
        <v>18.569631447580338</v>
      </c>
      <c r="AY123" s="292">
        <f t="shared" si="14"/>
        <v>-69.432127787027582</v>
      </c>
      <c r="AZ123" s="292">
        <f t="shared" si="15"/>
        <v>538.51364946195633</v>
      </c>
      <c r="BA123" s="294">
        <f t="shared" si="34"/>
        <v>69.432127787027582</v>
      </c>
      <c r="BB123" s="294">
        <f t="shared" si="34"/>
        <v>538.51364946195633</v>
      </c>
      <c r="BC123">
        <f t="shared" si="35"/>
        <v>0</v>
      </c>
      <c r="BG123" s="27"/>
      <c r="BH123" s="27"/>
      <c r="BI123" s="35"/>
      <c r="BK123" s="1754"/>
      <c r="BL123" s="1754"/>
      <c r="BM123" s="1754"/>
      <c r="BN123" s="1551"/>
    </row>
    <row r="124" spans="1:128" ht="21" customHeight="1" thickBot="1" x14ac:dyDescent="0.5">
      <c r="B124" s="88">
        <v>15</v>
      </c>
      <c r="C124" s="20"/>
      <c r="D124" s="738">
        <v>0</v>
      </c>
      <c r="E124" s="333" t="s">
        <v>72</v>
      </c>
      <c r="F124" s="81">
        <f t="shared" si="16"/>
        <v>0</v>
      </c>
      <c r="G124" s="81">
        <f t="shared" si="38"/>
        <v>0</v>
      </c>
      <c r="H124" s="299">
        <v>190.76</v>
      </c>
      <c r="I124" s="318">
        <v>79.651040199999997</v>
      </c>
      <c r="J124" s="251">
        <f t="shared" si="17"/>
        <v>79.651040199999997</v>
      </c>
      <c r="K124" s="251">
        <f t="shared" si="18"/>
        <v>39.825520099999999</v>
      </c>
      <c r="L124" s="251">
        <f t="shared" si="5"/>
        <v>0.64045183696587837</v>
      </c>
      <c r="M124" s="251">
        <f t="shared" si="6"/>
        <v>122.17259241961095</v>
      </c>
      <c r="N124" s="251">
        <f t="shared" si="7"/>
        <v>244.3451848392219</v>
      </c>
      <c r="O124" s="251">
        <f>+C110+D111+D112+D113+D114+D115+D116+D117+D118+D119+D120+D121+D122+D123+(D124/2)</f>
        <v>0</v>
      </c>
      <c r="P124" s="251">
        <f t="shared" si="8"/>
        <v>0</v>
      </c>
      <c r="Q124" s="251">
        <f t="shared" si="9"/>
        <v>0</v>
      </c>
      <c r="R124" s="251">
        <f t="shared" si="19"/>
        <v>146.5</v>
      </c>
      <c r="S124" s="251">
        <f t="shared" si="36"/>
        <v>146.5</v>
      </c>
      <c r="T124" s="252">
        <f t="shared" si="10"/>
        <v>146.5</v>
      </c>
      <c r="U124" s="244"/>
      <c r="V124" s="282">
        <f t="shared" si="11"/>
        <v>0</v>
      </c>
      <c r="W124" s="282"/>
      <c r="X124" s="282"/>
      <c r="Y124" s="282"/>
      <c r="Z124" s="282"/>
      <c r="AA124" s="282"/>
      <c r="AB124" s="300" t="str">
        <f t="shared" si="12"/>
        <v xml:space="preserve"> </v>
      </c>
      <c r="AC124" s="457" t="b">
        <f>IF(AD124=15,AF124)</f>
        <v>0</v>
      </c>
      <c r="AD124" s="457">
        <f t="shared" si="20"/>
        <v>1</v>
      </c>
      <c r="AE124" s="457">
        <f>IF(V124=0,0,15)</f>
        <v>0</v>
      </c>
      <c r="AF124" s="282">
        <f>SUM(V124:V133)/($B$107-B123)</f>
        <v>0</v>
      </c>
      <c r="AG124" s="282"/>
      <c r="AH124" s="301">
        <f>SUM(D111:D124)+$C$110</f>
        <v>0</v>
      </c>
      <c r="AI124" s="399" t="b">
        <f t="shared" si="21"/>
        <v>0</v>
      </c>
      <c r="AJ124" s="173">
        <f t="shared" si="22"/>
        <v>69.344714800000006</v>
      </c>
      <c r="AK124" s="284">
        <f t="shared" si="13"/>
        <v>0.93571960494171247</v>
      </c>
      <c r="AL124" s="174">
        <f t="shared" si="23"/>
        <v>180.0511663828843</v>
      </c>
      <c r="AM124" s="173">
        <f t="shared" si="24"/>
        <v>50.174479900000001</v>
      </c>
      <c r="AN124" s="285">
        <f t="shared" si="25"/>
        <v>0.76799833627881664</v>
      </c>
      <c r="AO124" s="174">
        <f t="shared" si="26"/>
        <v>146.50336262854705</v>
      </c>
      <c r="AP124" s="404">
        <f t="shared" si="27"/>
        <v>-159.88360115873391</v>
      </c>
      <c r="AQ124" s="174">
        <f t="shared" si="28"/>
        <v>-331.5</v>
      </c>
      <c r="AR124" s="287">
        <f t="shared" si="29"/>
        <v>-174</v>
      </c>
      <c r="AS124" s="288">
        <f t="shared" si="30"/>
        <v>326.55452901143133</v>
      </c>
      <c r="AT124" s="289">
        <f t="shared" si="37"/>
        <v>-146.50336262854705</v>
      </c>
      <c r="AU124" s="290">
        <f t="shared" si="31"/>
        <v>-13.380238530186858</v>
      </c>
      <c r="AV124" s="289"/>
      <c r="AW124" s="291">
        <f t="shared" si="32"/>
        <v>-181.12947240787159</v>
      </c>
      <c r="AX124" s="291">
        <f t="shared" si="33"/>
        <v>7.1294724078716234</v>
      </c>
      <c r="AY124" s="292">
        <f t="shared" si="14"/>
        <v>-64.042587027907018</v>
      </c>
      <c r="AZ124" s="292">
        <f t="shared" si="15"/>
        <v>1402.6283331932161</v>
      </c>
      <c r="BA124" s="294">
        <f t="shared" si="34"/>
        <v>64.042587027907018</v>
      </c>
      <c r="BB124" s="294">
        <f t="shared" si="34"/>
        <v>1402.6283331932161</v>
      </c>
      <c r="BC124">
        <f t="shared" si="35"/>
        <v>0</v>
      </c>
      <c r="BG124" s="27"/>
      <c r="BH124" s="27"/>
      <c r="BI124" s="33"/>
      <c r="BK124" s="1754"/>
      <c r="BL124" s="1754"/>
      <c r="BM124" s="1754"/>
      <c r="BN124" s="1551"/>
    </row>
    <row r="125" spans="1:128" ht="21" customHeight="1" thickBot="1" x14ac:dyDescent="0.5">
      <c r="B125" s="88">
        <v>16</v>
      </c>
      <c r="C125" s="20"/>
      <c r="D125" s="738">
        <v>0</v>
      </c>
      <c r="E125" s="333" t="s">
        <v>72</v>
      </c>
      <c r="F125" s="81">
        <f t="shared" si="16"/>
        <v>0.3</v>
      </c>
      <c r="G125" s="81">
        <f t="shared" si="38"/>
        <v>0.3</v>
      </c>
      <c r="H125" s="299">
        <v>190.76</v>
      </c>
      <c r="I125" s="318">
        <v>79.651040199999997</v>
      </c>
      <c r="J125" s="251">
        <f t="shared" si="17"/>
        <v>79.651040199999997</v>
      </c>
      <c r="K125" s="251">
        <f t="shared" si="18"/>
        <v>39.825520099999999</v>
      </c>
      <c r="L125" s="251">
        <f t="shared" si="5"/>
        <v>0.64045183696587837</v>
      </c>
      <c r="M125" s="251">
        <f t="shared" si="6"/>
        <v>122.17259241961095</v>
      </c>
      <c r="N125" s="251">
        <f t="shared" si="7"/>
        <v>244.3451848392219</v>
      </c>
      <c r="O125" s="251">
        <f>+C110+D111+D112+D113+D114+D115+D116+D117+D118+D119+D120+D121+D122+D123+D124+(D125/2)</f>
        <v>0</v>
      </c>
      <c r="P125" s="251">
        <f t="shared" si="8"/>
        <v>0</v>
      </c>
      <c r="Q125" s="251">
        <f t="shared" si="9"/>
        <v>0</v>
      </c>
      <c r="R125" s="251">
        <f t="shared" si="19"/>
        <v>146.5</v>
      </c>
      <c r="S125" s="251">
        <f t="shared" si="36"/>
        <v>146.5</v>
      </c>
      <c r="T125" s="252">
        <f t="shared" si="10"/>
        <v>146.5</v>
      </c>
      <c r="U125" s="244"/>
      <c r="V125" s="282">
        <f t="shared" si="11"/>
        <v>0</v>
      </c>
      <c r="W125" s="282"/>
      <c r="X125" s="282"/>
      <c r="Y125" s="282"/>
      <c r="Z125" s="282"/>
      <c r="AA125" s="282"/>
      <c r="AB125" s="300" t="str">
        <f t="shared" si="12"/>
        <v>pin in groundstacking hole</v>
      </c>
      <c r="AC125" s="457" t="b">
        <f>IF(AD125=16,AF125)</f>
        <v>0</v>
      </c>
      <c r="AD125" s="457">
        <f t="shared" si="20"/>
        <v>1</v>
      </c>
      <c r="AE125" s="457">
        <f>IF(V125=0,0,16)</f>
        <v>0</v>
      </c>
      <c r="AF125" s="282">
        <f>SUM(V125:V133)/($B$107-B124)</f>
        <v>0</v>
      </c>
      <c r="AG125" s="282"/>
      <c r="AH125" s="301">
        <f>SUM(D111:D125)+$C$110</f>
        <v>0</v>
      </c>
      <c r="AI125" s="399" t="b">
        <f t="shared" si="21"/>
        <v>0</v>
      </c>
      <c r="AJ125" s="173">
        <f t="shared" si="22"/>
        <v>69.344714800000006</v>
      </c>
      <c r="AK125" s="284">
        <f t="shared" si="13"/>
        <v>0.93571960494171247</v>
      </c>
      <c r="AL125" s="174">
        <f t="shared" si="23"/>
        <v>180.0511663828843</v>
      </c>
      <c r="AM125" s="173">
        <f t="shared" si="24"/>
        <v>50.174479900000001</v>
      </c>
      <c r="AN125" s="285">
        <f t="shared" si="25"/>
        <v>0.76799833627881664</v>
      </c>
      <c r="AO125" s="174">
        <f t="shared" si="26"/>
        <v>146.50336262854705</v>
      </c>
      <c r="AP125" s="404">
        <f t="shared" si="27"/>
        <v>-139.44735138656492</v>
      </c>
      <c r="AQ125" s="174">
        <f t="shared" si="28"/>
        <v>-357</v>
      </c>
      <c r="AR125" s="287">
        <f t="shared" si="29"/>
        <v>-199.5</v>
      </c>
      <c r="AS125" s="288">
        <f t="shared" si="30"/>
        <v>326.55452901143133</v>
      </c>
      <c r="AT125" s="289">
        <f t="shared" si="37"/>
        <v>-146.50336262854705</v>
      </c>
      <c r="AU125" s="290">
        <f t="shared" si="31"/>
        <v>7.0560112419821337</v>
      </c>
      <c r="AV125" s="289"/>
      <c r="AW125" s="291">
        <f t="shared" si="32"/>
        <v>-195.18931336816291</v>
      </c>
      <c r="AX125" s="291">
        <f t="shared" si="33"/>
        <v>-4.3106866318370942</v>
      </c>
      <c r="AY125" s="292">
        <f t="shared" si="14"/>
        <v>-59.429483099416764</v>
      </c>
      <c r="AZ125" s="292">
        <f t="shared" si="15"/>
        <v>-2319.8160418676221</v>
      </c>
      <c r="BA125" s="294">
        <f t="shared" si="34"/>
        <v>59.429483099416764</v>
      </c>
      <c r="BB125" s="294">
        <f t="shared" si="34"/>
        <v>2319.8160418676221</v>
      </c>
      <c r="BC125">
        <f t="shared" si="35"/>
        <v>0.3</v>
      </c>
      <c r="BG125" s="27"/>
      <c r="BH125" s="27"/>
      <c r="BI125" s="33"/>
      <c r="BK125" s="1754"/>
      <c r="BL125" s="1754"/>
      <c r="BM125" s="1754"/>
      <c r="BN125" s="1551"/>
    </row>
    <row r="126" spans="1:128" ht="21" customHeight="1" thickBot="1" x14ac:dyDescent="0.5">
      <c r="B126" s="88">
        <v>17</v>
      </c>
      <c r="C126" s="20"/>
      <c r="D126" s="738">
        <v>0</v>
      </c>
      <c r="E126" s="333" t="s">
        <v>72</v>
      </c>
      <c r="F126" s="81">
        <f t="shared" si="16"/>
        <v>0.3</v>
      </c>
      <c r="G126" s="81">
        <f t="shared" si="38"/>
        <v>0.3</v>
      </c>
      <c r="H126" s="299">
        <v>190.76</v>
      </c>
      <c r="I126" s="318">
        <v>79.651040199999997</v>
      </c>
      <c r="J126" s="251">
        <f t="shared" si="17"/>
        <v>79.651040199999997</v>
      </c>
      <c r="K126" s="251">
        <f t="shared" si="18"/>
        <v>39.825520099999999</v>
      </c>
      <c r="L126" s="251">
        <f t="shared" si="5"/>
        <v>0.64045183696587837</v>
      </c>
      <c r="M126" s="251">
        <f t="shared" si="6"/>
        <v>122.17259241961095</v>
      </c>
      <c r="N126" s="251">
        <f t="shared" si="7"/>
        <v>244.3451848392219</v>
      </c>
      <c r="O126" s="251">
        <f>+C110+D111+D112+D113+D114+D115+D116+D117+D118+D119+D120+D121+D122+D123+D124+D125+(D126/2)</f>
        <v>0</v>
      </c>
      <c r="P126" s="251">
        <f t="shared" si="8"/>
        <v>0</v>
      </c>
      <c r="Q126" s="251">
        <f t="shared" si="9"/>
        <v>0</v>
      </c>
      <c r="R126" s="251">
        <f t="shared" si="19"/>
        <v>146.5</v>
      </c>
      <c r="S126" s="251">
        <f t="shared" si="36"/>
        <v>146.5</v>
      </c>
      <c r="T126" s="252">
        <f t="shared" si="10"/>
        <v>146.5</v>
      </c>
      <c r="U126" s="244"/>
      <c r="V126" s="282">
        <f t="shared" si="11"/>
        <v>0</v>
      </c>
      <c r="W126" s="282"/>
      <c r="X126" s="282"/>
      <c r="Y126" s="282"/>
      <c r="Z126" s="282"/>
      <c r="AA126" s="282"/>
      <c r="AB126" s="300" t="str">
        <f t="shared" si="12"/>
        <v>pin in groundstacking hole</v>
      </c>
      <c r="AC126" s="457" t="b">
        <f>IF(AD126=17,AF126)</f>
        <v>0</v>
      </c>
      <c r="AD126" s="457">
        <f t="shared" si="20"/>
        <v>1</v>
      </c>
      <c r="AE126" s="457">
        <f>IF(V126=0,0,17)</f>
        <v>0</v>
      </c>
      <c r="AF126" s="282">
        <f>SUM(V126:V133)/($B$107-B125)</f>
        <v>0</v>
      </c>
      <c r="AG126" s="282"/>
      <c r="AH126" s="301">
        <f>SUM(D111:D126)+$C$110</f>
        <v>0</v>
      </c>
      <c r="AI126" s="399" t="b">
        <f t="shared" si="21"/>
        <v>0</v>
      </c>
      <c r="AJ126" s="173">
        <f t="shared" si="22"/>
        <v>69.344714800000006</v>
      </c>
      <c r="AK126" s="284">
        <f t="shared" si="13"/>
        <v>0.93571960494171247</v>
      </c>
      <c r="AL126" s="174">
        <f t="shared" si="23"/>
        <v>180.0511663828843</v>
      </c>
      <c r="AM126" s="173">
        <f t="shared" si="24"/>
        <v>50.174479900000001</v>
      </c>
      <c r="AN126" s="285">
        <f t="shared" si="25"/>
        <v>0.76799833627881664</v>
      </c>
      <c r="AO126" s="174">
        <f t="shared" si="26"/>
        <v>146.50336262854705</v>
      </c>
      <c r="AP126" s="404">
        <f t="shared" si="27"/>
        <v>-123.64331822942088</v>
      </c>
      <c r="AQ126" s="174">
        <f t="shared" si="28"/>
        <v>-382.5</v>
      </c>
      <c r="AR126" s="287">
        <f t="shared" si="29"/>
        <v>-225</v>
      </c>
      <c r="AS126" s="288">
        <f t="shared" si="30"/>
        <v>326.55452901143133</v>
      </c>
      <c r="AT126" s="289">
        <f t="shared" si="37"/>
        <v>-146.50336262854705</v>
      </c>
      <c r="AU126" s="290">
        <f t="shared" si="31"/>
        <v>22.860044399126167</v>
      </c>
      <c r="AV126" s="289"/>
      <c r="AW126" s="291">
        <f t="shared" si="32"/>
        <v>-209.24915432845418</v>
      </c>
      <c r="AX126" s="291">
        <f t="shared" si="33"/>
        <v>-15.750845671545823</v>
      </c>
      <c r="AY126" s="292">
        <f t="shared" si="14"/>
        <v>-55.436305285094313</v>
      </c>
      <c r="AZ126" s="292">
        <f t="shared" si="15"/>
        <v>-634.88654568339621</v>
      </c>
      <c r="BA126" s="294">
        <f t="shared" si="34"/>
        <v>55.436305285094313</v>
      </c>
      <c r="BB126" s="294">
        <f t="shared" si="34"/>
        <v>634.88654568339621</v>
      </c>
      <c r="BC126">
        <f t="shared" si="35"/>
        <v>0.3</v>
      </c>
      <c r="BG126" s="27"/>
      <c r="BH126" s="27"/>
      <c r="BK126" s="1754"/>
      <c r="BL126" s="1754"/>
      <c r="BM126" s="1754"/>
      <c r="DC126" s="27"/>
      <c r="DD126" s="10"/>
      <c r="DE126" s="10"/>
      <c r="DF126" s="10"/>
      <c r="DG126" s="10"/>
      <c r="DH126" s="10"/>
      <c r="DI126" s="10"/>
      <c r="DJ126" s="49"/>
      <c r="DK126" s="49"/>
      <c r="DL126" s="49"/>
      <c r="DM126" s="49"/>
      <c r="DN126" s="49"/>
      <c r="DO126" s="49"/>
      <c r="DP126" s="49"/>
      <c r="DQ126" s="49"/>
      <c r="DR126" s="49"/>
      <c r="DS126" s="49"/>
      <c r="DT126" s="49"/>
      <c r="DU126" s="49"/>
      <c r="DV126" s="49"/>
      <c r="DW126" s="49"/>
      <c r="DX126" s="7"/>
    </row>
    <row r="127" spans="1:128" ht="21" customHeight="1" thickBot="1" x14ac:dyDescent="0.5">
      <c r="B127" s="88">
        <v>18</v>
      </c>
      <c r="C127" s="20"/>
      <c r="D127" s="738">
        <v>0</v>
      </c>
      <c r="E127" s="333" t="s">
        <v>72</v>
      </c>
      <c r="F127" s="81">
        <f t="shared" si="16"/>
        <v>0.3</v>
      </c>
      <c r="G127" s="81">
        <f t="shared" si="38"/>
        <v>0.3</v>
      </c>
      <c r="H127" s="299">
        <v>190.76</v>
      </c>
      <c r="I127" s="318">
        <v>79.651040199999997</v>
      </c>
      <c r="J127" s="251">
        <f t="shared" si="17"/>
        <v>79.651040199999997</v>
      </c>
      <c r="K127" s="251">
        <f t="shared" si="18"/>
        <v>39.825520099999999</v>
      </c>
      <c r="L127" s="251">
        <f t="shared" si="5"/>
        <v>0.64045183696587837</v>
      </c>
      <c r="M127" s="251">
        <f t="shared" si="6"/>
        <v>122.17259241961095</v>
      </c>
      <c r="N127" s="251">
        <f t="shared" si="7"/>
        <v>244.3451848392219</v>
      </c>
      <c r="O127" s="251">
        <f>+C110+D111+D112+D113+D114+D115+D116+D117+D118+D119+D120+D121+D122+D123+D124+D125+D126+(D127/2)</f>
        <v>0</v>
      </c>
      <c r="P127" s="251">
        <f t="shared" si="8"/>
        <v>0</v>
      </c>
      <c r="Q127" s="251">
        <f t="shared" si="9"/>
        <v>0</v>
      </c>
      <c r="R127" s="251">
        <f t="shared" si="19"/>
        <v>146.5</v>
      </c>
      <c r="S127" s="251">
        <f t="shared" si="36"/>
        <v>146.5</v>
      </c>
      <c r="T127" s="252">
        <f t="shared" si="10"/>
        <v>146.5</v>
      </c>
      <c r="U127" s="244"/>
      <c r="V127" s="282">
        <f t="shared" si="11"/>
        <v>0</v>
      </c>
      <c r="W127" s="282"/>
      <c r="X127" s="282"/>
      <c r="Y127" s="282"/>
      <c r="Z127" s="282"/>
      <c r="AA127" s="282"/>
      <c r="AB127" s="300" t="str">
        <f t="shared" si="12"/>
        <v>pin in groundstacking hole</v>
      </c>
      <c r="AC127" s="457" t="b">
        <f>IF(AD127=18,AF127)</f>
        <v>0</v>
      </c>
      <c r="AD127" s="457">
        <f t="shared" si="20"/>
        <v>1</v>
      </c>
      <c r="AE127" s="457">
        <f>IF(V127=0,0,18)</f>
        <v>0</v>
      </c>
      <c r="AF127" s="282">
        <f>SUM(V127:V133)/($B$107-B126)</f>
        <v>0</v>
      </c>
      <c r="AG127" s="282"/>
      <c r="AH127" s="301">
        <f>SUM(D111:D127)+$C$110</f>
        <v>0</v>
      </c>
      <c r="AI127" s="399" t="b">
        <f t="shared" si="21"/>
        <v>0</v>
      </c>
      <c r="AJ127" s="173">
        <f t="shared" si="22"/>
        <v>69.344714800000006</v>
      </c>
      <c r="AK127" s="284">
        <f t="shared" si="13"/>
        <v>0.93571960494171247</v>
      </c>
      <c r="AL127" s="174">
        <f t="shared" si="23"/>
        <v>180.0511663828843</v>
      </c>
      <c r="AM127" s="173">
        <f t="shared" si="24"/>
        <v>50.174479900000001</v>
      </c>
      <c r="AN127" s="285">
        <f t="shared" si="25"/>
        <v>0.76799833627881664</v>
      </c>
      <c r="AO127" s="174">
        <f t="shared" si="26"/>
        <v>146.50336262854705</v>
      </c>
      <c r="AP127" s="404">
        <f t="shared" si="27"/>
        <v>-111.05687266115649</v>
      </c>
      <c r="AQ127" s="174">
        <f t="shared" si="28"/>
        <v>-408</v>
      </c>
      <c r="AR127" s="287">
        <f t="shared" si="29"/>
        <v>-250.5</v>
      </c>
      <c r="AS127" s="288">
        <f t="shared" si="30"/>
        <v>326.55452901143133</v>
      </c>
      <c r="AT127" s="289">
        <f t="shared" si="37"/>
        <v>-146.50336262854705</v>
      </c>
      <c r="AU127" s="290">
        <f t="shared" si="31"/>
        <v>35.446489967390562</v>
      </c>
      <c r="AV127" s="289"/>
      <c r="AW127" s="291">
        <f t="shared" si="32"/>
        <v>-223.30899528874548</v>
      </c>
      <c r="AX127" s="291">
        <f t="shared" si="33"/>
        <v>-27.191004711254536</v>
      </c>
      <c r="AY127" s="292">
        <f t="shared" si="14"/>
        <v>-51.945959386906196</v>
      </c>
      <c r="AZ127" s="292">
        <f t="shared" si="15"/>
        <v>-367.76868329035796</v>
      </c>
      <c r="BA127" s="294">
        <f t="shared" si="34"/>
        <v>51.945959386906196</v>
      </c>
      <c r="BB127" s="294">
        <f t="shared" si="34"/>
        <v>367.76868329035796</v>
      </c>
      <c r="BC127">
        <f t="shared" si="35"/>
        <v>0.3</v>
      </c>
      <c r="BG127" s="27"/>
      <c r="BH127" s="27"/>
      <c r="BK127" s="1754"/>
      <c r="BL127" s="1754"/>
      <c r="BM127" s="1754"/>
      <c r="DC127" s="35"/>
      <c r="DD127" s="10"/>
      <c r="DE127" s="10"/>
      <c r="DF127" s="10"/>
      <c r="DG127" s="10"/>
      <c r="DH127" s="10"/>
      <c r="DI127" s="10"/>
      <c r="DJ127" s="49"/>
      <c r="DK127" s="49"/>
      <c r="DL127" s="49"/>
      <c r="DM127" s="49"/>
      <c r="DN127" s="49"/>
      <c r="DO127" s="49"/>
      <c r="DP127" s="49"/>
      <c r="DQ127" s="49"/>
      <c r="DR127" s="49"/>
      <c r="DS127" s="49"/>
      <c r="DT127" s="49"/>
      <c r="DU127" s="49"/>
      <c r="DV127" s="49"/>
      <c r="DW127" s="49"/>
      <c r="DX127" s="7"/>
    </row>
    <row r="128" spans="1:128" ht="21" customHeight="1" thickBot="1" x14ac:dyDescent="0.5">
      <c r="B128" s="710">
        <v>19</v>
      </c>
      <c r="C128" s="711"/>
      <c r="D128" s="744">
        <v>0</v>
      </c>
      <c r="E128" s="712" t="s">
        <v>72</v>
      </c>
      <c r="F128" s="713">
        <f t="shared" si="16"/>
        <v>0.3</v>
      </c>
      <c r="G128" s="713">
        <f t="shared" si="38"/>
        <v>0.3</v>
      </c>
      <c r="H128" s="714">
        <v>190.76</v>
      </c>
      <c r="I128" s="715">
        <v>79.651040199999997</v>
      </c>
      <c r="J128" s="716">
        <f t="shared" si="17"/>
        <v>79.651040199999997</v>
      </c>
      <c r="K128" s="716">
        <f t="shared" si="18"/>
        <v>39.825520099999999</v>
      </c>
      <c r="L128" s="716">
        <f t="shared" si="5"/>
        <v>0.64045183696587837</v>
      </c>
      <c r="M128" s="716">
        <f t="shared" si="6"/>
        <v>122.17259241961095</v>
      </c>
      <c r="N128" s="716">
        <f t="shared" si="7"/>
        <v>244.3451848392219</v>
      </c>
      <c r="O128" s="716">
        <f>+C110+D111+D112+D113+D114+D115+D116+D117+D118+D119+D120+D121+D122+D123+D124+D125+D126+D127+(D128/2)</f>
        <v>0</v>
      </c>
      <c r="P128" s="716">
        <f t="shared" si="8"/>
        <v>0</v>
      </c>
      <c r="Q128" s="716">
        <f t="shared" si="9"/>
        <v>0</v>
      </c>
      <c r="R128" s="716">
        <f t="shared" si="19"/>
        <v>146.5</v>
      </c>
      <c r="S128" s="716">
        <f t="shared" si="36"/>
        <v>146.5</v>
      </c>
      <c r="T128" s="717">
        <f t="shared" si="10"/>
        <v>146.5</v>
      </c>
      <c r="U128" s="718"/>
      <c r="V128" s="719">
        <f t="shared" si="11"/>
        <v>0</v>
      </c>
      <c r="W128" s="719"/>
      <c r="X128" s="719"/>
      <c r="Y128" s="719"/>
      <c r="Z128" s="719"/>
      <c r="AA128" s="719"/>
      <c r="AB128" s="1977" t="str">
        <f t="shared" si="12"/>
        <v>pin in groundstacking hole</v>
      </c>
      <c r="AC128" s="721" t="b">
        <f>IF(AD128=19,AF128)</f>
        <v>0</v>
      </c>
      <c r="AD128" s="721">
        <f t="shared" si="20"/>
        <v>1</v>
      </c>
      <c r="AE128" s="721">
        <f>IF(V128=0,0,19)</f>
        <v>0</v>
      </c>
      <c r="AF128" s="719">
        <f>SUM(V128:V133)/($B$107-B127)</f>
        <v>0</v>
      </c>
      <c r="AG128" s="719"/>
      <c r="AH128" s="722">
        <f>SUM(D110:D128)+$C$110</f>
        <v>0</v>
      </c>
      <c r="AI128" s="723" t="b">
        <f t="shared" si="21"/>
        <v>0</v>
      </c>
      <c r="AJ128" s="724">
        <f t="shared" si="22"/>
        <v>69.344714800000006</v>
      </c>
      <c r="AK128" s="725">
        <f t="shared" si="13"/>
        <v>0.93571960494171247</v>
      </c>
      <c r="AL128" s="724">
        <f t="shared" si="23"/>
        <v>180.0511663828843</v>
      </c>
      <c r="AM128" s="724">
        <f t="shared" si="24"/>
        <v>50.174479900000001</v>
      </c>
      <c r="AN128" s="726">
        <f t="shared" si="25"/>
        <v>0.76799833627881664</v>
      </c>
      <c r="AO128" s="724">
        <f t="shared" si="26"/>
        <v>146.50336262854705</v>
      </c>
      <c r="AP128" s="727">
        <f t="shared" si="27"/>
        <v>-100.7961833392018</v>
      </c>
      <c r="AQ128" s="724">
        <f t="shared" si="28"/>
        <v>-433.5</v>
      </c>
      <c r="AR128" s="728">
        <f t="shared" si="29"/>
        <v>-276</v>
      </c>
      <c r="AS128" s="729">
        <f t="shared" si="30"/>
        <v>326.55452901143133</v>
      </c>
      <c r="AT128" s="719">
        <f t="shared" si="37"/>
        <v>-146.50336262854705</v>
      </c>
      <c r="AU128" s="730">
        <f t="shared" si="31"/>
        <v>45.707179289345248</v>
      </c>
      <c r="AV128" s="719"/>
      <c r="AW128" s="731">
        <f t="shared" si="32"/>
        <v>-237.36883624903672</v>
      </c>
      <c r="AX128" s="731">
        <f t="shared" si="33"/>
        <v>-38.631163750963267</v>
      </c>
      <c r="AY128" s="732">
        <f t="shared" si="14"/>
        <v>-48.869094120804476</v>
      </c>
      <c r="AZ128" s="732">
        <f t="shared" si="15"/>
        <v>-258.85836793489426</v>
      </c>
      <c r="BA128" s="1968">
        <f t="shared" si="34"/>
        <v>48.869094120804476</v>
      </c>
      <c r="BB128" s="1968">
        <f t="shared" si="34"/>
        <v>258.85836793489426</v>
      </c>
      <c r="BC128">
        <f t="shared" si="35"/>
        <v>0.3</v>
      </c>
      <c r="BG128" s="27"/>
      <c r="BH128" s="27"/>
      <c r="BI128" s="42"/>
      <c r="BK128" s="1754"/>
      <c r="BL128" s="1754"/>
      <c r="BM128" s="1754"/>
      <c r="DC128" s="33"/>
      <c r="DD128" s="10"/>
      <c r="DE128" s="10"/>
      <c r="DF128" s="10"/>
      <c r="DG128" s="10"/>
      <c r="DH128" s="10"/>
      <c r="DI128" s="10"/>
      <c r="DJ128" s="49"/>
      <c r="DK128" s="49"/>
      <c r="DL128" s="49"/>
      <c r="DM128" s="49"/>
      <c r="DN128" s="49"/>
      <c r="DO128" s="49"/>
      <c r="DP128" s="49"/>
      <c r="DQ128" s="49"/>
      <c r="DR128" s="49"/>
      <c r="DS128" s="49"/>
      <c r="DT128" s="49"/>
      <c r="DU128" s="49"/>
      <c r="DV128" s="49"/>
      <c r="DW128" s="49"/>
      <c r="DX128" s="7"/>
    </row>
    <row r="129" spans="2:140" ht="21" customHeight="1" thickBot="1" x14ac:dyDescent="0.5">
      <c r="B129" s="88">
        <v>20</v>
      </c>
      <c r="C129" s="20"/>
      <c r="D129" s="738">
        <v>0</v>
      </c>
      <c r="E129" s="333" t="s">
        <v>72</v>
      </c>
      <c r="F129" s="81">
        <f t="shared" si="16"/>
        <v>0.3</v>
      </c>
      <c r="G129" s="81">
        <f t="shared" si="38"/>
        <v>0.3</v>
      </c>
      <c r="H129" s="299">
        <v>190.76</v>
      </c>
      <c r="I129" s="318">
        <v>79.651040199999997</v>
      </c>
      <c r="J129" s="251">
        <f t="shared" si="17"/>
        <v>79.651040199999997</v>
      </c>
      <c r="K129" s="251">
        <f t="shared" si="18"/>
        <v>39.825520099999999</v>
      </c>
      <c r="L129" s="251">
        <f t="shared" si="5"/>
        <v>0.64045183696587837</v>
      </c>
      <c r="M129" s="251">
        <f t="shared" si="6"/>
        <v>122.17259241961095</v>
      </c>
      <c r="N129" s="251">
        <f t="shared" si="7"/>
        <v>244.3451848392219</v>
      </c>
      <c r="O129" s="251">
        <f>+C110+D111+D112+D113+D114+D115+D116+D117+D118+D119+D120+D121+D122+D123+D124+D125+D126+D127+D128+(D129/2)</f>
        <v>0</v>
      </c>
      <c r="P129" s="251">
        <f t="shared" si="8"/>
        <v>0</v>
      </c>
      <c r="Q129" s="251">
        <f t="shared" si="9"/>
        <v>0</v>
      </c>
      <c r="R129" s="251">
        <f t="shared" si="19"/>
        <v>146.5</v>
      </c>
      <c r="S129" s="251">
        <f t="shared" si="36"/>
        <v>146.5</v>
      </c>
      <c r="T129" s="252">
        <f t="shared" si="10"/>
        <v>146.5</v>
      </c>
      <c r="U129" s="244"/>
      <c r="V129" s="282">
        <f t="shared" si="11"/>
        <v>0</v>
      </c>
      <c r="W129" s="282"/>
      <c r="X129" s="282"/>
      <c r="Y129" s="282"/>
      <c r="Z129" s="282"/>
      <c r="AA129" s="282"/>
      <c r="AB129" s="300" t="str">
        <f t="shared" si="12"/>
        <v>pin in groundstacking hole</v>
      </c>
      <c r="AC129" s="457" t="b">
        <f>IF(AD129=20,AF129)</f>
        <v>0</v>
      </c>
      <c r="AD129" s="457">
        <f t="shared" si="20"/>
        <v>1</v>
      </c>
      <c r="AE129" s="457">
        <f>IF(V129=0,0,20)</f>
        <v>0</v>
      </c>
      <c r="AF129" s="282">
        <f>SUM(V129:V133)/($B$107-B128)</f>
        <v>0</v>
      </c>
      <c r="AG129" s="282"/>
      <c r="AH129" s="301">
        <f>SUM(D111:D129)+$C$110</f>
        <v>0</v>
      </c>
      <c r="AI129" s="399" t="b">
        <f t="shared" si="21"/>
        <v>0</v>
      </c>
      <c r="AJ129" s="173">
        <f t="shared" si="22"/>
        <v>69.344714800000006</v>
      </c>
      <c r="AK129" s="284">
        <f t="shared" si="13"/>
        <v>0.93571960494171247</v>
      </c>
      <c r="AL129" s="174">
        <f t="shared" si="23"/>
        <v>180.0511663828843</v>
      </c>
      <c r="AM129" s="173">
        <f t="shared" si="24"/>
        <v>50.174479900000001</v>
      </c>
      <c r="AN129" s="285">
        <f t="shared" si="25"/>
        <v>0.76799833627881664</v>
      </c>
      <c r="AO129" s="174">
        <f t="shared" si="26"/>
        <v>146.50336262854705</v>
      </c>
      <c r="AP129" s="404">
        <f t="shared" si="27"/>
        <v>-92.271133007030514</v>
      </c>
      <c r="AQ129" s="174">
        <f t="shared" si="28"/>
        <v>-459</v>
      </c>
      <c r="AR129" s="287">
        <f t="shared" si="29"/>
        <v>-301.5</v>
      </c>
      <c r="AS129" s="288">
        <f t="shared" si="30"/>
        <v>326.55452901143133</v>
      </c>
      <c r="AT129" s="289">
        <f t="shared" si="37"/>
        <v>-146.50336262854705</v>
      </c>
      <c r="AU129" s="290">
        <f t="shared" si="31"/>
        <v>54.232229621516538</v>
      </c>
      <c r="AV129" s="289"/>
      <c r="AW129" s="291">
        <f t="shared" si="32"/>
        <v>-251.42867720932801</v>
      </c>
      <c r="AX129" s="291">
        <f t="shared" si="33"/>
        <v>-50.071322790671978</v>
      </c>
      <c r="AY129" s="292">
        <f t="shared" si="14"/>
        <v>-46.136344225930799</v>
      </c>
      <c r="AZ129" s="292">
        <f t="shared" si="15"/>
        <v>-199.71511521287286</v>
      </c>
      <c r="BA129" s="294">
        <f t="shared" si="34"/>
        <v>46.136344225930799</v>
      </c>
      <c r="BB129" s="294">
        <f t="shared" si="34"/>
        <v>199.71511521287286</v>
      </c>
      <c r="BC129">
        <f t="shared" si="35"/>
        <v>0.3</v>
      </c>
      <c r="BG129" s="27"/>
      <c r="BH129" s="27"/>
      <c r="BI129" s="42"/>
      <c r="BK129" s="1754"/>
      <c r="BL129" s="1754"/>
      <c r="BM129" s="1754"/>
      <c r="DC129" s="33"/>
      <c r="DD129" s="10"/>
      <c r="DE129" s="10"/>
      <c r="DF129" s="10"/>
      <c r="DG129" s="10"/>
      <c r="DH129" s="10"/>
      <c r="DI129" s="10"/>
      <c r="DJ129" s="49"/>
      <c r="DK129" s="49"/>
      <c r="DL129" s="49"/>
      <c r="DM129" s="49"/>
      <c r="DN129" s="49"/>
      <c r="DO129" s="49"/>
      <c r="DP129" s="49"/>
      <c r="DQ129" s="49"/>
      <c r="DR129" s="49"/>
      <c r="DS129" s="49"/>
      <c r="DT129" s="49"/>
      <c r="DU129" s="49"/>
      <c r="DV129" s="49"/>
      <c r="DW129" s="49"/>
      <c r="DX129" s="7"/>
    </row>
    <row r="130" spans="2:140" ht="21" customHeight="1" thickBot="1" x14ac:dyDescent="0.5">
      <c r="B130" s="88">
        <v>21</v>
      </c>
      <c r="C130" s="20"/>
      <c r="D130" s="738">
        <v>0</v>
      </c>
      <c r="E130" s="333" t="s">
        <v>72</v>
      </c>
      <c r="F130" s="81">
        <f t="shared" si="16"/>
        <v>0.3</v>
      </c>
      <c r="G130" s="81">
        <f t="shared" si="38"/>
        <v>0.3</v>
      </c>
      <c r="H130" s="299">
        <v>190.76</v>
      </c>
      <c r="I130" s="318">
        <v>79.651040199999997</v>
      </c>
      <c r="J130" s="251">
        <f t="shared" si="17"/>
        <v>79.651040199999997</v>
      </c>
      <c r="K130" s="251">
        <f t="shared" si="18"/>
        <v>39.825520099999999</v>
      </c>
      <c r="L130" s="251">
        <f t="shared" si="5"/>
        <v>0.64045183696587837</v>
      </c>
      <c r="M130" s="251">
        <f t="shared" si="6"/>
        <v>122.17259241961095</v>
      </c>
      <c r="N130" s="251">
        <f t="shared" si="7"/>
        <v>244.3451848392219</v>
      </c>
      <c r="O130" s="251">
        <f>+C110+D111+D112+D113+D114+D115+D116+D117+D118+D119+D120+D121+D122+D123+D124+D125+D126+D127+D128+D129+(D130/2)</f>
        <v>0</v>
      </c>
      <c r="P130" s="251">
        <f t="shared" si="8"/>
        <v>0</v>
      </c>
      <c r="Q130" s="251">
        <f t="shared" si="9"/>
        <v>0</v>
      </c>
      <c r="R130" s="251">
        <f t="shared" si="19"/>
        <v>146.5</v>
      </c>
      <c r="S130" s="251">
        <f t="shared" si="36"/>
        <v>146.5</v>
      </c>
      <c r="T130" s="252">
        <f t="shared" si="10"/>
        <v>146.5</v>
      </c>
      <c r="U130" s="244"/>
      <c r="V130" s="282">
        <f t="shared" si="11"/>
        <v>0</v>
      </c>
      <c r="W130" s="282"/>
      <c r="X130" s="282"/>
      <c r="Y130" s="282"/>
      <c r="Z130" s="282"/>
      <c r="AA130" s="282"/>
      <c r="AB130" s="300" t="str">
        <f>IF(AZ130&lt;0,"pin in groundstacking hole"," ")</f>
        <v>pin in groundstacking hole</v>
      </c>
      <c r="AC130" s="457" t="b">
        <f>IF(AD130=21,AF130)</f>
        <v>0</v>
      </c>
      <c r="AD130" s="457">
        <f t="shared" si="20"/>
        <v>1</v>
      </c>
      <c r="AE130" s="457">
        <f>IF(V130=0,0,21)</f>
        <v>0</v>
      </c>
      <c r="AF130" s="282">
        <f>SUM(V130:V133)/($B$107-B129)</f>
        <v>0</v>
      </c>
      <c r="AG130" s="282"/>
      <c r="AH130" s="301">
        <f>SUM(D111:D130)+$C$110</f>
        <v>0</v>
      </c>
      <c r="AI130" s="399" t="b">
        <f t="shared" si="21"/>
        <v>0</v>
      </c>
      <c r="AJ130" s="173">
        <f t="shared" si="22"/>
        <v>69.344714800000006</v>
      </c>
      <c r="AK130" s="284">
        <f t="shared" si="13"/>
        <v>0.93571960494171247</v>
      </c>
      <c r="AL130" s="174">
        <f t="shared" si="23"/>
        <v>180.0511663828843</v>
      </c>
      <c r="AM130" s="173">
        <f t="shared" si="24"/>
        <v>50.174479900000001</v>
      </c>
      <c r="AN130" s="285">
        <f t="shared" si="25"/>
        <v>0.76799833627881664</v>
      </c>
      <c r="AO130" s="174">
        <f t="shared" si="26"/>
        <v>146.50336262854705</v>
      </c>
      <c r="AP130" s="404">
        <f t="shared" si="27"/>
        <v>-85.075677680794186</v>
      </c>
      <c r="AQ130" s="174">
        <f t="shared" si="28"/>
        <v>-484.5</v>
      </c>
      <c r="AR130" s="287">
        <f t="shared" si="29"/>
        <v>-327</v>
      </c>
      <c r="AS130" s="288">
        <f t="shared" si="30"/>
        <v>326.55452901143133</v>
      </c>
      <c r="AT130" s="289">
        <f t="shared" si="37"/>
        <v>-146.50336262854705</v>
      </c>
      <c r="AU130" s="290">
        <f t="shared" si="31"/>
        <v>61.427684947752866</v>
      </c>
      <c r="AV130" s="289"/>
      <c r="AW130" s="291">
        <f t="shared" si="32"/>
        <v>-265.48851816961928</v>
      </c>
      <c r="AX130" s="291">
        <f t="shared" si="33"/>
        <v>-61.51148183038071</v>
      </c>
      <c r="AY130" s="292">
        <f t="shared" si="14"/>
        <v>-43.693038327890392</v>
      </c>
      <c r="AZ130" s="292">
        <f t="shared" si="15"/>
        <v>-162.57127453985296</v>
      </c>
      <c r="BA130" s="294">
        <f t="shared" si="34"/>
        <v>43.693038327890392</v>
      </c>
      <c r="BB130" s="294">
        <f t="shared" si="34"/>
        <v>162.57127453985296</v>
      </c>
      <c r="BC130">
        <f t="shared" si="35"/>
        <v>0.3</v>
      </c>
      <c r="BG130" s="27"/>
      <c r="BH130" s="27"/>
      <c r="BI130" s="42"/>
      <c r="BK130" s="1754"/>
      <c r="BL130" s="1754"/>
      <c r="BM130" s="1754"/>
      <c r="DW130" s="60"/>
      <c r="DX130" s="60"/>
      <c r="DY130" s="60"/>
      <c r="DZ130" s="60"/>
      <c r="EA130" s="60"/>
      <c r="EB130" s="60"/>
    </row>
    <row r="131" spans="2:140" ht="21" customHeight="1" thickBot="1" x14ac:dyDescent="0.5">
      <c r="B131" s="88">
        <v>22</v>
      </c>
      <c r="C131" s="20"/>
      <c r="D131" s="738">
        <v>0</v>
      </c>
      <c r="E131" s="333" t="s">
        <v>72</v>
      </c>
      <c r="F131" s="81">
        <f t="shared" si="16"/>
        <v>0.3</v>
      </c>
      <c r="G131" s="81">
        <f t="shared" si="38"/>
        <v>0.3</v>
      </c>
      <c r="H131" s="299">
        <v>190.76</v>
      </c>
      <c r="I131" s="318">
        <v>79.651040199999997</v>
      </c>
      <c r="J131" s="251">
        <f t="shared" si="17"/>
        <v>79.651040199999997</v>
      </c>
      <c r="K131" s="251">
        <f t="shared" si="18"/>
        <v>39.825520099999999</v>
      </c>
      <c r="L131" s="251">
        <f t="shared" si="5"/>
        <v>0.64045183696587837</v>
      </c>
      <c r="M131" s="251">
        <f t="shared" si="6"/>
        <v>122.17259241961095</v>
      </c>
      <c r="N131" s="251">
        <f t="shared" si="7"/>
        <v>244.3451848392219</v>
      </c>
      <c r="O131" s="251">
        <f>+C110+D111+D112+D113+D114+D115+D116+D117+D118+D119+D120+D121+D122+D123+D124+D125+D126+D127+D128+D129+D130+(D131/2)</f>
        <v>0</v>
      </c>
      <c r="P131" s="251">
        <f t="shared" si="8"/>
        <v>0</v>
      </c>
      <c r="Q131" s="251">
        <f t="shared" si="9"/>
        <v>0</v>
      </c>
      <c r="R131" s="251">
        <f t="shared" si="19"/>
        <v>146.5</v>
      </c>
      <c r="S131" s="251">
        <f t="shared" si="36"/>
        <v>146.5</v>
      </c>
      <c r="T131" s="252">
        <f t="shared" si="10"/>
        <v>146.5</v>
      </c>
      <c r="U131" s="244"/>
      <c r="V131" s="282">
        <f t="shared" si="11"/>
        <v>0</v>
      </c>
      <c r="W131" s="282"/>
      <c r="X131" s="282"/>
      <c r="Y131" s="282"/>
      <c r="Z131" s="282"/>
      <c r="AA131" s="282"/>
      <c r="AB131" s="300" t="str">
        <f t="shared" si="12"/>
        <v>pin in groundstacking hole</v>
      </c>
      <c r="AC131" s="457" t="b">
        <f>IF(AD131=22,AF131)</f>
        <v>0</v>
      </c>
      <c r="AD131" s="457">
        <f t="shared" si="20"/>
        <v>1</v>
      </c>
      <c r="AE131" s="457">
        <f>IF(V131=0,0,22)</f>
        <v>0</v>
      </c>
      <c r="AF131" s="282">
        <f>SUM(V131:V133)/($B$107-B130)</f>
        <v>0</v>
      </c>
      <c r="AG131" s="282"/>
      <c r="AH131" s="301">
        <f>SUM(D111:D131)+$C$110</f>
        <v>0</v>
      </c>
      <c r="AI131" s="399" t="b">
        <f t="shared" si="21"/>
        <v>0</v>
      </c>
      <c r="AJ131" s="173">
        <f t="shared" si="22"/>
        <v>69.344714800000006</v>
      </c>
      <c r="AK131" s="284">
        <f t="shared" si="13"/>
        <v>0.93571960494171247</v>
      </c>
      <c r="AL131" s="174">
        <f t="shared" si="23"/>
        <v>180.0511663828843</v>
      </c>
      <c r="AM131" s="173">
        <f t="shared" si="24"/>
        <v>50.174479900000001</v>
      </c>
      <c r="AN131" s="285">
        <f t="shared" si="25"/>
        <v>0.76799833627881664</v>
      </c>
      <c r="AO131" s="174">
        <f t="shared" si="26"/>
        <v>146.50336262854705</v>
      </c>
      <c r="AP131" s="404">
        <f t="shared" si="27"/>
        <v>-78.921266954949502</v>
      </c>
      <c r="AQ131" s="174">
        <f t="shared" si="28"/>
        <v>-510</v>
      </c>
      <c r="AR131" s="287">
        <f t="shared" si="29"/>
        <v>-352.5</v>
      </c>
      <c r="AS131" s="288">
        <f t="shared" si="30"/>
        <v>326.55452901143133</v>
      </c>
      <c r="AT131" s="289">
        <f t="shared" si="37"/>
        <v>-146.50336262854705</v>
      </c>
      <c r="AU131" s="290">
        <f t="shared" si="31"/>
        <v>67.58209567359755</v>
      </c>
      <c r="AV131" s="289"/>
      <c r="AW131" s="291">
        <f t="shared" si="32"/>
        <v>-279.54835912991052</v>
      </c>
      <c r="AX131" s="291">
        <f t="shared" si="33"/>
        <v>-72.95164087008942</v>
      </c>
      <c r="AY131" s="292">
        <f t="shared" si="14"/>
        <v>-41.495503805154861</v>
      </c>
      <c r="AZ131" s="292">
        <f t="shared" si="15"/>
        <v>-137.07710862607965</v>
      </c>
      <c r="BA131" s="294">
        <f t="shared" si="34"/>
        <v>41.495503805154861</v>
      </c>
      <c r="BB131" s="294">
        <f t="shared" si="34"/>
        <v>137.07710862607965</v>
      </c>
      <c r="BC131">
        <f t="shared" si="35"/>
        <v>0.3</v>
      </c>
      <c r="BG131" s="27"/>
      <c r="BH131" s="27"/>
      <c r="BI131" s="42"/>
      <c r="BK131" s="1754"/>
      <c r="BL131" s="1754"/>
      <c r="BM131" s="1754"/>
    </row>
    <row r="132" spans="2:140" ht="21" customHeight="1" thickBot="1" x14ac:dyDescent="0.35">
      <c r="B132" s="88">
        <v>23</v>
      </c>
      <c r="C132" s="20"/>
      <c r="D132" s="738">
        <v>0</v>
      </c>
      <c r="E132" s="333" t="s">
        <v>72</v>
      </c>
      <c r="F132" s="81">
        <f t="shared" si="16"/>
        <v>0.3</v>
      </c>
      <c r="G132" s="81">
        <f t="shared" si="38"/>
        <v>0.3</v>
      </c>
      <c r="H132" s="299">
        <v>190.76</v>
      </c>
      <c r="I132" s="318">
        <v>79.651040199999997</v>
      </c>
      <c r="J132" s="251">
        <f t="shared" si="17"/>
        <v>79.651040199999997</v>
      </c>
      <c r="K132" s="251">
        <f t="shared" si="18"/>
        <v>39.825520099999999</v>
      </c>
      <c r="L132" s="251">
        <f t="shared" si="5"/>
        <v>0.64045183696587837</v>
      </c>
      <c r="M132" s="251">
        <f t="shared" si="6"/>
        <v>122.17259241961095</v>
      </c>
      <c r="N132" s="251">
        <f t="shared" si="7"/>
        <v>244.3451848392219</v>
      </c>
      <c r="O132" s="251">
        <f>+C110+D111+D112+D113+D114+D115+D116+D117+D118+D119+D120+D121+D122+D123+D124+D125+D126+D127+D128+D129+D130+D131+(D132/2)</f>
        <v>0</v>
      </c>
      <c r="P132" s="251">
        <f t="shared" si="8"/>
        <v>0</v>
      </c>
      <c r="Q132" s="251">
        <f t="shared" si="9"/>
        <v>0</v>
      </c>
      <c r="R132" s="251">
        <f t="shared" si="19"/>
        <v>146.5</v>
      </c>
      <c r="S132" s="251">
        <f t="shared" si="36"/>
        <v>146.5</v>
      </c>
      <c r="T132" s="252">
        <f t="shared" si="10"/>
        <v>146.5</v>
      </c>
      <c r="U132" s="244"/>
      <c r="V132" s="282">
        <f t="shared" si="11"/>
        <v>0</v>
      </c>
      <c r="W132" s="282"/>
      <c r="X132" s="282"/>
      <c r="Y132" s="282"/>
      <c r="Z132" s="282"/>
      <c r="AA132" s="282"/>
      <c r="AB132" s="300" t="str">
        <f t="shared" si="12"/>
        <v>pin in groundstacking hole</v>
      </c>
      <c r="AC132" s="457" t="b">
        <f>IF(AD132=23,AF132)</f>
        <v>0</v>
      </c>
      <c r="AD132" s="457">
        <f t="shared" si="20"/>
        <v>1</v>
      </c>
      <c r="AE132" s="457">
        <f>IF(V132=0,0,23)</f>
        <v>0</v>
      </c>
      <c r="AF132" s="282">
        <f>SUM(V132:V133)/($B$107-B131)</f>
        <v>0</v>
      </c>
      <c r="AG132" s="282"/>
      <c r="AH132" s="301">
        <f>SUM(D111:D132)+$C$110</f>
        <v>0</v>
      </c>
      <c r="AI132" s="399" t="b">
        <f t="shared" si="21"/>
        <v>0</v>
      </c>
      <c r="AJ132" s="173">
        <f t="shared" si="22"/>
        <v>69.344714800000006</v>
      </c>
      <c r="AK132" s="284">
        <f t="shared" si="13"/>
        <v>0.93571960494171247</v>
      </c>
      <c r="AL132" s="174">
        <f t="shared" si="23"/>
        <v>180.0511663828843</v>
      </c>
      <c r="AM132" s="173">
        <f t="shared" si="24"/>
        <v>50.174479900000001</v>
      </c>
      <c r="AN132" s="285">
        <f t="shared" si="25"/>
        <v>0.76799833627881664</v>
      </c>
      <c r="AO132" s="174">
        <f t="shared" si="26"/>
        <v>146.50336262854705</v>
      </c>
      <c r="AP132" s="404">
        <f t="shared" si="27"/>
        <v>-73.59721323179815</v>
      </c>
      <c r="AQ132" s="174">
        <f t="shared" si="28"/>
        <v>-535.5</v>
      </c>
      <c r="AR132" s="287">
        <f t="shared" si="29"/>
        <v>-378</v>
      </c>
      <c r="AS132" s="288">
        <f t="shared" si="30"/>
        <v>326.55452901143133</v>
      </c>
      <c r="AT132" s="289">
        <f t="shared" si="37"/>
        <v>-146.50336262854705</v>
      </c>
      <c r="AU132" s="290">
        <f t="shared" si="31"/>
        <v>72.906149396748901</v>
      </c>
      <c r="AV132" s="289"/>
      <c r="AW132" s="291">
        <f t="shared" si="32"/>
        <v>-293.60820009020188</v>
      </c>
      <c r="AX132" s="291">
        <f t="shared" si="33"/>
        <v>-84.391799909798138</v>
      </c>
      <c r="AY132" s="292">
        <f t="shared" si="14"/>
        <v>-39.508433335432272</v>
      </c>
      <c r="AZ132" s="292">
        <f t="shared" si="15"/>
        <v>-118.494924989021</v>
      </c>
      <c r="BA132" s="294">
        <f t="shared" si="34"/>
        <v>39.508433335432272</v>
      </c>
      <c r="BB132" s="294">
        <f t="shared" si="34"/>
        <v>118.494924989021</v>
      </c>
      <c r="BC132">
        <f t="shared" si="35"/>
        <v>0.3</v>
      </c>
      <c r="BG132" s="27"/>
      <c r="BH132" s="27"/>
      <c r="DC132" s="42"/>
    </row>
    <row r="133" spans="2:140" ht="21" customHeight="1" thickBot="1" x14ac:dyDescent="0.35">
      <c r="B133" s="88">
        <v>24</v>
      </c>
      <c r="C133" s="20"/>
      <c r="D133" s="738">
        <v>0</v>
      </c>
      <c r="E133" s="333" t="s">
        <v>72</v>
      </c>
      <c r="F133" s="81">
        <f t="shared" si="16"/>
        <v>0.3</v>
      </c>
      <c r="G133" s="81">
        <f t="shared" si="38"/>
        <v>0.3</v>
      </c>
      <c r="H133" s="299">
        <v>190.76</v>
      </c>
      <c r="I133" s="318">
        <v>79.651040199999997</v>
      </c>
      <c r="J133" s="251">
        <f t="shared" si="17"/>
        <v>79.651040199999997</v>
      </c>
      <c r="K133" s="251">
        <f t="shared" si="18"/>
        <v>39.825520099999999</v>
      </c>
      <c r="L133" s="251">
        <f t="shared" si="5"/>
        <v>0.64045183696587837</v>
      </c>
      <c r="M133" s="251">
        <f t="shared" si="6"/>
        <v>122.17259241961095</v>
      </c>
      <c r="N133" s="251">
        <f t="shared" si="7"/>
        <v>244.3451848392219</v>
      </c>
      <c r="O133" s="251">
        <f>+SUM(D111:D132)+(D133/2)+C110</f>
        <v>0</v>
      </c>
      <c r="P133" s="251">
        <f t="shared" si="8"/>
        <v>0</v>
      </c>
      <c r="Q133" s="251">
        <f t="shared" si="9"/>
        <v>0</v>
      </c>
      <c r="R133" s="251">
        <f t="shared" si="19"/>
        <v>146.5</v>
      </c>
      <c r="S133" s="251">
        <f t="shared" si="36"/>
        <v>146.5</v>
      </c>
      <c r="T133" s="252">
        <f t="shared" si="10"/>
        <v>146.5</v>
      </c>
      <c r="U133" s="244"/>
      <c r="V133" s="282">
        <f t="shared" si="11"/>
        <v>0</v>
      </c>
      <c r="W133" s="282"/>
      <c r="X133" s="282"/>
      <c r="Y133" s="282"/>
      <c r="Z133" s="282"/>
      <c r="AA133" s="282"/>
      <c r="AB133" s="300" t="str">
        <f t="shared" si="12"/>
        <v>pin in groundstacking hole</v>
      </c>
      <c r="AC133" s="457" t="b">
        <f>IF(AD133=24,AF133)</f>
        <v>0</v>
      </c>
      <c r="AD133" s="457">
        <f t="shared" si="20"/>
        <v>1</v>
      </c>
      <c r="AE133" s="457">
        <f>IF(V133=0,0,24)</f>
        <v>0</v>
      </c>
      <c r="AF133" s="282">
        <f>SUM(V133)/($B$107-B132)</f>
        <v>0</v>
      </c>
      <c r="AG133" s="282"/>
      <c r="AH133" s="301">
        <f>SUM(D111:D133)+$C$110</f>
        <v>0</v>
      </c>
      <c r="AI133" s="399" t="b">
        <f t="shared" si="21"/>
        <v>0</v>
      </c>
      <c r="AJ133" s="173">
        <f t="shared" si="22"/>
        <v>69.344714800000006</v>
      </c>
      <c r="AK133" s="284">
        <f t="shared" si="13"/>
        <v>0.93571960494171247</v>
      </c>
      <c r="AL133" s="174">
        <f t="shared" si="23"/>
        <v>180.0511663828843</v>
      </c>
      <c r="AM133" s="173">
        <f t="shared" si="24"/>
        <v>50.174479900000001</v>
      </c>
      <c r="AN133" s="285">
        <f t="shared" si="25"/>
        <v>0.76799833627881664</v>
      </c>
      <c r="AO133" s="174">
        <f t="shared" si="26"/>
        <v>146.50336262854705</v>
      </c>
      <c r="AP133" s="404">
        <f t="shared" si="27"/>
        <v>-68.946088232019079</v>
      </c>
      <c r="AQ133" s="174">
        <f t="shared" si="28"/>
        <v>-561</v>
      </c>
      <c r="AR133" s="287">
        <f t="shared" si="29"/>
        <v>-403.5</v>
      </c>
      <c r="AS133" s="288">
        <f t="shared" si="30"/>
        <v>326.55452901143133</v>
      </c>
      <c r="AT133" s="289">
        <f t="shared" si="37"/>
        <v>-146.50336262854705</v>
      </c>
      <c r="AU133" s="290">
        <f t="shared" si="31"/>
        <v>77.557274396527973</v>
      </c>
      <c r="AV133" s="289"/>
      <c r="AW133" s="291">
        <f t="shared" si="32"/>
        <v>-307.66804105049312</v>
      </c>
      <c r="AX133" s="291">
        <f t="shared" si="33"/>
        <v>-95.83195894950687</v>
      </c>
      <c r="AY133" s="292">
        <f t="shared" si="14"/>
        <v>-37.7029735047985</v>
      </c>
      <c r="AZ133" s="292">
        <f t="shared" si="15"/>
        <v>-104.34932260196125</v>
      </c>
      <c r="BA133" s="294">
        <f t="shared" si="34"/>
        <v>37.7029735047985</v>
      </c>
      <c r="BB133" s="294">
        <f t="shared" si="34"/>
        <v>104.34932260196125</v>
      </c>
      <c r="BC133">
        <f t="shared" si="35"/>
        <v>0.3</v>
      </c>
      <c r="BG133" s="27"/>
      <c r="BH133" s="27"/>
      <c r="DC133" s="42"/>
    </row>
    <row r="134" spans="2:140" s="15" customFormat="1" ht="21" customHeight="1" thickBot="1" x14ac:dyDescent="0.35">
      <c r="B134" s="358"/>
      <c r="C134" s="358"/>
      <c r="D134" s="359"/>
      <c r="E134" s="359"/>
      <c r="F134" s="359"/>
      <c r="G134" s="359"/>
      <c r="H134" s="265"/>
      <c r="I134" s="265"/>
      <c r="J134" s="265"/>
      <c r="K134" s="265"/>
      <c r="L134" s="265"/>
      <c r="M134" s="265"/>
      <c r="N134" s="265"/>
      <c r="O134" s="265"/>
      <c r="P134" s="265"/>
      <c r="Q134" s="265"/>
      <c r="R134" s="265"/>
      <c r="S134" s="265"/>
      <c r="T134" s="265"/>
      <c r="U134" s="265"/>
      <c r="V134" s="360"/>
      <c r="W134" s="360"/>
      <c r="X134" s="360"/>
      <c r="Y134" s="360"/>
      <c r="Z134" s="360"/>
      <c r="AA134" s="360"/>
      <c r="AB134" s="361"/>
      <c r="AC134" s="361"/>
      <c r="AD134" s="361"/>
      <c r="AE134" s="361"/>
      <c r="AF134" s="360"/>
      <c r="AG134" s="360"/>
      <c r="AH134" s="360"/>
      <c r="AI134" s="360"/>
      <c r="AJ134" s="359"/>
      <c r="AK134" s="362"/>
      <c r="AL134" s="363"/>
      <c r="AM134" s="359"/>
      <c r="AN134" s="362"/>
      <c r="AO134" s="363"/>
      <c r="AP134" s="364"/>
      <c r="AQ134" s="363"/>
      <c r="AR134" s="364"/>
      <c r="AS134" s="364"/>
      <c r="AT134" s="364"/>
      <c r="AU134" s="364"/>
      <c r="AV134" s="364"/>
      <c r="AW134" s="364"/>
      <c r="AX134" s="364"/>
      <c r="AY134" s="365"/>
      <c r="AZ134" s="365"/>
      <c r="BA134" s="365"/>
      <c r="BB134" s="365"/>
      <c r="BG134" s="357"/>
      <c r="BH134" s="357"/>
      <c r="BI134"/>
      <c r="BJ134" s="1550"/>
      <c r="BK134" s="1550"/>
      <c r="BL134" s="1550"/>
      <c r="BM134" s="1550"/>
      <c r="BN134" s="1550"/>
      <c r="BO134" s="1550"/>
      <c r="BP134" s="1550"/>
      <c r="BQ134" s="1550"/>
      <c r="BR134" s="1550"/>
      <c r="BS134" s="1550"/>
      <c r="BT134" s="1550"/>
      <c r="BU134" s="1550"/>
      <c r="BV134" s="1550"/>
      <c r="BW134" s="1550"/>
      <c r="BX134" s="1550"/>
      <c r="BY134" s="1550"/>
      <c r="BZ134" s="1550"/>
      <c r="CA134" s="1550"/>
      <c r="CB134" s="1550"/>
      <c r="CC134" s="1550"/>
      <c r="CD134" s="1550"/>
      <c r="CE134" s="1550"/>
      <c r="CF134" s="1550"/>
      <c r="CG134" s="1550"/>
      <c r="CH134" s="1550"/>
      <c r="CI134" s="1550"/>
      <c r="CJ134" s="1550"/>
      <c r="CK134" s="1550"/>
      <c r="CL134" s="1550"/>
      <c r="CM134" s="1550"/>
      <c r="CN134" s="1550"/>
      <c r="CO134" s="1550"/>
      <c r="CP134" s="1550"/>
      <c r="CQ134" s="1550"/>
      <c r="CR134" s="1550"/>
      <c r="CS134" s="1550"/>
      <c r="CT134" s="1550"/>
      <c r="CU134" s="1550"/>
      <c r="CV134" s="1550"/>
      <c r="CW134" s="1550"/>
      <c r="CX134" s="1550"/>
      <c r="CY134" s="1550"/>
      <c r="CZ134" s="1550"/>
      <c r="DA134" s="1550"/>
      <c r="DB134" s="1550"/>
      <c r="DC134" s="356"/>
    </row>
    <row r="135" spans="2:140" s="15" customFormat="1" ht="41.25" customHeight="1" thickBot="1" x14ac:dyDescent="0.45">
      <c r="B135" s="2043" t="s">
        <v>248</v>
      </c>
      <c r="C135" s="358"/>
      <c r="D135" s="359"/>
      <c r="E135" s="359"/>
      <c r="F135" s="359"/>
      <c r="G135" s="359"/>
      <c r="H135" s="265"/>
      <c r="I135" s="265"/>
      <c r="J135" s="265"/>
      <c r="K135" s="265"/>
      <c r="L135" s="265"/>
      <c r="M135" s="265"/>
      <c r="N135" s="265"/>
      <c r="O135" s="265"/>
      <c r="P135" s="265"/>
      <c r="Q135" s="265"/>
      <c r="R135" s="265"/>
      <c r="S135" s="265"/>
      <c r="T135" s="265"/>
      <c r="U135" s="265"/>
      <c r="V135" s="360"/>
      <c r="W135" s="360"/>
      <c r="X135" s="360"/>
      <c r="Y135" s="360"/>
      <c r="Z135" s="360"/>
      <c r="AA135" s="360"/>
      <c r="AB135" s="361"/>
      <c r="AC135" s="361"/>
      <c r="AD135" s="361"/>
      <c r="AE135" s="361"/>
      <c r="AF135" s="360"/>
      <c r="AG135" s="360"/>
      <c r="AH135" s="383" t="s">
        <v>125</v>
      </c>
      <c r="AI135" s="371">
        <f>MAX(AI110:AI133)</f>
        <v>0</v>
      </c>
      <c r="AJ135" s="359"/>
      <c r="AK135" s="362"/>
      <c r="AL135" s="363"/>
      <c r="AM135" s="359"/>
      <c r="AN135" s="362"/>
      <c r="AO135" s="363"/>
      <c r="AP135" s="364"/>
      <c r="AQ135" s="363"/>
      <c r="AR135" s="364"/>
      <c r="AS135" s="364"/>
      <c r="AT135" s="364"/>
      <c r="AU135" s="364"/>
      <c r="AV135" s="364"/>
      <c r="AW135" s="364"/>
      <c r="AX135" s="364"/>
      <c r="AY135" s="365"/>
      <c r="AZ135" s="365"/>
      <c r="BA135" s="365"/>
      <c r="BB135" s="365"/>
      <c r="BG135" s="357"/>
      <c r="BH135" s="357"/>
      <c r="BI135"/>
      <c r="BJ135" s="1550"/>
      <c r="BK135" s="1550"/>
      <c r="BL135" s="1550"/>
      <c r="BM135" s="1550"/>
      <c r="BN135" s="1550"/>
      <c r="BO135" s="1550"/>
      <c r="BP135" s="1550"/>
      <c r="BQ135" s="1550"/>
      <c r="BR135" s="1550"/>
      <c r="BS135" s="1550"/>
      <c r="BT135" s="1550"/>
      <c r="BU135" s="1550"/>
      <c r="BV135" s="1550"/>
      <c r="BW135" s="1550"/>
      <c r="BX135" s="1550"/>
      <c r="BY135" s="1550"/>
      <c r="BZ135" s="1550"/>
      <c r="CA135" s="1550"/>
      <c r="CB135" s="1550"/>
      <c r="CC135" s="1550"/>
      <c r="CD135" s="1550"/>
      <c r="CE135" s="1550"/>
      <c r="CF135" s="1550"/>
      <c r="CG135" s="1550"/>
      <c r="CH135" s="1550"/>
      <c r="CI135" s="1550"/>
      <c r="CJ135" s="1550"/>
      <c r="CK135" s="1550"/>
      <c r="CL135" s="1550"/>
      <c r="CM135" s="1550"/>
      <c r="CN135" s="1550"/>
      <c r="CO135" s="1550"/>
      <c r="CP135" s="1550"/>
      <c r="CQ135" s="1550"/>
      <c r="CR135" s="1550"/>
      <c r="CS135" s="1550"/>
      <c r="CT135" s="1550"/>
      <c r="CU135" s="1550"/>
      <c r="CV135" s="1550"/>
      <c r="CW135" s="1550"/>
      <c r="CX135" s="1550"/>
      <c r="CY135" s="1550"/>
      <c r="CZ135" s="1550"/>
      <c r="DA135" s="1550"/>
      <c r="DB135" s="1550"/>
      <c r="DC135" s="356"/>
    </row>
    <row r="136" spans="2:140" s="15" customFormat="1" ht="37.5" customHeight="1" thickBot="1" x14ac:dyDescent="0.35">
      <c r="B136" s="2044"/>
      <c r="D136" s="359"/>
      <c r="E136" s="359"/>
      <c r="F136" s="359"/>
      <c r="G136" s="359"/>
      <c r="H136" s="265"/>
      <c r="I136" s="265"/>
      <c r="J136" s="265"/>
      <c r="K136" s="265"/>
      <c r="L136" s="265"/>
      <c r="M136" s="265"/>
      <c r="N136" s="265"/>
      <c r="O136" s="265"/>
      <c r="P136" s="265"/>
      <c r="Q136" s="265"/>
      <c r="R136" s="265"/>
      <c r="S136" s="265"/>
      <c r="T136" s="265"/>
      <c r="U136" s="265"/>
      <c r="V136" s="360"/>
      <c r="W136" s="360"/>
      <c r="X136" s="360"/>
      <c r="Y136" s="360"/>
      <c r="Z136" s="360"/>
      <c r="AA136" s="360"/>
      <c r="AB136" s="361"/>
      <c r="AC136" s="361"/>
      <c r="AD136" s="361"/>
      <c r="AE136" s="361"/>
      <c r="AF136" s="360"/>
      <c r="AG136" s="360"/>
      <c r="AH136" s="360"/>
      <c r="AI136" s="360"/>
      <c r="AJ136" s="359"/>
      <c r="AK136" s="362"/>
      <c r="AL136" s="363"/>
      <c r="AM136" s="359"/>
      <c r="AN136" s="362"/>
      <c r="AO136" s="363"/>
      <c r="AP136" s="364"/>
      <c r="AQ136" s="363"/>
      <c r="AR136" s="364"/>
      <c r="AS136" s="364"/>
      <c r="AT136" s="364"/>
      <c r="AU136" s="364"/>
      <c r="AV136" s="364"/>
      <c r="AW136" s="364"/>
      <c r="AX136" s="364"/>
      <c r="AY136" s="365"/>
      <c r="AZ136" s="365"/>
      <c r="BA136" s="365"/>
      <c r="BB136" s="365"/>
      <c r="BG136" s="357"/>
      <c r="BH136" s="357"/>
      <c r="BI136"/>
      <c r="BJ136" s="1550"/>
      <c r="BK136" s="1550"/>
      <c r="BL136" s="1550"/>
      <c r="BM136" s="1550"/>
      <c r="BN136" s="1550"/>
      <c r="BO136" s="1550"/>
      <c r="BP136" s="1550"/>
      <c r="BQ136" s="1550"/>
      <c r="BR136" s="1550"/>
      <c r="BS136" s="1550"/>
      <c r="BT136" s="1550"/>
      <c r="BU136" s="1550"/>
      <c r="BV136" s="1550"/>
      <c r="BW136" s="1550"/>
      <c r="BX136" s="1550"/>
      <c r="BY136" s="1550"/>
      <c r="BZ136" s="1550"/>
      <c r="CA136" s="1550"/>
      <c r="CB136" s="1550"/>
      <c r="CC136" s="1550"/>
      <c r="CD136" s="1550"/>
      <c r="CE136" s="1550"/>
      <c r="CF136" s="1550"/>
      <c r="CG136" s="1550"/>
      <c r="CH136" s="1550"/>
      <c r="CI136" s="1550"/>
      <c r="CJ136" s="1550"/>
      <c r="CK136" s="1550"/>
      <c r="CL136" s="1550"/>
      <c r="CM136" s="1550"/>
      <c r="CN136" s="1550"/>
      <c r="CO136" s="1550"/>
      <c r="CP136" s="1550"/>
      <c r="CQ136" s="1550"/>
      <c r="CR136" s="1550"/>
      <c r="CS136" s="1550"/>
      <c r="CT136" s="1550"/>
      <c r="CU136" s="1550"/>
      <c r="CV136" s="1550"/>
      <c r="CW136" s="1550"/>
      <c r="CX136" s="1550"/>
      <c r="CY136" s="1550"/>
      <c r="CZ136" s="1550"/>
      <c r="DA136" s="1550"/>
      <c r="DB136" s="1550"/>
      <c r="DC136" s="356"/>
    </row>
    <row r="137" spans="2:140" s="15" customFormat="1" ht="37.5" customHeight="1" thickBot="1" x14ac:dyDescent="0.35">
      <c r="B137" s="741">
        <v>0</v>
      </c>
      <c r="C137" s="358"/>
      <c r="D137" s="359"/>
      <c r="E137" s="359"/>
      <c r="F137" s="359"/>
      <c r="G137" s="359"/>
      <c r="H137" s="265"/>
      <c r="I137" s="265"/>
      <c r="J137" s="265"/>
      <c r="K137" s="265"/>
      <c r="L137" s="265"/>
      <c r="M137" s="265"/>
      <c r="N137" s="265"/>
      <c r="O137" s="265"/>
      <c r="P137" s="265"/>
      <c r="Q137" s="265"/>
      <c r="R137" s="265"/>
      <c r="S137" s="265"/>
      <c r="T137" s="265"/>
      <c r="U137" s="265"/>
      <c r="V137" s="360"/>
      <c r="W137" s="360"/>
      <c r="X137" s="360"/>
      <c r="Y137" s="360"/>
      <c r="Z137" s="360"/>
      <c r="AA137" s="360"/>
      <c r="AB137" s="361"/>
      <c r="AC137" s="361"/>
      <c r="AD137" s="361"/>
      <c r="AE137" s="361"/>
      <c r="AF137" s="360"/>
      <c r="AG137" s="360"/>
      <c r="AH137" s="360"/>
      <c r="AI137" s="360"/>
      <c r="AJ137" s="359"/>
      <c r="AK137" s="362"/>
      <c r="AL137" s="363"/>
      <c r="AM137" s="359"/>
      <c r="AN137" s="362"/>
      <c r="AO137" s="363"/>
      <c r="AP137" s="364"/>
      <c r="AQ137" s="363"/>
      <c r="AR137" s="364"/>
      <c r="AS137" s="364"/>
      <c r="AT137" s="364"/>
      <c r="AU137" s="364"/>
      <c r="AV137" s="364"/>
      <c r="AW137" s="364"/>
      <c r="AX137" s="364"/>
      <c r="AY137" s="365"/>
      <c r="AZ137" s="365"/>
      <c r="BA137" s="365"/>
      <c r="BB137" s="365"/>
      <c r="BG137" s="357"/>
      <c r="BH137" s="357"/>
      <c r="BI137"/>
      <c r="BJ137" s="1550"/>
      <c r="BK137" s="1550"/>
      <c r="BL137" s="1550"/>
      <c r="BM137" s="1550"/>
      <c r="BN137" s="1550"/>
      <c r="BO137" s="1550"/>
      <c r="BP137" s="1550"/>
      <c r="BQ137" s="1550"/>
      <c r="BR137" s="1550"/>
      <c r="BS137" s="1550"/>
      <c r="BT137" s="1550"/>
      <c r="BU137" s="1550"/>
      <c r="BV137" s="1550"/>
      <c r="BW137" s="1550"/>
      <c r="BX137" s="1550"/>
      <c r="BY137" s="1550"/>
      <c r="BZ137" s="1550"/>
      <c r="CA137" s="1550"/>
      <c r="CB137" s="1550"/>
      <c r="CC137" s="1550"/>
      <c r="CD137" s="1550"/>
      <c r="CE137" s="1550"/>
      <c r="CF137" s="1550"/>
      <c r="CG137" s="1550"/>
      <c r="CH137" s="1550"/>
      <c r="CI137" s="1550"/>
      <c r="CJ137" s="1550"/>
      <c r="CK137" s="1550"/>
      <c r="CL137" s="1550"/>
      <c r="CM137" s="1550"/>
      <c r="CN137" s="1550"/>
      <c r="CO137" s="1550"/>
      <c r="CP137" s="1550"/>
      <c r="CQ137" s="1550"/>
      <c r="CR137" s="1550"/>
      <c r="CS137" s="1550"/>
      <c r="CT137" s="1550"/>
      <c r="CU137" s="1550"/>
      <c r="CV137" s="1550"/>
      <c r="CW137" s="1550"/>
      <c r="CX137" s="1550"/>
      <c r="CY137" s="1550"/>
      <c r="CZ137" s="1550"/>
      <c r="DA137" s="1550"/>
      <c r="DB137" s="1550"/>
      <c r="DC137" s="356"/>
    </row>
    <row r="138" spans="2:140" s="15" customFormat="1" ht="21" customHeight="1" thickBot="1" x14ac:dyDescent="0.35">
      <c r="B138" s="358"/>
      <c r="C138" s="358"/>
      <c r="D138" s="359"/>
      <c r="E138" s="359"/>
      <c r="F138" s="359"/>
      <c r="G138" s="359"/>
      <c r="H138" s="265"/>
      <c r="I138" s="265"/>
      <c r="J138" s="265"/>
      <c r="K138" s="265"/>
      <c r="L138" s="265"/>
      <c r="M138" s="265"/>
      <c r="N138" s="265"/>
      <c r="O138" s="265"/>
      <c r="P138" s="265"/>
      <c r="Q138" s="265"/>
      <c r="R138" s="265"/>
      <c r="S138" s="265"/>
      <c r="T138" s="265"/>
      <c r="U138" s="265"/>
      <c r="V138" s="360"/>
      <c r="W138" s="360"/>
      <c r="X138" s="360"/>
      <c r="Y138" s="360"/>
      <c r="Z138" s="360"/>
      <c r="AA138" s="360"/>
      <c r="AB138" s="361"/>
      <c r="AC138" s="361"/>
      <c r="AD138" s="361"/>
      <c r="AE138" s="361"/>
      <c r="AF138" s="360"/>
      <c r="AG138" s="360"/>
      <c r="AH138" s="360"/>
      <c r="AI138" s="360"/>
      <c r="AJ138" s="359"/>
      <c r="AK138" s="362"/>
      <c r="AL138" s="363"/>
      <c r="AM138" s="359"/>
      <c r="AN138" s="362"/>
      <c r="AO138" s="363"/>
      <c r="AP138" s="364"/>
      <c r="AQ138" s="363"/>
      <c r="AR138" s="364"/>
      <c r="AS138" s="364"/>
      <c r="AT138" s="364"/>
      <c r="AU138" s="364"/>
      <c r="AV138" s="364"/>
      <c r="AW138" s="364"/>
      <c r="AX138" s="364"/>
      <c r="AY138" s="365"/>
      <c r="AZ138" s="365"/>
      <c r="BA138" s="365"/>
      <c r="BB138" s="365"/>
      <c r="BG138" s="357"/>
      <c r="BH138" s="357"/>
      <c r="BI138"/>
      <c r="BJ138" s="1550"/>
      <c r="BK138" s="1550"/>
      <c r="BL138" s="1550"/>
      <c r="BM138" s="1550"/>
      <c r="BN138" s="1550"/>
      <c r="BO138" s="1550"/>
      <c r="BP138" s="1550"/>
      <c r="BQ138" s="1550"/>
      <c r="BR138" s="1550"/>
      <c r="BS138" s="1550"/>
      <c r="BT138" s="1550"/>
      <c r="BU138" s="1550"/>
      <c r="BV138" s="1550"/>
      <c r="BW138" s="1550"/>
      <c r="BX138" s="1550"/>
      <c r="BY138" s="1550"/>
      <c r="BZ138" s="1550"/>
      <c r="CA138" s="1550"/>
      <c r="CB138" s="1550"/>
      <c r="CC138" s="1550"/>
      <c r="CD138" s="1550"/>
      <c r="CE138" s="1550"/>
      <c r="CF138" s="1550"/>
      <c r="CG138" s="1550"/>
      <c r="CH138" s="1550"/>
      <c r="CI138" s="1550"/>
      <c r="CJ138" s="1550"/>
      <c r="CK138" s="1550"/>
      <c r="CL138" s="1550"/>
      <c r="CM138" s="1550"/>
      <c r="CN138" s="1550"/>
      <c r="CO138" s="1550"/>
      <c r="CP138" s="1550"/>
      <c r="CQ138" s="1550"/>
      <c r="CR138" s="1550"/>
      <c r="CS138" s="1550"/>
      <c r="CT138" s="1550"/>
      <c r="CU138" s="1550"/>
      <c r="CV138" s="1550"/>
      <c r="CW138" s="1550"/>
      <c r="CX138" s="1550"/>
      <c r="CY138" s="1550"/>
      <c r="CZ138" s="1550"/>
      <c r="DA138" s="1550"/>
      <c r="DB138" s="1550"/>
      <c r="DC138" s="356"/>
    </row>
    <row r="139" spans="2:140" ht="76.5" customHeight="1" thickTop="1" thickBot="1" x14ac:dyDescent="0.45">
      <c r="B139" s="695" t="s">
        <v>253</v>
      </c>
      <c r="C139" s="136"/>
      <c r="D139" s="19"/>
      <c r="E139" s="19"/>
      <c r="F139" s="19"/>
      <c r="G139" s="19"/>
      <c r="T139" s="245"/>
      <c r="U139" s="244"/>
      <c r="V139" s="244"/>
      <c r="W139" s="244"/>
      <c r="X139" s="244"/>
      <c r="Y139" s="244"/>
      <c r="Z139" s="244"/>
      <c r="AA139" s="244"/>
      <c r="AB139" s="244"/>
      <c r="AC139" s="244"/>
      <c r="AD139" s="244"/>
      <c r="AE139" s="244"/>
      <c r="AF139" s="244"/>
      <c r="AG139" s="244"/>
      <c r="AH139" s="244"/>
      <c r="AI139" s="244"/>
      <c r="AJ139" s="244"/>
      <c r="AK139" s="244"/>
      <c r="AL139" s="244"/>
      <c r="AM139" s="244"/>
      <c r="AN139" s="244"/>
      <c r="AO139" s="244"/>
      <c r="AP139" s="244"/>
      <c r="AQ139" s="244"/>
      <c r="AR139" s="244"/>
      <c r="AS139" s="244"/>
      <c r="AT139" s="244"/>
      <c r="AU139" s="244"/>
      <c r="AV139" s="244"/>
      <c r="AW139" s="244"/>
      <c r="AX139" s="244"/>
      <c r="AY139" s="244"/>
      <c r="AZ139" s="244"/>
      <c r="BA139" s="244"/>
      <c r="BB139" s="244"/>
      <c r="BC139" s="7"/>
      <c r="BD139" s="7"/>
      <c r="DC139" s="27"/>
      <c r="EI139" s="185"/>
      <c r="EJ139" s="185"/>
    </row>
    <row r="140" spans="2:140" ht="25.8" thickTop="1" thickBot="1" x14ac:dyDescent="0.45">
      <c r="B140" s="743">
        <v>1</v>
      </c>
      <c r="C140" s="671"/>
      <c r="D140" s="704" t="s">
        <v>255</v>
      </c>
      <c r="E140" s="445"/>
      <c r="F140" s="445"/>
      <c r="G140" s="445"/>
      <c r="H140" s="1816" t="s">
        <v>172</v>
      </c>
      <c r="I140" s="1816" t="s">
        <v>173</v>
      </c>
      <c r="J140" s="1816" t="s">
        <v>174</v>
      </c>
      <c r="K140"/>
      <c r="L140"/>
      <c r="M140"/>
      <c r="N140"/>
      <c r="O140"/>
      <c r="P140" s="1816" t="s">
        <v>175</v>
      </c>
      <c r="Q140" s="1816" t="s">
        <v>176</v>
      </c>
      <c r="R140" s="445"/>
      <c r="S140" s="1816" t="s">
        <v>177</v>
      </c>
      <c r="T140" s="307"/>
      <c r="W140" s="2047" t="s">
        <v>178</v>
      </c>
      <c r="X140" s="2047"/>
      <c r="Y140" s="2047"/>
      <c r="Z140" s="2047"/>
      <c r="AA140" s="2047"/>
      <c r="AF140" s="244"/>
      <c r="AG140" s="244"/>
      <c r="AH140" s="244"/>
      <c r="AI140" s="244"/>
      <c r="AJ140" s="244"/>
      <c r="AK140" s="244"/>
      <c r="AL140" s="244"/>
      <c r="AM140" s="244"/>
      <c r="AN140" s="244"/>
      <c r="AO140" s="244"/>
      <c r="AP140" s="244"/>
      <c r="AQ140" s="244"/>
      <c r="AR140" s="244"/>
      <c r="AS140" s="244"/>
      <c r="AT140" s="244"/>
      <c r="AU140" s="244"/>
      <c r="AV140" s="244"/>
      <c r="AW140" s="244"/>
      <c r="AX140" s="244"/>
      <c r="AY140" s="244"/>
      <c r="AZ140" s="272"/>
      <c r="BA140" s="2045" t="s">
        <v>68</v>
      </c>
      <c r="BB140" s="2046"/>
      <c r="BC140" s="7"/>
      <c r="BD140" s="7"/>
      <c r="BG140" s="27"/>
      <c r="DC140" s="27"/>
      <c r="EI140" s="185"/>
      <c r="EJ140" s="185"/>
    </row>
    <row r="141" spans="2:140" ht="21.6" hidden="1" thickTop="1" thickBot="1" x14ac:dyDescent="0.4">
      <c r="B141" s="358"/>
      <c r="C141" s="76"/>
      <c r="D141" s="734" t="s">
        <v>13</v>
      </c>
      <c r="E141" s="15"/>
      <c r="F141" s="15"/>
      <c r="G141" s="15"/>
      <c r="H141" s="309" t="s">
        <v>4</v>
      </c>
      <c r="I141" s="309" t="s">
        <v>1</v>
      </c>
      <c r="J141" s="334" t="s">
        <v>119</v>
      </c>
      <c r="K141" s="305" t="s">
        <v>2</v>
      </c>
      <c r="L141" s="305" t="s">
        <v>3</v>
      </c>
      <c r="M141" s="305" t="s">
        <v>8</v>
      </c>
      <c r="N141" s="305" t="s">
        <v>5</v>
      </c>
      <c r="O141" s="305" t="s">
        <v>6</v>
      </c>
      <c r="P141" s="305" t="s">
        <v>7</v>
      </c>
      <c r="Q141" s="305" t="s">
        <v>9</v>
      </c>
      <c r="R141" s="309" t="s">
        <v>10</v>
      </c>
      <c r="S141" s="305" t="s">
        <v>11</v>
      </c>
      <c r="T141" s="306" t="s">
        <v>12</v>
      </c>
      <c r="W141" s="309" t="s">
        <v>182</v>
      </c>
      <c r="X141" s="447" t="s">
        <v>179</v>
      </c>
      <c r="Y141" s="1022" t="s">
        <v>215</v>
      </c>
      <c r="Z141" s="448" t="s">
        <v>180</v>
      </c>
      <c r="AA141" s="448" t="s">
        <v>181</v>
      </c>
      <c r="AC141" s="305" t="s">
        <v>184</v>
      </c>
      <c r="AD141" s="305"/>
      <c r="AE141" s="305"/>
      <c r="AF141" s="273"/>
      <c r="AG141" s="273"/>
      <c r="AH141" s="273"/>
      <c r="AI141" s="273"/>
      <c r="AJ141" s="273"/>
      <c r="AK141" s="273"/>
      <c r="AL141" s="273"/>
      <c r="AM141" s="273"/>
      <c r="AN141" s="273"/>
      <c r="AO141" s="273"/>
      <c r="AP141" s="273" t="s">
        <v>108</v>
      </c>
      <c r="AQ141" s="273"/>
      <c r="AR141" s="273" t="s">
        <v>108</v>
      </c>
      <c r="AS141" s="273"/>
      <c r="AT141" s="273"/>
      <c r="AU141" s="273" t="s">
        <v>108</v>
      </c>
      <c r="AV141" s="273"/>
      <c r="AW141" s="273"/>
      <c r="AX141" s="273"/>
      <c r="AY141" s="272" t="s">
        <v>65</v>
      </c>
      <c r="AZ141" s="272"/>
      <c r="BA141" s="273"/>
      <c r="BB141" s="273"/>
      <c r="BC141" s="6"/>
      <c r="DC141" s="27"/>
      <c r="EI141" s="185"/>
      <c r="EJ141" s="185"/>
    </row>
    <row r="142" spans="2:140" ht="47.25" customHeight="1" thickTop="1" thickBot="1" x14ac:dyDescent="0.45">
      <c r="B142" s="90"/>
      <c r="C142" s="139"/>
      <c r="D142" s="735" t="s">
        <v>24</v>
      </c>
      <c r="E142" s="19"/>
      <c r="F142" s="445"/>
      <c r="G142" s="50"/>
      <c r="H142" s="309"/>
      <c r="I142" s="309"/>
      <c r="J142" s="334"/>
      <c r="K142" s="305"/>
      <c r="L142" s="305"/>
      <c r="M142" s="305"/>
      <c r="N142" s="305"/>
      <c r="O142" s="305"/>
      <c r="P142" s="305"/>
      <c r="Q142" s="305"/>
      <c r="R142" s="309"/>
      <c r="S142" s="305"/>
      <c r="T142" s="306"/>
      <c r="U142" s="265"/>
      <c r="V142" s="273"/>
      <c r="W142" s="273"/>
      <c r="X142" s="273"/>
      <c r="Y142" s="273"/>
      <c r="Z142" s="273"/>
      <c r="AA142" s="273"/>
      <c r="AB142" s="273"/>
      <c r="AC142" s="452">
        <f>SUM(AC143:AC154)</f>
        <v>334.49993130661176</v>
      </c>
      <c r="AD142" s="453"/>
      <c r="AE142" s="453"/>
      <c r="AF142" s="273" t="s">
        <v>51</v>
      </c>
      <c r="AG142" s="460" t="s">
        <v>188</v>
      </c>
      <c r="AH142" s="274" t="s">
        <v>44</v>
      </c>
      <c r="AI142" s="274"/>
      <c r="AJ142" s="1062" t="s">
        <v>211</v>
      </c>
      <c r="AK142" s="275" t="s">
        <v>45</v>
      </c>
      <c r="AL142" s="310" t="s">
        <v>46</v>
      </c>
      <c r="AM142" s="175" t="s">
        <v>107</v>
      </c>
      <c r="AN142" s="276" t="s">
        <v>47</v>
      </c>
      <c r="AO142" s="310" t="s">
        <v>48</v>
      </c>
      <c r="AP142" s="277" t="s">
        <v>61</v>
      </c>
      <c r="AQ142" s="310" t="s">
        <v>60</v>
      </c>
      <c r="AR142" s="277" t="s">
        <v>62</v>
      </c>
      <c r="AS142" s="278" t="s">
        <v>59</v>
      </c>
      <c r="AT142" s="278" t="s">
        <v>118</v>
      </c>
      <c r="AU142" s="277" t="s">
        <v>116</v>
      </c>
      <c r="AV142" s="366"/>
      <c r="AW142" s="279" t="s">
        <v>54</v>
      </c>
      <c r="AX142" s="279" t="s">
        <v>55</v>
      </c>
      <c r="AY142" s="280" t="s">
        <v>25</v>
      </c>
      <c r="AZ142" s="280" t="s">
        <v>26</v>
      </c>
      <c r="BA142" s="281" t="s">
        <v>25</v>
      </c>
      <c r="BB142" s="281" t="s">
        <v>26</v>
      </c>
      <c r="BC142" s="7"/>
      <c r="BD142" s="12"/>
      <c r="DC142" s="27"/>
      <c r="EI142" s="185"/>
      <c r="EJ142" s="185"/>
    </row>
    <row r="143" spans="2:140" ht="21" customHeight="1" thickBot="1" x14ac:dyDescent="0.4">
      <c r="B143" s="409">
        <v>1</v>
      </c>
      <c r="C143" s="20">
        <f>+B137+AI135+D143</f>
        <v>0</v>
      </c>
      <c r="D143" s="738">
        <v>0</v>
      </c>
      <c r="E143" s="333" t="s">
        <v>126</v>
      </c>
      <c r="F143" s="81"/>
      <c r="G143" s="81"/>
      <c r="H143" s="1442">
        <v>414.62658399999998</v>
      </c>
      <c r="I143" s="1442">
        <v>36.220413100000002</v>
      </c>
      <c r="J143" s="1816">
        <f>+I143-C143</f>
        <v>36.220413100000002</v>
      </c>
      <c r="K143" s="117"/>
      <c r="L143" s="117"/>
      <c r="M143" s="117"/>
      <c r="N143" s="117"/>
      <c r="O143" s="117"/>
      <c r="P143" s="1816">
        <f>COS(J143*3.14159265358979/180)</f>
        <v>0.80674984242354264</v>
      </c>
      <c r="Q143" s="1816">
        <f>+P143*H143</f>
        <v>334.49993130661176</v>
      </c>
      <c r="R143" s="1241">
        <v>334.5</v>
      </c>
      <c r="S143" s="1816">
        <f>+Q143</f>
        <v>334.49993130661176</v>
      </c>
      <c r="T143" s="81">
        <f t="shared" ref="T143:T154" si="39">+S143</f>
        <v>334.49993130661176</v>
      </c>
      <c r="U143" s="81"/>
      <c r="V143" s="81">
        <f>IF(B143&lt;($B$140+1),T143,0)</f>
        <v>334.49993130661176</v>
      </c>
      <c r="W143" s="1246">
        <v>36.220415500000001</v>
      </c>
      <c r="X143" s="448">
        <f>+W143+AI155</f>
        <v>36.220415500000001</v>
      </c>
      <c r="Y143" s="1246">
        <v>414.6266</v>
      </c>
      <c r="Z143" s="448">
        <f>+COS(X143*3.14159265358979/180)*Y143</f>
        <v>334.49993395207258</v>
      </c>
      <c r="AA143" s="461">
        <f>+AC142-Z143</f>
        <v>-2.6454608246240241E-6</v>
      </c>
      <c r="AB143" s="81"/>
      <c r="AC143" s="457">
        <f>IF(AD143=1,AF143)</f>
        <v>334.49993130661176</v>
      </c>
      <c r="AD143" s="457">
        <f>MAX(AE$143:AE$154)</f>
        <v>1</v>
      </c>
      <c r="AE143" s="457">
        <f>IF(V143=0,0,1)</f>
        <v>1</v>
      </c>
      <c r="AF143" s="282">
        <f>SUM(V143:V154)/($B$140)</f>
        <v>334.49993130661176</v>
      </c>
      <c r="AG143" s="282">
        <f>+AF143+$AA$110</f>
        <v>334.49994787074411</v>
      </c>
      <c r="AH143" s="301">
        <f>+D143+C143</f>
        <v>0</v>
      </c>
      <c r="AI143" s="370">
        <f>IF(B143&lt;($B$140+1),AH143)</f>
        <v>0</v>
      </c>
      <c r="AJ143" s="1238">
        <f>53.779595+AI143</f>
        <v>53.779595</v>
      </c>
      <c r="AK143" s="368">
        <f>SIN(AJ143*3.14159265358979/180)</f>
        <v>0.8067499259590819</v>
      </c>
      <c r="AL143" s="1238">
        <f>+AK143*414.6266</f>
        <v>334.49997885066585</v>
      </c>
      <c r="AM143" s="1238">
        <f>59.2910885-AI143</f>
        <v>59.291088500000001</v>
      </c>
      <c r="AN143" s="285">
        <f>SIN(AM143*3.14159265358979/180)</f>
        <v>0.85977285389573432</v>
      </c>
      <c r="AO143" s="1238">
        <f>+AN143*479.7721</f>
        <v>412.49502763654965</v>
      </c>
      <c r="AP143" s="287">
        <f>+((AF143*AQ143)+($AQ$164*($AF$164+$AA$143)))/AR143</f>
        <v>218.19407832640624</v>
      </c>
      <c r="AQ143" s="312">
        <f>72*B140</f>
        <v>72</v>
      </c>
      <c r="AR143" s="287">
        <f>+AQ143+$AQ$164+30</f>
        <v>127.5</v>
      </c>
      <c r="AS143" s="288">
        <f>+AO143+AL143</f>
        <v>746.99500648721551</v>
      </c>
      <c r="AT143" s="364">
        <f>+V143-AL143</f>
        <v>-4.7544054098125343E-5</v>
      </c>
      <c r="AU143" s="290">
        <f>+AP143-AT143</f>
        <v>218.19412587046034</v>
      </c>
      <c r="AV143" s="367"/>
      <c r="AW143" s="291">
        <f>+((AS143-AU143)/AS143)*AR143</f>
        <v>90.257781769777054</v>
      </c>
      <c r="AX143" s="291">
        <f>+(AU143/AS143)*AR143</f>
        <v>37.242218230222953</v>
      </c>
      <c r="AY143" s="292">
        <f t="shared" ref="AY143:AY154" si="40">2*$C$18/AW143</f>
        <v>128.52077430385373</v>
      </c>
      <c r="AZ143" s="292">
        <f t="shared" ref="AZ143:AZ154" si="41">2*$D$18/AX143</f>
        <v>537.02493971665524</v>
      </c>
      <c r="BA143" s="294">
        <f>ABS(AY143)</f>
        <v>128.52077430385373</v>
      </c>
      <c r="BB143" s="294">
        <f>ABS(AZ143)</f>
        <v>537.02493971665524</v>
      </c>
      <c r="BC143" s="2"/>
      <c r="BD143" s="12"/>
      <c r="DC143" s="27"/>
      <c r="EI143" s="185"/>
      <c r="EJ143" s="185"/>
    </row>
    <row r="144" spans="2:140" ht="21" customHeight="1" thickBot="1" x14ac:dyDescent="0.4">
      <c r="B144" s="409">
        <v>2</v>
      </c>
      <c r="C144" s="20"/>
      <c r="D144" s="738">
        <v>0</v>
      </c>
      <c r="E144" s="333" t="s">
        <v>126</v>
      </c>
      <c r="F144" s="81"/>
      <c r="G144" s="81"/>
      <c r="H144" s="1241">
        <v>479.77208100000001</v>
      </c>
      <c r="I144" s="1241">
        <v>61.416098300000002</v>
      </c>
      <c r="J144" s="81">
        <f>+I144+D144</f>
        <v>61.416098300000002</v>
      </c>
      <c r="K144" s="81">
        <f t="shared" ref="K144:K154" si="42">+J144/2</f>
        <v>30.708049150000001</v>
      </c>
      <c r="L144" s="81">
        <f t="shared" ref="L144:L154" si="43">SIN(K144*3.14159265358979/180)</f>
        <v>0.51066370850547771</v>
      </c>
      <c r="M144" s="81">
        <f t="shared" ref="M144:M154" si="44">+L144*H144</f>
        <v>245.00219012085046</v>
      </c>
      <c r="N144" s="81">
        <f t="shared" ref="N144:N154" si="45">+M144*2</f>
        <v>490.00438024170091</v>
      </c>
      <c r="O144" s="81">
        <f>+C143+(D144/2)</f>
        <v>0</v>
      </c>
      <c r="P144" s="81">
        <f t="shared" ref="P144:P154" si="46">SIN(O144*3.14159265358979/180)</f>
        <v>0</v>
      </c>
      <c r="Q144" s="81">
        <f t="shared" ref="Q144:Q154" si="47">+P144*N144</f>
        <v>0</v>
      </c>
      <c r="R144" s="81">
        <f t="shared" ref="R144:R154" si="48">+T143</f>
        <v>334.49993130661176</v>
      </c>
      <c r="S144" s="81">
        <f>+R144+Q144</f>
        <v>334.49993130661176</v>
      </c>
      <c r="T144" s="81">
        <f t="shared" si="39"/>
        <v>334.49993130661176</v>
      </c>
      <c r="U144" s="81"/>
      <c r="V144" s="81">
        <f t="shared" ref="V144:V154" si="49">IF(B144&lt;($B$140+1),T144,0)</f>
        <v>0</v>
      </c>
      <c r="W144" s="81"/>
      <c r="X144" s="81"/>
      <c r="Y144" s="81"/>
      <c r="Z144" s="81"/>
      <c r="AA144" s="81"/>
      <c r="AB144" s="81"/>
      <c r="AC144" s="457" t="b">
        <f>IF(AD144=2,AF144)</f>
        <v>0</v>
      </c>
      <c r="AD144" s="457">
        <f t="shared" ref="AD144:AD154" si="50">MAX(AE$143:AE$154)</f>
        <v>1</v>
      </c>
      <c r="AE144" s="457">
        <f>IF(V144=0,0,2)</f>
        <v>0</v>
      </c>
      <c r="AF144" s="282" t="e">
        <f>SUM(V144:V154)/($B$140-B143)</f>
        <v>#DIV/0!</v>
      </c>
      <c r="AG144" s="282"/>
      <c r="AH144" s="301">
        <f>SUM(D144)+$C$143</f>
        <v>0</v>
      </c>
      <c r="AI144" s="370" t="b">
        <f t="shared" ref="AI144:AI154" si="51">IF(B144&lt;($B$140+1),AH144)</f>
        <v>0</v>
      </c>
      <c r="AJ144" s="1238">
        <f t="shared" ref="AJ144:AJ154" si="52">53.779595+AI144</f>
        <v>53.779595</v>
      </c>
      <c r="AK144" s="368">
        <f>SIN(AJ144*3.14159265358979/180)</f>
        <v>0.8067499259590819</v>
      </c>
      <c r="AL144" s="1238">
        <f t="shared" ref="AL144:AL154" si="53">+AK144*414.6266</f>
        <v>334.49997885066585</v>
      </c>
      <c r="AM144" s="1238">
        <f t="shared" ref="AM144:AM154" si="54">59.2910885-AI144</f>
        <v>59.291088500000001</v>
      </c>
      <c r="AN144" s="285">
        <f t="shared" ref="AN144:AN154" si="55">SIN(AM144*3.14159265358979/180)</f>
        <v>0.85977285389573432</v>
      </c>
      <c r="AO144" s="1238">
        <f t="shared" ref="AO144:AO154" si="56">+AN144*479.7721</f>
        <v>412.49502763654965</v>
      </c>
      <c r="AP144" s="287" t="e">
        <f t="shared" ref="AP144:AP154" si="57">+((AF144*AQ144)+($AQ$164*($AF$164+$AA$143)))/AR144</f>
        <v>#DIV/0!</v>
      </c>
      <c r="AQ144" s="312">
        <f>72*($B$140-B143)</f>
        <v>0</v>
      </c>
      <c r="AR144" s="287">
        <f t="shared" ref="AR144:AR154" si="58">+AQ144+$AQ$164+30</f>
        <v>55.5</v>
      </c>
      <c r="AS144" s="288">
        <f t="shared" ref="AS144:AS154" si="59">+AO144+AL144</f>
        <v>746.99500648721551</v>
      </c>
      <c r="AT144" s="364">
        <f t="shared" ref="AT144:AT154" si="60">+V144-AL144</f>
        <v>-334.49997885066585</v>
      </c>
      <c r="AU144" s="290" t="e">
        <f t="shared" ref="AU144:AU154" si="61">+AP144-AT144</f>
        <v>#DIV/0!</v>
      </c>
      <c r="AV144" s="367"/>
      <c r="AW144" s="291" t="e">
        <f t="shared" ref="AW144:AW154" si="62">+((AS144-AU144)/AS144)*AR144</f>
        <v>#DIV/0!</v>
      </c>
      <c r="AX144" s="291" t="e">
        <f t="shared" ref="AX144:AX154" si="63">+(AU144/AS144)*AR144</f>
        <v>#DIV/0!</v>
      </c>
      <c r="AY144" s="292" t="e">
        <f t="shared" si="40"/>
        <v>#DIV/0!</v>
      </c>
      <c r="AZ144" s="292" t="e">
        <f t="shared" si="41"/>
        <v>#DIV/0!</v>
      </c>
      <c r="BA144" s="294" t="e">
        <f t="shared" ref="BA144:BB154" si="64">ABS(AY144)</f>
        <v>#DIV/0!</v>
      </c>
      <c r="BB144" s="294" t="e">
        <f t="shared" si="64"/>
        <v>#DIV/0!</v>
      </c>
      <c r="BD144" s="12"/>
      <c r="DC144" s="27"/>
      <c r="EI144" s="185"/>
      <c r="EJ144" s="185"/>
    </row>
    <row r="145" spans="2:140" ht="21" customHeight="1" thickBot="1" x14ac:dyDescent="0.4">
      <c r="B145" s="409">
        <v>3</v>
      </c>
      <c r="C145" s="20"/>
      <c r="D145" s="738">
        <v>0</v>
      </c>
      <c r="E145" s="333" t="s">
        <v>126</v>
      </c>
      <c r="F145" s="81"/>
      <c r="G145" s="81"/>
      <c r="H145" s="1241">
        <v>479.77208100000001</v>
      </c>
      <c r="I145" s="1241">
        <v>61.416098300000002</v>
      </c>
      <c r="J145" s="81">
        <f t="shared" ref="J145:J154" si="65">+I145+D145</f>
        <v>61.416098300000002</v>
      </c>
      <c r="K145" s="81">
        <f t="shared" si="42"/>
        <v>30.708049150000001</v>
      </c>
      <c r="L145" s="81">
        <f t="shared" si="43"/>
        <v>0.51066370850547771</v>
      </c>
      <c r="M145" s="81">
        <f t="shared" si="44"/>
        <v>245.00219012085046</v>
      </c>
      <c r="N145" s="81">
        <f t="shared" si="45"/>
        <v>490.00438024170091</v>
      </c>
      <c r="O145" s="81">
        <f>+C143+D144+(D145/2)</f>
        <v>0</v>
      </c>
      <c r="P145" s="81">
        <f t="shared" si="46"/>
        <v>0</v>
      </c>
      <c r="Q145" s="81">
        <f t="shared" si="47"/>
        <v>0</v>
      </c>
      <c r="R145" s="81">
        <f t="shared" si="48"/>
        <v>334.49993130661176</v>
      </c>
      <c r="S145" s="81">
        <f t="shared" ref="S145:S154" si="66">+S144+Q145</f>
        <v>334.49993130661176</v>
      </c>
      <c r="T145" s="81">
        <f t="shared" si="39"/>
        <v>334.49993130661176</v>
      </c>
      <c r="U145" s="81"/>
      <c r="V145" s="81">
        <f t="shared" si="49"/>
        <v>0</v>
      </c>
      <c r="W145" s="81"/>
      <c r="X145" s="81"/>
      <c r="Y145" s="81"/>
      <c r="Z145" s="81"/>
      <c r="AA145" s="81"/>
      <c r="AB145" s="81"/>
      <c r="AC145" s="457" t="b">
        <f>IF(AD145=3,AF145)</f>
        <v>0</v>
      </c>
      <c r="AD145" s="457">
        <f t="shared" si="50"/>
        <v>1</v>
      </c>
      <c r="AE145" s="457">
        <f>IF(V145=0,0,3)</f>
        <v>0</v>
      </c>
      <c r="AF145" s="282">
        <f>SUM(V145:V154)/($B$140-B144)</f>
        <v>0</v>
      </c>
      <c r="AG145" s="282"/>
      <c r="AH145" s="301">
        <f>SUM(D144:D145)+$C$143</f>
        <v>0</v>
      </c>
      <c r="AI145" s="370" t="b">
        <f t="shared" si="51"/>
        <v>0</v>
      </c>
      <c r="AJ145" s="1238">
        <f t="shared" si="52"/>
        <v>53.779595</v>
      </c>
      <c r="AK145" s="368">
        <f t="shared" ref="AK145:AK154" si="67">SIN(AJ145*3.14159265358979/180)</f>
        <v>0.8067499259590819</v>
      </c>
      <c r="AL145" s="1238">
        <f t="shared" si="53"/>
        <v>334.49997885066585</v>
      </c>
      <c r="AM145" s="1238">
        <f t="shared" si="54"/>
        <v>59.291088500000001</v>
      </c>
      <c r="AN145" s="285">
        <f t="shared" si="55"/>
        <v>0.85977285389573432</v>
      </c>
      <c r="AO145" s="1238">
        <f t="shared" si="56"/>
        <v>412.49502763654965</v>
      </c>
      <c r="AP145" s="287">
        <f t="shared" si="57"/>
        <v>-226.40908682065145</v>
      </c>
      <c r="AQ145" s="312">
        <f t="shared" ref="AQ145:AQ154" si="68">72*($B$140-B144)</f>
        <v>-72</v>
      </c>
      <c r="AR145" s="287">
        <f t="shared" si="58"/>
        <v>-16.5</v>
      </c>
      <c r="AS145" s="288">
        <f t="shared" si="59"/>
        <v>746.99500648721551</v>
      </c>
      <c r="AT145" s="364">
        <f t="shared" si="60"/>
        <v>-334.49997885066585</v>
      </c>
      <c r="AU145" s="290">
        <f t="shared" si="61"/>
        <v>108.0908920300144</v>
      </c>
      <c r="AV145" s="367"/>
      <c r="AW145" s="291">
        <f t="shared" si="62"/>
        <v>-14.112434215748989</v>
      </c>
      <c r="AX145" s="291">
        <f t="shared" si="63"/>
        <v>-2.3875657842510107</v>
      </c>
      <c r="AY145" s="292">
        <f t="shared" si="40"/>
        <v>-821.97017344143228</v>
      </c>
      <c r="AZ145" s="292">
        <f t="shared" si="41"/>
        <v>-8376.7325415387804</v>
      </c>
      <c r="BA145" s="294">
        <f t="shared" si="64"/>
        <v>821.97017344143228</v>
      </c>
      <c r="BB145" s="294">
        <f t="shared" si="64"/>
        <v>8376.7325415387804</v>
      </c>
      <c r="BD145" s="12"/>
      <c r="DC145" s="27"/>
      <c r="EI145" s="185"/>
      <c r="EJ145" s="185"/>
    </row>
    <row r="146" spans="2:140" ht="21" customHeight="1" thickBot="1" x14ac:dyDescent="0.4">
      <c r="B146" s="409">
        <v>4</v>
      </c>
      <c r="C146" s="20"/>
      <c r="D146" s="738">
        <v>0</v>
      </c>
      <c r="E146" s="333" t="s">
        <v>126</v>
      </c>
      <c r="F146" s="81"/>
      <c r="G146" s="81"/>
      <c r="H146" s="1241">
        <v>479.77208100000001</v>
      </c>
      <c r="I146" s="1241">
        <v>61.416098300000002</v>
      </c>
      <c r="J146" s="81">
        <f t="shared" si="65"/>
        <v>61.416098300000002</v>
      </c>
      <c r="K146" s="81">
        <f t="shared" si="42"/>
        <v>30.708049150000001</v>
      </c>
      <c r="L146" s="81">
        <f t="shared" si="43"/>
        <v>0.51066370850547771</v>
      </c>
      <c r="M146" s="81">
        <f t="shared" si="44"/>
        <v>245.00219012085046</v>
      </c>
      <c r="N146" s="81">
        <f t="shared" si="45"/>
        <v>490.00438024170091</v>
      </c>
      <c r="O146" s="81">
        <f>+C143+D144+D145+(D146/2)</f>
        <v>0</v>
      </c>
      <c r="P146" s="81">
        <f t="shared" si="46"/>
        <v>0</v>
      </c>
      <c r="Q146" s="81">
        <f t="shared" si="47"/>
        <v>0</v>
      </c>
      <c r="R146" s="81">
        <f t="shared" si="48"/>
        <v>334.49993130661176</v>
      </c>
      <c r="S146" s="81">
        <f t="shared" si="66"/>
        <v>334.49993130661176</v>
      </c>
      <c r="T146" s="81">
        <f t="shared" si="39"/>
        <v>334.49993130661176</v>
      </c>
      <c r="U146" s="81"/>
      <c r="V146" s="81">
        <f t="shared" si="49"/>
        <v>0</v>
      </c>
      <c r="W146" s="81"/>
      <c r="X146" s="81"/>
      <c r="Y146" s="81"/>
      <c r="Z146" s="81"/>
      <c r="AA146" s="81"/>
      <c r="AB146" s="81"/>
      <c r="AC146" s="457" t="b">
        <f>IF(AD146=4,AF146)</f>
        <v>0</v>
      </c>
      <c r="AD146" s="457">
        <f t="shared" si="50"/>
        <v>1</v>
      </c>
      <c r="AE146" s="457">
        <f>IF(V146=0,0,4)</f>
        <v>0</v>
      </c>
      <c r="AF146" s="282">
        <f>SUM(V146:V154)/($B$140-B145)</f>
        <v>0</v>
      </c>
      <c r="AG146" s="282"/>
      <c r="AH146" s="301">
        <f>SUM(D144:D146)+$C$143</f>
        <v>0</v>
      </c>
      <c r="AI146" s="370" t="b">
        <f t="shared" si="51"/>
        <v>0</v>
      </c>
      <c r="AJ146" s="1238">
        <f t="shared" si="52"/>
        <v>53.779595</v>
      </c>
      <c r="AK146" s="368">
        <f t="shared" si="67"/>
        <v>0.8067499259590819</v>
      </c>
      <c r="AL146" s="1238">
        <f t="shared" si="53"/>
        <v>334.49997885066585</v>
      </c>
      <c r="AM146" s="1238">
        <f t="shared" si="54"/>
        <v>59.291088500000001</v>
      </c>
      <c r="AN146" s="285">
        <f t="shared" si="55"/>
        <v>0.85977285389573432</v>
      </c>
      <c r="AO146" s="1238">
        <f t="shared" si="56"/>
        <v>412.49502763654965</v>
      </c>
      <c r="AP146" s="287">
        <f t="shared" si="57"/>
        <v>-42.211863644528236</v>
      </c>
      <c r="AQ146" s="312">
        <f t="shared" si="68"/>
        <v>-144</v>
      </c>
      <c r="AR146" s="287">
        <f t="shared" si="58"/>
        <v>-88.5</v>
      </c>
      <c r="AS146" s="288">
        <f t="shared" si="59"/>
        <v>746.99500648721551</v>
      </c>
      <c r="AT146" s="364">
        <f t="shared" si="60"/>
        <v>-334.49997885066585</v>
      </c>
      <c r="AU146" s="290">
        <f t="shared" si="61"/>
        <v>292.2881152061376</v>
      </c>
      <c r="AV146" s="367"/>
      <c r="AW146" s="291">
        <f t="shared" si="62"/>
        <v>-53.871256874411401</v>
      </c>
      <c r="AX146" s="291">
        <f t="shared" si="63"/>
        <v>-34.628743125588606</v>
      </c>
      <c r="AY146" s="292">
        <f t="shared" si="40"/>
        <v>-215.32818562304504</v>
      </c>
      <c r="AZ146" s="292">
        <f t="shared" si="41"/>
        <v>-577.55489211565339</v>
      </c>
      <c r="BA146" s="294">
        <f t="shared" si="64"/>
        <v>215.32818562304504</v>
      </c>
      <c r="BB146" s="294">
        <f t="shared" si="64"/>
        <v>577.55489211565339</v>
      </c>
      <c r="BD146" s="12"/>
      <c r="DC146" s="27"/>
      <c r="EI146" s="185"/>
      <c r="EJ146" s="185"/>
    </row>
    <row r="147" spans="2:140" ht="21" customHeight="1" thickBot="1" x14ac:dyDescent="0.4">
      <c r="B147" s="409">
        <v>5</v>
      </c>
      <c r="C147" s="20"/>
      <c r="D147" s="738">
        <v>0</v>
      </c>
      <c r="E147" s="333" t="s">
        <v>126</v>
      </c>
      <c r="F147" s="81"/>
      <c r="G147" s="81"/>
      <c r="H147" s="1241">
        <v>479.77208100000001</v>
      </c>
      <c r="I147" s="1241">
        <v>61.416098300000002</v>
      </c>
      <c r="J147" s="81">
        <f t="shared" si="65"/>
        <v>61.416098300000002</v>
      </c>
      <c r="K147" s="81">
        <f t="shared" si="42"/>
        <v>30.708049150000001</v>
      </c>
      <c r="L147" s="81">
        <f t="shared" si="43"/>
        <v>0.51066370850547771</v>
      </c>
      <c r="M147" s="81">
        <f t="shared" si="44"/>
        <v>245.00219012085046</v>
      </c>
      <c r="N147" s="81">
        <f t="shared" si="45"/>
        <v>490.00438024170091</v>
      </c>
      <c r="O147" s="81">
        <f>+C143+D144+D145+D146+(D147/2)</f>
        <v>0</v>
      </c>
      <c r="P147" s="81">
        <f t="shared" si="46"/>
        <v>0</v>
      </c>
      <c r="Q147" s="81">
        <f t="shared" si="47"/>
        <v>0</v>
      </c>
      <c r="R147" s="81">
        <f t="shared" si="48"/>
        <v>334.49993130661176</v>
      </c>
      <c r="S147" s="81">
        <f t="shared" si="66"/>
        <v>334.49993130661176</v>
      </c>
      <c r="T147" s="81">
        <f t="shared" si="39"/>
        <v>334.49993130661176</v>
      </c>
      <c r="U147" s="81"/>
      <c r="V147" s="81">
        <f t="shared" si="49"/>
        <v>0</v>
      </c>
      <c r="W147" s="81"/>
      <c r="X147" s="81"/>
      <c r="Y147" s="81"/>
      <c r="Z147" s="81"/>
      <c r="AA147" s="81"/>
      <c r="AB147" s="81"/>
      <c r="AC147" s="457" t="b">
        <f>IF(AD147=5,AF147)</f>
        <v>0</v>
      </c>
      <c r="AD147" s="457">
        <f t="shared" si="50"/>
        <v>1</v>
      </c>
      <c r="AE147" s="457">
        <f>IF(V147=0,0,5)</f>
        <v>0</v>
      </c>
      <c r="AF147" s="282">
        <f>SUM(V147:V154)/($B$140-B146)</f>
        <v>0</v>
      </c>
      <c r="AG147" s="282"/>
      <c r="AH147" s="301">
        <f>SUM(D144:D147)+$C$143</f>
        <v>0</v>
      </c>
      <c r="AI147" s="370" t="b">
        <f t="shared" si="51"/>
        <v>0</v>
      </c>
      <c r="AJ147" s="1238">
        <f t="shared" si="52"/>
        <v>53.779595</v>
      </c>
      <c r="AK147" s="368">
        <f t="shared" si="67"/>
        <v>0.8067499259590819</v>
      </c>
      <c r="AL147" s="1238">
        <f t="shared" si="53"/>
        <v>334.49997885066585</v>
      </c>
      <c r="AM147" s="1238">
        <f t="shared" si="54"/>
        <v>59.291088500000001</v>
      </c>
      <c r="AN147" s="285">
        <f t="shared" si="55"/>
        <v>0.85977285389573432</v>
      </c>
      <c r="AO147" s="1238">
        <f t="shared" si="56"/>
        <v>412.49502763654965</v>
      </c>
      <c r="AP147" s="287">
        <f t="shared" si="57"/>
        <v>-23.275700514272579</v>
      </c>
      <c r="AQ147" s="312">
        <f t="shared" si="68"/>
        <v>-216</v>
      </c>
      <c r="AR147" s="287">
        <f t="shared" si="58"/>
        <v>-160.5</v>
      </c>
      <c r="AS147" s="288">
        <f t="shared" si="59"/>
        <v>746.99500648721551</v>
      </c>
      <c r="AT147" s="364">
        <f t="shared" si="60"/>
        <v>-334.49997885066585</v>
      </c>
      <c r="AU147" s="290">
        <f t="shared" si="61"/>
        <v>311.2242783363933</v>
      </c>
      <c r="AV147" s="367"/>
      <c r="AW147" s="291">
        <f t="shared" si="62"/>
        <v>-93.630079533073797</v>
      </c>
      <c r="AX147" s="291">
        <f t="shared" si="63"/>
        <v>-66.869920466926203</v>
      </c>
      <c r="AY147" s="292">
        <f t="shared" si="40"/>
        <v>-123.8918097458459</v>
      </c>
      <c r="AZ147" s="292">
        <f t="shared" si="41"/>
        <v>-299.08813799011443</v>
      </c>
      <c r="BA147" s="294">
        <f t="shared" si="64"/>
        <v>123.8918097458459</v>
      </c>
      <c r="BB147" s="294">
        <f t="shared" si="64"/>
        <v>299.08813799011443</v>
      </c>
      <c r="BD147" s="12"/>
      <c r="DC147" s="27"/>
      <c r="EI147" s="185"/>
      <c r="EJ147" s="185"/>
    </row>
    <row r="148" spans="2:140" ht="21" customHeight="1" thickBot="1" x14ac:dyDescent="0.4">
      <c r="B148" s="409">
        <v>6</v>
      </c>
      <c r="C148" s="20"/>
      <c r="D148" s="738">
        <v>0</v>
      </c>
      <c r="E148" s="333" t="s">
        <v>126</v>
      </c>
      <c r="F148" s="81"/>
      <c r="G148" s="81"/>
      <c r="H148" s="1241">
        <v>479.77208100000001</v>
      </c>
      <c r="I148" s="1241">
        <v>61.416098300000002</v>
      </c>
      <c r="J148" s="81">
        <f t="shared" si="65"/>
        <v>61.416098300000002</v>
      </c>
      <c r="K148" s="81">
        <f t="shared" si="42"/>
        <v>30.708049150000001</v>
      </c>
      <c r="L148" s="81">
        <f t="shared" si="43"/>
        <v>0.51066370850547771</v>
      </c>
      <c r="M148" s="81">
        <f t="shared" si="44"/>
        <v>245.00219012085046</v>
      </c>
      <c r="N148" s="81">
        <f t="shared" si="45"/>
        <v>490.00438024170091</v>
      </c>
      <c r="O148" s="81">
        <f>+C143+D144+D145+D146+D147+(D148/2)</f>
        <v>0</v>
      </c>
      <c r="P148" s="81">
        <f t="shared" si="46"/>
        <v>0</v>
      </c>
      <c r="Q148" s="81">
        <f t="shared" si="47"/>
        <v>0</v>
      </c>
      <c r="R148" s="81">
        <f t="shared" si="48"/>
        <v>334.49993130661176</v>
      </c>
      <c r="S148" s="81">
        <f t="shared" si="66"/>
        <v>334.49993130661176</v>
      </c>
      <c r="T148" s="81">
        <f t="shared" si="39"/>
        <v>334.49993130661176</v>
      </c>
      <c r="U148" s="81"/>
      <c r="V148" s="81">
        <f t="shared" si="49"/>
        <v>0</v>
      </c>
      <c r="W148" s="81"/>
      <c r="X148" s="81"/>
      <c r="Y148" s="81"/>
      <c r="Z148" s="81"/>
      <c r="AA148" s="81"/>
      <c r="AB148" s="81"/>
      <c r="AC148" s="457" t="b">
        <f>IF(AD148=6,AF148)</f>
        <v>0</v>
      </c>
      <c r="AD148" s="457">
        <f t="shared" si="50"/>
        <v>1</v>
      </c>
      <c r="AE148" s="457">
        <f>IF(V148=0,0,6)</f>
        <v>0</v>
      </c>
      <c r="AF148" s="282">
        <f>SUM(V148:V154)/($B$140-B147)</f>
        <v>0</v>
      </c>
      <c r="AG148" s="282"/>
      <c r="AH148" s="301">
        <f>SUM(D144:D148)+$C$143</f>
        <v>0</v>
      </c>
      <c r="AI148" s="370" t="b">
        <f t="shared" si="51"/>
        <v>0</v>
      </c>
      <c r="AJ148" s="1238">
        <f t="shared" si="52"/>
        <v>53.779595</v>
      </c>
      <c r="AK148" s="368">
        <f t="shared" si="67"/>
        <v>0.8067499259590819</v>
      </c>
      <c r="AL148" s="1238">
        <f t="shared" si="53"/>
        <v>334.49997885066585</v>
      </c>
      <c r="AM148" s="1238">
        <f t="shared" si="54"/>
        <v>59.291088500000001</v>
      </c>
      <c r="AN148" s="285">
        <f t="shared" si="55"/>
        <v>0.85977285389573432</v>
      </c>
      <c r="AO148" s="1238">
        <f t="shared" si="56"/>
        <v>412.49502763654965</v>
      </c>
      <c r="AP148" s="287">
        <f t="shared" si="57"/>
        <v>-16.067741645336554</v>
      </c>
      <c r="AQ148" s="312">
        <f t="shared" si="68"/>
        <v>-288</v>
      </c>
      <c r="AR148" s="287">
        <f t="shared" si="58"/>
        <v>-232.5</v>
      </c>
      <c r="AS148" s="288">
        <f t="shared" si="59"/>
        <v>746.99500648721551</v>
      </c>
      <c r="AT148" s="364">
        <f t="shared" si="60"/>
        <v>-334.49997885066585</v>
      </c>
      <c r="AU148" s="290">
        <f t="shared" si="61"/>
        <v>318.43223720532933</v>
      </c>
      <c r="AV148" s="367"/>
      <c r="AW148" s="291">
        <f t="shared" si="62"/>
        <v>-133.38890219173618</v>
      </c>
      <c r="AX148" s="291">
        <f t="shared" si="63"/>
        <v>-99.111097808263793</v>
      </c>
      <c r="AY148" s="292">
        <f t="shared" si="40"/>
        <v>-86.963756424997797</v>
      </c>
      <c r="AZ148" s="292">
        <f t="shared" si="41"/>
        <v>-201.79374905816468</v>
      </c>
      <c r="BA148" s="294">
        <f t="shared" si="64"/>
        <v>86.963756424997797</v>
      </c>
      <c r="BB148" s="294">
        <f t="shared" si="64"/>
        <v>201.79374905816468</v>
      </c>
      <c r="BD148" s="12"/>
      <c r="DC148" s="27"/>
      <c r="EI148" s="185"/>
      <c r="EJ148" s="185"/>
    </row>
    <row r="149" spans="2:140" ht="21" customHeight="1" thickBot="1" x14ac:dyDescent="0.4">
      <c r="B149" s="409">
        <v>7</v>
      </c>
      <c r="C149" s="20"/>
      <c r="D149" s="738">
        <v>0</v>
      </c>
      <c r="E149" s="333" t="s">
        <v>126</v>
      </c>
      <c r="F149" s="81"/>
      <c r="G149" s="81"/>
      <c r="H149" s="1241">
        <v>479.77208100000001</v>
      </c>
      <c r="I149" s="1241">
        <v>61.416098300000002</v>
      </c>
      <c r="J149" s="81">
        <f t="shared" si="65"/>
        <v>61.416098300000002</v>
      </c>
      <c r="K149" s="81">
        <f t="shared" si="42"/>
        <v>30.708049150000001</v>
      </c>
      <c r="L149" s="81">
        <f t="shared" si="43"/>
        <v>0.51066370850547771</v>
      </c>
      <c r="M149" s="81">
        <f t="shared" si="44"/>
        <v>245.00219012085046</v>
      </c>
      <c r="N149" s="81">
        <f t="shared" si="45"/>
        <v>490.00438024170091</v>
      </c>
      <c r="O149" s="81">
        <f>+C143+D144+D145+D146+D147+D148+(D149/2)</f>
        <v>0</v>
      </c>
      <c r="P149" s="81">
        <f t="shared" si="46"/>
        <v>0</v>
      </c>
      <c r="Q149" s="81">
        <f t="shared" si="47"/>
        <v>0</v>
      </c>
      <c r="R149" s="81">
        <f t="shared" si="48"/>
        <v>334.49993130661176</v>
      </c>
      <c r="S149" s="81">
        <f t="shared" si="66"/>
        <v>334.49993130661176</v>
      </c>
      <c r="T149" s="81">
        <f t="shared" si="39"/>
        <v>334.49993130661176</v>
      </c>
      <c r="U149" s="81"/>
      <c r="V149" s="81">
        <f t="shared" si="49"/>
        <v>0</v>
      </c>
      <c r="W149" s="81"/>
      <c r="X149" s="81"/>
      <c r="Y149" s="81"/>
      <c r="Z149" s="81"/>
      <c r="AA149" s="81"/>
      <c r="AB149" s="81"/>
      <c r="AC149" s="457" t="b">
        <f>IF(AD149=7,AF149)</f>
        <v>0</v>
      </c>
      <c r="AD149" s="457">
        <f t="shared" si="50"/>
        <v>1</v>
      </c>
      <c r="AE149" s="457">
        <f>IF(V149=0,0,7)</f>
        <v>0</v>
      </c>
      <c r="AF149" s="282">
        <f>SUM(V149:V154)/($B$140-B148)</f>
        <v>0</v>
      </c>
      <c r="AG149" s="282"/>
      <c r="AH149" s="301">
        <f>SUM(D144:D149)+$C$143</f>
        <v>0</v>
      </c>
      <c r="AI149" s="370" t="b">
        <f t="shared" si="51"/>
        <v>0</v>
      </c>
      <c r="AJ149" s="1238">
        <f t="shared" si="52"/>
        <v>53.779595</v>
      </c>
      <c r="AK149" s="368">
        <f t="shared" si="67"/>
        <v>0.8067499259590819</v>
      </c>
      <c r="AL149" s="1238">
        <f t="shared" si="53"/>
        <v>334.49997885066585</v>
      </c>
      <c r="AM149" s="1238">
        <f t="shared" si="54"/>
        <v>59.291088500000001</v>
      </c>
      <c r="AN149" s="285">
        <f t="shared" si="55"/>
        <v>0.85977285389573432</v>
      </c>
      <c r="AO149" s="1238">
        <f t="shared" si="56"/>
        <v>412.49502763654965</v>
      </c>
      <c r="AP149" s="287">
        <f t="shared" si="57"/>
        <v>-12.268472684862886</v>
      </c>
      <c r="AQ149" s="312">
        <f t="shared" si="68"/>
        <v>-360</v>
      </c>
      <c r="AR149" s="287">
        <f t="shared" si="58"/>
        <v>-304.5</v>
      </c>
      <c r="AS149" s="288">
        <f t="shared" si="59"/>
        <v>746.99500648721551</v>
      </c>
      <c r="AT149" s="364">
        <f t="shared" si="60"/>
        <v>-334.49997885066585</v>
      </c>
      <c r="AU149" s="290">
        <f t="shared" si="61"/>
        <v>322.23150616580295</v>
      </c>
      <c r="AV149" s="367"/>
      <c r="AW149" s="291">
        <f t="shared" si="62"/>
        <v>-173.14772485039859</v>
      </c>
      <c r="AX149" s="291">
        <f t="shared" si="63"/>
        <v>-131.35227514960138</v>
      </c>
      <c r="AY149" s="292">
        <f t="shared" si="40"/>
        <v>-66.994816189600641</v>
      </c>
      <c r="AZ149" s="292">
        <f t="shared" si="41"/>
        <v>-152.26230361995138</v>
      </c>
      <c r="BA149" s="294">
        <f t="shared" si="64"/>
        <v>66.994816189600641</v>
      </c>
      <c r="BB149" s="294">
        <f t="shared" si="64"/>
        <v>152.26230361995138</v>
      </c>
      <c r="BD149" s="12"/>
      <c r="DC149" s="27"/>
      <c r="EI149" s="185"/>
      <c r="EJ149" s="185"/>
    </row>
    <row r="150" spans="2:140" ht="21" customHeight="1" thickBot="1" x14ac:dyDescent="0.4">
      <c r="B150" s="409">
        <v>8</v>
      </c>
      <c r="C150" s="20"/>
      <c r="D150" s="738">
        <v>0</v>
      </c>
      <c r="E150" s="333" t="s">
        <v>126</v>
      </c>
      <c r="F150" s="81"/>
      <c r="G150" s="81"/>
      <c r="H150" s="1241">
        <v>479.77208100000001</v>
      </c>
      <c r="I150" s="1241">
        <v>61.416098300000002</v>
      </c>
      <c r="J150" s="81">
        <f t="shared" si="65"/>
        <v>61.416098300000002</v>
      </c>
      <c r="K150" s="81">
        <f t="shared" si="42"/>
        <v>30.708049150000001</v>
      </c>
      <c r="L150" s="81">
        <f t="shared" si="43"/>
        <v>0.51066370850547771</v>
      </c>
      <c r="M150" s="81">
        <f t="shared" si="44"/>
        <v>245.00219012085046</v>
      </c>
      <c r="N150" s="81">
        <f t="shared" si="45"/>
        <v>490.00438024170091</v>
      </c>
      <c r="O150" s="81">
        <f>+C143+D144+D145+D146+D147+D148+D149+(D150/2)</f>
        <v>0</v>
      </c>
      <c r="P150" s="81">
        <f t="shared" si="46"/>
        <v>0</v>
      </c>
      <c r="Q150" s="81">
        <f t="shared" si="47"/>
        <v>0</v>
      </c>
      <c r="R150" s="81">
        <f t="shared" si="48"/>
        <v>334.49993130661176</v>
      </c>
      <c r="S150" s="81">
        <f t="shared" si="66"/>
        <v>334.49993130661176</v>
      </c>
      <c r="T150" s="81">
        <f t="shared" si="39"/>
        <v>334.49993130661176</v>
      </c>
      <c r="U150" s="81"/>
      <c r="V150" s="81">
        <f t="shared" si="49"/>
        <v>0</v>
      </c>
      <c r="W150" s="81"/>
      <c r="X150" s="81"/>
      <c r="Y150" s="81"/>
      <c r="Z150" s="81"/>
      <c r="AA150" s="81"/>
      <c r="AB150" s="81"/>
      <c r="AC150" s="457" t="b">
        <f>IF(AD150=8,AF150)</f>
        <v>0</v>
      </c>
      <c r="AD150" s="457">
        <f t="shared" si="50"/>
        <v>1</v>
      </c>
      <c r="AE150" s="457">
        <f>IF(V150=0,0,8)</f>
        <v>0</v>
      </c>
      <c r="AF150" s="282">
        <f>SUM(V150:V154)/($B$140-B149)</f>
        <v>0</v>
      </c>
      <c r="AG150" s="282"/>
      <c r="AH150" s="301">
        <f>SUM(D144:D150)+$C$143</f>
        <v>0</v>
      </c>
      <c r="AI150" s="370" t="b">
        <f t="shared" si="51"/>
        <v>0</v>
      </c>
      <c r="AJ150" s="1238">
        <f t="shared" si="52"/>
        <v>53.779595</v>
      </c>
      <c r="AK150" s="368">
        <f t="shared" si="67"/>
        <v>0.8067499259590819</v>
      </c>
      <c r="AL150" s="1238">
        <f t="shared" si="53"/>
        <v>334.49997885066585</v>
      </c>
      <c r="AM150" s="1238">
        <f t="shared" si="54"/>
        <v>59.291088500000001</v>
      </c>
      <c r="AN150" s="285">
        <f t="shared" si="55"/>
        <v>0.85977285389573432</v>
      </c>
      <c r="AO150" s="1238">
        <f t="shared" si="56"/>
        <v>412.49502763654965</v>
      </c>
      <c r="AP150" s="287">
        <f t="shared" si="57"/>
        <v>-9.9223105777974734</v>
      </c>
      <c r="AQ150" s="312">
        <f t="shared" si="68"/>
        <v>-432</v>
      </c>
      <c r="AR150" s="287">
        <f t="shared" si="58"/>
        <v>-376.5</v>
      </c>
      <c r="AS150" s="288">
        <f t="shared" si="59"/>
        <v>746.99500648721551</v>
      </c>
      <c r="AT150" s="364">
        <f t="shared" si="60"/>
        <v>-334.49997885066585</v>
      </c>
      <c r="AU150" s="290">
        <f t="shared" si="61"/>
        <v>324.57766827286838</v>
      </c>
      <c r="AV150" s="367"/>
      <c r="AW150" s="291">
        <f t="shared" si="62"/>
        <v>-212.906547509061</v>
      </c>
      <c r="AX150" s="291">
        <f t="shared" si="63"/>
        <v>-163.59345249093897</v>
      </c>
      <c r="AY150" s="292">
        <f t="shared" si="40"/>
        <v>-54.483998428964803</v>
      </c>
      <c r="AZ150" s="292">
        <f t="shared" si="41"/>
        <v>-122.25428154655364</v>
      </c>
      <c r="BA150" s="294">
        <f t="shared" si="64"/>
        <v>54.483998428964803</v>
      </c>
      <c r="BB150" s="294">
        <f t="shared" si="64"/>
        <v>122.25428154655364</v>
      </c>
      <c r="BD150" s="12"/>
      <c r="DC150" s="27"/>
      <c r="EI150" s="185"/>
      <c r="EJ150" s="185"/>
    </row>
    <row r="151" spans="2:140" ht="21" customHeight="1" thickBot="1" x14ac:dyDescent="0.4">
      <c r="B151" s="409">
        <v>9</v>
      </c>
      <c r="C151" s="20"/>
      <c r="D151" s="738">
        <v>0</v>
      </c>
      <c r="E151" s="333" t="s">
        <v>126</v>
      </c>
      <c r="F151" s="81"/>
      <c r="G151" s="81"/>
      <c r="H151" s="1241">
        <v>479.77208100000001</v>
      </c>
      <c r="I151" s="1241">
        <v>61.416098300000002</v>
      </c>
      <c r="J151" s="81">
        <f t="shared" si="65"/>
        <v>61.416098300000002</v>
      </c>
      <c r="K151" s="81">
        <f t="shared" si="42"/>
        <v>30.708049150000001</v>
      </c>
      <c r="L151" s="81">
        <f t="shared" si="43"/>
        <v>0.51066370850547771</v>
      </c>
      <c r="M151" s="81">
        <f t="shared" si="44"/>
        <v>245.00219012085046</v>
      </c>
      <c r="N151" s="81">
        <f t="shared" si="45"/>
        <v>490.00438024170091</v>
      </c>
      <c r="O151" s="81">
        <f>+C143+D144+D145+D146+D147+D148+D149+D150+(D151/2)</f>
        <v>0</v>
      </c>
      <c r="P151" s="81">
        <f t="shared" si="46"/>
        <v>0</v>
      </c>
      <c r="Q151" s="81">
        <f t="shared" si="47"/>
        <v>0</v>
      </c>
      <c r="R151" s="81">
        <f t="shared" si="48"/>
        <v>334.49993130661176</v>
      </c>
      <c r="S151" s="81">
        <f t="shared" si="66"/>
        <v>334.49993130661176</v>
      </c>
      <c r="T151" s="81">
        <f t="shared" si="39"/>
        <v>334.49993130661176</v>
      </c>
      <c r="U151" s="81"/>
      <c r="V151" s="81">
        <f t="shared" si="49"/>
        <v>0</v>
      </c>
      <c r="W151" s="81"/>
      <c r="X151" s="81"/>
      <c r="Y151" s="81"/>
      <c r="Z151" s="81"/>
      <c r="AA151" s="81"/>
      <c r="AB151" s="81"/>
      <c r="AC151" s="457" t="b">
        <f>IF(AD151=9,AF151)</f>
        <v>0</v>
      </c>
      <c r="AD151" s="457">
        <f t="shared" si="50"/>
        <v>1</v>
      </c>
      <c r="AE151" s="457">
        <f>IF(V151=0,0,9)</f>
        <v>0</v>
      </c>
      <c r="AF151" s="282">
        <f>SUM(V151:V154)/($B$140-B150)</f>
        <v>0</v>
      </c>
      <c r="AG151" s="282"/>
      <c r="AH151" s="301">
        <f>SUM(D144:D151)+$C$143</f>
        <v>0</v>
      </c>
      <c r="AI151" s="370" t="b">
        <f t="shared" si="51"/>
        <v>0</v>
      </c>
      <c r="AJ151" s="1238">
        <f t="shared" si="52"/>
        <v>53.779595</v>
      </c>
      <c r="AK151" s="368">
        <f t="shared" si="67"/>
        <v>0.8067499259590819</v>
      </c>
      <c r="AL151" s="1238">
        <f t="shared" si="53"/>
        <v>334.49997885066585</v>
      </c>
      <c r="AM151" s="1238">
        <f t="shared" si="54"/>
        <v>59.291088500000001</v>
      </c>
      <c r="AN151" s="285">
        <f t="shared" si="55"/>
        <v>0.85977285389573432</v>
      </c>
      <c r="AO151" s="1238">
        <f t="shared" si="56"/>
        <v>412.49502763654965</v>
      </c>
      <c r="AP151" s="287">
        <f t="shared" si="57"/>
        <v>-8.3294312877162735</v>
      </c>
      <c r="AQ151" s="312">
        <f t="shared" si="68"/>
        <v>-504</v>
      </c>
      <c r="AR151" s="287">
        <f t="shared" si="58"/>
        <v>-448.5</v>
      </c>
      <c r="AS151" s="288">
        <f t="shared" si="59"/>
        <v>746.99500648721551</v>
      </c>
      <c r="AT151" s="364">
        <f t="shared" si="60"/>
        <v>-334.49997885066585</v>
      </c>
      <c r="AU151" s="290">
        <f t="shared" si="61"/>
        <v>326.17054756294959</v>
      </c>
      <c r="AV151" s="367"/>
      <c r="AW151" s="291">
        <f t="shared" si="62"/>
        <v>-252.66537016772341</v>
      </c>
      <c r="AX151" s="291">
        <f t="shared" si="63"/>
        <v>-195.83462983227659</v>
      </c>
      <c r="AY151" s="292">
        <f t="shared" si="40"/>
        <v>-45.910525816417696</v>
      </c>
      <c r="AZ151" s="292">
        <f t="shared" si="41"/>
        <v>-102.12698345093044</v>
      </c>
      <c r="BA151" s="294">
        <f t="shared" si="64"/>
        <v>45.910525816417696</v>
      </c>
      <c r="BB151" s="294">
        <f t="shared" si="64"/>
        <v>102.12698345093044</v>
      </c>
      <c r="BD151" s="12"/>
      <c r="DC151" s="27"/>
      <c r="EI151" s="185"/>
      <c r="EJ151" s="185"/>
    </row>
    <row r="152" spans="2:140" ht="21" customHeight="1" thickBot="1" x14ac:dyDescent="0.4">
      <c r="B152" s="409">
        <v>10</v>
      </c>
      <c r="C152" s="20"/>
      <c r="D152" s="738">
        <v>0</v>
      </c>
      <c r="E152" s="333" t="s">
        <v>126</v>
      </c>
      <c r="F152" s="81"/>
      <c r="G152" s="81"/>
      <c r="H152" s="1241">
        <v>479.77208100000001</v>
      </c>
      <c r="I152" s="1241">
        <v>61.416098300000002</v>
      </c>
      <c r="J152" s="81">
        <f t="shared" si="65"/>
        <v>61.416098300000002</v>
      </c>
      <c r="K152" s="81">
        <f t="shared" si="42"/>
        <v>30.708049150000001</v>
      </c>
      <c r="L152" s="81">
        <f t="shared" si="43"/>
        <v>0.51066370850547771</v>
      </c>
      <c r="M152" s="81">
        <f>+L152*H152</f>
        <v>245.00219012085046</v>
      </c>
      <c r="N152" s="81">
        <f t="shared" si="45"/>
        <v>490.00438024170091</v>
      </c>
      <c r="O152" s="81">
        <f>+C143+D144+D145+D146+D147+D148+D149+D150+D151+(D152/2)</f>
        <v>0</v>
      </c>
      <c r="P152" s="81">
        <f t="shared" si="46"/>
        <v>0</v>
      </c>
      <c r="Q152" s="81">
        <f t="shared" si="47"/>
        <v>0</v>
      </c>
      <c r="R152" s="81">
        <f t="shared" si="48"/>
        <v>334.49993130661176</v>
      </c>
      <c r="S152" s="81">
        <f t="shared" si="66"/>
        <v>334.49993130661176</v>
      </c>
      <c r="T152" s="81">
        <f t="shared" si="39"/>
        <v>334.49993130661176</v>
      </c>
      <c r="U152" s="81"/>
      <c r="V152" s="81">
        <f t="shared" si="49"/>
        <v>0</v>
      </c>
      <c r="W152" s="81"/>
      <c r="X152" s="81"/>
      <c r="Y152" s="81"/>
      <c r="Z152" s="81"/>
      <c r="AA152" s="81"/>
      <c r="AB152" s="81"/>
      <c r="AC152" s="457" t="b">
        <f>IF(AD152=10,AF152)</f>
        <v>0</v>
      </c>
      <c r="AD152" s="457">
        <f t="shared" si="50"/>
        <v>1</v>
      </c>
      <c r="AE152" s="457">
        <f>IF(V152=0,0,10)</f>
        <v>0</v>
      </c>
      <c r="AF152" s="282">
        <f>SUM(V152:V154)/($B$140-B151)</f>
        <v>0</v>
      </c>
      <c r="AG152" s="282"/>
      <c r="AH152" s="301">
        <f>SUM(D144:D152)+$C$143</f>
        <v>0</v>
      </c>
      <c r="AI152" s="370" t="b">
        <f t="shared" si="51"/>
        <v>0</v>
      </c>
      <c r="AJ152" s="1238">
        <f t="shared" si="52"/>
        <v>53.779595</v>
      </c>
      <c r="AK152" s="368">
        <f t="shared" si="67"/>
        <v>0.8067499259590819</v>
      </c>
      <c r="AL152" s="1238">
        <f t="shared" si="53"/>
        <v>334.49997885066585</v>
      </c>
      <c r="AM152" s="1238">
        <f t="shared" si="54"/>
        <v>59.291088500000001</v>
      </c>
      <c r="AN152" s="285">
        <f t="shared" si="55"/>
        <v>0.85977285389573432</v>
      </c>
      <c r="AO152" s="1238">
        <f t="shared" si="56"/>
        <v>412.49502763654965</v>
      </c>
      <c r="AP152" s="287">
        <f t="shared" si="57"/>
        <v>-7.1772332997901032</v>
      </c>
      <c r="AQ152" s="312">
        <f t="shared" si="68"/>
        <v>-576</v>
      </c>
      <c r="AR152" s="287">
        <f t="shared" si="58"/>
        <v>-520.5</v>
      </c>
      <c r="AS152" s="288">
        <f t="shared" si="59"/>
        <v>746.99500648721551</v>
      </c>
      <c r="AT152" s="364">
        <f t="shared" si="60"/>
        <v>-334.49997885066585</v>
      </c>
      <c r="AU152" s="290">
        <f t="shared" si="61"/>
        <v>327.32274555087577</v>
      </c>
      <c r="AV152" s="367"/>
      <c r="AW152" s="291">
        <f t="shared" si="62"/>
        <v>-292.42419282638582</v>
      </c>
      <c r="AX152" s="291">
        <f t="shared" si="63"/>
        <v>-228.07580717361418</v>
      </c>
      <c r="AY152" s="292">
        <f t="shared" si="40"/>
        <v>-39.668400510511098</v>
      </c>
      <c r="AZ152" s="292">
        <f t="shared" si="41"/>
        <v>-87.690142360323861</v>
      </c>
      <c r="BA152" s="294">
        <f t="shared" si="64"/>
        <v>39.668400510511098</v>
      </c>
      <c r="BB152" s="294">
        <f t="shared" si="64"/>
        <v>87.690142360323861</v>
      </c>
      <c r="BD152" s="12"/>
      <c r="DC152" s="27"/>
      <c r="EI152" s="185"/>
      <c r="EJ152" s="185"/>
    </row>
    <row r="153" spans="2:140" ht="21" hidden="1" customHeight="1" thickBot="1" x14ac:dyDescent="0.4">
      <c r="B153" s="409">
        <v>11</v>
      </c>
      <c r="C153" s="20"/>
      <c r="D153" s="738">
        <v>0</v>
      </c>
      <c r="E153" s="333" t="s">
        <v>126</v>
      </c>
      <c r="F153" s="81"/>
      <c r="G153" s="81"/>
      <c r="H153" s="1241">
        <v>479.77208100000001</v>
      </c>
      <c r="I153" s="1241">
        <v>61.416098300000002</v>
      </c>
      <c r="J153" s="81">
        <f t="shared" si="65"/>
        <v>61.416098300000002</v>
      </c>
      <c r="K153" s="81">
        <f t="shared" si="42"/>
        <v>30.708049150000001</v>
      </c>
      <c r="L153" s="81">
        <f t="shared" si="43"/>
        <v>0.51066370850547771</v>
      </c>
      <c r="M153" s="81">
        <f t="shared" si="44"/>
        <v>245.00219012085046</v>
      </c>
      <c r="N153" s="81">
        <f t="shared" si="45"/>
        <v>490.00438024170091</v>
      </c>
      <c r="O153" s="81">
        <f>+C143+D144+D145+D146+D147+D148+D149+D150+D151+D152+(D153/2)</f>
        <v>0</v>
      </c>
      <c r="P153" s="81">
        <f t="shared" si="46"/>
        <v>0</v>
      </c>
      <c r="Q153" s="81">
        <f t="shared" si="47"/>
        <v>0</v>
      </c>
      <c r="R153" s="81">
        <f t="shared" si="48"/>
        <v>334.49993130661176</v>
      </c>
      <c r="S153" s="81">
        <f t="shared" si="66"/>
        <v>334.49993130661176</v>
      </c>
      <c r="T153" s="81">
        <f t="shared" si="39"/>
        <v>334.49993130661176</v>
      </c>
      <c r="U153" s="81"/>
      <c r="V153" s="81">
        <f t="shared" si="49"/>
        <v>0</v>
      </c>
      <c r="W153" s="81"/>
      <c r="X153" s="81"/>
      <c r="Y153" s="81"/>
      <c r="Z153" s="81"/>
      <c r="AA153" s="81"/>
      <c r="AB153" s="81"/>
      <c r="AC153" s="457" t="b">
        <f>IF(AD153=11,AF153)</f>
        <v>0</v>
      </c>
      <c r="AD153" s="457">
        <f t="shared" si="50"/>
        <v>1</v>
      </c>
      <c r="AE153" s="457">
        <f>IF(V153=0,0,11)</f>
        <v>0</v>
      </c>
      <c r="AF153" s="282">
        <f>SUM(V153:V154)/($B$140-B152)</f>
        <v>0</v>
      </c>
      <c r="AG153" s="282"/>
      <c r="AH153" s="301">
        <f>SUM(D144:D153)+$C$143</f>
        <v>0</v>
      </c>
      <c r="AI153" s="370" t="b">
        <f t="shared" si="51"/>
        <v>0</v>
      </c>
      <c r="AJ153" s="1238">
        <f t="shared" si="52"/>
        <v>53.779595</v>
      </c>
      <c r="AK153" s="368">
        <f t="shared" si="67"/>
        <v>0.8067499259590819</v>
      </c>
      <c r="AL153" s="1238">
        <f t="shared" si="53"/>
        <v>334.49997885066585</v>
      </c>
      <c r="AM153" s="1238">
        <f t="shared" si="54"/>
        <v>59.291088500000001</v>
      </c>
      <c r="AN153" s="285">
        <f t="shared" si="55"/>
        <v>0.85977285389573432</v>
      </c>
      <c r="AO153" s="1238">
        <f t="shared" si="56"/>
        <v>412.49502763654965</v>
      </c>
      <c r="AP153" s="287">
        <f t="shared" si="57"/>
        <v>-6.305063177283964</v>
      </c>
      <c r="AQ153" s="312">
        <f t="shared" si="68"/>
        <v>-648</v>
      </c>
      <c r="AR153" s="287">
        <f t="shared" si="58"/>
        <v>-592.5</v>
      </c>
      <c r="AS153" s="288">
        <f t="shared" si="59"/>
        <v>746.99500648721551</v>
      </c>
      <c r="AT153" s="364">
        <f t="shared" si="60"/>
        <v>-334.49997885066585</v>
      </c>
      <c r="AU153" s="290">
        <f t="shared" si="61"/>
        <v>328.1949156733819</v>
      </c>
      <c r="AV153" s="367"/>
      <c r="AW153" s="291">
        <f t="shared" si="62"/>
        <v>-332.1830154850482</v>
      </c>
      <c r="AX153" s="291">
        <f t="shared" si="63"/>
        <v>-260.31698451495174</v>
      </c>
      <c r="AY153" s="292">
        <f t="shared" si="40"/>
        <v>-34.920509054509814</v>
      </c>
      <c r="AZ153" s="292">
        <f t="shared" si="41"/>
        <v>-76.829408719780503</v>
      </c>
      <c r="BA153" s="294">
        <f t="shared" si="64"/>
        <v>34.920509054509814</v>
      </c>
      <c r="BB153" s="294">
        <f t="shared" si="64"/>
        <v>76.829408719780503</v>
      </c>
      <c r="BD153" s="12"/>
      <c r="DC153" s="27"/>
      <c r="EI153" s="185"/>
      <c r="EJ153" s="185"/>
    </row>
    <row r="154" spans="2:140" ht="21" hidden="1" customHeight="1" thickBot="1" x14ac:dyDescent="0.4">
      <c r="B154" s="409">
        <v>12</v>
      </c>
      <c r="C154" s="20"/>
      <c r="D154" s="738">
        <v>0</v>
      </c>
      <c r="E154" s="333" t="s">
        <v>126</v>
      </c>
      <c r="F154" s="81"/>
      <c r="G154" s="81"/>
      <c r="H154" s="1241">
        <v>479.77208100000001</v>
      </c>
      <c r="I154" s="1241">
        <v>61.416098300000002</v>
      </c>
      <c r="J154" s="81">
        <f t="shared" si="65"/>
        <v>61.416098300000002</v>
      </c>
      <c r="K154" s="81">
        <f t="shared" si="42"/>
        <v>30.708049150000001</v>
      </c>
      <c r="L154" s="81">
        <f t="shared" si="43"/>
        <v>0.51066370850547771</v>
      </c>
      <c r="M154" s="81">
        <f t="shared" si="44"/>
        <v>245.00219012085046</v>
      </c>
      <c r="N154" s="81">
        <f t="shared" si="45"/>
        <v>490.00438024170091</v>
      </c>
      <c r="O154" s="81">
        <f>+C143+D144+D145+D146+D147+D148+D149+D150+D151+D152+D153+(D154/2)</f>
        <v>0</v>
      </c>
      <c r="P154" s="81">
        <f t="shared" si="46"/>
        <v>0</v>
      </c>
      <c r="Q154" s="81">
        <f t="shared" si="47"/>
        <v>0</v>
      </c>
      <c r="R154" s="81">
        <f t="shared" si="48"/>
        <v>334.49993130661176</v>
      </c>
      <c r="S154" s="81">
        <f t="shared" si="66"/>
        <v>334.49993130661176</v>
      </c>
      <c r="T154" s="81">
        <f t="shared" si="39"/>
        <v>334.49993130661176</v>
      </c>
      <c r="U154" s="81"/>
      <c r="V154" s="81">
        <f t="shared" si="49"/>
        <v>0</v>
      </c>
      <c r="W154" s="81"/>
      <c r="X154" s="81"/>
      <c r="Y154" s="81"/>
      <c r="Z154" s="81"/>
      <c r="AA154" s="81"/>
      <c r="AB154" s="81"/>
      <c r="AC154" s="457" t="b">
        <f>IF(AD154=12,AF154)</f>
        <v>0</v>
      </c>
      <c r="AD154" s="457">
        <f t="shared" si="50"/>
        <v>1</v>
      </c>
      <c r="AE154" s="457">
        <f>IF(V154=0,0,12)</f>
        <v>0</v>
      </c>
      <c r="AF154" s="282">
        <f>SUM(V154)/($B$140-B153)</f>
        <v>0</v>
      </c>
      <c r="AG154" s="282"/>
      <c r="AH154" s="301">
        <f>SUM(D144:D154)+$C$143</f>
        <v>0</v>
      </c>
      <c r="AI154" s="370" t="b">
        <f t="shared" si="51"/>
        <v>0</v>
      </c>
      <c r="AJ154" s="1238">
        <f t="shared" si="52"/>
        <v>53.779595</v>
      </c>
      <c r="AK154" s="368">
        <f t="shared" si="67"/>
        <v>0.8067499259590819</v>
      </c>
      <c r="AL154" s="1238">
        <f t="shared" si="53"/>
        <v>334.49997885066585</v>
      </c>
      <c r="AM154" s="1238">
        <f t="shared" si="54"/>
        <v>59.291088500000001</v>
      </c>
      <c r="AN154" s="285">
        <f t="shared" si="55"/>
        <v>0.85977285389573432</v>
      </c>
      <c r="AO154" s="1238">
        <f t="shared" si="56"/>
        <v>412.49502763654965</v>
      </c>
      <c r="AP154" s="287">
        <f t="shared" si="57"/>
        <v>-5.6218960610094042</v>
      </c>
      <c r="AQ154" s="312">
        <f t="shared" si="68"/>
        <v>-720</v>
      </c>
      <c r="AR154" s="287">
        <f t="shared" si="58"/>
        <v>-664.5</v>
      </c>
      <c r="AS154" s="288">
        <f t="shared" si="59"/>
        <v>746.99500648721551</v>
      </c>
      <c r="AT154" s="364">
        <f t="shared" si="60"/>
        <v>-334.49997885066585</v>
      </c>
      <c r="AU154" s="290">
        <f t="shared" si="61"/>
        <v>328.87808278965645</v>
      </c>
      <c r="AV154" s="367"/>
      <c r="AW154" s="291">
        <f t="shared" si="62"/>
        <v>-371.94183814371064</v>
      </c>
      <c r="AX154" s="291">
        <f t="shared" si="63"/>
        <v>-292.55816185628936</v>
      </c>
      <c r="AY154" s="292">
        <f t="shared" si="40"/>
        <v>-31.187671862604496</v>
      </c>
      <c r="AZ154" s="292">
        <f t="shared" si="41"/>
        <v>-68.362474911311537</v>
      </c>
      <c r="BA154" s="294">
        <f t="shared" si="64"/>
        <v>31.187671862604496</v>
      </c>
      <c r="BB154" s="294">
        <f t="shared" si="64"/>
        <v>68.362474911311537</v>
      </c>
      <c r="BD154" s="12"/>
      <c r="DC154" s="27"/>
      <c r="EI154" s="185"/>
      <c r="EJ154" s="185"/>
    </row>
    <row r="155" spans="2:140" ht="21.6" thickBot="1" x14ac:dyDescent="0.45">
      <c r="B155" s="24"/>
      <c r="C155" s="24"/>
      <c r="D155" s="15"/>
      <c r="E155" s="15"/>
      <c r="F155" s="15"/>
      <c r="G155" s="15"/>
      <c r="H155" s="244"/>
      <c r="I155" s="244"/>
      <c r="J155" s="244"/>
      <c r="K155" s="244"/>
      <c r="L155" s="244"/>
      <c r="M155" s="244"/>
      <c r="N155" s="244"/>
      <c r="O155" s="244"/>
      <c r="P155" s="244"/>
      <c r="Q155" s="244"/>
      <c r="R155" s="244"/>
      <c r="S155" s="244"/>
      <c r="T155" s="244"/>
      <c r="U155" s="12"/>
      <c r="V155" s="244"/>
      <c r="W155" s="244"/>
      <c r="X155" s="244"/>
      <c r="Y155" s="244"/>
      <c r="Z155" s="244"/>
      <c r="AA155" s="244"/>
      <c r="AB155" s="244"/>
      <c r="AC155" s="244"/>
      <c r="AD155" s="244"/>
      <c r="AE155" s="244"/>
      <c r="AF155" s="244"/>
      <c r="AG155" s="244"/>
      <c r="AH155" s="413" t="s">
        <v>125</v>
      </c>
      <c r="AI155" s="414">
        <f>MAX(AI143:AI154)</f>
        <v>0</v>
      </c>
      <c r="AJ155" s="244"/>
      <c r="AK155" s="244"/>
      <c r="AL155" s="244"/>
      <c r="AM155" s="244"/>
      <c r="AN155" s="244"/>
      <c r="AO155" s="244"/>
      <c r="AP155" s="244"/>
      <c r="AQ155" s="244"/>
      <c r="AR155" s="244"/>
      <c r="AS155" s="244"/>
      <c r="AT155" s="244"/>
      <c r="AU155" s="244"/>
      <c r="AV155" s="244"/>
      <c r="AW155" s="244"/>
      <c r="AX155" s="244"/>
      <c r="AY155" s="244"/>
      <c r="AZ155" s="244"/>
      <c r="BA155" s="244"/>
      <c r="BB155" s="244"/>
      <c r="BC155" s="7"/>
      <c r="BD155" s="12"/>
      <c r="DC155" s="27"/>
      <c r="EI155" s="185"/>
      <c r="EJ155" s="185"/>
    </row>
    <row r="156" spans="2:140" ht="18.600000000000001" hidden="1" thickBot="1" x14ac:dyDescent="0.4">
      <c r="B156" s="125"/>
      <c r="C156" s="24"/>
      <c r="D156" s="15"/>
      <c r="E156" s="15"/>
      <c r="F156" s="15"/>
      <c r="G156" s="15"/>
      <c r="H156" s="244"/>
      <c r="I156" s="244"/>
      <c r="J156" s="244"/>
      <c r="K156" s="244"/>
      <c r="L156" s="244"/>
      <c r="M156" s="244"/>
      <c r="N156" s="244"/>
      <c r="O156" s="244"/>
      <c r="P156" s="244"/>
      <c r="Q156" s="244"/>
      <c r="R156" s="244"/>
      <c r="S156" s="244"/>
      <c r="T156" s="244"/>
      <c r="U156" s="12"/>
      <c r="V156" s="244"/>
      <c r="W156" s="244"/>
      <c r="X156" s="244"/>
      <c r="Y156" s="244"/>
      <c r="Z156" s="244"/>
      <c r="AA156" s="244"/>
      <c r="AB156" s="244"/>
      <c r="AC156" s="244"/>
      <c r="AD156" s="244"/>
      <c r="AE156" s="244"/>
      <c r="AF156" s="244"/>
      <c r="AG156" s="244"/>
      <c r="AH156" s="244"/>
      <c r="AI156" s="244"/>
      <c r="AJ156" s="244"/>
      <c r="AK156" s="244"/>
      <c r="AL156" s="244"/>
      <c r="AM156" s="244"/>
      <c r="AN156" s="244"/>
      <c r="AO156" s="244"/>
      <c r="AP156" s="244"/>
      <c r="AQ156" s="244"/>
      <c r="AR156" s="244"/>
      <c r="AS156" s="244"/>
      <c r="AT156" s="244"/>
      <c r="AU156" s="244"/>
      <c r="AV156" s="244"/>
      <c r="AW156" s="244"/>
      <c r="AX156" s="244"/>
      <c r="AY156" s="244"/>
      <c r="AZ156" s="244"/>
      <c r="BA156" s="244"/>
      <c r="BB156" s="244"/>
      <c r="BC156" s="7"/>
      <c r="BD156" s="12"/>
    </row>
    <row r="157" spans="2:140" ht="21.6" hidden="1" thickBot="1" x14ac:dyDescent="0.45">
      <c r="B157" s="125"/>
      <c r="AB157" s="272"/>
      <c r="AC157" s="272"/>
      <c r="AD157" s="272"/>
      <c r="AE157" s="272"/>
      <c r="AH157" s="372" t="s">
        <v>125</v>
      </c>
      <c r="AI157" s="371">
        <f>MAX(AI143:AI155)</f>
        <v>0</v>
      </c>
      <c r="BG157" s="27"/>
      <c r="BS157" s="1765"/>
      <c r="BT157" s="2010"/>
      <c r="BU157" s="2010"/>
      <c r="BV157" s="2010"/>
      <c r="BW157" s="1748"/>
      <c r="BX157" s="1750"/>
      <c r="BY157" s="1750"/>
      <c r="BZ157" s="1750"/>
      <c r="CA157" s="1750"/>
      <c r="CB157" s="1750"/>
      <c r="CC157" s="1750"/>
      <c r="CD157" s="1750"/>
      <c r="CE157" s="1750"/>
      <c r="CF157" s="1750"/>
      <c r="CG157" s="1750"/>
      <c r="CH157" s="1750"/>
      <c r="CI157" s="1750"/>
      <c r="CJ157" s="1750"/>
      <c r="CK157" s="1750"/>
      <c r="CL157" s="1750"/>
      <c r="CM157" s="1750"/>
    </row>
    <row r="158" spans="2:140" hidden="1" x14ac:dyDescent="0.3">
      <c r="V158" s="245"/>
      <c r="W158" s="245"/>
      <c r="X158" s="245"/>
      <c r="Y158" s="245"/>
      <c r="Z158" s="245"/>
      <c r="AA158" s="245"/>
      <c r="AB158" s="245"/>
      <c r="AC158" s="245"/>
      <c r="AD158" s="245"/>
      <c r="AE158" s="245"/>
      <c r="AF158" s="245"/>
      <c r="AG158" s="245"/>
      <c r="AH158" s="245"/>
      <c r="AI158" s="245"/>
      <c r="AJ158" s="245"/>
      <c r="AK158" s="245"/>
      <c r="AL158" s="245"/>
      <c r="AM158" s="245"/>
      <c r="AN158" s="245"/>
      <c r="AO158" s="245"/>
      <c r="AP158" s="245"/>
      <c r="AQ158" s="245"/>
      <c r="AR158" s="245"/>
      <c r="AS158" s="245"/>
      <c r="AT158" s="245">
        <f>+AS143-AP143</f>
        <v>528.80092816080924</v>
      </c>
      <c r="AU158" s="245"/>
      <c r="AV158" s="245"/>
      <c r="AW158" s="245"/>
      <c r="AX158" s="245"/>
      <c r="AY158" s="245"/>
      <c r="AZ158" s="245"/>
      <c r="BA158" s="245"/>
      <c r="BB158" s="245"/>
      <c r="BC158" s="4"/>
      <c r="BS158" s="1750"/>
      <c r="BT158" s="1766"/>
      <c r="BU158" s="1750"/>
      <c r="BV158" s="1750"/>
      <c r="BW158" s="1750"/>
      <c r="BX158" s="1750"/>
      <c r="BY158" s="1750"/>
      <c r="BZ158" s="1750"/>
      <c r="CA158" s="1750"/>
      <c r="CB158" s="1750"/>
      <c r="CC158" s="1750"/>
      <c r="CD158" s="1750"/>
      <c r="CE158" s="1750"/>
      <c r="CF158" s="1750"/>
      <c r="CG158" s="1766"/>
      <c r="CH158" s="1750"/>
      <c r="CI158" s="1750"/>
      <c r="CJ158" s="1750"/>
      <c r="CK158" s="1750"/>
      <c r="CL158" s="1750"/>
      <c r="CM158" s="1750"/>
    </row>
    <row r="159" spans="2:140" ht="18" hidden="1" thickBot="1" x14ac:dyDescent="0.35">
      <c r="U159" s="243"/>
      <c r="V159" s="245"/>
      <c r="W159" s="245"/>
      <c r="X159" s="245"/>
      <c r="Y159" s="245"/>
      <c r="Z159" s="245"/>
      <c r="AA159" s="245"/>
      <c r="AB159" s="245"/>
      <c r="AC159" s="245"/>
      <c r="AD159" s="245"/>
      <c r="AE159" s="245"/>
      <c r="AF159" s="245"/>
      <c r="AG159" s="245"/>
      <c r="AH159" s="245"/>
      <c r="AI159" s="245"/>
      <c r="AJ159" s="245"/>
      <c r="AK159" s="245"/>
      <c r="AL159" s="245"/>
      <c r="AM159" s="245"/>
      <c r="AN159" s="245"/>
      <c r="AO159" s="245"/>
      <c r="AP159" s="245"/>
      <c r="AQ159" s="245"/>
      <c r="AR159" s="245"/>
      <c r="AS159" s="245"/>
      <c r="AT159" s="245"/>
      <c r="AU159" s="245"/>
      <c r="AV159" s="245"/>
      <c r="AW159" s="245"/>
      <c r="AX159" s="245"/>
      <c r="AY159" s="245"/>
      <c r="AZ159" s="245"/>
      <c r="BA159" s="245"/>
      <c r="BB159" s="245"/>
      <c r="BC159" s="4"/>
      <c r="BD159" s="14"/>
      <c r="BG159" s="27"/>
      <c r="BS159" s="1767"/>
      <c r="BT159" s="2011"/>
      <c r="BU159" s="2011"/>
      <c r="BV159" s="1750"/>
      <c r="BW159" s="1750"/>
      <c r="BX159" s="1750"/>
      <c r="BY159" s="1750"/>
      <c r="BZ159" s="1750"/>
      <c r="CA159" s="1750"/>
      <c r="CB159" s="1750"/>
      <c r="CC159" s="1750"/>
      <c r="CD159" s="1750"/>
      <c r="CE159" s="1750"/>
      <c r="CF159" s="2012"/>
      <c r="CG159" s="2012"/>
      <c r="CH159" s="1750"/>
      <c r="CI159" s="1750"/>
      <c r="CJ159" s="1750"/>
      <c r="CK159" s="1750"/>
      <c r="CL159" s="1750"/>
      <c r="CM159" s="1750"/>
    </row>
    <row r="160" spans="2:140" ht="76.5" customHeight="1" thickTop="1" thickBot="1" x14ac:dyDescent="0.45">
      <c r="B160" s="695" t="s">
        <v>42</v>
      </c>
      <c r="C160" s="707"/>
      <c r="D160" s="708"/>
      <c r="E160" s="74"/>
      <c r="F160" s="74"/>
      <c r="G160" s="74"/>
      <c r="H160" s="248"/>
      <c r="I160" s="248"/>
      <c r="J160" s="248"/>
      <c r="K160" s="248"/>
      <c r="L160" s="248"/>
      <c r="M160" s="248"/>
      <c r="N160" s="248"/>
      <c r="O160" s="248"/>
      <c r="P160" s="248"/>
      <c r="Q160" s="248"/>
      <c r="R160" s="248"/>
      <c r="S160" s="255" t="s">
        <v>105</v>
      </c>
      <c r="T160" s="255">
        <f>SUM(V164:V187)/B161</f>
        <v>146.5</v>
      </c>
      <c r="U160" s="295"/>
      <c r="V160" s="245"/>
      <c r="W160" s="245"/>
      <c r="X160" s="245"/>
      <c r="Y160" s="245"/>
      <c r="Z160" s="245"/>
      <c r="AA160" s="245"/>
      <c r="AB160" s="245"/>
      <c r="AC160" s="245"/>
      <c r="AD160" s="245"/>
      <c r="AE160" s="245"/>
      <c r="AF160" s="245"/>
      <c r="AG160" s="245"/>
      <c r="AH160" s="245"/>
      <c r="AI160" s="245"/>
      <c r="AJ160" s="245"/>
      <c r="AK160" s="245"/>
      <c r="AL160" s="245"/>
      <c r="AM160" s="245"/>
      <c r="AN160" s="245"/>
      <c r="AO160" s="245"/>
      <c r="AP160" s="245"/>
      <c r="AQ160" s="245"/>
      <c r="AR160" s="245"/>
      <c r="AS160" s="245"/>
      <c r="AT160" s="245"/>
      <c r="AU160" s="245"/>
      <c r="AV160" s="245"/>
      <c r="AW160" s="245"/>
      <c r="AX160" s="245"/>
      <c r="AY160" s="245"/>
      <c r="AZ160" s="245"/>
      <c r="BA160" s="245"/>
      <c r="BB160" s="245"/>
      <c r="BC160" s="4"/>
      <c r="BD160" s="36"/>
      <c r="BE160" s="36"/>
      <c r="BF160" s="36"/>
      <c r="BG160" s="27"/>
      <c r="BS160" s="1750"/>
      <c r="BT160" s="1750"/>
      <c r="BU160" s="1750"/>
      <c r="BV160" s="1750"/>
      <c r="BW160" s="1750"/>
      <c r="BX160" s="1750"/>
      <c r="BY160" s="1750"/>
      <c r="BZ160" s="1750"/>
      <c r="CA160" s="1750"/>
      <c r="CB160" s="1750"/>
      <c r="CC160" s="1750"/>
      <c r="CD160" s="1750"/>
      <c r="CE160" s="1750"/>
      <c r="CF160" s="1750"/>
      <c r="CG160" s="1750"/>
      <c r="CH160" s="1750"/>
      <c r="CI160" s="1750"/>
      <c r="CJ160" s="1750"/>
      <c r="CK160" s="1750"/>
      <c r="CL160" s="1750"/>
      <c r="CM160" s="1750"/>
    </row>
    <row r="161" spans="1:91" ht="25.8" thickTop="1" thickBot="1" x14ac:dyDescent="0.45">
      <c r="B161" s="743">
        <v>1</v>
      </c>
      <c r="C161" s="671"/>
      <c r="D161" s="704" t="s">
        <v>71</v>
      </c>
      <c r="E161" s="445"/>
      <c r="F161" s="445"/>
      <c r="G161" s="445"/>
      <c r="H161" s="246"/>
      <c r="I161" s="247"/>
      <c r="J161" s="247"/>
      <c r="K161" s="247"/>
      <c r="L161" s="247"/>
      <c r="M161" s="247"/>
      <c r="N161" s="247"/>
      <c r="O161" s="247"/>
      <c r="P161" s="247"/>
      <c r="Q161" s="247"/>
      <c r="R161" s="247"/>
      <c r="S161" s="303"/>
      <c r="T161" s="304"/>
      <c r="U161" s="266"/>
      <c r="V161" s="296"/>
      <c r="W161" s="296"/>
      <c r="X161" s="296"/>
      <c r="Y161" s="296"/>
      <c r="Z161" s="296"/>
      <c r="AA161" s="296"/>
      <c r="AB161" s="296"/>
      <c r="AC161" s="296"/>
      <c r="AD161" s="296"/>
      <c r="AE161" s="296"/>
      <c r="AF161" s="296"/>
      <c r="AG161" s="296"/>
      <c r="AH161" s="296"/>
      <c r="AI161" s="296"/>
      <c r="AJ161" s="296"/>
      <c r="AK161" s="296"/>
      <c r="AL161" s="296"/>
      <c r="AM161" s="296"/>
      <c r="AN161" s="296"/>
      <c r="AO161" s="296"/>
      <c r="AP161" s="296"/>
      <c r="AQ161" s="296"/>
      <c r="AR161" s="296"/>
      <c r="AS161" s="296"/>
      <c r="AT161" s="296"/>
      <c r="AU161" s="296"/>
      <c r="AV161" s="296"/>
      <c r="AW161" s="296"/>
      <c r="AX161" s="296"/>
      <c r="AY161" s="296"/>
      <c r="AZ161" s="296"/>
      <c r="BA161" s="2045" t="s">
        <v>68</v>
      </c>
      <c r="BB161" s="2046"/>
      <c r="BC161" s="5"/>
      <c r="BD161" s="33"/>
      <c r="BE161" s="33"/>
      <c r="BF161" s="33"/>
      <c r="BG161" s="27"/>
      <c r="BH161" s="27"/>
      <c r="BS161" s="1750"/>
      <c r="BT161" s="1750"/>
      <c r="BU161" s="1750"/>
      <c r="BV161" s="1750"/>
      <c r="BW161" s="1750"/>
      <c r="BX161" s="1750"/>
      <c r="BY161" s="1750"/>
      <c r="BZ161" s="1750"/>
      <c r="CA161" s="1750"/>
      <c r="CB161" s="1750"/>
      <c r="CC161" s="1750"/>
      <c r="CD161" s="1750"/>
      <c r="CE161" s="1750"/>
      <c r="CF161" s="1750"/>
      <c r="CG161" s="1750"/>
      <c r="CH161" s="1750"/>
      <c r="CI161" s="1750"/>
      <c r="CJ161" s="1750"/>
      <c r="CK161" s="1750"/>
      <c r="CL161" s="1750"/>
      <c r="CM161" s="1750"/>
    </row>
    <row r="162" spans="1:91" ht="18.600000000000001" hidden="1" thickTop="1" thickBot="1" x14ac:dyDescent="0.35">
      <c r="B162" s="358"/>
      <c r="C162" s="76"/>
      <c r="D162" s="698" t="s">
        <v>13</v>
      </c>
      <c r="E162" s="15"/>
      <c r="F162" s="15"/>
      <c r="G162" s="15"/>
      <c r="H162" s="297" t="s">
        <v>4</v>
      </c>
      <c r="I162" s="297" t="s">
        <v>1</v>
      </c>
      <c r="J162" s="248" t="s">
        <v>0</v>
      </c>
      <c r="K162" s="248" t="s">
        <v>2</v>
      </c>
      <c r="L162" s="248" t="s">
        <v>3</v>
      </c>
      <c r="M162" s="248" t="s">
        <v>8</v>
      </c>
      <c r="N162" s="248" t="s">
        <v>5</v>
      </c>
      <c r="O162" s="248" t="s">
        <v>6</v>
      </c>
      <c r="P162" s="248" t="s">
        <v>7</v>
      </c>
      <c r="Q162" s="248" t="s">
        <v>9</v>
      </c>
      <c r="R162" s="316" t="s">
        <v>10</v>
      </c>
      <c r="S162" s="248" t="s">
        <v>11</v>
      </c>
      <c r="T162" s="249" t="s">
        <v>12</v>
      </c>
      <c r="U162" s="265"/>
      <c r="V162" s="273"/>
      <c r="W162" s="273"/>
      <c r="X162" s="273"/>
      <c r="Y162" s="273"/>
      <c r="Z162" s="273"/>
      <c r="AA162" s="273"/>
      <c r="AB162" s="273"/>
      <c r="AC162" s="273"/>
      <c r="AD162" s="273"/>
      <c r="AE162" s="273"/>
      <c r="AF162" s="273"/>
      <c r="AG162" s="273"/>
      <c r="AH162" s="273"/>
      <c r="AI162" s="273"/>
      <c r="AJ162" s="273"/>
      <c r="AK162" s="273"/>
      <c r="AL162" s="273"/>
      <c r="AM162" s="273"/>
      <c r="AN162" s="273"/>
      <c r="AO162" s="273"/>
      <c r="AP162" s="273"/>
      <c r="AQ162" s="273"/>
      <c r="AR162" s="273"/>
      <c r="AS162" s="273"/>
      <c r="AT162" s="273"/>
      <c r="AU162" s="273"/>
      <c r="AV162" s="273"/>
      <c r="AW162" s="273"/>
      <c r="AX162" s="273"/>
      <c r="AY162" s="272"/>
      <c r="AZ162" s="273"/>
      <c r="BA162" s="273"/>
      <c r="BB162" s="273"/>
      <c r="BC162" s="6"/>
      <c r="BD162" s="16"/>
      <c r="BE162" s="7"/>
      <c r="BF162" s="7"/>
      <c r="BG162" s="27"/>
      <c r="BH162" s="27"/>
      <c r="BS162" s="1750"/>
      <c r="BT162" s="1750"/>
      <c r="BU162" s="1750"/>
      <c r="BV162" s="1750"/>
      <c r="BW162" s="1750"/>
      <c r="BX162" s="1750"/>
      <c r="BY162" s="1750"/>
      <c r="BZ162" s="1750"/>
      <c r="CA162" s="1750"/>
      <c r="CB162" s="1750"/>
      <c r="CC162" s="1750"/>
      <c r="CD162" s="1750"/>
      <c r="CE162" s="1750"/>
      <c r="CF162" s="1750"/>
      <c r="CG162" s="1750"/>
      <c r="CH162" s="1750"/>
      <c r="CI162" s="1750"/>
      <c r="CJ162" s="1750"/>
      <c r="CK162" s="1750"/>
      <c r="CL162" s="1750"/>
      <c r="CM162" s="1750"/>
    </row>
    <row r="163" spans="1:91" ht="45" customHeight="1" thickTop="1" thickBot="1" x14ac:dyDescent="0.45">
      <c r="B163" s="90"/>
      <c r="C163" s="139"/>
      <c r="D163" s="735" t="s">
        <v>24</v>
      </c>
      <c r="E163" s="445"/>
      <c r="F163" s="30" t="s">
        <v>58</v>
      </c>
      <c r="G163" s="50"/>
      <c r="H163" s="298"/>
      <c r="I163" s="317"/>
      <c r="J163" s="244"/>
      <c r="K163" s="244"/>
      <c r="L163" s="244"/>
      <c r="M163" s="244"/>
      <c r="N163" s="244"/>
      <c r="O163" s="244"/>
      <c r="P163" s="244"/>
      <c r="Q163" s="244"/>
      <c r="R163" s="316"/>
      <c r="S163" s="244"/>
      <c r="T163" s="250"/>
      <c r="U163" s="265"/>
      <c r="V163" s="273"/>
      <c r="W163" s="273"/>
      <c r="X163" s="273"/>
      <c r="Y163" s="273"/>
      <c r="Z163" s="273"/>
      <c r="AA163" s="273"/>
      <c r="AB163" s="273"/>
      <c r="AC163" s="273"/>
      <c r="AD163" s="273"/>
      <c r="AE163" s="273"/>
      <c r="AF163" s="273" t="s">
        <v>51</v>
      </c>
      <c r="AG163" s="460" t="s">
        <v>189</v>
      </c>
      <c r="AH163" s="274" t="s">
        <v>44</v>
      </c>
      <c r="AI163" s="274"/>
      <c r="AJ163" s="175" t="s">
        <v>96</v>
      </c>
      <c r="AK163" s="275" t="s">
        <v>45</v>
      </c>
      <c r="AL163" s="172" t="s">
        <v>46</v>
      </c>
      <c r="AM163" s="175" t="s">
        <v>97</v>
      </c>
      <c r="AN163" s="276" t="s">
        <v>47</v>
      </c>
      <c r="AO163" s="172" t="s">
        <v>48</v>
      </c>
      <c r="AP163" s="276"/>
      <c r="AQ163" s="179" t="s">
        <v>49</v>
      </c>
      <c r="AR163" s="278"/>
      <c r="AS163" s="278" t="s">
        <v>50</v>
      </c>
      <c r="AT163" s="278" t="s">
        <v>52</v>
      </c>
      <c r="AU163" s="278"/>
      <c r="AV163" s="278" t="s">
        <v>53</v>
      </c>
      <c r="AW163" s="279" t="s">
        <v>54</v>
      </c>
      <c r="AX163" s="279" t="s">
        <v>55</v>
      </c>
      <c r="AY163" s="280" t="s">
        <v>25</v>
      </c>
      <c r="AZ163" s="280" t="s">
        <v>26</v>
      </c>
      <c r="BA163" s="281" t="s">
        <v>25</v>
      </c>
      <c r="BB163" s="281" t="s">
        <v>26</v>
      </c>
      <c r="BC163" s="7"/>
      <c r="BD163" s="16"/>
      <c r="BE163" s="7"/>
      <c r="BF163" s="7"/>
      <c r="BG163" s="27"/>
      <c r="BH163" s="27"/>
      <c r="BS163" s="1750"/>
      <c r="BT163" s="1750"/>
      <c r="BU163" s="1750"/>
      <c r="BV163" s="1750"/>
      <c r="BW163" s="1750"/>
      <c r="BX163" s="1750"/>
      <c r="BY163" s="1750"/>
      <c r="BZ163" s="1750"/>
      <c r="CA163" s="1750"/>
      <c r="CB163" s="1750"/>
      <c r="CC163" s="1750"/>
      <c r="CD163" s="1750"/>
      <c r="CE163" s="1750"/>
      <c r="CF163" s="1750"/>
      <c r="CG163" s="1750"/>
      <c r="CH163" s="1750"/>
      <c r="CI163" s="1750"/>
      <c r="CJ163" s="1750"/>
      <c r="CK163" s="1750"/>
      <c r="CL163" s="1750"/>
      <c r="CM163" s="1750"/>
    </row>
    <row r="164" spans="1:91" ht="21" customHeight="1" thickBot="1" x14ac:dyDescent="0.35">
      <c r="B164" s="87">
        <v>1</v>
      </c>
      <c r="C164" s="668">
        <f>+AI157+D164</f>
        <v>0</v>
      </c>
      <c r="D164" s="738">
        <v>0</v>
      </c>
      <c r="E164" s="333" t="s">
        <v>73</v>
      </c>
      <c r="F164" s="81">
        <f>+G164</f>
        <v>0</v>
      </c>
      <c r="G164" s="81">
        <f>+D164</f>
        <v>0</v>
      </c>
      <c r="H164" s="392">
        <v>190.76</v>
      </c>
      <c r="I164" s="393">
        <v>79.651040199999997</v>
      </c>
      <c r="J164" s="394">
        <f>+I164-C164</f>
        <v>79.651040199999997</v>
      </c>
      <c r="K164" s="394">
        <f>+J164/2</f>
        <v>39.825520099999999</v>
      </c>
      <c r="L164" s="394">
        <f t="shared" ref="L164:L187" si="69">SIN(K164*3.14159265358979/180)</f>
        <v>0.64045183696587837</v>
      </c>
      <c r="M164" s="394">
        <f t="shared" ref="M164:M187" si="70">+L164*H164</f>
        <v>122.17259241961095</v>
      </c>
      <c r="N164" s="394">
        <f t="shared" ref="N164:N187" si="71">+M164*2</f>
        <v>244.3451848392219</v>
      </c>
      <c r="O164" s="394">
        <f>+C164/2</f>
        <v>0</v>
      </c>
      <c r="P164" s="394">
        <f t="shared" ref="P164:P187" si="72">SIN(O164*3.14159265358979/180)</f>
        <v>0</v>
      </c>
      <c r="Q164" s="394">
        <f t="shared" ref="Q164:Q187" si="73">+P164*N164</f>
        <v>0</v>
      </c>
      <c r="R164" s="395">
        <v>146.5</v>
      </c>
      <c r="S164" s="394">
        <f>+R164+Q164</f>
        <v>146.5</v>
      </c>
      <c r="T164" s="396">
        <f t="shared" ref="T164:T187" si="74">+S164</f>
        <v>146.5</v>
      </c>
      <c r="U164" s="248"/>
      <c r="V164" s="397">
        <f t="shared" ref="V164:V187" si="75">IF(B164&lt;($B$161+1),T164,0)</f>
        <v>146.5</v>
      </c>
      <c r="W164" s="397"/>
      <c r="X164" s="397"/>
      <c r="Y164" s="397"/>
      <c r="Z164" s="397"/>
      <c r="AA164" s="397"/>
      <c r="AB164" s="300" t="str">
        <f>IF(AZ164&lt;0,"pin in groundstacking hole"," ")</f>
        <v xml:space="preserve"> </v>
      </c>
      <c r="AC164" s="455"/>
      <c r="AD164" s="455"/>
      <c r="AE164" s="455"/>
      <c r="AF164" s="397">
        <f>SUM(V164:V187)/($B$161)</f>
        <v>146.5</v>
      </c>
      <c r="AG164" s="397">
        <f>+AF164+AA143+AA110</f>
        <v>146.50001391867153</v>
      </c>
      <c r="AH164" s="398">
        <f>C164</f>
        <v>0</v>
      </c>
      <c r="AI164" s="399"/>
      <c r="AJ164" s="400">
        <f>69.3447148-AH164</f>
        <v>69.344714800000006</v>
      </c>
      <c r="AK164" s="401">
        <f t="shared" ref="AK164:AK187" si="76">SIN(AJ164*3.14159265358979/180)</f>
        <v>0.93571960494171247</v>
      </c>
      <c r="AL164" s="402">
        <f>+AK164*192.42</f>
        <v>180.0511663828843</v>
      </c>
      <c r="AM164" s="400">
        <f>50.1744799+AH164</f>
        <v>50.174479900000001</v>
      </c>
      <c r="AN164" s="403">
        <f>SIN(AM164*3.14159265358979/180)</f>
        <v>0.76799833627881664</v>
      </c>
      <c r="AO164" s="402">
        <f>+AN164*190.76</f>
        <v>146.50336262854705</v>
      </c>
      <c r="AP164" s="404"/>
      <c r="AQ164" s="402">
        <f>25.5*B161</f>
        <v>25.5</v>
      </c>
      <c r="AR164" s="404"/>
      <c r="AS164" s="405">
        <f>+AO164+AL164</f>
        <v>326.55452901143133</v>
      </c>
      <c r="AT164" s="406">
        <f>+V164-AO164</f>
        <v>-3.3626285470518269E-3</v>
      </c>
      <c r="AU164" s="407"/>
      <c r="AV164" s="406">
        <f>+AF164-AT164</f>
        <v>146.50336262854705</v>
      </c>
      <c r="AW164" s="408">
        <f>+((AS164-AV164)/AS164)*AQ164</f>
        <v>14.059840960291279</v>
      </c>
      <c r="AX164" s="408">
        <f>+(AV164/AS164)*AQ164</f>
        <v>11.440159039708721</v>
      </c>
      <c r="AY164" s="292">
        <f t="shared" ref="AY164:AY187" si="77">2*$C$18/AW164</f>
        <v>825.04489437408847</v>
      </c>
      <c r="AZ164" s="292">
        <f t="shared" ref="AZ164:AZ187" si="78">$D$18/AX164</f>
        <v>874.11372213358766</v>
      </c>
      <c r="BA164" s="294">
        <f>ABS(AY164)</f>
        <v>825.04489437408847</v>
      </c>
      <c r="BB164" s="294">
        <f>ABS(AZ164)</f>
        <v>874.11372213358766</v>
      </c>
      <c r="BC164" s="2" t="s">
        <v>56</v>
      </c>
      <c r="BD164" s="11"/>
      <c r="BG164" s="27"/>
      <c r="BS164" s="1750"/>
      <c r="BT164" s="1750"/>
      <c r="BU164" s="1750"/>
      <c r="BV164" s="1750"/>
      <c r="BW164" s="1750"/>
      <c r="BX164" s="1750"/>
      <c r="BY164" s="1750"/>
      <c r="BZ164" s="1750"/>
      <c r="CA164" s="1750"/>
      <c r="CB164" s="1750"/>
      <c r="CC164" s="1750"/>
      <c r="CD164" s="1750"/>
      <c r="CE164" s="1750"/>
      <c r="CF164" s="1750"/>
      <c r="CG164" s="1750"/>
      <c r="CH164" s="1750"/>
      <c r="CI164" s="1750"/>
      <c r="CJ164" s="1750"/>
      <c r="CK164" s="1750"/>
      <c r="CL164" s="1750"/>
      <c r="CM164" s="1750"/>
    </row>
    <row r="165" spans="1:91" ht="21" customHeight="1" thickBot="1" x14ac:dyDescent="0.35">
      <c r="B165" s="88">
        <v>2</v>
      </c>
      <c r="C165" s="20"/>
      <c r="D165" s="738">
        <v>0</v>
      </c>
      <c r="E165" s="333" t="s">
        <v>72</v>
      </c>
      <c r="F165" s="81" t="e">
        <f t="shared" ref="F165:F187" si="79">+G165</f>
        <v>#DIV/0!</v>
      </c>
      <c r="G165" s="81" t="e">
        <f>+D165+BC165</f>
        <v>#DIV/0!</v>
      </c>
      <c r="H165" s="299">
        <v>190.76</v>
      </c>
      <c r="I165" s="318">
        <v>79.651040199999997</v>
      </c>
      <c r="J165" s="251">
        <f t="shared" ref="J165:J187" si="80">+I165-D165</f>
        <v>79.651040199999997</v>
      </c>
      <c r="K165" s="251">
        <f t="shared" ref="K165:K187" si="81">+J165/2</f>
        <v>39.825520099999999</v>
      </c>
      <c r="L165" s="251">
        <f t="shared" si="69"/>
        <v>0.64045183696587837</v>
      </c>
      <c r="M165" s="251">
        <f t="shared" si="70"/>
        <v>122.17259241961095</v>
      </c>
      <c r="N165" s="251">
        <f t="shared" si="71"/>
        <v>244.3451848392219</v>
      </c>
      <c r="O165" s="251">
        <f>+C164+(D165/2)</f>
        <v>0</v>
      </c>
      <c r="P165" s="251">
        <f t="shared" si="72"/>
        <v>0</v>
      </c>
      <c r="Q165" s="251">
        <f t="shared" si="73"/>
        <v>0</v>
      </c>
      <c r="R165" s="251">
        <f t="shared" ref="R165:R187" si="82">+T164</f>
        <v>146.5</v>
      </c>
      <c r="S165" s="251">
        <f>+R165+Q165</f>
        <v>146.5</v>
      </c>
      <c r="T165" s="252">
        <f t="shared" si="74"/>
        <v>146.5</v>
      </c>
      <c r="U165" s="244"/>
      <c r="V165" s="282">
        <f t="shared" si="75"/>
        <v>0</v>
      </c>
      <c r="W165" s="282"/>
      <c r="X165" s="282"/>
      <c r="Y165" s="282"/>
      <c r="Z165" s="282"/>
      <c r="AA165" s="282"/>
      <c r="AB165" s="300" t="e">
        <f t="shared" ref="AB165:AB187" si="83">IF(AZ165&lt;0,"pin in groundstacking hole"," ")</f>
        <v>#DIV/0!</v>
      </c>
      <c r="AC165" s="451"/>
      <c r="AD165" s="451"/>
      <c r="AE165" s="451"/>
      <c r="AF165" s="282" t="e">
        <f>SUM(V165:V188)/($B$161-B164)</f>
        <v>#DIV/0!</v>
      </c>
      <c r="AG165" s="282"/>
      <c r="AH165" s="301">
        <f>SUM(D165)+$C$164</f>
        <v>0</v>
      </c>
      <c r="AI165" s="370"/>
      <c r="AJ165" s="173">
        <f t="shared" ref="AJ165:AJ187" si="84">69.3447148-AH165</f>
        <v>69.344714800000006</v>
      </c>
      <c r="AK165" s="284">
        <f t="shared" si="76"/>
        <v>0.93571960494171247</v>
      </c>
      <c r="AL165" s="174">
        <f t="shared" ref="AL165:AL187" si="85">+AK165*192.42</f>
        <v>180.0511663828843</v>
      </c>
      <c r="AM165" s="173">
        <f t="shared" ref="AM165:AM187" si="86">50.1744799+AH165</f>
        <v>50.174479900000001</v>
      </c>
      <c r="AN165" s="285">
        <f t="shared" ref="AN165:AN187" si="87">SIN(AM165*3.14159265358979/180)</f>
        <v>0.76799833627881664</v>
      </c>
      <c r="AO165" s="174">
        <f t="shared" ref="AO165:AO187" si="88">+AN165*190.76</f>
        <v>146.50336262854705</v>
      </c>
      <c r="AP165" s="287"/>
      <c r="AQ165" s="174">
        <f>25.5*($B$161-B164)</f>
        <v>0</v>
      </c>
      <c r="AR165" s="287"/>
      <c r="AS165" s="288">
        <f t="shared" ref="AS165:AS187" si="89">+AO165+AL165</f>
        <v>326.55452901143133</v>
      </c>
      <c r="AT165" s="289">
        <f>+V165-AO165</f>
        <v>-146.50336262854705</v>
      </c>
      <c r="AU165" s="290"/>
      <c r="AV165" s="289" t="e">
        <f>+AF165-AT165</f>
        <v>#DIV/0!</v>
      </c>
      <c r="AW165" s="291" t="e">
        <f t="shared" ref="AW165:AW187" si="90">+((AS165-AV165)/AS165)*AQ165</f>
        <v>#DIV/0!</v>
      </c>
      <c r="AX165" s="291" t="e">
        <f t="shared" ref="AX165:AX187" si="91">+(AV165/AS165)*AQ165</f>
        <v>#DIV/0!</v>
      </c>
      <c r="AY165" s="292" t="e">
        <f t="shared" si="77"/>
        <v>#DIV/0!</v>
      </c>
      <c r="AZ165" s="292" t="e">
        <f t="shared" si="78"/>
        <v>#DIV/0!</v>
      </c>
      <c r="BA165" s="294" t="e">
        <f t="shared" ref="BA165:BB187" si="92">ABS(AY165)</f>
        <v>#DIV/0!</v>
      </c>
      <c r="BB165" s="294" t="e">
        <f t="shared" si="92"/>
        <v>#DIV/0!</v>
      </c>
      <c r="BC165" t="e">
        <f t="shared" ref="BC165:BC187" si="93">IF(AZ165&lt;0,0.3,0)</f>
        <v>#DIV/0!</v>
      </c>
      <c r="BG165" s="27"/>
      <c r="BS165" s="1750"/>
      <c r="BT165" s="1750"/>
      <c r="BU165" s="1750"/>
      <c r="BV165" s="1750"/>
      <c r="BW165" s="1750"/>
      <c r="BX165" s="1750"/>
      <c r="BY165" s="1750"/>
      <c r="BZ165" s="1750"/>
      <c r="CA165" s="1750"/>
      <c r="CB165" s="1750"/>
      <c r="CC165" s="1750"/>
      <c r="CD165" s="1750"/>
      <c r="CE165" s="1750"/>
      <c r="CF165" s="1750"/>
      <c r="CG165" s="1750"/>
      <c r="CH165" s="1750"/>
      <c r="CI165" s="1750"/>
      <c r="CJ165" s="1750"/>
      <c r="CK165" s="1750"/>
      <c r="CL165" s="1750"/>
      <c r="CM165" s="1750"/>
    </row>
    <row r="166" spans="1:91" ht="21" customHeight="1" thickBot="1" x14ac:dyDescent="0.35">
      <c r="B166" s="88">
        <v>3</v>
      </c>
      <c r="C166" s="20"/>
      <c r="D166" s="738">
        <v>0</v>
      </c>
      <c r="E166" s="333" t="s">
        <v>72</v>
      </c>
      <c r="F166" s="81">
        <f t="shared" si="79"/>
        <v>0.3</v>
      </c>
      <c r="G166" s="81">
        <f t="shared" ref="G166:G187" si="94">+D166+BC166</f>
        <v>0.3</v>
      </c>
      <c r="H166" s="299">
        <v>190.76</v>
      </c>
      <c r="I166" s="318">
        <v>79.651040199999997</v>
      </c>
      <c r="J166" s="251">
        <f t="shared" si="80"/>
        <v>79.651040199999997</v>
      </c>
      <c r="K166" s="251">
        <f t="shared" si="81"/>
        <v>39.825520099999999</v>
      </c>
      <c r="L166" s="251">
        <f t="shared" si="69"/>
        <v>0.64045183696587837</v>
      </c>
      <c r="M166" s="251">
        <f t="shared" si="70"/>
        <v>122.17259241961095</v>
      </c>
      <c r="N166" s="251">
        <f t="shared" si="71"/>
        <v>244.3451848392219</v>
      </c>
      <c r="O166" s="251">
        <f>+C164+D165+(D166/2)</f>
        <v>0</v>
      </c>
      <c r="P166" s="251">
        <f t="shared" si="72"/>
        <v>0</v>
      </c>
      <c r="Q166" s="251">
        <f t="shared" si="73"/>
        <v>0</v>
      </c>
      <c r="R166" s="251">
        <f t="shared" si="82"/>
        <v>146.5</v>
      </c>
      <c r="S166" s="251">
        <f t="shared" ref="S166:S187" si="95">+S165+Q166</f>
        <v>146.5</v>
      </c>
      <c r="T166" s="252">
        <f t="shared" si="74"/>
        <v>146.5</v>
      </c>
      <c r="U166" s="244"/>
      <c r="V166" s="282">
        <f t="shared" si="75"/>
        <v>0</v>
      </c>
      <c r="W166" s="282"/>
      <c r="X166" s="282"/>
      <c r="Y166" s="282"/>
      <c r="Z166" s="282"/>
      <c r="AA166" s="282"/>
      <c r="AB166" s="300" t="str">
        <f t="shared" si="83"/>
        <v>pin in groundstacking hole</v>
      </c>
      <c r="AC166" s="451"/>
      <c r="AD166" s="451"/>
      <c r="AE166" s="451"/>
      <c r="AF166" s="282">
        <f>SUM(V166:V187)/($B$161-B165)</f>
        <v>0</v>
      </c>
      <c r="AG166" s="282"/>
      <c r="AH166" s="301">
        <f>SUM(D165:D166)+$C$164</f>
        <v>0</v>
      </c>
      <c r="AI166" s="370"/>
      <c r="AJ166" s="173">
        <f t="shared" si="84"/>
        <v>69.344714800000006</v>
      </c>
      <c r="AK166" s="284">
        <f t="shared" si="76"/>
        <v>0.93571960494171247</v>
      </c>
      <c r="AL166" s="174">
        <f t="shared" si="85"/>
        <v>180.0511663828843</v>
      </c>
      <c r="AM166" s="173">
        <f t="shared" si="86"/>
        <v>50.174479900000001</v>
      </c>
      <c r="AN166" s="285">
        <f t="shared" si="87"/>
        <v>0.76799833627881664</v>
      </c>
      <c r="AO166" s="174">
        <f t="shared" si="88"/>
        <v>146.50336262854705</v>
      </c>
      <c r="AP166" s="287"/>
      <c r="AQ166" s="174">
        <f t="shared" ref="AQ166:AQ187" si="96">25.5*($B$161-B165)</f>
        <v>-25.5</v>
      </c>
      <c r="AR166" s="287"/>
      <c r="AS166" s="288">
        <f t="shared" si="89"/>
        <v>326.55452901143133</v>
      </c>
      <c r="AT166" s="289">
        <f>+V166-AO166</f>
        <v>-146.50336262854705</v>
      </c>
      <c r="AU166" s="290"/>
      <c r="AV166" s="289">
        <f>+AF166-AT166</f>
        <v>146.50336262854705</v>
      </c>
      <c r="AW166" s="291">
        <f t="shared" si="90"/>
        <v>-14.059840960291279</v>
      </c>
      <c r="AX166" s="291">
        <f t="shared" si="91"/>
        <v>-11.440159039708721</v>
      </c>
      <c r="AY166" s="292">
        <f t="shared" si="77"/>
        <v>-825.04489437408847</v>
      </c>
      <c r="AZ166" s="292">
        <f t="shared" si="78"/>
        <v>-874.11372213358766</v>
      </c>
      <c r="BA166" s="294">
        <f t="shared" si="92"/>
        <v>825.04489437408847</v>
      </c>
      <c r="BB166" s="294">
        <f t="shared" si="92"/>
        <v>874.11372213358766</v>
      </c>
      <c r="BC166">
        <f t="shared" si="93"/>
        <v>0.3</v>
      </c>
      <c r="BG166" s="27"/>
      <c r="BS166" s="1750"/>
      <c r="BT166" s="1750"/>
      <c r="BU166" s="1750"/>
      <c r="BV166" s="1750"/>
      <c r="BW166" s="1750"/>
      <c r="BX166" s="1750"/>
      <c r="BY166" s="1750"/>
      <c r="BZ166" s="1750"/>
      <c r="CA166" s="1750"/>
      <c r="CB166" s="1750"/>
      <c r="CC166" s="1750"/>
      <c r="CD166" s="1750"/>
      <c r="CE166" s="1750"/>
      <c r="CF166" s="1750"/>
      <c r="CG166" s="1750"/>
      <c r="CH166" s="1750"/>
      <c r="CI166" s="1750"/>
      <c r="CJ166" s="1750"/>
      <c r="CK166" s="1750"/>
      <c r="CL166" s="1750"/>
      <c r="CM166" s="1750"/>
    </row>
    <row r="167" spans="1:91" ht="21" customHeight="1" thickBot="1" x14ac:dyDescent="0.35">
      <c r="B167" s="88">
        <v>4</v>
      </c>
      <c r="C167" s="20"/>
      <c r="D167" s="738">
        <v>0</v>
      </c>
      <c r="E167" s="333" t="s">
        <v>72</v>
      </c>
      <c r="F167" s="81">
        <f t="shared" si="79"/>
        <v>0.3</v>
      </c>
      <c r="G167" s="81">
        <f t="shared" si="94"/>
        <v>0.3</v>
      </c>
      <c r="H167" s="299">
        <v>190.76</v>
      </c>
      <c r="I167" s="318">
        <v>79.651040199999997</v>
      </c>
      <c r="J167" s="251">
        <f t="shared" si="80"/>
        <v>79.651040199999997</v>
      </c>
      <c r="K167" s="251">
        <f t="shared" si="81"/>
        <v>39.825520099999999</v>
      </c>
      <c r="L167" s="251">
        <f t="shared" si="69"/>
        <v>0.64045183696587837</v>
      </c>
      <c r="M167" s="251">
        <f t="shared" si="70"/>
        <v>122.17259241961095</v>
      </c>
      <c r="N167" s="251">
        <f t="shared" si="71"/>
        <v>244.3451848392219</v>
      </c>
      <c r="O167" s="251">
        <f>+C164+D165+D166+(D167/2)</f>
        <v>0</v>
      </c>
      <c r="P167" s="251">
        <f t="shared" si="72"/>
        <v>0</v>
      </c>
      <c r="Q167" s="251">
        <f t="shared" si="73"/>
        <v>0</v>
      </c>
      <c r="R167" s="251">
        <f t="shared" si="82"/>
        <v>146.5</v>
      </c>
      <c r="S167" s="251">
        <f t="shared" si="95"/>
        <v>146.5</v>
      </c>
      <c r="T167" s="252">
        <f t="shared" si="74"/>
        <v>146.5</v>
      </c>
      <c r="U167" s="244"/>
      <c r="V167" s="282">
        <f t="shared" si="75"/>
        <v>0</v>
      </c>
      <c r="W167" s="282"/>
      <c r="X167" s="282"/>
      <c r="Y167" s="282"/>
      <c r="Z167" s="282"/>
      <c r="AA167" s="282"/>
      <c r="AB167" s="300" t="str">
        <f t="shared" si="83"/>
        <v>pin in groundstacking hole</v>
      </c>
      <c r="AC167" s="451"/>
      <c r="AD167" s="451"/>
      <c r="AE167" s="451"/>
      <c r="AF167" s="282">
        <f>SUM(V167:V187)/($B$161-B166)</f>
        <v>0</v>
      </c>
      <c r="AG167" s="282"/>
      <c r="AH167" s="301">
        <f>SUM(D165:D167)+$C$164</f>
        <v>0</v>
      </c>
      <c r="AI167" s="370"/>
      <c r="AJ167" s="173">
        <f t="shared" si="84"/>
        <v>69.344714800000006</v>
      </c>
      <c r="AK167" s="284">
        <f t="shared" si="76"/>
        <v>0.93571960494171247</v>
      </c>
      <c r="AL167" s="174">
        <f t="shared" si="85"/>
        <v>180.0511663828843</v>
      </c>
      <c r="AM167" s="173">
        <f t="shared" si="86"/>
        <v>50.174479900000001</v>
      </c>
      <c r="AN167" s="285">
        <f t="shared" si="87"/>
        <v>0.76799833627881664</v>
      </c>
      <c r="AO167" s="174">
        <f t="shared" si="88"/>
        <v>146.50336262854705</v>
      </c>
      <c r="AP167" s="287"/>
      <c r="AQ167" s="174">
        <f t="shared" si="96"/>
        <v>-51</v>
      </c>
      <c r="AR167" s="287"/>
      <c r="AS167" s="288">
        <f t="shared" si="89"/>
        <v>326.55452901143133</v>
      </c>
      <c r="AT167" s="289">
        <f>+V167-AO167</f>
        <v>-146.50336262854705</v>
      </c>
      <c r="AU167" s="290"/>
      <c r="AV167" s="289">
        <f t="shared" ref="AV167:AV187" si="97">+AF167-AT167</f>
        <v>146.50336262854705</v>
      </c>
      <c r="AW167" s="291">
        <f t="shared" si="90"/>
        <v>-28.119681920582558</v>
      </c>
      <c r="AX167" s="291">
        <f t="shared" si="91"/>
        <v>-22.880318079417442</v>
      </c>
      <c r="AY167" s="292">
        <f t="shared" si="77"/>
        <v>-412.52244718704424</v>
      </c>
      <c r="AZ167" s="292">
        <f t="shared" si="78"/>
        <v>-437.05686106679383</v>
      </c>
      <c r="BA167" s="294">
        <f t="shared" si="92"/>
        <v>412.52244718704424</v>
      </c>
      <c r="BB167" s="294">
        <f t="shared" si="92"/>
        <v>437.05686106679383</v>
      </c>
      <c r="BC167">
        <f t="shared" si="93"/>
        <v>0.3</v>
      </c>
      <c r="BG167" s="27"/>
      <c r="BS167" s="1750"/>
      <c r="BT167" s="1750"/>
      <c r="BU167" s="1750"/>
      <c r="BV167" s="1750"/>
      <c r="BW167" s="1750"/>
      <c r="BX167" s="1750"/>
      <c r="BY167" s="1750"/>
      <c r="BZ167" s="1750"/>
      <c r="CA167" s="1750"/>
      <c r="CB167" s="1750"/>
      <c r="CC167" s="1750"/>
      <c r="CD167" s="1750"/>
      <c r="CE167" s="1750"/>
      <c r="CF167" s="1750"/>
      <c r="CG167" s="1750"/>
      <c r="CH167" s="1750"/>
      <c r="CI167" s="1750"/>
      <c r="CJ167" s="1750"/>
      <c r="CK167" s="1750"/>
      <c r="CL167" s="1750"/>
      <c r="CM167" s="1750"/>
    </row>
    <row r="168" spans="1:91" ht="21" customHeight="1" thickBot="1" x14ac:dyDescent="0.35">
      <c r="B168" s="88">
        <v>5</v>
      </c>
      <c r="C168" s="20"/>
      <c r="D168" s="738">
        <v>0</v>
      </c>
      <c r="E168" s="333" t="s">
        <v>72</v>
      </c>
      <c r="F168" s="81">
        <f t="shared" si="79"/>
        <v>0.3</v>
      </c>
      <c r="G168" s="81">
        <f>+D168+BC168</f>
        <v>0.3</v>
      </c>
      <c r="H168" s="299">
        <v>190.76</v>
      </c>
      <c r="I168" s="318">
        <v>79.651040199999997</v>
      </c>
      <c r="J168" s="251">
        <f t="shared" si="80"/>
        <v>79.651040199999997</v>
      </c>
      <c r="K168" s="251">
        <f t="shared" si="81"/>
        <v>39.825520099999999</v>
      </c>
      <c r="L168" s="251">
        <f t="shared" si="69"/>
        <v>0.64045183696587837</v>
      </c>
      <c r="M168" s="251">
        <f t="shared" si="70"/>
        <v>122.17259241961095</v>
      </c>
      <c r="N168" s="251">
        <f t="shared" si="71"/>
        <v>244.3451848392219</v>
      </c>
      <c r="O168" s="251">
        <f>+C164+D165+D166+D167+(D168/2)</f>
        <v>0</v>
      </c>
      <c r="P168" s="251">
        <f t="shared" si="72"/>
        <v>0</v>
      </c>
      <c r="Q168" s="251">
        <f t="shared" si="73"/>
        <v>0</v>
      </c>
      <c r="R168" s="251">
        <f t="shared" si="82"/>
        <v>146.5</v>
      </c>
      <c r="S168" s="251">
        <f t="shared" si="95"/>
        <v>146.5</v>
      </c>
      <c r="T168" s="252">
        <f t="shared" si="74"/>
        <v>146.5</v>
      </c>
      <c r="U168" s="244"/>
      <c r="V168" s="282">
        <f t="shared" si="75"/>
        <v>0</v>
      </c>
      <c r="W168" s="282"/>
      <c r="X168" s="282"/>
      <c r="Y168" s="282"/>
      <c r="Z168" s="282"/>
      <c r="AA168" s="282"/>
      <c r="AB168" s="300" t="str">
        <f t="shared" si="83"/>
        <v>pin in groundstacking hole</v>
      </c>
      <c r="AC168" s="451"/>
      <c r="AD168" s="451"/>
      <c r="AE168" s="451"/>
      <c r="AF168" s="282">
        <f>SUM(V168:V187)/($B$161-B167)</f>
        <v>0</v>
      </c>
      <c r="AG168" s="282"/>
      <c r="AH168" s="301">
        <f>SUM(D165:D168)+$C$164</f>
        <v>0</v>
      </c>
      <c r="AI168" s="370"/>
      <c r="AJ168" s="173">
        <f t="shared" si="84"/>
        <v>69.344714800000006</v>
      </c>
      <c r="AK168" s="284">
        <f t="shared" si="76"/>
        <v>0.93571960494171247</v>
      </c>
      <c r="AL168" s="174">
        <f t="shared" si="85"/>
        <v>180.0511663828843</v>
      </c>
      <c r="AM168" s="173">
        <f t="shared" si="86"/>
        <v>50.174479900000001</v>
      </c>
      <c r="AN168" s="285">
        <f t="shared" si="87"/>
        <v>0.76799833627881664</v>
      </c>
      <c r="AO168" s="174">
        <f t="shared" si="88"/>
        <v>146.50336262854705</v>
      </c>
      <c r="AP168" s="287"/>
      <c r="AQ168" s="174">
        <f t="shared" si="96"/>
        <v>-76.5</v>
      </c>
      <c r="AR168" s="287"/>
      <c r="AS168" s="288">
        <f t="shared" si="89"/>
        <v>326.55452901143133</v>
      </c>
      <c r="AT168" s="289">
        <f t="shared" ref="AT168:AT187" si="98">+V168-AO168</f>
        <v>-146.50336262854705</v>
      </c>
      <c r="AU168" s="290"/>
      <c r="AV168" s="289">
        <f t="shared" si="97"/>
        <v>146.50336262854705</v>
      </c>
      <c r="AW168" s="291">
        <f t="shared" si="90"/>
        <v>-42.17952288087384</v>
      </c>
      <c r="AX168" s="291">
        <f t="shared" si="91"/>
        <v>-34.32047711912616</v>
      </c>
      <c r="AY168" s="292">
        <f t="shared" si="77"/>
        <v>-275.01496479136279</v>
      </c>
      <c r="AZ168" s="292">
        <f t="shared" si="78"/>
        <v>-291.37124071119592</v>
      </c>
      <c r="BA168" s="294">
        <f t="shared" si="92"/>
        <v>275.01496479136279</v>
      </c>
      <c r="BB168" s="294">
        <f t="shared" si="92"/>
        <v>291.37124071119592</v>
      </c>
      <c r="BC168">
        <f t="shared" si="93"/>
        <v>0.3</v>
      </c>
      <c r="BD168" s="10"/>
      <c r="BE168" s="10"/>
      <c r="BF168" s="10"/>
      <c r="BG168" s="27"/>
      <c r="BS168" s="1750"/>
      <c r="BT168" s="1750"/>
      <c r="BU168" s="1750"/>
      <c r="BV168" s="1750"/>
      <c r="BW168" s="1750"/>
      <c r="BX168" s="1750"/>
      <c r="BY168" s="1750"/>
      <c r="BZ168" s="1750"/>
      <c r="CA168" s="1750"/>
      <c r="CB168" s="1750"/>
      <c r="CC168" s="1750"/>
      <c r="CD168" s="1750"/>
      <c r="CE168" s="1750"/>
      <c r="CF168" s="1750"/>
      <c r="CG168" s="1750"/>
      <c r="CH168" s="1750"/>
      <c r="CI168" s="1750"/>
      <c r="CJ168" s="1750"/>
      <c r="CK168" s="1750"/>
      <c r="CL168" s="1750"/>
      <c r="CM168" s="1750"/>
    </row>
    <row r="169" spans="1:91" ht="21" customHeight="1" thickBot="1" x14ac:dyDescent="0.35">
      <c r="B169" s="88">
        <v>6</v>
      </c>
      <c r="C169" s="20"/>
      <c r="D169" s="738">
        <v>0</v>
      </c>
      <c r="E169" s="333" t="s">
        <v>72</v>
      </c>
      <c r="F169" s="81">
        <f t="shared" si="79"/>
        <v>0.3</v>
      </c>
      <c r="G169" s="81">
        <f t="shared" si="94"/>
        <v>0.3</v>
      </c>
      <c r="H169" s="299">
        <v>190.76</v>
      </c>
      <c r="I169" s="318">
        <v>79.651040199999997</v>
      </c>
      <c r="J169" s="251">
        <f t="shared" si="80"/>
        <v>79.651040199999997</v>
      </c>
      <c r="K169" s="251">
        <f t="shared" si="81"/>
        <v>39.825520099999999</v>
      </c>
      <c r="L169" s="251">
        <f t="shared" si="69"/>
        <v>0.64045183696587837</v>
      </c>
      <c r="M169" s="251">
        <f t="shared" si="70"/>
        <v>122.17259241961095</v>
      </c>
      <c r="N169" s="251">
        <f t="shared" si="71"/>
        <v>244.3451848392219</v>
      </c>
      <c r="O169" s="251">
        <f>+C164+D165+D166+D167+D168+(D169/2)</f>
        <v>0</v>
      </c>
      <c r="P169" s="251">
        <f t="shared" si="72"/>
        <v>0</v>
      </c>
      <c r="Q169" s="251">
        <f t="shared" si="73"/>
        <v>0</v>
      </c>
      <c r="R169" s="251">
        <f t="shared" si="82"/>
        <v>146.5</v>
      </c>
      <c r="S169" s="251">
        <f t="shared" si="95"/>
        <v>146.5</v>
      </c>
      <c r="T169" s="252">
        <f t="shared" si="74"/>
        <v>146.5</v>
      </c>
      <c r="U169" s="244"/>
      <c r="V169" s="282">
        <f t="shared" si="75"/>
        <v>0</v>
      </c>
      <c r="W169" s="282"/>
      <c r="X169" s="282"/>
      <c r="Y169" s="282"/>
      <c r="Z169" s="282"/>
      <c r="AA169" s="282"/>
      <c r="AB169" s="300" t="str">
        <f t="shared" si="83"/>
        <v>pin in groundstacking hole</v>
      </c>
      <c r="AC169" s="451"/>
      <c r="AD169" s="451"/>
      <c r="AE169" s="451"/>
      <c r="AF169" s="282">
        <f>SUM(V169:V187)/($B$161-B168)</f>
        <v>0</v>
      </c>
      <c r="AG169" s="282"/>
      <c r="AH169" s="301">
        <f>SUM(D165:D169)+$C$164</f>
        <v>0</v>
      </c>
      <c r="AI169" s="370"/>
      <c r="AJ169" s="173">
        <f t="shared" si="84"/>
        <v>69.344714800000006</v>
      </c>
      <c r="AK169" s="284">
        <f t="shared" si="76"/>
        <v>0.93571960494171247</v>
      </c>
      <c r="AL169" s="174">
        <f t="shared" si="85"/>
        <v>180.0511663828843</v>
      </c>
      <c r="AM169" s="173">
        <f t="shared" si="86"/>
        <v>50.174479900000001</v>
      </c>
      <c r="AN169" s="285">
        <f t="shared" si="87"/>
        <v>0.76799833627881664</v>
      </c>
      <c r="AO169" s="174">
        <f t="shared" si="88"/>
        <v>146.50336262854705</v>
      </c>
      <c r="AP169" s="287"/>
      <c r="AQ169" s="174">
        <f t="shared" si="96"/>
        <v>-102</v>
      </c>
      <c r="AR169" s="287"/>
      <c r="AS169" s="288">
        <f t="shared" si="89"/>
        <v>326.55452901143133</v>
      </c>
      <c r="AT169" s="289">
        <f t="shared" si="98"/>
        <v>-146.50336262854705</v>
      </c>
      <c r="AU169" s="290"/>
      <c r="AV169" s="289">
        <f t="shared" si="97"/>
        <v>146.50336262854705</v>
      </c>
      <c r="AW169" s="291">
        <f t="shared" si="90"/>
        <v>-56.239363841165115</v>
      </c>
      <c r="AX169" s="291">
        <f t="shared" si="91"/>
        <v>-45.760636158834885</v>
      </c>
      <c r="AY169" s="292">
        <f t="shared" si="77"/>
        <v>-206.26122359352212</v>
      </c>
      <c r="AZ169" s="292">
        <f t="shared" si="78"/>
        <v>-218.52843053339691</v>
      </c>
      <c r="BA169" s="294">
        <f t="shared" si="92"/>
        <v>206.26122359352212</v>
      </c>
      <c r="BB169" s="294">
        <f t="shared" si="92"/>
        <v>218.52843053339691</v>
      </c>
      <c r="BC169">
        <f t="shared" si="93"/>
        <v>0.3</v>
      </c>
      <c r="BD169" s="10"/>
      <c r="BE169" s="10"/>
      <c r="BF169" s="10"/>
      <c r="BG169" s="27"/>
      <c r="BS169" s="1750"/>
      <c r="BT169" s="1750"/>
      <c r="BU169" s="1750"/>
      <c r="BV169" s="1750"/>
      <c r="BW169" s="1750"/>
      <c r="BX169" s="1750"/>
      <c r="BY169" s="1750"/>
      <c r="BZ169" s="1750"/>
      <c r="CA169" s="1750"/>
      <c r="CB169" s="1750"/>
      <c r="CC169" s="1750"/>
      <c r="CD169" s="1750"/>
      <c r="CE169" s="1750"/>
      <c r="CF169" s="1750"/>
      <c r="CG169" s="1750"/>
      <c r="CH169" s="1750"/>
      <c r="CI169" s="1750"/>
      <c r="CJ169" s="1750"/>
      <c r="CK169" s="1750"/>
      <c r="CL169" s="1750"/>
      <c r="CM169" s="1750"/>
    </row>
    <row r="170" spans="1:91" ht="21" customHeight="1" thickBot="1" x14ac:dyDescent="0.35">
      <c r="B170" s="88">
        <v>7</v>
      </c>
      <c r="C170" s="20"/>
      <c r="D170" s="738">
        <v>0</v>
      </c>
      <c r="E170" s="333" t="s">
        <v>72</v>
      </c>
      <c r="F170" s="81">
        <f t="shared" si="79"/>
        <v>0.3</v>
      </c>
      <c r="G170" s="81">
        <f t="shared" si="94"/>
        <v>0.3</v>
      </c>
      <c r="H170" s="299">
        <v>190.76</v>
      </c>
      <c r="I170" s="318">
        <v>79.651040199999997</v>
      </c>
      <c r="J170" s="251">
        <f t="shared" si="80"/>
        <v>79.651040199999997</v>
      </c>
      <c r="K170" s="251">
        <f t="shared" si="81"/>
        <v>39.825520099999999</v>
      </c>
      <c r="L170" s="251">
        <f t="shared" si="69"/>
        <v>0.64045183696587837</v>
      </c>
      <c r="M170" s="251">
        <f t="shared" si="70"/>
        <v>122.17259241961095</v>
      </c>
      <c r="N170" s="251">
        <f t="shared" si="71"/>
        <v>244.3451848392219</v>
      </c>
      <c r="O170" s="251">
        <f>+C164+D165+D166+D167+D168+D169+(D170/2)</f>
        <v>0</v>
      </c>
      <c r="P170" s="251">
        <f t="shared" si="72"/>
        <v>0</v>
      </c>
      <c r="Q170" s="251">
        <f t="shared" si="73"/>
        <v>0</v>
      </c>
      <c r="R170" s="251">
        <f t="shared" si="82"/>
        <v>146.5</v>
      </c>
      <c r="S170" s="251">
        <f t="shared" si="95"/>
        <v>146.5</v>
      </c>
      <c r="T170" s="252">
        <f t="shared" si="74"/>
        <v>146.5</v>
      </c>
      <c r="U170" s="244"/>
      <c r="V170" s="282">
        <f t="shared" si="75"/>
        <v>0</v>
      </c>
      <c r="W170" s="282"/>
      <c r="X170" s="282"/>
      <c r="Y170" s="282"/>
      <c r="Z170" s="282"/>
      <c r="AA170" s="282"/>
      <c r="AB170" s="300" t="str">
        <f t="shared" si="83"/>
        <v>pin in groundstacking hole</v>
      </c>
      <c r="AC170" s="451"/>
      <c r="AD170" s="451"/>
      <c r="AE170" s="451"/>
      <c r="AF170" s="282">
        <f>SUM(V170:V187)/($B$161-B169)</f>
        <v>0</v>
      </c>
      <c r="AG170" s="282"/>
      <c r="AH170" s="301">
        <f>SUM(D165:D170)+$C$164</f>
        <v>0</v>
      </c>
      <c r="AI170" s="370"/>
      <c r="AJ170" s="173">
        <f t="shared" si="84"/>
        <v>69.344714800000006</v>
      </c>
      <c r="AK170" s="284">
        <f t="shared" si="76"/>
        <v>0.93571960494171247</v>
      </c>
      <c r="AL170" s="174">
        <f t="shared" si="85"/>
        <v>180.0511663828843</v>
      </c>
      <c r="AM170" s="173">
        <f t="shared" si="86"/>
        <v>50.174479900000001</v>
      </c>
      <c r="AN170" s="285">
        <f t="shared" si="87"/>
        <v>0.76799833627881664</v>
      </c>
      <c r="AO170" s="174">
        <f t="shared" si="88"/>
        <v>146.50336262854705</v>
      </c>
      <c r="AP170" s="287"/>
      <c r="AQ170" s="174">
        <f t="shared" si="96"/>
        <v>-127.5</v>
      </c>
      <c r="AR170" s="287"/>
      <c r="AS170" s="288">
        <f t="shared" si="89"/>
        <v>326.55452901143133</v>
      </c>
      <c r="AT170" s="289">
        <f t="shared" si="98"/>
        <v>-146.50336262854705</v>
      </c>
      <c r="AU170" s="290"/>
      <c r="AV170" s="289">
        <f t="shared" si="97"/>
        <v>146.50336262854705</v>
      </c>
      <c r="AW170" s="291">
        <f t="shared" si="90"/>
        <v>-70.299204801456398</v>
      </c>
      <c r="AX170" s="291">
        <f t="shared" si="91"/>
        <v>-57.200795198543602</v>
      </c>
      <c r="AY170" s="292">
        <f t="shared" si="77"/>
        <v>-165.00897887481767</v>
      </c>
      <c r="AZ170" s="292">
        <f t="shared" si="78"/>
        <v>-174.82274442671755</v>
      </c>
      <c r="BA170" s="294">
        <f t="shared" si="92"/>
        <v>165.00897887481767</v>
      </c>
      <c r="BB170" s="294">
        <f t="shared" si="92"/>
        <v>174.82274442671755</v>
      </c>
      <c r="BC170">
        <f t="shared" si="93"/>
        <v>0.3</v>
      </c>
      <c r="BG170" s="27"/>
      <c r="BS170" s="1750"/>
      <c r="BT170" s="1750"/>
      <c r="BU170" s="1750"/>
      <c r="BV170" s="1750"/>
      <c r="BW170" s="1750"/>
      <c r="BX170" s="1750"/>
      <c r="BY170" s="1750"/>
      <c r="BZ170" s="1750"/>
      <c r="CA170" s="1750"/>
      <c r="CB170" s="1750"/>
      <c r="CC170" s="1750"/>
      <c r="CD170" s="1750"/>
      <c r="CE170" s="1750"/>
      <c r="CF170" s="1750"/>
      <c r="CG170" s="1750"/>
      <c r="CH170" s="1750"/>
      <c r="CI170" s="1750"/>
      <c r="CJ170" s="1750"/>
      <c r="CK170" s="1750"/>
      <c r="CL170" s="1750"/>
      <c r="CM170" s="1750"/>
    </row>
    <row r="171" spans="1:91" ht="21" customHeight="1" thickBot="1" x14ac:dyDescent="0.35">
      <c r="B171" s="88">
        <v>8</v>
      </c>
      <c r="C171" s="20"/>
      <c r="D171" s="738">
        <v>0</v>
      </c>
      <c r="E171" s="333" t="s">
        <v>72</v>
      </c>
      <c r="F171" s="81">
        <f t="shared" si="79"/>
        <v>0.3</v>
      </c>
      <c r="G171" s="81">
        <f t="shared" si="94"/>
        <v>0.3</v>
      </c>
      <c r="H171" s="299">
        <v>190.76</v>
      </c>
      <c r="I171" s="318">
        <v>79.651040199999997</v>
      </c>
      <c r="J171" s="251">
        <f t="shared" si="80"/>
        <v>79.651040199999997</v>
      </c>
      <c r="K171" s="251">
        <f t="shared" si="81"/>
        <v>39.825520099999999</v>
      </c>
      <c r="L171" s="251">
        <f t="shared" si="69"/>
        <v>0.64045183696587837</v>
      </c>
      <c r="M171" s="251">
        <f t="shared" si="70"/>
        <v>122.17259241961095</v>
      </c>
      <c r="N171" s="251">
        <f t="shared" si="71"/>
        <v>244.3451848392219</v>
      </c>
      <c r="O171" s="251">
        <f>+C164+D165+D166+D167+D168+D169+D170+(D171/2)</f>
        <v>0</v>
      </c>
      <c r="P171" s="251">
        <f t="shared" si="72"/>
        <v>0</v>
      </c>
      <c r="Q171" s="251">
        <f t="shared" si="73"/>
        <v>0</v>
      </c>
      <c r="R171" s="251">
        <f t="shared" si="82"/>
        <v>146.5</v>
      </c>
      <c r="S171" s="251">
        <f t="shared" si="95"/>
        <v>146.5</v>
      </c>
      <c r="T171" s="252">
        <f t="shared" si="74"/>
        <v>146.5</v>
      </c>
      <c r="U171" s="244"/>
      <c r="V171" s="282">
        <f t="shared" si="75"/>
        <v>0</v>
      </c>
      <c r="W171" s="282"/>
      <c r="X171" s="282"/>
      <c r="Y171" s="282"/>
      <c r="Z171" s="282"/>
      <c r="AA171" s="282"/>
      <c r="AB171" s="300" t="str">
        <f>IF(AZ171&lt;0,"pin in groundstacking hole"," ")</f>
        <v>pin in groundstacking hole</v>
      </c>
      <c r="AC171" s="451"/>
      <c r="AD171" s="451"/>
      <c r="AE171" s="451"/>
      <c r="AF171" s="282">
        <f>SUM(V171:V187)/($B$161-B170)</f>
        <v>0</v>
      </c>
      <c r="AG171" s="282"/>
      <c r="AH171" s="301">
        <f>SUM(D165:D171)+$C$164</f>
        <v>0</v>
      </c>
      <c r="AI171" s="370"/>
      <c r="AJ171" s="173">
        <f t="shared" si="84"/>
        <v>69.344714800000006</v>
      </c>
      <c r="AK171" s="284">
        <f t="shared" si="76"/>
        <v>0.93571960494171247</v>
      </c>
      <c r="AL171" s="174">
        <f t="shared" si="85"/>
        <v>180.0511663828843</v>
      </c>
      <c r="AM171" s="173">
        <f t="shared" si="86"/>
        <v>50.174479900000001</v>
      </c>
      <c r="AN171" s="285">
        <f t="shared" si="87"/>
        <v>0.76799833627881664</v>
      </c>
      <c r="AO171" s="174">
        <f t="shared" si="88"/>
        <v>146.50336262854705</v>
      </c>
      <c r="AP171" s="287"/>
      <c r="AQ171" s="174">
        <f t="shared" si="96"/>
        <v>-153</v>
      </c>
      <c r="AR171" s="287"/>
      <c r="AS171" s="288">
        <f t="shared" si="89"/>
        <v>326.55452901143133</v>
      </c>
      <c r="AT171" s="289">
        <f t="shared" si="98"/>
        <v>-146.50336262854705</v>
      </c>
      <c r="AU171" s="290"/>
      <c r="AV171" s="289">
        <f t="shared" si="97"/>
        <v>146.50336262854705</v>
      </c>
      <c r="AW171" s="291">
        <f t="shared" si="90"/>
        <v>-84.35904576174768</v>
      </c>
      <c r="AX171" s="291">
        <f t="shared" si="91"/>
        <v>-68.64095423825232</v>
      </c>
      <c r="AY171" s="292">
        <f t="shared" si="77"/>
        <v>-137.50748239568139</v>
      </c>
      <c r="AZ171" s="292">
        <f t="shared" si="78"/>
        <v>-145.68562035559796</v>
      </c>
      <c r="BA171" s="294">
        <f t="shared" si="92"/>
        <v>137.50748239568139</v>
      </c>
      <c r="BB171" s="294">
        <f t="shared" si="92"/>
        <v>145.68562035559796</v>
      </c>
      <c r="BC171">
        <f t="shared" si="93"/>
        <v>0.3</v>
      </c>
      <c r="BG171" s="27"/>
      <c r="BS171" s="1750"/>
      <c r="BT171" s="1750"/>
      <c r="BU171" s="1750"/>
      <c r="BV171" s="1750"/>
      <c r="BW171" s="1750"/>
      <c r="BX171" s="1750"/>
      <c r="BY171" s="1750"/>
      <c r="BZ171" s="1750"/>
      <c r="CA171" s="1750"/>
      <c r="CB171" s="1750"/>
      <c r="CC171" s="1750"/>
      <c r="CD171" s="1750"/>
      <c r="CE171" s="1750"/>
      <c r="CF171" s="1750"/>
      <c r="CG171" s="1750"/>
      <c r="CH171" s="1750"/>
      <c r="CI171" s="1750"/>
      <c r="CJ171" s="1750"/>
      <c r="CK171" s="1750"/>
      <c r="CL171" s="1750"/>
      <c r="CM171" s="1750"/>
    </row>
    <row r="172" spans="1:91" ht="21" customHeight="1" thickBot="1" x14ac:dyDescent="0.35">
      <c r="B172" s="88">
        <v>9</v>
      </c>
      <c r="C172" s="20"/>
      <c r="D172" s="738">
        <v>0</v>
      </c>
      <c r="E172" s="333" t="s">
        <v>72</v>
      </c>
      <c r="F172" s="81">
        <f t="shared" si="79"/>
        <v>0.3</v>
      </c>
      <c r="G172" s="81">
        <f t="shared" si="94"/>
        <v>0.3</v>
      </c>
      <c r="H172" s="299">
        <v>190.76</v>
      </c>
      <c r="I172" s="318">
        <v>79.651040199999997</v>
      </c>
      <c r="J172" s="251">
        <f t="shared" si="80"/>
        <v>79.651040199999997</v>
      </c>
      <c r="K172" s="251">
        <f t="shared" si="81"/>
        <v>39.825520099999999</v>
      </c>
      <c r="L172" s="251">
        <f t="shared" si="69"/>
        <v>0.64045183696587837</v>
      </c>
      <c r="M172" s="251">
        <f t="shared" si="70"/>
        <v>122.17259241961095</v>
      </c>
      <c r="N172" s="251">
        <f t="shared" si="71"/>
        <v>244.3451848392219</v>
      </c>
      <c r="O172" s="251">
        <f>+C164+D165+D166+D167+D168+D169+D170+D171+(D172/2)</f>
        <v>0</v>
      </c>
      <c r="P172" s="251">
        <f t="shared" si="72"/>
        <v>0</v>
      </c>
      <c r="Q172" s="251">
        <f t="shared" si="73"/>
        <v>0</v>
      </c>
      <c r="R172" s="251">
        <f t="shared" si="82"/>
        <v>146.5</v>
      </c>
      <c r="S172" s="251">
        <f t="shared" si="95"/>
        <v>146.5</v>
      </c>
      <c r="T172" s="252">
        <f t="shared" si="74"/>
        <v>146.5</v>
      </c>
      <c r="U172" s="244"/>
      <c r="V172" s="282">
        <f t="shared" si="75"/>
        <v>0</v>
      </c>
      <c r="W172" s="282"/>
      <c r="X172" s="282"/>
      <c r="Y172" s="282"/>
      <c r="Z172" s="282"/>
      <c r="AA172" s="282"/>
      <c r="AB172" s="300" t="str">
        <f t="shared" si="83"/>
        <v>pin in groundstacking hole</v>
      </c>
      <c r="AC172" s="451"/>
      <c r="AD172" s="451"/>
      <c r="AE172" s="451"/>
      <c r="AF172" s="282">
        <f>SUM(V172:V187)/($B$161-B171)</f>
        <v>0</v>
      </c>
      <c r="AG172" s="282"/>
      <c r="AH172" s="301">
        <f>SUM(D165:D172)+$C$164</f>
        <v>0</v>
      </c>
      <c r="AI172" s="370"/>
      <c r="AJ172" s="173">
        <f t="shared" si="84"/>
        <v>69.344714800000006</v>
      </c>
      <c r="AK172" s="284">
        <f t="shared" si="76"/>
        <v>0.93571960494171247</v>
      </c>
      <c r="AL172" s="174">
        <f t="shared" si="85"/>
        <v>180.0511663828843</v>
      </c>
      <c r="AM172" s="173">
        <f t="shared" si="86"/>
        <v>50.174479900000001</v>
      </c>
      <c r="AN172" s="285">
        <f t="shared" si="87"/>
        <v>0.76799833627881664</v>
      </c>
      <c r="AO172" s="174">
        <f t="shared" si="88"/>
        <v>146.50336262854705</v>
      </c>
      <c r="AP172" s="287"/>
      <c r="AQ172" s="174">
        <f t="shared" si="96"/>
        <v>-178.5</v>
      </c>
      <c r="AR172" s="287"/>
      <c r="AS172" s="288">
        <f t="shared" si="89"/>
        <v>326.55452901143133</v>
      </c>
      <c r="AT172" s="289">
        <f t="shared" si="98"/>
        <v>-146.50336262854705</v>
      </c>
      <c r="AU172" s="290"/>
      <c r="AV172" s="289">
        <f t="shared" si="97"/>
        <v>146.50336262854705</v>
      </c>
      <c r="AW172" s="291">
        <f t="shared" si="90"/>
        <v>-98.418886722038962</v>
      </c>
      <c r="AX172" s="291">
        <f t="shared" si="91"/>
        <v>-80.081113277961038</v>
      </c>
      <c r="AY172" s="292">
        <f t="shared" si="77"/>
        <v>-117.86355633915548</v>
      </c>
      <c r="AZ172" s="292">
        <f t="shared" si="78"/>
        <v>-124.87338887622683</v>
      </c>
      <c r="BA172" s="294">
        <f t="shared" si="92"/>
        <v>117.86355633915548</v>
      </c>
      <c r="BB172" s="294">
        <f t="shared" si="92"/>
        <v>124.87338887622683</v>
      </c>
      <c r="BC172">
        <f t="shared" si="93"/>
        <v>0.3</v>
      </c>
      <c r="BG172" s="27"/>
      <c r="BS172" s="1581"/>
      <c r="BT172" s="1581"/>
      <c r="BU172" s="1581"/>
      <c r="BV172" s="1581"/>
      <c r="BW172" s="1581"/>
      <c r="BX172" s="1581"/>
      <c r="BY172" s="1581"/>
      <c r="BZ172" s="1581"/>
      <c r="CA172" s="1581"/>
      <c r="CB172" s="1581"/>
      <c r="CC172" s="1750"/>
      <c r="CD172" s="1750"/>
      <c r="CE172" s="1750"/>
      <c r="CF172" s="1750"/>
      <c r="CG172" s="1750"/>
      <c r="CH172" s="1750"/>
      <c r="CI172" s="1750"/>
      <c r="CJ172" s="1750"/>
      <c r="CK172" s="1750"/>
      <c r="CL172" s="1750"/>
      <c r="CM172" s="1750"/>
    </row>
    <row r="173" spans="1:91" ht="21" customHeight="1" thickBot="1" x14ac:dyDescent="0.35">
      <c r="B173" s="88">
        <v>10</v>
      </c>
      <c r="C173" s="20"/>
      <c r="D173" s="738">
        <v>0</v>
      </c>
      <c r="E173" s="333" t="s">
        <v>72</v>
      </c>
      <c r="F173" s="81">
        <f t="shared" si="79"/>
        <v>0.3</v>
      </c>
      <c r="G173" s="81">
        <f t="shared" si="94"/>
        <v>0.3</v>
      </c>
      <c r="H173" s="299">
        <v>190.76</v>
      </c>
      <c r="I173" s="318">
        <v>79.651040199999997</v>
      </c>
      <c r="J173" s="251">
        <f t="shared" si="80"/>
        <v>79.651040199999997</v>
      </c>
      <c r="K173" s="251">
        <f t="shared" si="81"/>
        <v>39.825520099999999</v>
      </c>
      <c r="L173" s="251">
        <f t="shared" si="69"/>
        <v>0.64045183696587837</v>
      </c>
      <c r="M173" s="251">
        <f t="shared" si="70"/>
        <v>122.17259241961095</v>
      </c>
      <c r="N173" s="251">
        <f t="shared" si="71"/>
        <v>244.3451848392219</v>
      </c>
      <c r="O173" s="251">
        <f>+C164+D165+D166+D167+D168+D169+D170+D171+D172+(D173/2)</f>
        <v>0</v>
      </c>
      <c r="P173" s="251">
        <f t="shared" si="72"/>
        <v>0</v>
      </c>
      <c r="Q173" s="251">
        <f t="shared" si="73"/>
        <v>0</v>
      </c>
      <c r="R173" s="251">
        <f t="shared" si="82"/>
        <v>146.5</v>
      </c>
      <c r="S173" s="251">
        <f t="shared" si="95"/>
        <v>146.5</v>
      </c>
      <c r="T173" s="252">
        <f t="shared" si="74"/>
        <v>146.5</v>
      </c>
      <c r="U173" s="244"/>
      <c r="V173" s="282">
        <f t="shared" si="75"/>
        <v>0</v>
      </c>
      <c r="W173" s="282"/>
      <c r="X173" s="282"/>
      <c r="Y173" s="282"/>
      <c r="Z173" s="282"/>
      <c r="AA173" s="282"/>
      <c r="AB173" s="300" t="str">
        <f t="shared" si="83"/>
        <v>pin in groundstacking hole</v>
      </c>
      <c r="AC173" s="451"/>
      <c r="AD173" s="451"/>
      <c r="AE173" s="451"/>
      <c r="AF173" s="282">
        <f>SUM(V173:V187)/($B$161-B172)</f>
        <v>0</v>
      </c>
      <c r="AG173" s="282"/>
      <c r="AH173" s="301">
        <f>SUM(D165:D173)+$C$164</f>
        <v>0</v>
      </c>
      <c r="AI173" s="370"/>
      <c r="AJ173" s="173">
        <f t="shared" si="84"/>
        <v>69.344714800000006</v>
      </c>
      <c r="AK173" s="284">
        <f t="shared" si="76"/>
        <v>0.93571960494171247</v>
      </c>
      <c r="AL173" s="174">
        <f t="shared" si="85"/>
        <v>180.0511663828843</v>
      </c>
      <c r="AM173" s="173">
        <f t="shared" si="86"/>
        <v>50.174479900000001</v>
      </c>
      <c r="AN173" s="285">
        <f t="shared" si="87"/>
        <v>0.76799833627881664</v>
      </c>
      <c r="AO173" s="174">
        <f t="shared" si="88"/>
        <v>146.50336262854705</v>
      </c>
      <c r="AP173" s="287"/>
      <c r="AQ173" s="174">
        <f t="shared" si="96"/>
        <v>-204</v>
      </c>
      <c r="AR173" s="287"/>
      <c r="AS173" s="288">
        <f t="shared" si="89"/>
        <v>326.55452901143133</v>
      </c>
      <c r="AT173" s="289">
        <f t="shared" si="98"/>
        <v>-146.50336262854705</v>
      </c>
      <c r="AU173" s="290"/>
      <c r="AV173" s="289">
        <f t="shared" si="97"/>
        <v>146.50336262854705</v>
      </c>
      <c r="AW173" s="291">
        <f t="shared" si="90"/>
        <v>-112.47872768233023</v>
      </c>
      <c r="AX173" s="291">
        <f t="shared" si="91"/>
        <v>-91.521272317669769</v>
      </c>
      <c r="AY173" s="292">
        <f t="shared" si="77"/>
        <v>-103.13061179676106</v>
      </c>
      <c r="AZ173" s="292">
        <f t="shared" si="78"/>
        <v>-109.26421526669846</v>
      </c>
      <c r="BA173" s="294">
        <f t="shared" si="92"/>
        <v>103.13061179676106</v>
      </c>
      <c r="BB173" s="294">
        <f t="shared" si="92"/>
        <v>109.26421526669846</v>
      </c>
      <c r="BC173">
        <f t="shared" si="93"/>
        <v>0.3</v>
      </c>
      <c r="BG173" s="27"/>
      <c r="BS173" s="1581"/>
      <c r="BT173" s="1581"/>
      <c r="BU173" s="1581"/>
      <c r="BV173" s="1581"/>
      <c r="BW173" s="1581"/>
      <c r="BX173" s="1581"/>
      <c r="BY173" s="1581"/>
      <c r="BZ173" s="1581"/>
      <c r="CA173" s="1581"/>
      <c r="CB173" s="1581"/>
      <c r="CC173" s="1750"/>
      <c r="CD173" s="1750"/>
      <c r="CE173" s="1750"/>
      <c r="CF173" s="1750"/>
      <c r="CG173" s="1750"/>
      <c r="CH173" s="1750"/>
      <c r="CI173" s="1750"/>
      <c r="CJ173" s="1750"/>
      <c r="CK173" s="1750"/>
      <c r="CL173" s="1750"/>
      <c r="CM173" s="1750"/>
    </row>
    <row r="174" spans="1:91" ht="21" customHeight="1" thickBot="1" x14ac:dyDescent="0.35">
      <c r="A174" s="9"/>
      <c r="B174" s="88">
        <v>11</v>
      </c>
      <c r="C174" s="20"/>
      <c r="D174" s="738">
        <v>0</v>
      </c>
      <c r="E174" s="333" t="s">
        <v>72</v>
      </c>
      <c r="F174" s="81">
        <f t="shared" si="79"/>
        <v>0.3</v>
      </c>
      <c r="G174" s="81">
        <f t="shared" si="94"/>
        <v>0.3</v>
      </c>
      <c r="H174" s="299">
        <v>190.76</v>
      </c>
      <c r="I174" s="318">
        <v>79.651040199999997</v>
      </c>
      <c r="J174" s="251">
        <f t="shared" si="80"/>
        <v>79.651040199999997</v>
      </c>
      <c r="K174" s="251">
        <f t="shared" si="81"/>
        <v>39.825520099999999</v>
      </c>
      <c r="L174" s="251">
        <f t="shared" si="69"/>
        <v>0.64045183696587837</v>
      </c>
      <c r="M174" s="251">
        <f t="shared" si="70"/>
        <v>122.17259241961095</v>
      </c>
      <c r="N174" s="251">
        <f t="shared" si="71"/>
        <v>244.3451848392219</v>
      </c>
      <c r="O174" s="251">
        <f>+C164+D165+D166+D167+D168+D169+D170+D171+D172+D173+(D174/2)</f>
        <v>0</v>
      </c>
      <c r="P174" s="251">
        <f t="shared" si="72"/>
        <v>0</v>
      </c>
      <c r="Q174" s="251">
        <f t="shared" si="73"/>
        <v>0</v>
      </c>
      <c r="R174" s="251">
        <f t="shared" si="82"/>
        <v>146.5</v>
      </c>
      <c r="S174" s="251">
        <f t="shared" si="95"/>
        <v>146.5</v>
      </c>
      <c r="T174" s="252">
        <f t="shared" si="74"/>
        <v>146.5</v>
      </c>
      <c r="U174" s="244"/>
      <c r="V174" s="282">
        <f t="shared" si="75"/>
        <v>0</v>
      </c>
      <c r="W174" s="282"/>
      <c r="X174" s="282"/>
      <c r="Y174" s="282"/>
      <c r="Z174" s="282"/>
      <c r="AA174" s="282"/>
      <c r="AB174" s="300" t="str">
        <f t="shared" si="83"/>
        <v>pin in groundstacking hole</v>
      </c>
      <c r="AC174" s="451"/>
      <c r="AD174" s="451"/>
      <c r="AE174" s="451"/>
      <c r="AF174" s="282">
        <f>SUM(V174:V187)/($B$161-B173)</f>
        <v>0</v>
      </c>
      <c r="AG174" s="282"/>
      <c r="AH174" s="301">
        <f>SUM(D165:D174)+$C$164</f>
        <v>0</v>
      </c>
      <c r="AI174" s="370"/>
      <c r="AJ174" s="173">
        <f t="shared" si="84"/>
        <v>69.344714800000006</v>
      </c>
      <c r="AK174" s="284">
        <f t="shared" si="76"/>
        <v>0.93571960494171247</v>
      </c>
      <c r="AL174" s="174">
        <f t="shared" si="85"/>
        <v>180.0511663828843</v>
      </c>
      <c r="AM174" s="173">
        <f t="shared" si="86"/>
        <v>50.174479900000001</v>
      </c>
      <c r="AN174" s="285">
        <f t="shared" si="87"/>
        <v>0.76799833627881664</v>
      </c>
      <c r="AO174" s="174">
        <f t="shared" si="88"/>
        <v>146.50336262854705</v>
      </c>
      <c r="AP174" s="287"/>
      <c r="AQ174" s="174">
        <f t="shared" si="96"/>
        <v>-229.5</v>
      </c>
      <c r="AR174" s="287"/>
      <c r="AS174" s="288">
        <f t="shared" si="89"/>
        <v>326.55452901143133</v>
      </c>
      <c r="AT174" s="289">
        <f t="shared" si="98"/>
        <v>-146.50336262854705</v>
      </c>
      <c r="AU174" s="290"/>
      <c r="AV174" s="289">
        <f t="shared" si="97"/>
        <v>146.50336262854705</v>
      </c>
      <c r="AW174" s="291">
        <f t="shared" si="90"/>
        <v>-126.53856864262151</v>
      </c>
      <c r="AX174" s="291">
        <f t="shared" si="91"/>
        <v>-102.96143135737849</v>
      </c>
      <c r="AY174" s="292">
        <f t="shared" si="77"/>
        <v>-91.671654930454267</v>
      </c>
      <c r="AZ174" s="292">
        <f t="shared" si="78"/>
        <v>-97.12374690373197</v>
      </c>
      <c r="BA174" s="294">
        <f t="shared" si="92"/>
        <v>91.671654930454267</v>
      </c>
      <c r="BB174" s="294">
        <f t="shared" si="92"/>
        <v>97.12374690373197</v>
      </c>
      <c r="BC174">
        <f t="shared" si="93"/>
        <v>0.3</v>
      </c>
      <c r="BG174" s="27"/>
      <c r="BS174" s="1581"/>
      <c r="BT174" s="1581"/>
      <c r="BU174" s="1581"/>
      <c r="BV174" s="1581"/>
      <c r="BW174" s="1581"/>
      <c r="BX174" s="1581"/>
      <c r="BY174" s="1581"/>
      <c r="BZ174" s="1581"/>
      <c r="CA174" s="1581"/>
      <c r="CB174" s="1581"/>
      <c r="CC174" s="1750"/>
      <c r="CD174" s="1750"/>
      <c r="CE174" s="1750"/>
      <c r="CF174" s="1750"/>
      <c r="CG174" s="1750"/>
      <c r="CH174" s="1750"/>
      <c r="CI174" s="1750"/>
      <c r="CJ174" s="1750"/>
      <c r="CK174" s="1750"/>
      <c r="CL174" s="1750"/>
      <c r="CM174" s="1750"/>
    </row>
    <row r="175" spans="1:91" ht="21" customHeight="1" thickBot="1" x14ac:dyDescent="0.35">
      <c r="A175" s="9"/>
      <c r="B175" s="88">
        <v>12</v>
      </c>
      <c r="C175" s="20"/>
      <c r="D175" s="738">
        <v>0</v>
      </c>
      <c r="E175" s="333" t="s">
        <v>72</v>
      </c>
      <c r="F175" s="81">
        <f t="shared" si="79"/>
        <v>0.3</v>
      </c>
      <c r="G175" s="81">
        <f t="shared" si="94"/>
        <v>0.3</v>
      </c>
      <c r="H175" s="299">
        <v>190.76</v>
      </c>
      <c r="I175" s="318">
        <v>79.651040199999997</v>
      </c>
      <c r="J175" s="251">
        <f t="shared" si="80"/>
        <v>79.651040199999997</v>
      </c>
      <c r="K175" s="251">
        <f t="shared" si="81"/>
        <v>39.825520099999999</v>
      </c>
      <c r="L175" s="251">
        <f t="shared" si="69"/>
        <v>0.64045183696587837</v>
      </c>
      <c r="M175" s="251">
        <f t="shared" si="70"/>
        <v>122.17259241961095</v>
      </c>
      <c r="N175" s="251">
        <f t="shared" si="71"/>
        <v>244.3451848392219</v>
      </c>
      <c r="O175" s="251">
        <f>+C164+D165+D166+D167+D168+D169+D170+D171+D172+D173+D174+(D175/2)</f>
        <v>0</v>
      </c>
      <c r="P175" s="251">
        <f t="shared" si="72"/>
        <v>0</v>
      </c>
      <c r="Q175" s="251">
        <f t="shared" si="73"/>
        <v>0</v>
      </c>
      <c r="R175" s="251">
        <f t="shared" si="82"/>
        <v>146.5</v>
      </c>
      <c r="S175" s="251">
        <f t="shared" si="95"/>
        <v>146.5</v>
      </c>
      <c r="T175" s="252">
        <f t="shared" si="74"/>
        <v>146.5</v>
      </c>
      <c r="U175" s="244"/>
      <c r="V175" s="282">
        <f t="shared" si="75"/>
        <v>0</v>
      </c>
      <c r="W175" s="282"/>
      <c r="X175" s="282"/>
      <c r="Y175" s="282"/>
      <c r="Z175" s="282"/>
      <c r="AA175" s="282"/>
      <c r="AB175" s="300" t="str">
        <f>IF(AZ175&lt;0,"pin in groundstacking hole"," ")</f>
        <v>pin in groundstacking hole</v>
      </c>
      <c r="AC175" s="451"/>
      <c r="AD175" s="451"/>
      <c r="AE175" s="451"/>
      <c r="AF175" s="282">
        <f>SUM(V175:V187)/($B$161-B174)</f>
        <v>0</v>
      </c>
      <c r="AG175" s="282"/>
      <c r="AH175" s="301">
        <f>SUM(D165:D175)+$C$164</f>
        <v>0</v>
      </c>
      <c r="AI175" s="370"/>
      <c r="AJ175" s="173">
        <f t="shared" si="84"/>
        <v>69.344714800000006</v>
      </c>
      <c r="AK175" s="284">
        <f t="shared" si="76"/>
        <v>0.93571960494171247</v>
      </c>
      <c r="AL175" s="174">
        <f t="shared" si="85"/>
        <v>180.0511663828843</v>
      </c>
      <c r="AM175" s="173">
        <f t="shared" si="86"/>
        <v>50.174479900000001</v>
      </c>
      <c r="AN175" s="285">
        <f t="shared" si="87"/>
        <v>0.76799833627881664</v>
      </c>
      <c r="AO175" s="174">
        <f t="shared" si="88"/>
        <v>146.50336262854705</v>
      </c>
      <c r="AP175" s="287"/>
      <c r="AQ175" s="174">
        <f t="shared" si="96"/>
        <v>-255</v>
      </c>
      <c r="AR175" s="287"/>
      <c r="AS175" s="288">
        <f t="shared" si="89"/>
        <v>326.55452901143133</v>
      </c>
      <c r="AT175" s="289">
        <f t="shared" si="98"/>
        <v>-146.50336262854705</v>
      </c>
      <c r="AU175" s="290"/>
      <c r="AV175" s="289">
        <f t="shared" si="97"/>
        <v>146.50336262854705</v>
      </c>
      <c r="AW175" s="291">
        <f t="shared" si="90"/>
        <v>-140.5984096029128</v>
      </c>
      <c r="AX175" s="291">
        <f t="shared" si="91"/>
        <v>-114.4015903970872</v>
      </c>
      <c r="AY175" s="292">
        <f t="shared" si="77"/>
        <v>-82.504489437408836</v>
      </c>
      <c r="AZ175" s="292">
        <f t="shared" si="78"/>
        <v>-87.411372213358774</v>
      </c>
      <c r="BA175" s="294">
        <f t="shared" si="92"/>
        <v>82.504489437408836</v>
      </c>
      <c r="BB175" s="294">
        <f t="shared" si="92"/>
        <v>87.411372213358774</v>
      </c>
      <c r="BC175">
        <f t="shared" si="93"/>
        <v>0.3</v>
      </c>
      <c r="BG175" s="27"/>
      <c r="BS175" s="1581"/>
      <c r="BT175" s="1581"/>
      <c r="BU175" s="1581"/>
      <c r="BV175" s="1581"/>
      <c r="BW175" s="1581"/>
      <c r="BX175" s="1581"/>
      <c r="BY175" s="1581"/>
      <c r="BZ175" s="1581"/>
      <c r="CA175" s="1581"/>
      <c r="CB175" s="1581"/>
      <c r="CC175" s="1750"/>
      <c r="CD175" s="1750"/>
      <c r="CE175" s="1750"/>
      <c r="CF175" s="1750"/>
      <c r="CG175" s="1750"/>
      <c r="CH175" s="1750"/>
      <c r="CI175" s="1750"/>
      <c r="CJ175" s="1750"/>
      <c r="CK175" s="1750"/>
      <c r="CL175" s="1750"/>
      <c r="CM175" s="1750"/>
    </row>
    <row r="176" spans="1:91" ht="21" customHeight="1" thickBot="1" x14ac:dyDescent="0.35">
      <c r="B176" s="88">
        <v>13</v>
      </c>
      <c r="C176" s="20"/>
      <c r="D176" s="738">
        <v>0</v>
      </c>
      <c r="E176" s="333" t="s">
        <v>72</v>
      </c>
      <c r="F176" s="81">
        <f t="shared" si="79"/>
        <v>0.3</v>
      </c>
      <c r="G176" s="81">
        <f t="shared" si="94"/>
        <v>0.3</v>
      </c>
      <c r="H176" s="299">
        <v>190.76</v>
      </c>
      <c r="I176" s="318">
        <v>79.651040199999997</v>
      </c>
      <c r="J176" s="251">
        <f t="shared" si="80"/>
        <v>79.651040199999997</v>
      </c>
      <c r="K176" s="251">
        <f t="shared" si="81"/>
        <v>39.825520099999999</v>
      </c>
      <c r="L176" s="251">
        <f t="shared" si="69"/>
        <v>0.64045183696587837</v>
      </c>
      <c r="M176" s="251">
        <f t="shared" si="70"/>
        <v>122.17259241961095</v>
      </c>
      <c r="N176" s="251">
        <f t="shared" si="71"/>
        <v>244.3451848392219</v>
      </c>
      <c r="O176" s="251">
        <f>+C164+D165+D166+D167+D168+D169+D170+D171+D172+D173+D174+D175+(D176/2)</f>
        <v>0</v>
      </c>
      <c r="P176" s="251">
        <f t="shared" si="72"/>
        <v>0</v>
      </c>
      <c r="Q176" s="251">
        <f t="shared" si="73"/>
        <v>0</v>
      </c>
      <c r="R176" s="251">
        <f t="shared" si="82"/>
        <v>146.5</v>
      </c>
      <c r="S176" s="251">
        <f t="shared" si="95"/>
        <v>146.5</v>
      </c>
      <c r="T176" s="252">
        <f t="shared" si="74"/>
        <v>146.5</v>
      </c>
      <c r="U176" s="244"/>
      <c r="V176" s="282">
        <f t="shared" si="75"/>
        <v>0</v>
      </c>
      <c r="W176" s="282"/>
      <c r="X176" s="282"/>
      <c r="Y176" s="282"/>
      <c r="Z176" s="282"/>
      <c r="AA176" s="282"/>
      <c r="AB176" s="300" t="str">
        <f t="shared" si="83"/>
        <v>pin in groundstacking hole</v>
      </c>
      <c r="AC176" s="451"/>
      <c r="AD176" s="451"/>
      <c r="AE176" s="451"/>
      <c r="AF176" s="282">
        <f>SUM(V176:V187)/($B$161-B175)</f>
        <v>0</v>
      </c>
      <c r="AG176" s="282"/>
      <c r="AH176" s="301">
        <f>SUM(D165:D176)+$C$164</f>
        <v>0</v>
      </c>
      <c r="AI176" s="370"/>
      <c r="AJ176" s="173">
        <f t="shared" si="84"/>
        <v>69.344714800000006</v>
      </c>
      <c r="AK176" s="284">
        <f t="shared" si="76"/>
        <v>0.93571960494171247</v>
      </c>
      <c r="AL176" s="174">
        <f t="shared" si="85"/>
        <v>180.0511663828843</v>
      </c>
      <c r="AM176" s="173">
        <f t="shared" si="86"/>
        <v>50.174479900000001</v>
      </c>
      <c r="AN176" s="285">
        <f t="shared" si="87"/>
        <v>0.76799833627881664</v>
      </c>
      <c r="AO176" s="174">
        <f t="shared" si="88"/>
        <v>146.50336262854705</v>
      </c>
      <c r="AP176" s="287"/>
      <c r="AQ176" s="174">
        <f t="shared" si="96"/>
        <v>-280.5</v>
      </c>
      <c r="AR176" s="287"/>
      <c r="AS176" s="288">
        <f t="shared" si="89"/>
        <v>326.55452901143133</v>
      </c>
      <c r="AT176" s="289">
        <f t="shared" si="98"/>
        <v>-146.50336262854705</v>
      </c>
      <c r="AU176" s="290"/>
      <c r="AV176" s="289">
        <f t="shared" si="97"/>
        <v>146.50336262854705</v>
      </c>
      <c r="AW176" s="291">
        <f t="shared" si="90"/>
        <v>-154.65825056320406</v>
      </c>
      <c r="AX176" s="291">
        <f t="shared" si="91"/>
        <v>-125.84174943679592</v>
      </c>
      <c r="AY176" s="292">
        <f t="shared" si="77"/>
        <v>-75.004081306735316</v>
      </c>
      <c r="AZ176" s="292">
        <f t="shared" si="78"/>
        <v>-79.464883830326158</v>
      </c>
      <c r="BA176" s="294">
        <f t="shared" si="92"/>
        <v>75.004081306735316</v>
      </c>
      <c r="BB176" s="294">
        <f t="shared" si="92"/>
        <v>79.464883830326158</v>
      </c>
      <c r="BC176">
        <f t="shared" si="93"/>
        <v>0.3</v>
      </c>
      <c r="BG176" s="27"/>
      <c r="BS176" s="1581"/>
      <c r="BT176" s="1581"/>
      <c r="BU176" s="1581"/>
      <c r="BV176" s="1581"/>
      <c r="BW176" s="1581"/>
      <c r="BX176" s="1581"/>
      <c r="BY176" s="1581"/>
      <c r="BZ176" s="1581"/>
      <c r="CA176" s="1581"/>
      <c r="CB176" s="1581"/>
      <c r="CC176" s="1750"/>
      <c r="CD176" s="1750"/>
      <c r="CE176" s="1750"/>
      <c r="CF176" s="1750"/>
      <c r="CG176" s="1750"/>
      <c r="CH176" s="1750"/>
      <c r="CI176" s="1750"/>
      <c r="CJ176" s="1750"/>
      <c r="CK176" s="1750"/>
      <c r="CL176" s="1750"/>
      <c r="CM176" s="1750"/>
    </row>
    <row r="177" spans="2:132" ht="21" customHeight="1" thickBot="1" x14ac:dyDescent="0.35">
      <c r="B177" s="88">
        <v>14</v>
      </c>
      <c r="C177" s="20"/>
      <c r="D177" s="738">
        <v>0</v>
      </c>
      <c r="E177" s="333" t="s">
        <v>72</v>
      </c>
      <c r="F177" s="81">
        <f t="shared" si="79"/>
        <v>0.3</v>
      </c>
      <c r="G177" s="81">
        <f t="shared" si="94"/>
        <v>0.3</v>
      </c>
      <c r="H177" s="299">
        <v>190.76</v>
      </c>
      <c r="I177" s="318">
        <v>79.651040199999997</v>
      </c>
      <c r="J177" s="251">
        <f t="shared" si="80"/>
        <v>79.651040199999997</v>
      </c>
      <c r="K177" s="251">
        <f t="shared" si="81"/>
        <v>39.825520099999999</v>
      </c>
      <c r="L177" s="251">
        <f t="shared" si="69"/>
        <v>0.64045183696587837</v>
      </c>
      <c r="M177" s="251">
        <f t="shared" si="70"/>
        <v>122.17259241961095</v>
      </c>
      <c r="N177" s="251">
        <f t="shared" si="71"/>
        <v>244.3451848392219</v>
      </c>
      <c r="O177" s="251">
        <f>+C164+D165+D166+D167+D168+D169+D170+D171+D172+D173+D174+D175+D176+(D177/2)</f>
        <v>0</v>
      </c>
      <c r="P177" s="251">
        <f t="shared" si="72"/>
        <v>0</v>
      </c>
      <c r="Q177" s="251">
        <f t="shared" si="73"/>
        <v>0</v>
      </c>
      <c r="R177" s="251">
        <f t="shared" si="82"/>
        <v>146.5</v>
      </c>
      <c r="S177" s="251">
        <f t="shared" si="95"/>
        <v>146.5</v>
      </c>
      <c r="T177" s="252">
        <f t="shared" si="74"/>
        <v>146.5</v>
      </c>
      <c r="U177" s="244"/>
      <c r="V177" s="282">
        <f t="shared" si="75"/>
        <v>0</v>
      </c>
      <c r="W177" s="282"/>
      <c r="X177" s="282"/>
      <c r="Y177" s="282"/>
      <c r="Z177" s="282"/>
      <c r="AA177" s="282"/>
      <c r="AB177" s="300" t="str">
        <f t="shared" si="83"/>
        <v>pin in groundstacking hole</v>
      </c>
      <c r="AC177" s="451"/>
      <c r="AD177" s="451"/>
      <c r="AE177" s="451"/>
      <c r="AF177" s="282">
        <f>SUM(V177:V187)/($B$161-B176)</f>
        <v>0</v>
      </c>
      <c r="AG177" s="282"/>
      <c r="AH177" s="301">
        <f>SUM(D165:D177)+$C$164</f>
        <v>0</v>
      </c>
      <c r="AI177" s="370"/>
      <c r="AJ177" s="173">
        <f t="shared" si="84"/>
        <v>69.344714800000006</v>
      </c>
      <c r="AK177" s="284">
        <f t="shared" si="76"/>
        <v>0.93571960494171247</v>
      </c>
      <c r="AL177" s="174">
        <f t="shared" si="85"/>
        <v>180.0511663828843</v>
      </c>
      <c r="AM177" s="173">
        <f t="shared" si="86"/>
        <v>50.174479900000001</v>
      </c>
      <c r="AN177" s="285">
        <f t="shared" si="87"/>
        <v>0.76799833627881664</v>
      </c>
      <c r="AO177" s="174">
        <f t="shared" si="88"/>
        <v>146.50336262854705</v>
      </c>
      <c r="AP177" s="287"/>
      <c r="AQ177" s="174">
        <f t="shared" si="96"/>
        <v>-306</v>
      </c>
      <c r="AR177" s="287"/>
      <c r="AS177" s="288">
        <f t="shared" si="89"/>
        <v>326.55452901143133</v>
      </c>
      <c r="AT177" s="289">
        <f t="shared" si="98"/>
        <v>-146.50336262854705</v>
      </c>
      <c r="AU177" s="290"/>
      <c r="AV177" s="289">
        <f t="shared" si="97"/>
        <v>146.50336262854705</v>
      </c>
      <c r="AW177" s="291">
        <f t="shared" si="90"/>
        <v>-168.71809152349536</v>
      </c>
      <c r="AX177" s="291">
        <f t="shared" si="91"/>
        <v>-137.28190847650464</v>
      </c>
      <c r="AY177" s="292">
        <f t="shared" si="77"/>
        <v>-68.753741197840696</v>
      </c>
      <c r="AZ177" s="292">
        <f t="shared" si="78"/>
        <v>-72.842810177798981</v>
      </c>
      <c r="BA177" s="294">
        <f t="shared" si="92"/>
        <v>68.753741197840696</v>
      </c>
      <c r="BB177" s="294">
        <f t="shared" si="92"/>
        <v>72.842810177798981</v>
      </c>
      <c r="BC177">
        <f t="shared" si="93"/>
        <v>0.3</v>
      </c>
      <c r="BG177" s="27"/>
      <c r="BS177" s="1581"/>
      <c r="BT177" s="1581"/>
      <c r="BU177" s="1581"/>
      <c r="BV177" s="1581"/>
      <c r="BW177" s="1581"/>
      <c r="BX177" s="1581"/>
      <c r="BY177" s="1581"/>
      <c r="BZ177" s="1581"/>
      <c r="CA177" s="1581"/>
      <c r="CB177" s="1581"/>
      <c r="CC177" s="1750"/>
      <c r="CD177" s="1750"/>
      <c r="CE177" s="1750"/>
      <c r="CF177" s="1750"/>
      <c r="CG177" s="1750"/>
      <c r="CH177" s="1750"/>
      <c r="CI177" s="1750"/>
      <c r="CJ177" s="1750"/>
      <c r="CK177" s="1750"/>
      <c r="CL177" s="1750"/>
      <c r="CM177" s="1750"/>
    </row>
    <row r="178" spans="2:132" ht="21" customHeight="1" thickBot="1" x14ac:dyDescent="0.35">
      <c r="B178" s="88">
        <v>15</v>
      </c>
      <c r="C178" s="20"/>
      <c r="D178" s="738">
        <v>0</v>
      </c>
      <c r="E178" s="333" t="s">
        <v>72</v>
      </c>
      <c r="F178" s="81">
        <f t="shared" si="79"/>
        <v>0.3</v>
      </c>
      <c r="G178" s="81">
        <f t="shared" si="94"/>
        <v>0.3</v>
      </c>
      <c r="H178" s="299">
        <v>190.76</v>
      </c>
      <c r="I178" s="318">
        <v>79.651040199999997</v>
      </c>
      <c r="J178" s="251">
        <f t="shared" si="80"/>
        <v>79.651040199999997</v>
      </c>
      <c r="K178" s="251">
        <f t="shared" si="81"/>
        <v>39.825520099999999</v>
      </c>
      <c r="L178" s="251">
        <f t="shared" si="69"/>
        <v>0.64045183696587837</v>
      </c>
      <c r="M178" s="251">
        <f t="shared" si="70"/>
        <v>122.17259241961095</v>
      </c>
      <c r="N178" s="251">
        <f t="shared" si="71"/>
        <v>244.3451848392219</v>
      </c>
      <c r="O178" s="251">
        <f>+C164+D165+D166+D167+D168+D169+D170+D171+D172+D173+D174+D175+D176+D177+(D178/2)</f>
        <v>0</v>
      </c>
      <c r="P178" s="251">
        <f t="shared" si="72"/>
        <v>0</v>
      </c>
      <c r="Q178" s="251">
        <f t="shared" si="73"/>
        <v>0</v>
      </c>
      <c r="R178" s="251">
        <f t="shared" si="82"/>
        <v>146.5</v>
      </c>
      <c r="S178" s="251">
        <f t="shared" si="95"/>
        <v>146.5</v>
      </c>
      <c r="T178" s="252">
        <f t="shared" si="74"/>
        <v>146.5</v>
      </c>
      <c r="U178" s="244"/>
      <c r="V178" s="282">
        <f t="shared" si="75"/>
        <v>0</v>
      </c>
      <c r="W178" s="282"/>
      <c r="X178" s="282"/>
      <c r="Y178" s="282"/>
      <c r="Z178" s="282"/>
      <c r="AA178" s="282"/>
      <c r="AB178" s="300" t="str">
        <f t="shared" si="83"/>
        <v>pin in groundstacking hole</v>
      </c>
      <c r="AC178" s="451"/>
      <c r="AD178" s="451"/>
      <c r="AE178" s="451"/>
      <c r="AF178" s="282">
        <f>SUM(V178:V187)/($B$161-B177)</f>
        <v>0</v>
      </c>
      <c r="AG178" s="282"/>
      <c r="AH178" s="301">
        <f>SUM(D165:D178)+$C$164</f>
        <v>0</v>
      </c>
      <c r="AI178" s="370"/>
      <c r="AJ178" s="173">
        <f t="shared" si="84"/>
        <v>69.344714800000006</v>
      </c>
      <c r="AK178" s="284">
        <f t="shared" si="76"/>
        <v>0.93571960494171247</v>
      </c>
      <c r="AL178" s="174">
        <f t="shared" si="85"/>
        <v>180.0511663828843</v>
      </c>
      <c r="AM178" s="173">
        <f t="shared" si="86"/>
        <v>50.174479900000001</v>
      </c>
      <c r="AN178" s="285">
        <f t="shared" si="87"/>
        <v>0.76799833627881664</v>
      </c>
      <c r="AO178" s="174">
        <f t="shared" si="88"/>
        <v>146.50336262854705</v>
      </c>
      <c r="AP178" s="287"/>
      <c r="AQ178" s="174">
        <f t="shared" si="96"/>
        <v>-331.5</v>
      </c>
      <c r="AR178" s="287"/>
      <c r="AS178" s="288">
        <f t="shared" si="89"/>
        <v>326.55452901143133</v>
      </c>
      <c r="AT178" s="289">
        <f t="shared" si="98"/>
        <v>-146.50336262854705</v>
      </c>
      <c r="AU178" s="290"/>
      <c r="AV178" s="289">
        <f t="shared" si="97"/>
        <v>146.50336262854705</v>
      </c>
      <c r="AW178" s="291">
        <f t="shared" si="90"/>
        <v>-182.77793248378663</v>
      </c>
      <c r="AX178" s="291">
        <f t="shared" si="91"/>
        <v>-148.72206751621337</v>
      </c>
      <c r="AY178" s="292">
        <f t="shared" si="77"/>
        <v>-63.464991874929879</v>
      </c>
      <c r="AZ178" s="292">
        <f t="shared" si="78"/>
        <v>-67.239517087199047</v>
      </c>
      <c r="BA178" s="294">
        <f t="shared" si="92"/>
        <v>63.464991874929879</v>
      </c>
      <c r="BB178" s="294">
        <f t="shared" si="92"/>
        <v>67.239517087199047</v>
      </c>
      <c r="BC178">
        <f t="shared" si="93"/>
        <v>0.3</v>
      </c>
      <c r="BG178" s="27"/>
      <c r="BN178" s="1748"/>
      <c r="BO178" s="1771"/>
      <c r="BP178" s="1771"/>
      <c r="BQ178" s="1771"/>
      <c r="BR178" s="1771"/>
      <c r="BS178" s="1771"/>
      <c r="BT178" s="1771"/>
      <c r="BU178" s="1771"/>
      <c r="BV178" s="1771"/>
      <c r="BW178" s="1771"/>
      <c r="BX178" s="1771"/>
      <c r="BY178" s="1771"/>
      <c r="BZ178" s="1771"/>
      <c r="CA178" s="1771"/>
      <c r="CB178" s="1771"/>
      <c r="CC178" s="1771"/>
      <c r="CD178" s="1771"/>
      <c r="CE178" s="1771"/>
      <c r="CF178" s="1771"/>
      <c r="CG178" s="1771"/>
      <c r="CH178" s="1771"/>
      <c r="CI178" s="1771"/>
      <c r="CJ178" s="1771"/>
      <c r="CK178" s="1771"/>
      <c r="CL178" s="1771"/>
      <c r="CM178" s="1750"/>
    </row>
    <row r="179" spans="2:132" ht="21" customHeight="1" thickBot="1" x14ac:dyDescent="0.35">
      <c r="B179" s="88">
        <v>16</v>
      </c>
      <c r="C179" s="20"/>
      <c r="D179" s="738">
        <v>0</v>
      </c>
      <c r="E179" s="333" t="s">
        <v>72</v>
      </c>
      <c r="F179" s="81">
        <f t="shared" si="79"/>
        <v>0.3</v>
      </c>
      <c r="G179" s="81">
        <f t="shared" si="94"/>
        <v>0.3</v>
      </c>
      <c r="H179" s="299">
        <v>190.76</v>
      </c>
      <c r="I179" s="318">
        <v>79.651040199999997</v>
      </c>
      <c r="J179" s="251">
        <f t="shared" si="80"/>
        <v>79.651040199999997</v>
      </c>
      <c r="K179" s="251">
        <f t="shared" si="81"/>
        <v>39.825520099999999</v>
      </c>
      <c r="L179" s="251">
        <f t="shared" si="69"/>
        <v>0.64045183696587837</v>
      </c>
      <c r="M179" s="251">
        <f t="shared" si="70"/>
        <v>122.17259241961095</v>
      </c>
      <c r="N179" s="251">
        <f t="shared" si="71"/>
        <v>244.3451848392219</v>
      </c>
      <c r="O179" s="251">
        <f>+C164+D165+D166+D167+D168+D169+D170+D171+D172+D173+D174+D175+D176+D177+D178+(D179/2)</f>
        <v>0</v>
      </c>
      <c r="P179" s="251">
        <f t="shared" si="72"/>
        <v>0</v>
      </c>
      <c r="Q179" s="251">
        <f t="shared" si="73"/>
        <v>0</v>
      </c>
      <c r="R179" s="251">
        <f t="shared" si="82"/>
        <v>146.5</v>
      </c>
      <c r="S179" s="251">
        <f t="shared" si="95"/>
        <v>146.5</v>
      </c>
      <c r="T179" s="252">
        <f t="shared" si="74"/>
        <v>146.5</v>
      </c>
      <c r="U179" s="244"/>
      <c r="V179" s="282">
        <f t="shared" si="75"/>
        <v>0</v>
      </c>
      <c r="W179" s="282"/>
      <c r="X179" s="282"/>
      <c r="Y179" s="282"/>
      <c r="Z179" s="282"/>
      <c r="AA179" s="282"/>
      <c r="AB179" s="300" t="str">
        <f t="shared" si="83"/>
        <v>pin in groundstacking hole</v>
      </c>
      <c r="AC179" s="451"/>
      <c r="AD179" s="451"/>
      <c r="AE179" s="451"/>
      <c r="AF179" s="282">
        <f>SUM(V179:V187)/($B$161-B178)</f>
        <v>0</v>
      </c>
      <c r="AG179" s="282"/>
      <c r="AH179" s="301">
        <f>SUM(D165:D179)+$C$164</f>
        <v>0</v>
      </c>
      <c r="AI179" s="370"/>
      <c r="AJ179" s="173">
        <f t="shared" si="84"/>
        <v>69.344714800000006</v>
      </c>
      <c r="AK179" s="284">
        <f t="shared" si="76"/>
        <v>0.93571960494171247</v>
      </c>
      <c r="AL179" s="174">
        <f t="shared" si="85"/>
        <v>180.0511663828843</v>
      </c>
      <c r="AM179" s="173">
        <f t="shared" si="86"/>
        <v>50.174479900000001</v>
      </c>
      <c r="AN179" s="285">
        <f t="shared" si="87"/>
        <v>0.76799833627881664</v>
      </c>
      <c r="AO179" s="174">
        <f t="shared" si="88"/>
        <v>146.50336262854705</v>
      </c>
      <c r="AP179" s="287"/>
      <c r="AQ179" s="174">
        <f t="shared" si="96"/>
        <v>-357</v>
      </c>
      <c r="AR179" s="287"/>
      <c r="AS179" s="288">
        <f t="shared" si="89"/>
        <v>326.55452901143133</v>
      </c>
      <c r="AT179" s="289">
        <f t="shared" si="98"/>
        <v>-146.50336262854705</v>
      </c>
      <c r="AU179" s="290"/>
      <c r="AV179" s="289">
        <f t="shared" si="97"/>
        <v>146.50336262854705</v>
      </c>
      <c r="AW179" s="291">
        <f t="shared" si="90"/>
        <v>-196.83777344407792</v>
      </c>
      <c r="AX179" s="291">
        <f t="shared" si="91"/>
        <v>-160.16222655592208</v>
      </c>
      <c r="AY179" s="292">
        <f t="shared" si="77"/>
        <v>-58.93177816957774</v>
      </c>
      <c r="AZ179" s="292">
        <f t="shared" si="78"/>
        <v>-62.436694438113413</v>
      </c>
      <c r="BA179" s="294">
        <f t="shared" si="92"/>
        <v>58.93177816957774</v>
      </c>
      <c r="BB179" s="294">
        <f t="shared" si="92"/>
        <v>62.436694438113413</v>
      </c>
      <c r="BC179">
        <f t="shared" si="93"/>
        <v>0.3</v>
      </c>
      <c r="BG179" s="27"/>
      <c r="BN179" s="1748"/>
      <c r="BO179" s="1750"/>
      <c r="BP179" s="1750"/>
      <c r="BQ179" s="1750"/>
      <c r="BR179" s="1750"/>
      <c r="BS179" s="1750"/>
      <c r="BT179" s="1750"/>
      <c r="BU179" s="1750"/>
      <c r="BV179" s="1750"/>
      <c r="BW179" s="1750"/>
      <c r="BX179" s="1750"/>
      <c r="BY179" s="1750"/>
      <c r="BZ179" s="1750"/>
      <c r="CA179" s="1750"/>
      <c r="CB179" s="1750"/>
      <c r="CC179" s="1750"/>
      <c r="CD179" s="1750"/>
      <c r="CE179" s="1750"/>
      <c r="CF179" s="1750"/>
      <c r="CG179" s="1750"/>
      <c r="CH179" s="1750"/>
      <c r="CI179" s="1750"/>
      <c r="CJ179" s="1750"/>
      <c r="CK179" s="1750"/>
      <c r="CL179" s="1750"/>
      <c r="CM179" s="1750"/>
    </row>
    <row r="180" spans="2:132" ht="21" customHeight="1" thickBot="1" x14ac:dyDescent="0.35">
      <c r="B180" s="88">
        <v>17</v>
      </c>
      <c r="C180" s="20"/>
      <c r="D180" s="738">
        <v>0</v>
      </c>
      <c r="E180" s="333" t="s">
        <v>72</v>
      </c>
      <c r="F180" s="81">
        <f t="shared" si="79"/>
        <v>0.3</v>
      </c>
      <c r="G180" s="81">
        <f t="shared" si="94"/>
        <v>0.3</v>
      </c>
      <c r="H180" s="299">
        <v>190.76</v>
      </c>
      <c r="I180" s="318">
        <v>79.651040199999997</v>
      </c>
      <c r="J180" s="251">
        <f t="shared" si="80"/>
        <v>79.651040199999997</v>
      </c>
      <c r="K180" s="251">
        <f t="shared" si="81"/>
        <v>39.825520099999999</v>
      </c>
      <c r="L180" s="251">
        <f t="shared" si="69"/>
        <v>0.64045183696587837</v>
      </c>
      <c r="M180" s="251">
        <f t="shared" si="70"/>
        <v>122.17259241961095</v>
      </c>
      <c r="N180" s="251">
        <f t="shared" si="71"/>
        <v>244.3451848392219</v>
      </c>
      <c r="O180" s="251">
        <f>+C164+D165+D166+D167+D168+D169+D170+D171+D172+D173+D174+D175+D176+D177+D178+D179+(D180/2)</f>
        <v>0</v>
      </c>
      <c r="P180" s="251">
        <f t="shared" si="72"/>
        <v>0</v>
      </c>
      <c r="Q180" s="251">
        <f t="shared" si="73"/>
        <v>0</v>
      </c>
      <c r="R180" s="251">
        <f t="shared" si="82"/>
        <v>146.5</v>
      </c>
      <c r="S180" s="251">
        <f t="shared" si="95"/>
        <v>146.5</v>
      </c>
      <c r="T180" s="252">
        <f t="shared" si="74"/>
        <v>146.5</v>
      </c>
      <c r="U180" s="244"/>
      <c r="V180" s="282">
        <f t="shared" si="75"/>
        <v>0</v>
      </c>
      <c r="W180" s="282"/>
      <c r="X180" s="282"/>
      <c r="Y180" s="282"/>
      <c r="Z180" s="282"/>
      <c r="AA180" s="282"/>
      <c r="AB180" s="300" t="str">
        <f t="shared" si="83"/>
        <v>pin in groundstacking hole</v>
      </c>
      <c r="AC180" s="451"/>
      <c r="AD180" s="451"/>
      <c r="AE180" s="451"/>
      <c r="AF180" s="282">
        <f>SUM(V180:V187)/($B$161-B179)</f>
        <v>0</v>
      </c>
      <c r="AG180" s="282"/>
      <c r="AH180" s="301">
        <f>SUM(D165:D180)+$C$164</f>
        <v>0</v>
      </c>
      <c r="AI180" s="370"/>
      <c r="AJ180" s="173">
        <f t="shared" si="84"/>
        <v>69.344714800000006</v>
      </c>
      <c r="AK180" s="284">
        <f t="shared" si="76"/>
        <v>0.93571960494171247</v>
      </c>
      <c r="AL180" s="174">
        <f t="shared" si="85"/>
        <v>180.0511663828843</v>
      </c>
      <c r="AM180" s="173">
        <f t="shared" si="86"/>
        <v>50.174479900000001</v>
      </c>
      <c r="AN180" s="285">
        <f t="shared" si="87"/>
        <v>0.76799833627881664</v>
      </c>
      <c r="AO180" s="174">
        <f t="shared" si="88"/>
        <v>146.50336262854705</v>
      </c>
      <c r="AP180" s="287"/>
      <c r="AQ180" s="174">
        <f t="shared" si="96"/>
        <v>-382.5</v>
      </c>
      <c r="AR180" s="287"/>
      <c r="AS180" s="288">
        <f t="shared" si="89"/>
        <v>326.55452901143133</v>
      </c>
      <c r="AT180" s="289">
        <f t="shared" si="98"/>
        <v>-146.50336262854705</v>
      </c>
      <c r="AU180" s="290"/>
      <c r="AV180" s="289">
        <f t="shared" si="97"/>
        <v>146.50336262854705</v>
      </c>
      <c r="AW180" s="291">
        <f t="shared" si="90"/>
        <v>-210.89761440436919</v>
      </c>
      <c r="AX180" s="291">
        <f t="shared" si="91"/>
        <v>-171.60238559563081</v>
      </c>
      <c r="AY180" s="292">
        <f t="shared" si="77"/>
        <v>-55.002992958272557</v>
      </c>
      <c r="AZ180" s="292">
        <f t="shared" si="78"/>
        <v>-58.27424814223918</v>
      </c>
      <c r="BA180" s="294">
        <f t="shared" si="92"/>
        <v>55.002992958272557</v>
      </c>
      <c r="BB180" s="294">
        <f t="shared" si="92"/>
        <v>58.27424814223918</v>
      </c>
      <c r="BC180">
        <f t="shared" si="93"/>
        <v>0.3</v>
      </c>
      <c r="BG180" s="27"/>
      <c r="BN180" s="1772"/>
      <c r="BO180" s="1773"/>
      <c r="BP180" s="1773"/>
      <c r="BQ180" s="1773"/>
      <c r="BR180" s="1773"/>
      <c r="BS180" s="1773"/>
      <c r="BT180" s="1773"/>
      <c r="BU180" s="1773"/>
      <c r="BV180" s="1773"/>
      <c r="BW180" s="1773"/>
      <c r="BX180" s="1773"/>
      <c r="BY180" s="1773"/>
      <c r="BZ180" s="1773"/>
      <c r="CA180" s="1773"/>
      <c r="CB180" s="1773"/>
      <c r="CC180" s="1773"/>
      <c r="CD180" s="1773"/>
      <c r="CE180" s="1773"/>
      <c r="CF180" s="1773"/>
      <c r="CG180" s="1773"/>
      <c r="CH180" s="1773"/>
      <c r="CI180" s="1773"/>
      <c r="CJ180" s="1773"/>
      <c r="CK180" s="1773"/>
      <c r="CL180" s="1773"/>
      <c r="CM180" s="1750"/>
      <c r="DC180" s="27"/>
      <c r="DD180" s="10"/>
      <c r="DE180" s="10"/>
      <c r="DF180" s="10"/>
      <c r="DG180" s="10"/>
      <c r="DH180" s="10"/>
      <c r="DI180" s="10"/>
      <c r="DJ180" s="49"/>
      <c r="DK180" s="49"/>
      <c r="DL180" s="49"/>
      <c r="DM180" s="49"/>
      <c r="DN180" s="49"/>
      <c r="DO180" s="49"/>
      <c r="DP180" s="49"/>
      <c r="DQ180" s="49"/>
      <c r="DR180" s="49"/>
      <c r="DS180" s="49"/>
      <c r="DT180" s="49"/>
      <c r="DU180" s="49"/>
      <c r="DV180" s="49"/>
      <c r="DW180" s="49"/>
      <c r="DX180" s="7"/>
    </row>
    <row r="181" spans="2:132" ht="21" customHeight="1" thickBot="1" x14ac:dyDescent="0.35">
      <c r="B181" s="88">
        <v>18</v>
      </c>
      <c r="C181" s="20"/>
      <c r="D181" s="738">
        <v>0</v>
      </c>
      <c r="E181" s="333" t="s">
        <v>72</v>
      </c>
      <c r="F181" s="81">
        <f t="shared" si="79"/>
        <v>0.3</v>
      </c>
      <c r="G181" s="81">
        <f t="shared" si="94"/>
        <v>0.3</v>
      </c>
      <c r="H181" s="299">
        <v>190.76</v>
      </c>
      <c r="I181" s="318">
        <v>79.651040199999997</v>
      </c>
      <c r="J181" s="251">
        <f t="shared" si="80"/>
        <v>79.651040199999997</v>
      </c>
      <c r="K181" s="251">
        <f t="shared" si="81"/>
        <v>39.825520099999999</v>
      </c>
      <c r="L181" s="251">
        <f t="shared" si="69"/>
        <v>0.64045183696587837</v>
      </c>
      <c r="M181" s="251">
        <f t="shared" si="70"/>
        <v>122.17259241961095</v>
      </c>
      <c r="N181" s="251">
        <f t="shared" si="71"/>
        <v>244.3451848392219</v>
      </c>
      <c r="O181" s="251">
        <f>+C164+D165+D166+D167+D168+D169+D170+D171+D172+D173+D174+D175+D176+D177+D178+D179+D180+(D181/2)</f>
        <v>0</v>
      </c>
      <c r="P181" s="251">
        <f t="shared" si="72"/>
        <v>0</v>
      </c>
      <c r="Q181" s="251">
        <f t="shared" si="73"/>
        <v>0</v>
      </c>
      <c r="R181" s="251">
        <f t="shared" si="82"/>
        <v>146.5</v>
      </c>
      <c r="S181" s="251">
        <f t="shared" si="95"/>
        <v>146.5</v>
      </c>
      <c r="T181" s="252">
        <f t="shared" si="74"/>
        <v>146.5</v>
      </c>
      <c r="U181" s="244"/>
      <c r="V181" s="282">
        <f t="shared" si="75"/>
        <v>0</v>
      </c>
      <c r="W181" s="282"/>
      <c r="X181" s="282"/>
      <c r="Y181" s="282"/>
      <c r="Z181" s="282"/>
      <c r="AA181" s="282"/>
      <c r="AB181" s="300" t="str">
        <f t="shared" si="83"/>
        <v>pin in groundstacking hole</v>
      </c>
      <c r="AC181" s="451"/>
      <c r="AD181" s="451"/>
      <c r="AE181" s="451"/>
      <c r="AF181" s="282">
        <f>SUM(V181:V187)/($B$161-B180)</f>
        <v>0</v>
      </c>
      <c r="AG181" s="282"/>
      <c r="AH181" s="301">
        <f>SUM(D165:D181)+$C$164</f>
        <v>0</v>
      </c>
      <c r="AI181" s="370"/>
      <c r="AJ181" s="173">
        <f t="shared" si="84"/>
        <v>69.344714800000006</v>
      </c>
      <c r="AK181" s="284">
        <f t="shared" si="76"/>
        <v>0.93571960494171247</v>
      </c>
      <c r="AL181" s="174">
        <f t="shared" si="85"/>
        <v>180.0511663828843</v>
      </c>
      <c r="AM181" s="173">
        <f t="shared" si="86"/>
        <v>50.174479900000001</v>
      </c>
      <c r="AN181" s="285">
        <f t="shared" si="87"/>
        <v>0.76799833627881664</v>
      </c>
      <c r="AO181" s="174">
        <f t="shared" si="88"/>
        <v>146.50336262854705</v>
      </c>
      <c r="AP181" s="287"/>
      <c r="AQ181" s="174">
        <f t="shared" si="96"/>
        <v>-408</v>
      </c>
      <c r="AR181" s="287"/>
      <c r="AS181" s="288">
        <f t="shared" si="89"/>
        <v>326.55452901143133</v>
      </c>
      <c r="AT181" s="289">
        <f t="shared" si="98"/>
        <v>-146.50336262854705</v>
      </c>
      <c r="AU181" s="290"/>
      <c r="AV181" s="289">
        <f t="shared" si="97"/>
        <v>146.50336262854705</v>
      </c>
      <c r="AW181" s="291">
        <f t="shared" si="90"/>
        <v>-224.95745536466046</v>
      </c>
      <c r="AX181" s="291">
        <f t="shared" si="91"/>
        <v>-183.04254463533954</v>
      </c>
      <c r="AY181" s="292">
        <f t="shared" si="77"/>
        <v>-51.565305898380529</v>
      </c>
      <c r="AZ181" s="292">
        <f t="shared" si="78"/>
        <v>-54.632107633349229</v>
      </c>
      <c r="BA181" s="294">
        <f t="shared" si="92"/>
        <v>51.565305898380529</v>
      </c>
      <c r="BB181" s="294">
        <f t="shared" si="92"/>
        <v>54.632107633349229</v>
      </c>
      <c r="BC181">
        <f t="shared" si="93"/>
        <v>0.3</v>
      </c>
      <c r="BG181" s="27"/>
      <c r="BN181" s="1748"/>
      <c r="BO181" s="1749"/>
      <c r="BP181" s="1749"/>
      <c r="BQ181" s="1749"/>
      <c r="BR181" s="1749"/>
      <c r="BS181" s="1749"/>
      <c r="BT181" s="1749"/>
      <c r="BU181" s="1749"/>
      <c r="BV181" s="1749"/>
      <c r="BW181" s="1749"/>
      <c r="BX181" s="1749"/>
      <c r="BY181" s="1749"/>
      <c r="BZ181" s="1749"/>
      <c r="CA181" s="1749"/>
      <c r="CB181" s="1749"/>
      <c r="CC181" s="1749"/>
      <c r="CD181" s="1749"/>
      <c r="CE181" s="1749"/>
      <c r="CF181" s="1749"/>
      <c r="CG181" s="1749"/>
      <c r="CH181" s="1749"/>
      <c r="CI181" s="1749"/>
      <c r="CJ181" s="1749"/>
      <c r="CK181" s="1749"/>
      <c r="CL181" s="1749"/>
      <c r="CM181" s="1750"/>
      <c r="DC181" s="35"/>
      <c r="DD181" s="10"/>
      <c r="DE181" s="10"/>
      <c r="DF181" s="10"/>
      <c r="DG181" s="10"/>
      <c r="DH181" s="10"/>
      <c r="DI181" s="10"/>
      <c r="DJ181" s="49"/>
      <c r="DK181" s="49"/>
      <c r="DL181" s="49"/>
      <c r="DM181" s="49"/>
      <c r="DN181" s="49"/>
      <c r="DO181" s="49"/>
      <c r="DP181" s="49"/>
      <c r="DQ181" s="49"/>
      <c r="DR181" s="49"/>
      <c r="DS181" s="49"/>
      <c r="DT181" s="49"/>
      <c r="DU181" s="49"/>
      <c r="DV181" s="49"/>
      <c r="DW181" s="49"/>
      <c r="DX181" s="7"/>
    </row>
    <row r="182" spans="2:132" ht="21" customHeight="1" thickBot="1" x14ac:dyDescent="0.35">
      <c r="B182" s="88">
        <v>19</v>
      </c>
      <c r="C182" s="20"/>
      <c r="D182" s="738">
        <v>0</v>
      </c>
      <c r="E182" s="333" t="s">
        <v>72</v>
      </c>
      <c r="F182" s="81">
        <f t="shared" si="79"/>
        <v>0.3</v>
      </c>
      <c r="G182" s="81">
        <f t="shared" si="94"/>
        <v>0.3</v>
      </c>
      <c r="H182" s="299">
        <v>190.76</v>
      </c>
      <c r="I182" s="318">
        <v>79.651040199999997</v>
      </c>
      <c r="J182" s="251">
        <f t="shared" si="80"/>
        <v>79.651040199999997</v>
      </c>
      <c r="K182" s="251">
        <f t="shared" si="81"/>
        <v>39.825520099999999</v>
      </c>
      <c r="L182" s="251">
        <f t="shared" si="69"/>
        <v>0.64045183696587837</v>
      </c>
      <c r="M182" s="251">
        <f t="shared" si="70"/>
        <v>122.17259241961095</v>
      </c>
      <c r="N182" s="251">
        <f t="shared" si="71"/>
        <v>244.3451848392219</v>
      </c>
      <c r="O182" s="251">
        <f>+C164+D165+D166+D167+D168+D169+D170+D171+D172+D173+D174+D175+D176+D177+D178+D179+D180+D181+(D182/2)</f>
        <v>0</v>
      </c>
      <c r="P182" s="251">
        <f t="shared" si="72"/>
        <v>0</v>
      </c>
      <c r="Q182" s="251">
        <f t="shared" si="73"/>
        <v>0</v>
      </c>
      <c r="R182" s="251">
        <f t="shared" si="82"/>
        <v>146.5</v>
      </c>
      <c r="S182" s="251">
        <f t="shared" si="95"/>
        <v>146.5</v>
      </c>
      <c r="T182" s="252">
        <f t="shared" si="74"/>
        <v>146.5</v>
      </c>
      <c r="U182" s="244"/>
      <c r="V182" s="282">
        <f t="shared" si="75"/>
        <v>0</v>
      </c>
      <c r="W182" s="282"/>
      <c r="X182" s="282"/>
      <c r="Y182" s="282"/>
      <c r="Z182" s="282"/>
      <c r="AA182" s="282"/>
      <c r="AB182" s="300" t="str">
        <f t="shared" si="83"/>
        <v>pin in groundstacking hole</v>
      </c>
      <c r="AC182" s="451"/>
      <c r="AD182" s="451"/>
      <c r="AE182" s="451"/>
      <c r="AF182" s="282">
        <f>SUM(V182:V187)/($B$161-B181)</f>
        <v>0</v>
      </c>
      <c r="AG182" s="282"/>
      <c r="AH182" s="301">
        <f>SUM(D164:D182)+$C$164</f>
        <v>0</v>
      </c>
      <c r="AI182" s="370"/>
      <c r="AJ182" s="173">
        <f t="shared" si="84"/>
        <v>69.344714800000006</v>
      </c>
      <c r="AK182" s="284">
        <f t="shared" si="76"/>
        <v>0.93571960494171247</v>
      </c>
      <c r="AL182" s="174">
        <f t="shared" si="85"/>
        <v>180.0511663828843</v>
      </c>
      <c r="AM182" s="173">
        <f t="shared" si="86"/>
        <v>50.174479900000001</v>
      </c>
      <c r="AN182" s="285">
        <f t="shared" si="87"/>
        <v>0.76799833627881664</v>
      </c>
      <c r="AO182" s="174">
        <f t="shared" si="88"/>
        <v>146.50336262854705</v>
      </c>
      <c r="AP182" s="287"/>
      <c r="AQ182" s="174">
        <f t="shared" si="96"/>
        <v>-433.5</v>
      </c>
      <c r="AR182" s="287"/>
      <c r="AS182" s="288">
        <f t="shared" si="89"/>
        <v>326.55452901143133</v>
      </c>
      <c r="AT182" s="289">
        <f t="shared" si="98"/>
        <v>-146.50336262854705</v>
      </c>
      <c r="AU182" s="290"/>
      <c r="AV182" s="289">
        <f t="shared" si="97"/>
        <v>146.50336262854705</v>
      </c>
      <c r="AW182" s="291">
        <f t="shared" si="90"/>
        <v>-239.01729632495176</v>
      </c>
      <c r="AX182" s="291">
        <f t="shared" si="91"/>
        <v>-194.48270367504824</v>
      </c>
      <c r="AY182" s="292">
        <f t="shared" si="77"/>
        <v>-48.532052610240491</v>
      </c>
      <c r="AZ182" s="292">
        <f t="shared" si="78"/>
        <v>-51.418454243152219</v>
      </c>
      <c r="BA182" s="294">
        <f t="shared" si="92"/>
        <v>48.532052610240491</v>
      </c>
      <c r="BB182" s="294">
        <f t="shared" si="92"/>
        <v>51.418454243152219</v>
      </c>
      <c r="BC182">
        <f t="shared" si="93"/>
        <v>0.3</v>
      </c>
      <c r="BG182" s="27"/>
      <c r="BN182" s="1750"/>
      <c r="BO182" s="1750"/>
      <c r="BP182" s="1750"/>
      <c r="BQ182" s="1750"/>
      <c r="BR182" s="1750"/>
      <c r="BS182" s="1750"/>
      <c r="BT182" s="1750"/>
      <c r="BU182" s="1750"/>
      <c r="BV182" s="1750"/>
      <c r="BW182" s="1750"/>
      <c r="BX182" s="1750"/>
      <c r="BY182" s="1750"/>
      <c r="BZ182" s="1750"/>
      <c r="CA182" s="1750"/>
      <c r="CB182" s="1750"/>
      <c r="CC182" s="1750"/>
      <c r="CD182" s="1750"/>
      <c r="CE182" s="1750"/>
      <c r="CF182" s="1750"/>
      <c r="CG182" s="1750"/>
      <c r="CH182" s="1750"/>
      <c r="CI182" s="1750"/>
      <c r="CJ182" s="1750"/>
      <c r="CK182" s="1750"/>
      <c r="CL182" s="1750"/>
      <c r="CM182" s="1750"/>
      <c r="DC182" s="33"/>
      <c r="DD182" s="10"/>
      <c r="DE182" s="10"/>
      <c r="DF182" s="10"/>
      <c r="DG182" s="10"/>
      <c r="DH182" s="10"/>
      <c r="DI182" s="10"/>
      <c r="DJ182" s="49"/>
      <c r="DK182" s="49"/>
      <c r="DL182" s="49"/>
      <c r="DM182" s="49"/>
      <c r="DN182" s="49"/>
      <c r="DO182" s="49"/>
      <c r="DP182" s="49"/>
      <c r="DQ182" s="49"/>
      <c r="DR182" s="49"/>
      <c r="DS182" s="49"/>
      <c r="DT182" s="49"/>
      <c r="DU182" s="49"/>
      <c r="DV182" s="49"/>
      <c r="DW182" s="49"/>
      <c r="DX182" s="7"/>
    </row>
    <row r="183" spans="2:132" ht="21" customHeight="1" thickBot="1" x14ac:dyDescent="0.35">
      <c r="B183" s="88">
        <v>20</v>
      </c>
      <c r="C183" s="20"/>
      <c r="D183" s="738">
        <v>0</v>
      </c>
      <c r="E183" s="333" t="s">
        <v>72</v>
      </c>
      <c r="F183" s="81">
        <f t="shared" si="79"/>
        <v>0.3</v>
      </c>
      <c r="G183" s="81">
        <f t="shared" si="94"/>
        <v>0.3</v>
      </c>
      <c r="H183" s="299">
        <v>190.76</v>
      </c>
      <c r="I183" s="318">
        <v>79.651040199999997</v>
      </c>
      <c r="J183" s="251">
        <f t="shared" si="80"/>
        <v>79.651040199999997</v>
      </c>
      <c r="K183" s="251">
        <f t="shared" si="81"/>
        <v>39.825520099999999</v>
      </c>
      <c r="L183" s="251">
        <f t="shared" si="69"/>
        <v>0.64045183696587837</v>
      </c>
      <c r="M183" s="251">
        <f t="shared" si="70"/>
        <v>122.17259241961095</v>
      </c>
      <c r="N183" s="251">
        <f t="shared" si="71"/>
        <v>244.3451848392219</v>
      </c>
      <c r="O183" s="251">
        <f>+C164+D165+D166+D167+D168+D169+D170+D171+D172+D173+D174+D175+D176+D177+D178+D179+D180+D181+D182+(D183/2)</f>
        <v>0</v>
      </c>
      <c r="P183" s="251">
        <f t="shared" si="72"/>
        <v>0</v>
      </c>
      <c r="Q183" s="251">
        <f t="shared" si="73"/>
        <v>0</v>
      </c>
      <c r="R183" s="251">
        <f t="shared" si="82"/>
        <v>146.5</v>
      </c>
      <c r="S183" s="251">
        <f t="shared" si="95"/>
        <v>146.5</v>
      </c>
      <c r="T183" s="252">
        <f t="shared" si="74"/>
        <v>146.5</v>
      </c>
      <c r="U183" s="244"/>
      <c r="V183" s="282">
        <f t="shared" si="75"/>
        <v>0</v>
      </c>
      <c r="W183" s="282"/>
      <c r="X183" s="282"/>
      <c r="Y183" s="282"/>
      <c r="Z183" s="282"/>
      <c r="AA183" s="282"/>
      <c r="AB183" s="300" t="str">
        <f t="shared" si="83"/>
        <v>pin in groundstacking hole</v>
      </c>
      <c r="AC183" s="451"/>
      <c r="AD183" s="451"/>
      <c r="AE183" s="451"/>
      <c r="AF183" s="282">
        <f>SUM(V183:V187)/($B$161-B182)</f>
        <v>0</v>
      </c>
      <c r="AG183" s="282"/>
      <c r="AH183" s="301">
        <f>SUM(D165:D183)+$C$164</f>
        <v>0</v>
      </c>
      <c r="AI183" s="370"/>
      <c r="AJ183" s="173">
        <f t="shared" si="84"/>
        <v>69.344714800000006</v>
      </c>
      <c r="AK183" s="284">
        <f t="shared" si="76"/>
        <v>0.93571960494171247</v>
      </c>
      <c r="AL183" s="174">
        <f t="shared" si="85"/>
        <v>180.0511663828843</v>
      </c>
      <c r="AM183" s="173">
        <f t="shared" si="86"/>
        <v>50.174479900000001</v>
      </c>
      <c r="AN183" s="285">
        <f t="shared" si="87"/>
        <v>0.76799833627881664</v>
      </c>
      <c r="AO183" s="174">
        <f t="shared" si="88"/>
        <v>146.50336262854705</v>
      </c>
      <c r="AP183" s="287"/>
      <c r="AQ183" s="174">
        <f t="shared" si="96"/>
        <v>-459</v>
      </c>
      <c r="AR183" s="287"/>
      <c r="AS183" s="288">
        <f t="shared" si="89"/>
        <v>326.55452901143133</v>
      </c>
      <c r="AT183" s="289">
        <f t="shared" si="98"/>
        <v>-146.50336262854705</v>
      </c>
      <c r="AU183" s="290"/>
      <c r="AV183" s="289">
        <f t="shared" si="97"/>
        <v>146.50336262854705</v>
      </c>
      <c r="AW183" s="291">
        <f t="shared" si="90"/>
        <v>-253.07713728524303</v>
      </c>
      <c r="AX183" s="291">
        <f t="shared" si="91"/>
        <v>-205.92286271475697</v>
      </c>
      <c r="AY183" s="292">
        <f t="shared" si="77"/>
        <v>-45.835827465227133</v>
      </c>
      <c r="AZ183" s="292">
        <f t="shared" si="78"/>
        <v>-48.561873451865985</v>
      </c>
      <c r="BA183" s="294">
        <f t="shared" si="92"/>
        <v>45.835827465227133</v>
      </c>
      <c r="BB183" s="294">
        <f t="shared" si="92"/>
        <v>48.561873451865985</v>
      </c>
      <c r="BC183">
        <f t="shared" si="93"/>
        <v>0.3</v>
      </c>
      <c r="BG183" s="27"/>
      <c r="BN183" s="1750"/>
      <c r="BO183" s="1774"/>
      <c r="BP183" s="1774"/>
      <c r="BQ183" s="1774"/>
      <c r="BR183" s="1774"/>
      <c r="BS183" s="1774"/>
      <c r="BT183" s="1774"/>
      <c r="BU183" s="1748"/>
      <c r="BV183" s="1748"/>
      <c r="BW183" s="1748"/>
      <c r="BX183" s="1748"/>
      <c r="BY183" s="1748"/>
      <c r="BZ183" s="1774"/>
      <c r="CA183" s="1774"/>
      <c r="CB183" s="1774"/>
      <c r="CC183" s="1748"/>
      <c r="CD183" s="1748"/>
      <c r="CE183" s="1748"/>
      <c r="CF183" s="1748"/>
      <c r="CG183" s="1748"/>
      <c r="CH183" s="1748"/>
      <c r="CI183" s="1748"/>
      <c r="CJ183" s="1748"/>
      <c r="CK183" s="1748"/>
      <c r="CL183" s="1748"/>
      <c r="CM183" s="1750"/>
      <c r="DC183" s="33"/>
      <c r="DD183" s="10"/>
      <c r="DE183" s="10"/>
      <c r="DF183" s="10"/>
      <c r="DG183" s="10"/>
      <c r="DH183" s="10"/>
      <c r="DI183" s="10"/>
      <c r="DJ183" s="49"/>
      <c r="DK183" s="49"/>
      <c r="DL183" s="49"/>
      <c r="DM183" s="49"/>
      <c r="DN183" s="49"/>
      <c r="DO183" s="49"/>
      <c r="DP183" s="49"/>
      <c r="DQ183" s="49"/>
      <c r="DR183" s="49"/>
      <c r="DS183" s="49"/>
      <c r="DT183" s="49"/>
      <c r="DU183" s="49"/>
      <c r="DV183" s="49"/>
      <c r="DW183" s="49"/>
      <c r="DX183" s="7"/>
    </row>
    <row r="184" spans="2:132" ht="21" customHeight="1" thickBot="1" x14ac:dyDescent="0.35">
      <c r="B184" s="88">
        <v>21</v>
      </c>
      <c r="C184" s="20"/>
      <c r="D184" s="738">
        <v>0</v>
      </c>
      <c r="E184" s="333" t="s">
        <v>72</v>
      </c>
      <c r="F184" s="81">
        <f t="shared" si="79"/>
        <v>0.3</v>
      </c>
      <c r="G184" s="81">
        <f t="shared" si="94"/>
        <v>0.3</v>
      </c>
      <c r="H184" s="299">
        <v>190.76</v>
      </c>
      <c r="I184" s="318">
        <v>79.651040199999997</v>
      </c>
      <c r="J184" s="251">
        <f t="shared" si="80"/>
        <v>79.651040199999997</v>
      </c>
      <c r="K184" s="251">
        <f t="shared" si="81"/>
        <v>39.825520099999999</v>
      </c>
      <c r="L184" s="251">
        <f t="shared" si="69"/>
        <v>0.64045183696587837</v>
      </c>
      <c r="M184" s="251">
        <f t="shared" si="70"/>
        <v>122.17259241961095</v>
      </c>
      <c r="N184" s="251">
        <f t="shared" si="71"/>
        <v>244.3451848392219</v>
      </c>
      <c r="O184" s="251">
        <f>+C164+D165+D166+D167+D168+D169+D170+D171+D172+D173+D174+D175+D176+D177+D178+D179+D180+D181+D182+D183+(D184/2)</f>
        <v>0</v>
      </c>
      <c r="P184" s="251">
        <f t="shared" si="72"/>
        <v>0</v>
      </c>
      <c r="Q184" s="251">
        <f t="shared" si="73"/>
        <v>0</v>
      </c>
      <c r="R184" s="251">
        <f t="shared" si="82"/>
        <v>146.5</v>
      </c>
      <c r="S184" s="251">
        <f t="shared" si="95"/>
        <v>146.5</v>
      </c>
      <c r="T184" s="252">
        <f t="shared" si="74"/>
        <v>146.5</v>
      </c>
      <c r="U184" s="244"/>
      <c r="V184" s="282">
        <f t="shared" si="75"/>
        <v>0</v>
      </c>
      <c r="W184" s="282"/>
      <c r="X184" s="282"/>
      <c r="Y184" s="282"/>
      <c r="Z184" s="282"/>
      <c r="AA184" s="282"/>
      <c r="AB184" s="300" t="str">
        <f t="shared" si="83"/>
        <v>pin in groundstacking hole</v>
      </c>
      <c r="AC184" s="451"/>
      <c r="AD184" s="451"/>
      <c r="AE184" s="451"/>
      <c r="AF184" s="282">
        <f>SUM(V184:V187)/($B$161-B183)</f>
        <v>0</v>
      </c>
      <c r="AG184" s="282"/>
      <c r="AH184" s="301">
        <f>SUM(D165:D184)+$C$164</f>
        <v>0</v>
      </c>
      <c r="AI184" s="370"/>
      <c r="AJ184" s="173">
        <f t="shared" si="84"/>
        <v>69.344714800000006</v>
      </c>
      <c r="AK184" s="284">
        <f t="shared" si="76"/>
        <v>0.93571960494171247</v>
      </c>
      <c r="AL184" s="174">
        <f t="shared" si="85"/>
        <v>180.0511663828843</v>
      </c>
      <c r="AM184" s="173">
        <f t="shared" si="86"/>
        <v>50.174479900000001</v>
      </c>
      <c r="AN184" s="285">
        <f t="shared" si="87"/>
        <v>0.76799833627881664</v>
      </c>
      <c r="AO184" s="174">
        <f t="shared" si="88"/>
        <v>146.50336262854705</v>
      </c>
      <c r="AP184" s="287"/>
      <c r="AQ184" s="174">
        <f t="shared" si="96"/>
        <v>-484.5</v>
      </c>
      <c r="AR184" s="287"/>
      <c r="AS184" s="288">
        <f t="shared" si="89"/>
        <v>326.55452901143133</v>
      </c>
      <c r="AT184" s="289">
        <f t="shared" si="98"/>
        <v>-146.50336262854705</v>
      </c>
      <c r="AU184" s="290"/>
      <c r="AV184" s="289">
        <f t="shared" si="97"/>
        <v>146.50336262854705</v>
      </c>
      <c r="AW184" s="291">
        <f t="shared" si="90"/>
        <v>-267.13697824553429</v>
      </c>
      <c r="AX184" s="291">
        <f t="shared" si="91"/>
        <v>-217.36302175446571</v>
      </c>
      <c r="AY184" s="292">
        <f t="shared" si="77"/>
        <v>-43.423415493373078</v>
      </c>
      <c r="AZ184" s="292">
        <f t="shared" si="78"/>
        <v>-46.005985375451978</v>
      </c>
      <c r="BA184" s="294">
        <f t="shared" si="92"/>
        <v>43.423415493373078</v>
      </c>
      <c r="BB184" s="294">
        <f t="shared" si="92"/>
        <v>46.005985375451978</v>
      </c>
      <c r="BC184">
        <f t="shared" si="93"/>
        <v>0.3</v>
      </c>
      <c r="BG184" s="27"/>
      <c r="BN184" s="1750"/>
      <c r="BO184" s="1774"/>
      <c r="BP184" s="1774"/>
      <c r="BQ184" s="1774"/>
      <c r="BR184" s="1774"/>
      <c r="BS184" s="1774"/>
      <c r="BT184" s="1774"/>
      <c r="BU184" s="1750"/>
      <c r="BV184" s="1750"/>
      <c r="BW184" s="1750"/>
      <c r="BX184" s="1750"/>
      <c r="BY184" s="1774"/>
      <c r="BZ184" s="1774"/>
      <c r="CA184" s="1774"/>
      <c r="CB184" s="1774"/>
      <c r="CC184" s="1750"/>
      <c r="CD184" s="1750"/>
      <c r="CE184" s="1750"/>
      <c r="CF184" s="1750"/>
      <c r="CG184" s="1774"/>
      <c r="CH184" s="1774"/>
      <c r="CI184" s="1774"/>
      <c r="CJ184" s="1774"/>
      <c r="CK184" s="1774"/>
      <c r="CL184" s="1774"/>
      <c r="CM184" s="1750"/>
      <c r="DW184" s="60"/>
      <c r="DX184" s="60"/>
      <c r="DY184" s="60"/>
      <c r="DZ184" s="60"/>
      <c r="EA184" s="60"/>
      <c r="EB184" s="60"/>
    </row>
    <row r="185" spans="2:132" ht="21" customHeight="1" thickBot="1" x14ac:dyDescent="0.35">
      <c r="B185" s="88">
        <v>22</v>
      </c>
      <c r="C185" s="20"/>
      <c r="D185" s="738">
        <v>0</v>
      </c>
      <c r="E185" s="333" t="s">
        <v>72</v>
      </c>
      <c r="F185" s="81">
        <f t="shared" si="79"/>
        <v>0.3</v>
      </c>
      <c r="G185" s="81">
        <f t="shared" si="94"/>
        <v>0.3</v>
      </c>
      <c r="H185" s="299">
        <v>190.76</v>
      </c>
      <c r="I185" s="318">
        <v>79.651040199999997</v>
      </c>
      <c r="J185" s="251">
        <f t="shared" si="80"/>
        <v>79.651040199999997</v>
      </c>
      <c r="K185" s="251">
        <f t="shared" si="81"/>
        <v>39.825520099999999</v>
      </c>
      <c r="L185" s="251">
        <f t="shared" si="69"/>
        <v>0.64045183696587837</v>
      </c>
      <c r="M185" s="251">
        <f t="shared" si="70"/>
        <v>122.17259241961095</v>
      </c>
      <c r="N185" s="251">
        <f t="shared" si="71"/>
        <v>244.3451848392219</v>
      </c>
      <c r="O185" s="251">
        <f>+C164+D165+D166+D167+D168+D169+D170+D171+D172+D173+D174+D175+D176+D177+D178+D179+D180+D181+D182+D183+D184+(D185/2)</f>
        <v>0</v>
      </c>
      <c r="P185" s="251">
        <f t="shared" si="72"/>
        <v>0</v>
      </c>
      <c r="Q185" s="251">
        <f t="shared" si="73"/>
        <v>0</v>
      </c>
      <c r="R185" s="251">
        <f t="shared" si="82"/>
        <v>146.5</v>
      </c>
      <c r="S185" s="251">
        <f t="shared" si="95"/>
        <v>146.5</v>
      </c>
      <c r="T185" s="252">
        <f t="shared" si="74"/>
        <v>146.5</v>
      </c>
      <c r="U185" s="244"/>
      <c r="V185" s="282">
        <f t="shared" si="75"/>
        <v>0</v>
      </c>
      <c r="W185" s="282"/>
      <c r="X185" s="282"/>
      <c r="Y185" s="282"/>
      <c r="Z185" s="282"/>
      <c r="AA185" s="282"/>
      <c r="AB185" s="300" t="str">
        <f t="shared" si="83"/>
        <v>pin in groundstacking hole</v>
      </c>
      <c r="AC185" s="451"/>
      <c r="AD185" s="451"/>
      <c r="AE185" s="451"/>
      <c r="AF185" s="282">
        <f>SUM(V185:V187)/($B$161-B184)</f>
        <v>0</v>
      </c>
      <c r="AG185" s="282"/>
      <c r="AH185" s="301">
        <f>SUM(D165:D185)+$C$164</f>
        <v>0</v>
      </c>
      <c r="AI185" s="370"/>
      <c r="AJ185" s="173">
        <f t="shared" si="84"/>
        <v>69.344714800000006</v>
      </c>
      <c r="AK185" s="284">
        <f t="shared" si="76"/>
        <v>0.93571960494171247</v>
      </c>
      <c r="AL185" s="174">
        <f t="shared" si="85"/>
        <v>180.0511663828843</v>
      </c>
      <c r="AM185" s="173">
        <f t="shared" si="86"/>
        <v>50.174479900000001</v>
      </c>
      <c r="AN185" s="285">
        <f t="shared" si="87"/>
        <v>0.76799833627881664</v>
      </c>
      <c r="AO185" s="174">
        <f t="shared" si="88"/>
        <v>146.50336262854705</v>
      </c>
      <c r="AP185" s="287"/>
      <c r="AQ185" s="174">
        <f t="shared" si="96"/>
        <v>-510</v>
      </c>
      <c r="AR185" s="287"/>
      <c r="AS185" s="288">
        <f t="shared" si="89"/>
        <v>326.55452901143133</v>
      </c>
      <c r="AT185" s="289">
        <f t="shared" si="98"/>
        <v>-146.50336262854705</v>
      </c>
      <c r="AU185" s="290"/>
      <c r="AV185" s="289">
        <f t="shared" si="97"/>
        <v>146.50336262854705</v>
      </c>
      <c r="AW185" s="291">
        <f t="shared" si="90"/>
        <v>-281.19681920582559</v>
      </c>
      <c r="AX185" s="291">
        <f t="shared" si="91"/>
        <v>-228.80318079417441</v>
      </c>
      <c r="AY185" s="292">
        <f t="shared" si="77"/>
        <v>-41.252244718704418</v>
      </c>
      <c r="AZ185" s="292">
        <f t="shared" si="78"/>
        <v>-43.705686106679387</v>
      </c>
      <c r="BA185" s="294">
        <f t="shared" si="92"/>
        <v>41.252244718704418</v>
      </c>
      <c r="BB185" s="294">
        <f t="shared" si="92"/>
        <v>43.705686106679387</v>
      </c>
      <c r="BC185">
        <f t="shared" si="93"/>
        <v>0.3</v>
      </c>
      <c r="BG185" s="27"/>
      <c r="BN185" s="1750"/>
      <c r="BO185" s="1750"/>
      <c r="BP185" s="1750"/>
      <c r="BQ185" s="1750"/>
      <c r="BR185" s="1750"/>
      <c r="BS185" s="1750"/>
      <c r="BT185" s="1750"/>
      <c r="BU185" s="1750"/>
      <c r="BV185" s="1750"/>
      <c r="BW185" s="1750"/>
      <c r="BX185" s="1750"/>
      <c r="BY185" s="1750"/>
      <c r="BZ185" s="1750"/>
      <c r="CA185" s="1750"/>
      <c r="CB185" s="1750"/>
      <c r="CC185" s="1750"/>
      <c r="CD185" s="1750"/>
      <c r="CE185" s="1750"/>
      <c r="CF185" s="1750"/>
      <c r="CG185" s="1750"/>
      <c r="CH185" s="1750"/>
      <c r="CI185" s="1750"/>
      <c r="CJ185" s="1750"/>
      <c r="CK185" s="1750"/>
      <c r="CL185" s="1750"/>
      <c r="CM185" s="1750"/>
    </row>
    <row r="186" spans="2:132" ht="21" customHeight="1" thickBot="1" x14ac:dyDescent="0.35">
      <c r="B186" s="88">
        <v>23</v>
      </c>
      <c r="C186" s="20"/>
      <c r="D186" s="738">
        <v>0</v>
      </c>
      <c r="E186" s="333" t="s">
        <v>72</v>
      </c>
      <c r="F186" s="81">
        <f t="shared" si="79"/>
        <v>0.3</v>
      </c>
      <c r="G186" s="81">
        <f t="shared" si="94"/>
        <v>0.3</v>
      </c>
      <c r="H186" s="299">
        <v>190.76</v>
      </c>
      <c r="I186" s="318">
        <v>79.651040199999997</v>
      </c>
      <c r="J186" s="251">
        <f t="shared" si="80"/>
        <v>79.651040199999997</v>
      </c>
      <c r="K186" s="251">
        <f t="shared" si="81"/>
        <v>39.825520099999999</v>
      </c>
      <c r="L186" s="251">
        <f t="shared" si="69"/>
        <v>0.64045183696587837</v>
      </c>
      <c r="M186" s="251">
        <f t="shared" si="70"/>
        <v>122.17259241961095</v>
      </c>
      <c r="N186" s="251">
        <f t="shared" si="71"/>
        <v>244.3451848392219</v>
      </c>
      <c r="O186" s="251">
        <f>+C164+D165+D166+D167+D168+D169+D170+D171+D172+D173+D174+D175+D176+D177+D178+D179+D180+D181+D182+D183+D184+D185+(D186/2)</f>
        <v>0</v>
      </c>
      <c r="P186" s="251">
        <f t="shared" si="72"/>
        <v>0</v>
      </c>
      <c r="Q186" s="251">
        <f t="shared" si="73"/>
        <v>0</v>
      </c>
      <c r="R186" s="251">
        <f t="shared" si="82"/>
        <v>146.5</v>
      </c>
      <c r="S186" s="251">
        <f t="shared" si="95"/>
        <v>146.5</v>
      </c>
      <c r="T186" s="252">
        <f t="shared" si="74"/>
        <v>146.5</v>
      </c>
      <c r="U186" s="244"/>
      <c r="V186" s="282">
        <f t="shared" si="75"/>
        <v>0</v>
      </c>
      <c r="W186" s="282"/>
      <c r="X186" s="282"/>
      <c r="Y186" s="282"/>
      <c r="Z186" s="282"/>
      <c r="AA186" s="282"/>
      <c r="AB186" s="300" t="str">
        <f t="shared" si="83"/>
        <v>pin in groundstacking hole</v>
      </c>
      <c r="AC186" s="451"/>
      <c r="AD186" s="451"/>
      <c r="AE186" s="451"/>
      <c r="AF186" s="282">
        <f>SUM(V186:V187)/($B$161-B185)</f>
        <v>0</v>
      </c>
      <c r="AG186" s="282"/>
      <c r="AH186" s="301">
        <f>SUM(D165:D186)+$C$164</f>
        <v>0</v>
      </c>
      <c r="AI186" s="370"/>
      <c r="AJ186" s="173">
        <f t="shared" si="84"/>
        <v>69.344714800000006</v>
      </c>
      <c r="AK186" s="284">
        <f t="shared" si="76"/>
        <v>0.93571960494171247</v>
      </c>
      <c r="AL186" s="174">
        <f t="shared" si="85"/>
        <v>180.0511663828843</v>
      </c>
      <c r="AM186" s="173">
        <f t="shared" si="86"/>
        <v>50.174479900000001</v>
      </c>
      <c r="AN186" s="285">
        <f t="shared" si="87"/>
        <v>0.76799833627881664</v>
      </c>
      <c r="AO186" s="174">
        <f t="shared" si="88"/>
        <v>146.50336262854705</v>
      </c>
      <c r="AP186" s="287"/>
      <c r="AQ186" s="174">
        <f t="shared" si="96"/>
        <v>-535.5</v>
      </c>
      <c r="AR186" s="287"/>
      <c r="AS186" s="288">
        <f t="shared" si="89"/>
        <v>326.55452901143133</v>
      </c>
      <c r="AT186" s="289">
        <f t="shared" si="98"/>
        <v>-146.50336262854705</v>
      </c>
      <c r="AU186" s="290"/>
      <c r="AV186" s="289">
        <f t="shared" si="97"/>
        <v>146.50336262854705</v>
      </c>
      <c r="AW186" s="291">
        <f t="shared" si="90"/>
        <v>-295.25666016611689</v>
      </c>
      <c r="AX186" s="291">
        <f t="shared" si="91"/>
        <v>-240.24333983388314</v>
      </c>
      <c r="AY186" s="292">
        <f t="shared" si="77"/>
        <v>-39.287852113051827</v>
      </c>
      <c r="AZ186" s="292">
        <f t="shared" si="78"/>
        <v>-41.624462958742271</v>
      </c>
      <c r="BA186" s="294">
        <f t="shared" si="92"/>
        <v>39.287852113051827</v>
      </c>
      <c r="BB186" s="294">
        <f t="shared" si="92"/>
        <v>41.624462958742271</v>
      </c>
      <c r="BC186">
        <f t="shared" si="93"/>
        <v>0.3</v>
      </c>
      <c r="BG186" s="27"/>
      <c r="BN186" s="1750"/>
      <c r="BO186" s="1750"/>
      <c r="BP186" s="1750"/>
      <c r="BQ186" s="1750"/>
      <c r="BR186" s="1750"/>
      <c r="BS186" s="1750"/>
      <c r="BT186" s="1750"/>
      <c r="BU186" s="1750"/>
      <c r="BV186" s="1750"/>
      <c r="BW186" s="1750"/>
      <c r="BX186" s="1750"/>
      <c r="BY186" s="1750"/>
      <c r="BZ186" s="1750"/>
      <c r="CA186" s="1750"/>
      <c r="CB186" s="1750"/>
      <c r="CC186" s="1750"/>
      <c r="CD186" s="1750"/>
      <c r="CE186" s="1750"/>
      <c r="CF186" s="1750"/>
      <c r="CG186" s="1750"/>
      <c r="CH186" s="1750"/>
      <c r="CI186" s="1750"/>
      <c r="CJ186" s="1750"/>
      <c r="CK186" s="1750"/>
      <c r="CL186" s="1750"/>
      <c r="CM186" s="1750"/>
      <c r="DC186" s="42"/>
    </row>
    <row r="187" spans="2:132" ht="21" customHeight="1" thickBot="1" x14ac:dyDescent="0.35">
      <c r="B187" s="88">
        <v>24</v>
      </c>
      <c r="C187" s="20"/>
      <c r="D187" s="738">
        <v>0</v>
      </c>
      <c r="E187" s="333" t="s">
        <v>72</v>
      </c>
      <c r="F187" s="81">
        <f t="shared" si="79"/>
        <v>0.3</v>
      </c>
      <c r="G187" s="81">
        <f t="shared" si="94"/>
        <v>0.3</v>
      </c>
      <c r="H187" s="299">
        <v>190.76</v>
      </c>
      <c r="I187" s="318">
        <v>79.651040199999997</v>
      </c>
      <c r="J187" s="251">
        <f t="shared" si="80"/>
        <v>79.651040199999997</v>
      </c>
      <c r="K187" s="251">
        <f t="shared" si="81"/>
        <v>39.825520099999999</v>
      </c>
      <c r="L187" s="251">
        <f t="shared" si="69"/>
        <v>0.64045183696587837</v>
      </c>
      <c r="M187" s="251">
        <f t="shared" si="70"/>
        <v>122.17259241961095</v>
      </c>
      <c r="N187" s="251">
        <f t="shared" si="71"/>
        <v>244.3451848392219</v>
      </c>
      <c r="O187" s="251">
        <f>+SUM(D165:D186)+(D187/2)+C164</f>
        <v>0</v>
      </c>
      <c r="P187" s="251">
        <f t="shared" si="72"/>
        <v>0</v>
      </c>
      <c r="Q187" s="251">
        <f t="shared" si="73"/>
        <v>0</v>
      </c>
      <c r="R187" s="251">
        <f t="shared" si="82"/>
        <v>146.5</v>
      </c>
      <c r="S187" s="251">
        <f t="shared" si="95"/>
        <v>146.5</v>
      </c>
      <c r="T187" s="252">
        <f t="shared" si="74"/>
        <v>146.5</v>
      </c>
      <c r="U187" s="244"/>
      <c r="V187" s="282">
        <f t="shared" si="75"/>
        <v>0</v>
      </c>
      <c r="W187" s="282"/>
      <c r="X187" s="282"/>
      <c r="Y187" s="282"/>
      <c r="Z187" s="282"/>
      <c r="AA187" s="282"/>
      <c r="AB187" s="300" t="str">
        <f t="shared" si="83"/>
        <v>pin in groundstacking hole</v>
      </c>
      <c r="AC187" s="451"/>
      <c r="AD187" s="451"/>
      <c r="AE187" s="451"/>
      <c r="AF187" s="282">
        <f>SUM(V187)/($B$161-B186)</f>
        <v>0</v>
      </c>
      <c r="AG187" s="282"/>
      <c r="AH187" s="301">
        <f>SUM(D165:D187)+$C$164</f>
        <v>0</v>
      </c>
      <c r="AI187" s="370"/>
      <c r="AJ187" s="173">
        <f t="shared" si="84"/>
        <v>69.344714800000006</v>
      </c>
      <c r="AK187" s="284">
        <f t="shared" si="76"/>
        <v>0.93571960494171247</v>
      </c>
      <c r="AL187" s="174">
        <f t="shared" si="85"/>
        <v>180.0511663828843</v>
      </c>
      <c r="AM187" s="173">
        <f t="shared" si="86"/>
        <v>50.174479900000001</v>
      </c>
      <c r="AN187" s="285">
        <f t="shared" si="87"/>
        <v>0.76799833627881664</v>
      </c>
      <c r="AO187" s="174">
        <f t="shared" si="88"/>
        <v>146.50336262854705</v>
      </c>
      <c r="AP187" s="287"/>
      <c r="AQ187" s="174">
        <f t="shared" si="96"/>
        <v>-561</v>
      </c>
      <c r="AR187" s="287"/>
      <c r="AS187" s="288">
        <f t="shared" si="89"/>
        <v>326.55452901143133</v>
      </c>
      <c r="AT187" s="289">
        <f t="shared" si="98"/>
        <v>-146.50336262854705</v>
      </c>
      <c r="AU187" s="290"/>
      <c r="AV187" s="289">
        <f t="shared" si="97"/>
        <v>146.50336262854705</v>
      </c>
      <c r="AW187" s="291">
        <f t="shared" si="90"/>
        <v>-309.31650112640813</v>
      </c>
      <c r="AX187" s="291">
        <f t="shared" si="91"/>
        <v>-251.68349887359184</v>
      </c>
      <c r="AY187" s="292">
        <f t="shared" si="77"/>
        <v>-37.502040653367658</v>
      </c>
      <c r="AZ187" s="292">
        <f t="shared" si="78"/>
        <v>-39.732441915163079</v>
      </c>
      <c r="BA187" s="294">
        <f t="shared" si="92"/>
        <v>37.502040653367658</v>
      </c>
      <c r="BB187" s="294">
        <f t="shared" si="92"/>
        <v>39.732441915163079</v>
      </c>
      <c r="BC187">
        <f t="shared" si="93"/>
        <v>0.3</v>
      </c>
      <c r="BG187" s="27"/>
      <c r="DC187" s="42"/>
    </row>
    <row r="188" spans="2:132" x14ac:dyDescent="0.3">
      <c r="BG188" s="27"/>
      <c r="DC188" s="42"/>
      <c r="DD188" s="14"/>
    </row>
    <row r="189" spans="2:132" x14ac:dyDescent="0.3">
      <c r="BG189" s="27"/>
      <c r="DC189" s="42"/>
      <c r="DD189" s="14"/>
    </row>
    <row r="190" spans="2:132" x14ac:dyDescent="0.3">
      <c r="BG190" s="27"/>
      <c r="DC190" s="42"/>
      <c r="DD190" s="14"/>
    </row>
    <row r="191" spans="2:132" x14ac:dyDescent="0.3">
      <c r="BG191" s="35"/>
      <c r="DC191" s="42"/>
      <c r="DD191" s="14"/>
    </row>
    <row r="192" spans="2:132" x14ac:dyDescent="0.3">
      <c r="BG192" s="33"/>
      <c r="DC192" s="42"/>
      <c r="DD192" s="14"/>
    </row>
    <row r="193" spans="59:108" x14ac:dyDescent="0.3">
      <c r="BG193" s="33"/>
      <c r="DC193" s="42"/>
      <c r="DD193" s="14"/>
    </row>
    <row r="194" spans="59:108" x14ac:dyDescent="0.3">
      <c r="DC194" s="42"/>
      <c r="DD194" s="14"/>
    </row>
    <row r="195" spans="59:108" x14ac:dyDescent="0.3">
      <c r="BG195" s="39"/>
      <c r="DC195" s="42"/>
    </row>
    <row r="196" spans="59:108" hidden="1" x14ac:dyDescent="0.3">
      <c r="DC196" s="42"/>
    </row>
    <row r="197" spans="59:108" hidden="1" x14ac:dyDescent="0.3"/>
    <row r="198" spans="59:108" hidden="1" x14ac:dyDescent="0.3"/>
    <row r="199" spans="59:108" hidden="1" x14ac:dyDescent="0.3">
      <c r="BI199" s="1623"/>
      <c r="BJ199" s="1623"/>
      <c r="BK199" s="1756" t="s">
        <v>235</v>
      </c>
      <c r="BL199" s="1623"/>
      <c r="BM199" s="1623"/>
      <c r="BN199" s="1623"/>
      <c r="BO199" s="1623"/>
      <c r="BP199" s="1623"/>
    </row>
    <row r="200" spans="59:108" ht="19.2" hidden="1" x14ac:dyDescent="0.45">
      <c r="BI200" s="1757">
        <v>1</v>
      </c>
      <c r="BJ200" s="1758">
        <v>-473</v>
      </c>
      <c r="BK200" s="1759">
        <f>+COS(($B$104*-1)*3.14159265358979/180)*BJ200</f>
        <v>-473</v>
      </c>
      <c r="BL200" s="1760">
        <f t="shared" ref="BL200:BL236" si="99">+BK200-D$3</f>
        <v>-597.93439395652103</v>
      </c>
      <c r="BM200" s="1761">
        <f t="shared" ref="BM200:BM236" si="100">ABS(BL200)</f>
        <v>597.93439395652103</v>
      </c>
      <c r="BN200" s="1762">
        <f>MIN(BM200:BM236)</f>
        <v>4.0656060434789083</v>
      </c>
      <c r="BO200" s="1761" t="b">
        <f>IF(BN200=BM200,BI200)</f>
        <v>0</v>
      </c>
      <c r="BP200" s="1763">
        <v>1</v>
      </c>
    </row>
    <row r="201" spans="59:108" ht="19.2" hidden="1" x14ac:dyDescent="0.45">
      <c r="BI201" s="1757">
        <v>2</v>
      </c>
      <c r="BJ201" s="1758">
        <f>+BJ200+43</f>
        <v>-430</v>
      </c>
      <c r="BK201" s="1764">
        <f>+BK200+$E$2</f>
        <v>-430</v>
      </c>
      <c r="BL201" s="1760">
        <f t="shared" si="99"/>
        <v>-554.93439395652103</v>
      </c>
      <c r="BM201" s="1761">
        <f t="shared" si="100"/>
        <v>554.93439395652103</v>
      </c>
      <c r="BN201" s="1761">
        <f>+BN200</f>
        <v>4.0656060434789083</v>
      </c>
      <c r="BO201" s="1761" t="b">
        <f t="shared" ref="BO201:BO236" si="101">IF(BN201=BM201,BI201)</f>
        <v>0</v>
      </c>
      <c r="BP201" s="1763">
        <v>2</v>
      </c>
    </row>
    <row r="202" spans="59:108" ht="19.2" hidden="1" x14ac:dyDescent="0.45">
      <c r="BI202" s="1757">
        <v>3</v>
      </c>
      <c r="BJ202" s="1758">
        <f t="shared" ref="BJ202:BJ236" si="102">+BJ201+43</f>
        <v>-387</v>
      </c>
      <c r="BK202" s="1764">
        <f t="shared" ref="BK202:BK236" si="103">+BK201+$E$2</f>
        <v>-387</v>
      </c>
      <c r="BL202" s="1760">
        <f t="shared" si="99"/>
        <v>-511.93439395652109</v>
      </c>
      <c r="BM202" s="1761">
        <f t="shared" si="100"/>
        <v>511.93439395652109</v>
      </c>
      <c r="BN202" s="1761">
        <f t="shared" ref="BN202:BN236" si="104">+BN201</f>
        <v>4.0656060434789083</v>
      </c>
      <c r="BO202" s="1761" t="b">
        <f t="shared" si="101"/>
        <v>0</v>
      </c>
      <c r="BP202" s="1763">
        <v>3</v>
      </c>
    </row>
    <row r="203" spans="59:108" ht="19.2" hidden="1" x14ac:dyDescent="0.45">
      <c r="BI203" s="1757">
        <v>4</v>
      </c>
      <c r="BJ203" s="1758">
        <f t="shared" si="102"/>
        <v>-344</v>
      </c>
      <c r="BK203" s="1764">
        <f t="shared" si="103"/>
        <v>-344</v>
      </c>
      <c r="BL203" s="1760">
        <f t="shared" si="99"/>
        <v>-468.93439395652109</v>
      </c>
      <c r="BM203" s="1761">
        <f t="shared" si="100"/>
        <v>468.93439395652109</v>
      </c>
      <c r="BN203" s="1761">
        <f t="shared" si="104"/>
        <v>4.0656060434789083</v>
      </c>
      <c r="BO203" s="1761" t="b">
        <f t="shared" si="101"/>
        <v>0</v>
      </c>
      <c r="BP203" s="1763">
        <v>4</v>
      </c>
    </row>
    <row r="204" spans="59:108" ht="19.2" hidden="1" x14ac:dyDescent="0.45">
      <c r="BI204" s="1757">
        <v>5</v>
      </c>
      <c r="BJ204" s="1758">
        <f t="shared" si="102"/>
        <v>-301</v>
      </c>
      <c r="BK204" s="1764">
        <f t="shared" si="103"/>
        <v>-301</v>
      </c>
      <c r="BL204" s="1760">
        <f t="shared" si="99"/>
        <v>-425.93439395652109</v>
      </c>
      <c r="BM204" s="1761">
        <f t="shared" si="100"/>
        <v>425.93439395652109</v>
      </c>
      <c r="BN204" s="1761">
        <f t="shared" si="104"/>
        <v>4.0656060434789083</v>
      </c>
      <c r="BO204" s="1761" t="b">
        <f t="shared" si="101"/>
        <v>0</v>
      </c>
      <c r="BP204" s="1763">
        <v>5</v>
      </c>
    </row>
    <row r="205" spans="59:108" ht="19.2" hidden="1" x14ac:dyDescent="0.45">
      <c r="BI205" s="1757">
        <v>6</v>
      </c>
      <c r="BJ205" s="1758">
        <f t="shared" si="102"/>
        <v>-258</v>
      </c>
      <c r="BK205" s="1764">
        <f t="shared" si="103"/>
        <v>-258</v>
      </c>
      <c r="BL205" s="1760">
        <f t="shared" si="99"/>
        <v>-382.93439395652109</v>
      </c>
      <c r="BM205" s="1761">
        <f t="shared" si="100"/>
        <v>382.93439395652109</v>
      </c>
      <c r="BN205" s="1761">
        <f t="shared" si="104"/>
        <v>4.0656060434789083</v>
      </c>
      <c r="BO205" s="1761" t="b">
        <f t="shared" si="101"/>
        <v>0</v>
      </c>
      <c r="BP205" s="1763">
        <v>6</v>
      </c>
    </row>
    <row r="206" spans="59:108" ht="19.2" hidden="1" x14ac:dyDescent="0.45">
      <c r="BI206" s="1757">
        <v>7</v>
      </c>
      <c r="BJ206" s="1758">
        <f t="shared" si="102"/>
        <v>-215</v>
      </c>
      <c r="BK206" s="1764">
        <f t="shared" si="103"/>
        <v>-215</v>
      </c>
      <c r="BL206" s="1760">
        <f t="shared" si="99"/>
        <v>-339.93439395652109</v>
      </c>
      <c r="BM206" s="1761">
        <f t="shared" si="100"/>
        <v>339.93439395652109</v>
      </c>
      <c r="BN206" s="1761">
        <f t="shared" si="104"/>
        <v>4.0656060434789083</v>
      </c>
      <c r="BO206" s="1761" t="b">
        <f t="shared" si="101"/>
        <v>0</v>
      </c>
      <c r="BP206" s="1763">
        <v>7</v>
      </c>
    </row>
    <row r="207" spans="59:108" ht="19.2" hidden="1" x14ac:dyDescent="0.45">
      <c r="BI207" s="1757">
        <v>8</v>
      </c>
      <c r="BJ207" s="1758">
        <f t="shared" si="102"/>
        <v>-172</v>
      </c>
      <c r="BK207" s="1764">
        <f t="shared" si="103"/>
        <v>-172</v>
      </c>
      <c r="BL207" s="1760">
        <f t="shared" si="99"/>
        <v>-296.93439395652109</v>
      </c>
      <c r="BM207" s="1761">
        <f t="shared" si="100"/>
        <v>296.93439395652109</v>
      </c>
      <c r="BN207" s="1761">
        <f t="shared" si="104"/>
        <v>4.0656060434789083</v>
      </c>
      <c r="BO207" s="1761" t="b">
        <f t="shared" si="101"/>
        <v>0</v>
      </c>
      <c r="BP207" s="1763">
        <v>8</v>
      </c>
    </row>
    <row r="208" spans="59:108" ht="19.2" hidden="1" x14ac:dyDescent="0.45">
      <c r="BI208" s="1757">
        <v>9</v>
      </c>
      <c r="BJ208" s="1758">
        <f t="shared" si="102"/>
        <v>-129</v>
      </c>
      <c r="BK208" s="1764">
        <f t="shared" si="103"/>
        <v>-129</v>
      </c>
      <c r="BL208" s="1760">
        <f t="shared" si="99"/>
        <v>-253.93439395652109</v>
      </c>
      <c r="BM208" s="1761">
        <f t="shared" si="100"/>
        <v>253.93439395652109</v>
      </c>
      <c r="BN208" s="1761">
        <f t="shared" si="104"/>
        <v>4.0656060434789083</v>
      </c>
      <c r="BO208" s="1761" t="b">
        <f t="shared" si="101"/>
        <v>0</v>
      </c>
      <c r="BP208" s="1763">
        <v>9</v>
      </c>
    </row>
    <row r="209" spans="61:70" ht="19.2" hidden="1" x14ac:dyDescent="0.45">
      <c r="BI209" s="1757">
        <v>10</v>
      </c>
      <c r="BJ209" s="1758">
        <f t="shared" si="102"/>
        <v>-86</v>
      </c>
      <c r="BK209" s="1764">
        <f t="shared" si="103"/>
        <v>-86</v>
      </c>
      <c r="BL209" s="1760">
        <f t="shared" si="99"/>
        <v>-210.93439395652109</v>
      </c>
      <c r="BM209" s="1761">
        <f t="shared" si="100"/>
        <v>210.93439395652109</v>
      </c>
      <c r="BN209" s="1761">
        <f t="shared" si="104"/>
        <v>4.0656060434789083</v>
      </c>
      <c r="BO209" s="1761" t="b">
        <f t="shared" si="101"/>
        <v>0</v>
      </c>
      <c r="BP209" s="1763">
        <v>10</v>
      </c>
    </row>
    <row r="210" spans="61:70" ht="19.2" hidden="1" x14ac:dyDescent="0.45">
      <c r="BI210" s="1757">
        <v>11</v>
      </c>
      <c r="BJ210" s="1758">
        <f t="shared" si="102"/>
        <v>-43</v>
      </c>
      <c r="BK210" s="1764">
        <f t="shared" si="103"/>
        <v>-43</v>
      </c>
      <c r="BL210" s="1760">
        <f t="shared" si="99"/>
        <v>-167.93439395652109</v>
      </c>
      <c r="BM210" s="1761">
        <f t="shared" si="100"/>
        <v>167.93439395652109</v>
      </c>
      <c r="BN210" s="1761">
        <f t="shared" si="104"/>
        <v>4.0656060434789083</v>
      </c>
      <c r="BO210" s="1761" t="b">
        <f t="shared" si="101"/>
        <v>0</v>
      </c>
      <c r="BP210" s="1763">
        <v>11</v>
      </c>
    </row>
    <row r="211" spans="61:70" ht="19.2" hidden="1" x14ac:dyDescent="0.45">
      <c r="BI211" s="1757">
        <v>12</v>
      </c>
      <c r="BJ211" s="1758">
        <f t="shared" si="102"/>
        <v>0</v>
      </c>
      <c r="BK211" s="1764">
        <f t="shared" si="103"/>
        <v>0</v>
      </c>
      <c r="BL211" s="1760">
        <f t="shared" si="99"/>
        <v>-124.93439395652109</v>
      </c>
      <c r="BM211" s="1761">
        <f t="shared" si="100"/>
        <v>124.93439395652109</v>
      </c>
      <c r="BN211" s="1761">
        <f t="shared" si="104"/>
        <v>4.0656060434789083</v>
      </c>
      <c r="BO211" s="1761" t="b">
        <f t="shared" si="101"/>
        <v>0</v>
      </c>
      <c r="BP211" s="1763">
        <v>12</v>
      </c>
    </row>
    <row r="212" spans="61:70" ht="19.2" hidden="1" x14ac:dyDescent="0.45">
      <c r="BI212" s="1757">
        <v>13</v>
      </c>
      <c r="BJ212" s="1758">
        <f t="shared" si="102"/>
        <v>43</v>
      </c>
      <c r="BK212" s="1764">
        <f t="shared" si="103"/>
        <v>43</v>
      </c>
      <c r="BL212" s="1760">
        <f t="shared" si="99"/>
        <v>-81.934393956521092</v>
      </c>
      <c r="BM212" s="1761">
        <f t="shared" si="100"/>
        <v>81.934393956521092</v>
      </c>
      <c r="BN212" s="1761">
        <f t="shared" si="104"/>
        <v>4.0656060434789083</v>
      </c>
      <c r="BO212" s="1761" t="b">
        <f t="shared" si="101"/>
        <v>0</v>
      </c>
      <c r="BP212" s="1763">
        <v>13</v>
      </c>
    </row>
    <row r="213" spans="61:70" ht="19.2" hidden="1" x14ac:dyDescent="0.45">
      <c r="BI213" s="1757">
        <v>14</v>
      </c>
      <c r="BJ213" s="1758">
        <f t="shared" si="102"/>
        <v>86</v>
      </c>
      <c r="BK213" s="1764">
        <f t="shared" si="103"/>
        <v>86</v>
      </c>
      <c r="BL213" s="1760">
        <f t="shared" si="99"/>
        <v>-38.934393956521092</v>
      </c>
      <c r="BM213" s="1761">
        <f t="shared" si="100"/>
        <v>38.934393956521092</v>
      </c>
      <c r="BN213" s="1761">
        <f t="shared" si="104"/>
        <v>4.0656060434789083</v>
      </c>
      <c r="BO213" s="1761" t="b">
        <f t="shared" si="101"/>
        <v>0</v>
      </c>
      <c r="BP213" s="1763">
        <v>14</v>
      </c>
    </row>
    <row r="214" spans="61:70" ht="19.2" hidden="1" x14ac:dyDescent="0.45">
      <c r="BI214" s="1757">
        <v>15</v>
      </c>
      <c r="BJ214" s="1758">
        <f t="shared" si="102"/>
        <v>129</v>
      </c>
      <c r="BK214" s="1764">
        <f t="shared" si="103"/>
        <v>129</v>
      </c>
      <c r="BL214" s="1760">
        <f t="shared" si="99"/>
        <v>4.0656060434789083</v>
      </c>
      <c r="BM214" s="1761">
        <f t="shared" si="100"/>
        <v>4.0656060434789083</v>
      </c>
      <c r="BN214" s="1761">
        <f t="shared" si="104"/>
        <v>4.0656060434789083</v>
      </c>
      <c r="BO214" s="1761">
        <f t="shared" si="101"/>
        <v>15</v>
      </c>
      <c r="BP214" s="1763">
        <v>15</v>
      </c>
    </row>
    <row r="215" spans="61:70" ht="19.2" hidden="1" x14ac:dyDescent="0.45">
      <c r="BI215" s="1757">
        <v>16</v>
      </c>
      <c r="BJ215" s="1758">
        <f t="shared" si="102"/>
        <v>172</v>
      </c>
      <c r="BK215" s="1764">
        <f t="shared" si="103"/>
        <v>172</v>
      </c>
      <c r="BL215" s="1760">
        <f t="shared" si="99"/>
        <v>47.065606043478908</v>
      </c>
      <c r="BM215" s="1761">
        <f t="shared" si="100"/>
        <v>47.065606043478908</v>
      </c>
      <c r="BN215" s="1761">
        <f t="shared" si="104"/>
        <v>4.0656060434789083</v>
      </c>
      <c r="BO215" s="1761" t="b">
        <f t="shared" si="101"/>
        <v>0</v>
      </c>
      <c r="BP215" s="1763">
        <v>16</v>
      </c>
    </row>
    <row r="216" spans="61:70" ht="19.2" hidden="1" x14ac:dyDescent="0.45">
      <c r="BI216" s="1757">
        <v>17</v>
      </c>
      <c r="BJ216" s="1758">
        <f t="shared" si="102"/>
        <v>215</v>
      </c>
      <c r="BK216" s="1764">
        <f t="shared" si="103"/>
        <v>215</v>
      </c>
      <c r="BL216" s="1760">
        <f t="shared" si="99"/>
        <v>90.065606043478908</v>
      </c>
      <c r="BM216" s="1761">
        <f t="shared" si="100"/>
        <v>90.065606043478908</v>
      </c>
      <c r="BN216" s="1761">
        <f t="shared" si="104"/>
        <v>4.0656060434789083</v>
      </c>
      <c r="BO216" s="1761" t="b">
        <f t="shared" si="101"/>
        <v>0</v>
      </c>
      <c r="BP216" s="1763">
        <v>17</v>
      </c>
    </row>
    <row r="217" spans="61:70" ht="19.2" hidden="1" x14ac:dyDescent="0.45">
      <c r="BI217" s="1757">
        <v>18</v>
      </c>
      <c r="BJ217" s="1758">
        <f t="shared" si="102"/>
        <v>258</v>
      </c>
      <c r="BK217" s="1764">
        <f t="shared" si="103"/>
        <v>258</v>
      </c>
      <c r="BL217" s="1760">
        <f t="shared" si="99"/>
        <v>133.06560604347891</v>
      </c>
      <c r="BM217" s="1761">
        <f t="shared" si="100"/>
        <v>133.06560604347891</v>
      </c>
      <c r="BN217" s="1761">
        <f t="shared" si="104"/>
        <v>4.0656060434789083</v>
      </c>
      <c r="BO217" s="1761" t="b">
        <f t="shared" si="101"/>
        <v>0</v>
      </c>
      <c r="BP217" s="1763">
        <v>18</v>
      </c>
      <c r="BQ217" s="1765"/>
      <c r="BR217" s="1765"/>
    </row>
    <row r="218" spans="61:70" ht="19.2" hidden="1" x14ac:dyDescent="0.45">
      <c r="BI218" s="1757">
        <v>19</v>
      </c>
      <c r="BJ218" s="1758">
        <f t="shared" si="102"/>
        <v>301</v>
      </c>
      <c r="BK218" s="1764">
        <f t="shared" si="103"/>
        <v>301</v>
      </c>
      <c r="BL218" s="1760">
        <f t="shared" si="99"/>
        <v>176.06560604347891</v>
      </c>
      <c r="BM218" s="1761">
        <f t="shared" si="100"/>
        <v>176.06560604347891</v>
      </c>
      <c r="BN218" s="1761">
        <f t="shared" si="104"/>
        <v>4.0656060434789083</v>
      </c>
      <c r="BO218" s="1761" t="b">
        <f t="shared" si="101"/>
        <v>0</v>
      </c>
      <c r="BP218" s="1763">
        <v>19</v>
      </c>
      <c r="BQ218" s="1750"/>
      <c r="BR218" s="1750"/>
    </row>
    <row r="219" spans="61:70" ht="19.2" hidden="1" x14ac:dyDescent="0.45">
      <c r="BI219" s="1757">
        <v>20</v>
      </c>
      <c r="BJ219" s="1758">
        <f t="shared" si="102"/>
        <v>344</v>
      </c>
      <c r="BK219" s="1764">
        <f t="shared" si="103"/>
        <v>344</v>
      </c>
      <c r="BL219" s="1760">
        <f t="shared" si="99"/>
        <v>219.06560604347891</v>
      </c>
      <c r="BM219" s="1761">
        <f t="shared" si="100"/>
        <v>219.06560604347891</v>
      </c>
      <c r="BN219" s="1761">
        <f t="shared" si="104"/>
        <v>4.0656060434789083</v>
      </c>
      <c r="BO219" s="1761" t="b">
        <f t="shared" si="101"/>
        <v>0</v>
      </c>
      <c r="BP219" s="1763">
        <v>20</v>
      </c>
      <c r="BQ219" s="1767"/>
      <c r="BR219" s="1767"/>
    </row>
    <row r="220" spans="61:70" ht="19.2" hidden="1" x14ac:dyDescent="0.45">
      <c r="BI220" s="1757">
        <v>21</v>
      </c>
      <c r="BJ220" s="1758">
        <f t="shared" si="102"/>
        <v>387</v>
      </c>
      <c r="BK220" s="1764">
        <f t="shared" si="103"/>
        <v>387</v>
      </c>
      <c r="BL220" s="1760">
        <f t="shared" si="99"/>
        <v>262.06560604347891</v>
      </c>
      <c r="BM220" s="1761">
        <f t="shared" si="100"/>
        <v>262.06560604347891</v>
      </c>
      <c r="BN220" s="1761">
        <f t="shared" si="104"/>
        <v>4.0656060434789083</v>
      </c>
      <c r="BO220" s="1761" t="b">
        <f t="shared" si="101"/>
        <v>0</v>
      </c>
      <c r="BP220" s="1763">
        <v>21</v>
      </c>
      <c r="BQ220" s="1750"/>
      <c r="BR220" s="1750"/>
    </row>
    <row r="221" spans="61:70" ht="19.2" hidden="1" x14ac:dyDescent="0.45">
      <c r="BI221" s="1757">
        <v>22</v>
      </c>
      <c r="BJ221" s="1758">
        <f t="shared" si="102"/>
        <v>430</v>
      </c>
      <c r="BK221" s="1764">
        <f t="shared" si="103"/>
        <v>430</v>
      </c>
      <c r="BL221" s="1760">
        <f t="shared" si="99"/>
        <v>305.06560604347891</v>
      </c>
      <c r="BM221" s="1761">
        <f t="shared" si="100"/>
        <v>305.06560604347891</v>
      </c>
      <c r="BN221" s="1761">
        <f t="shared" si="104"/>
        <v>4.0656060434789083</v>
      </c>
      <c r="BO221" s="1761" t="b">
        <f t="shared" si="101"/>
        <v>0</v>
      </c>
      <c r="BP221" s="1763">
        <v>22</v>
      </c>
      <c r="BQ221" s="1750"/>
      <c r="BR221" s="1750"/>
    </row>
    <row r="222" spans="61:70" ht="19.2" hidden="1" x14ac:dyDescent="0.45">
      <c r="BI222" s="1757">
        <v>23</v>
      </c>
      <c r="BJ222" s="1758">
        <f t="shared" si="102"/>
        <v>473</v>
      </c>
      <c r="BK222" s="1764">
        <f t="shared" si="103"/>
        <v>473</v>
      </c>
      <c r="BL222" s="1760">
        <f t="shared" si="99"/>
        <v>348.06560604347891</v>
      </c>
      <c r="BM222" s="1761">
        <f t="shared" si="100"/>
        <v>348.06560604347891</v>
      </c>
      <c r="BN222" s="1761">
        <f t="shared" si="104"/>
        <v>4.0656060434789083</v>
      </c>
      <c r="BO222" s="1761" t="b">
        <f t="shared" si="101"/>
        <v>0</v>
      </c>
      <c r="BP222" s="1763">
        <v>23</v>
      </c>
      <c r="BQ222" s="1750"/>
      <c r="BR222" s="1750"/>
    </row>
    <row r="223" spans="61:70" ht="19.2" hidden="1" x14ac:dyDescent="0.45">
      <c r="BI223" s="1757">
        <v>24</v>
      </c>
      <c r="BJ223" s="1758">
        <f t="shared" si="102"/>
        <v>516</v>
      </c>
      <c r="BK223" s="1764">
        <f t="shared" si="103"/>
        <v>516</v>
      </c>
      <c r="BL223" s="1760">
        <f t="shared" si="99"/>
        <v>391.06560604347891</v>
      </c>
      <c r="BM223" s="1761">
        <f t="shared" si="100"/>
        <v>391.06560604347891</v>
      </c>
      <c r="BN223" s="1761">
        <f t="shared" si="104"/>
        <v>4.0656060434789083</v>
      </c>
      <c r="BO223" s="1761" t="b">
        <f t="shared" si="101"/>
        <v>0</v>
      </c>
      <c r="BP223" s="1763">
        <v>24</v>
      </c>
      <c r="BQ223" s="1750"/>
      <c r="BR223" s="1750"/>
    </row>
    <row r="224" spans="61:70" ht="19.2" hidden="1" x14ac:dyDescent="0.45">
      <c r="BI224" s="1757">
        <v>25</v>
      </c>
      <c r="BJ224" s="1758">
        <f t="shared" si="102"/>
        <v>559</v>
      </c>
      <c r="BK224" s="1764">
        <f t="shared" si="103"/>
        <v>559</v>
      </c>
      <c r="BL224" s="1760">
        <f t="shared" si="99"/>
        <v>434.06560604347891</v>
      </c>
      <c r="BM224" s="1761">
        <f t="shared" si="100"/>
        <v>434.06560604347891</v>
      </c>
      <c r="BN224" s="1761">
        <f t="shared" si="104"/>
        <v>4.0656060434789083</v>
      </c>
      <c r="BO224" s="1761" t="b">
        <f t="shared" si="101"/>
        <v>0</v>
      </c>
      <c r="BP224" s="1763">
        <v>25</v>
      </c>
      <c r="BQ224" s="1750"/>
      <c r="BR224" s="1750"/>
    </row>
    <row r="225" spans="61:133" ht="19.2" hidden="1" x14ac:dyDescent="0.45">
      <c r="BI225" s="1757">
        <v>26</v>
      </c>
      <c r="BJ225" s="1758">
        <f t="shared" si="102"/>
        <v>602</v>
      </c>
      <c r="BK225" s="1764">
        <f t="shared" si="103"/>
        <v>602</v>
      </c>
      <c r="BL225" s="1760">
        <f t="shared" si="99"/>
        <v>477.06560604347891</v>
      </c>
      <c r="BM225" s="1761">
        <f t="shared" si="100"/>
        <v>477.06560604347891</v>
      </c>
      <c r="BN225" s="1761">
        <f t="shared" si="104"/>
        <v>4.0656060434789083</v>
      </c>
      <c r="BO225" s="1761" t="b">
        <f t="shared" si="101"/>
        <v>0</v>
      </c>
      <c r="BP225" s="1763">
        <v>26</v>
      </c>
      <c r="BQ225" s="1750"/>
      <c r="BR225" s="1750"/>
    </row>
    <row r="226" spans="61:133" ht="19.2" hidden="1" x14ac:dyDescent="0.45">
      <c r="BI226" s="1757">
        <v>27</v>
      </c>
      <c r="BJ226" s="1758">
        <f t="shared" si="102"/>
        <v>645</v>
      </c>
      <c r="BK226" s="1764">
        <f t="shared" si="103"/>
        <v>645</v>
      </c>
      <c r="BL226" s="1760">
        <f t="shared" si="99"/>
        <v>520.06560604347897</v>
      </c>
      <c r="BM226" s="1761">
        <f t="shared" si="100"/>
        <v>520.06560604347897</v>
      </c>
      <c r="BN226" s="1761">
        <f t="shared" si="104"/>
        <v>4.0656060434789083</v>
      </c>
      <c r="BO226" s="1761" t="b">
        <f t="shared" si="101"/>
        <v>0</v>
      </c>
      <c r="BP226" s="1763">
        <v>27</v>
      </c>
      <c r="BQ226" s="1750"/>
      <c r="BR226" s="1750"/>
    </row>
    <row r="227" spans="61:133" ht="19.2" hidden="1" x14ac:dyDescent="0.45">
      <c r="BI227" s="1757">
        <v>28</v>
      </c>
      <c r="BJ227" s="1758">
        <f t="shared" si="102"/>
        <v>688</v>
      </c>
      <c r="BK227" s="1764">
        <f t="shared" si="103"/>
        <v>688</v>
      </c>
      <c r="BL227" s="1760">
        <f t="shared" si="99"/>
        <v>563.06560604347897</v>
      </c>
      <c r="BM227" s="1761">
        <f t="shared" si="100"/>
        <v>563.06560604347897</v>
      </c>
      <c r="BN227" s="1761">
        <f t="shared" si="104"/>
        <v>4.0656060434789083</v>
      </c>
      <c r="BO227" s="1761" t="b">
        <f t="shared" si="101"/>
        <v>0</v>
      </c>
      <c r="BP227" s="1763">
        <v>28</v>
      </c>
      <c r="BQ227" s="1750"/>
      <c r="BR227" s="1750"/>
    </row>
    <row r="228" spans="61:133" ht="19.2" hidden="1" x14ac:dyDescent="0.45">
      <c r="BI228" s="1757">
        <v>29</v>
      </c>
      <c r="BJ228" s="1758">
        <f t="shared" si="102"/>
        <v>731</v>
      </c>
      <c r="BK228" s="1764">
        <f t="shared" si="103"/>
        <v>731</v>
      </c>
      <c r="BL228" s="1760">
        <f t="shared" si="99"/>
        <v>606.06560604347897</v>
      </c>
      <c r="BM228" s="1761">
        <f t="shared" si="100"/>
        <v>606.06560604347897</v>
      </c>
      <c r="BN228" s="1761">
        <f t="shared" si="104"/>
        <v>4.0656060434789083</v>
      </c>
      <c r="BO228" s="1761" t="b">
        <f t="shared" si="101"/>
        <v>0</v>
      </c>
      <c r="BP228" s="1763">
        <v>29</v>
      </c>
      <c r="BQ228" s="1750"/>
      <c r="BR228" s="1750"/>
    </row>
    <row r="229" spans="61:133" ht="19.2" hidden="1" x14ac:dyDescent="0.45">
      <c r="BI229" s="1757">
        <v>30</v>
      </c>
      <c r="BJ229" s="1758">
        <f t="shared" si="102"/>
        <v>774</v>
      </c>
      <c r="BK229" s="1764">
        <f t="shared" si="103"/>
        <v>774</v>
      </c>
      <c r="BL229" s="1760">
        <f t="shared" si="99"/>
        <v>649.06560604347897</v>
      </c>
      <c r="BM229" s="1761">
        <f t="shared" si="100"/>
        <v>649.06560604347897</v>
      </c>
      <c r="BN229" s="1761">
        <f t="shared" si="104"/>
        <v>4.0656060434789083</v>
      </c>
      <c r="BO229" s="1761" t="b">
        <f t="shared" si="101"/>
        <v>0</v>
      </c>
      <c r="BP229" s="1763">
        <v>30</v>
      </c>
      <c r="BQ229" s="1750"/>
      <c r="BR229" s="1750"/>
    </row>
    <row r="230" spans="61:133" ht="19.2" hidden="1" x14ac:dyDescent="0.45">
      <c r="BI230" s="1757">
        <v>31</v>
      </c>
      <c r="BJ230" s="1758">
        <f t="shared" si="102"/>
        <v>817</v>
      </c>
      <c r="BK230" s="1764">
        <f t="shared" si="103"/>
        <v>817</v>
      </c>
      <c r="BL230" s="1760">
        <f t="shared" si="99"/>
        <v>692.06560604347897</v>
      </c>
      <c r="BM230" s="1761">
        <f t="shared" si="100"/>
        <v>692.06560604347897</v>
      </c>
      <c r="BN230" s="1761">
        <f t="shared" si="104"/>
        <v>4.0656060434789083</v>
      </c>
      <c r="BO230" s="1761" t="b">
        <f t="shared" si="101"/>
        <v>0</v>
      </c>
      <c r="BP230" s="1763">
        <v>31</v>
      </c>
      <c r="BQ230" s="1750"/>
      <c r="BR230" s="1750"/>
      <c r="DD230" s="64"/>
      <c r="DE230" s="64"/>
      <c r="DF230" s="64"/>
      <c r="DG230" s="64"/>
      <c r="DH230" s="64"/>
      <c r="DI230" s="64"/>
      <c r="DJ230" s="1998"/>
      <c r="DK230" s="1998"/>
      <c r="DL230" s="1998"/>
      <c r="DM230" s="10"/>
      <c r="DN230" s="7"/>
      <c r="DO230" s="7"/>
      <c r="DP230" s="7"/>
      <c r="DQ230" s="7"/>
      <c r="DR230" s="7"/>
      <c r="DS230" s="7"/>
      <c r="DT230" s="7"/>
      <c r="DU230" s="7"/>
      <c r="DV230" s="7"/>
      <c r="DW230" s="7"/>
      <c r="DX230" s="7"/>
      <c r="DY230" s="7"/>
      <c r="DZ230" s="7"/>
      <c r="EA230" s="7"/>
      <c r="EB230" s="7"/>
      <c r="EC230" s="7"/>
    </row>
    <row r="231" spans="61:133" ht="19.2" hidden="1" x14ac:dyDescent="0.45">
      <c r="BI231" s="1757">
        <v>32</v>
      </c>
      <c r="BJ231" s="1758">
        <f t="shared" si="102"/>
        <v>860</v>
      </c>
      <c r="BK231" s="1764">
        <f t="shared" si="103"/>
        <v>860</v>
      </c>
      <c r="BL231" s="1760">
        <f t="shared" si="99"/>
        <v>735.06560604347897</v>
      </c>
      <c r="BM231" s="1761">
        <f t="shared" si="100"/>
        <v>735.06560604347897</v>
      </c>
      <c r="BN231" s="1761">
        <f t="shared" si="104"/>
        <v>4.0656060434789083</v>
      </c>
      <c r="BO231" s="1761" t="b">
        <f t="shared" si="101"/>
        <v>0</v>
      </c>
      <c r="BP231" s="1763">
        <v>32</v>
      </c>
      <c r="BQ231" s="1750"/>
      <c r="BR231" s="1750"/>
      <c r="DD231" s="7"/>
      <c r="DE231" s="7"/>
      <c r="DF231" s="7"/>
      <c r="DG231" s="7"/>
      <c r="DH231" s="7"/>
      <c r="DI231" s="7"/>
      <c r="DJ231" s="57"/>
      <c r="DK231" s="7"/>
      <c r="DL231" s="7"/>
      <c r="DM231" s="7"/>
      <c r="DN231" s="7"/>
      <c r="DO231" s="7"/>
      <c r="DP231" s="7"/>
      <c r="DQ231" s="7"/>
      <c r="DR231" s="7"/>
      <c r="DS231" s="7"/>
      <c r="DT231" s="7"/>
      <c r="DU231" s="7"/>
      <c r="DV231" s="7"/>
      <c r="DW231" s="57"/>
      <c r="DX231" s="7"/>
      <c r="DY231" s="7"/>
      <c r="DZ231" s="7"/>
      <c r="EA231" s="7"/>
      <c r="EB231" s="7"/>
      <c r="EC231" s="7"/>
    </row>
    <row r="232" spans="61:133" ht="19.2" hidden="1" x14ac:dyDescent="0.45">
      <c r="BI232" s="1757">
        <v>33</v>
      </c>
      <c r="BJ232" s="1758">
        <f t="shared" si="102"/>
        <v>903</v>
      </c>
      <c r="BK232" s="1764">
        <f t="shared" si="103"/>
        <v>903</v>
      </c>
      <c r="BL232" s="1760">
        <f t="shared" si="99"/>
        <v>778.06560604347897</v>
      </c>
      <c r="BM232" s="1761">
        <f t="shared" si="100"/>
        <v>778.06560604347897</v>
      </c>
      <c r="BN232" s="1761">
        <f t="shared" si="104"/>
        <v>4.0656060434789083</v>
      </c>
      <c r="BO232" s="1761" t="b">
        <f t="shared" si="101"/>
        <v>0</v>
      </c>
      <c r="BP232" s="1763">
        <v>33</v>
      </c>
      <c r="BQ232" s="1750"/>
      <c r="BR232" s="1750"/>
      <c r="DD232" s="65"/>
      <c r="DE232" s="65"/>
      <c r="DF232" s="65"/>
      <c r="DG232" s="65"/>
      <c r="DH232" s="65"/>
      <c r="DI232" s="65"/>
      <c r="DJ232" s="1999"/>
      <c r="DK232" s="1999"/>
      <c r="DL232" s="7"/>
      <c r="DM232" s="7"/>
      <c r="DN232" s="7"/>
      <c r="DO232" s="7"/>
      <c r="DP232" s="7"/>
      <c r="DQ232" s="7"/>
      <c r="DR232" s="7"/>
      <c r="DS232" s="7"/>
      <c r="DT232" s="7"/>
      <c r="DU232" s="7"/>
      <c r="DV232" s="1993"/>
      <c r="DW232" s="1993"/>
      <c r="DX232" s="7"/>
      <c r="DY232" s="7"/>
      <c r="DZ232" s="7"/>
      <c r="EA232" s="7"/>
      <c r="EB232" s="7"/>
      <c r="EC232" s="7"/>
    </row>
    <row r="233" spans="61:133" ht="19.2" hidden="1" x14ac:dyDescent="0.45">
      <c r="BI233" s="1757">
        <v>34</v>
      </c>
      <c r="BJ233" s="1758">
        <f t="shared" si="102"/>
        <v>946</v>
      </c>
      <c r="BK233" s="1764">
        <f t="shared" si="103"/>
        <v>946</v>
      </c>
      <c r="BL233" s="1760">
        <f t="shared" si="99"/>
        <v>821.06560604347897</v>
      </c>
      <c r="BM233" s="1761">
        <f t="shared" si="100"/>
        <v>821.06560604347897</v>
      </c>
      <c r="BN233" s="1761">
        <f t="shared" si="104"/>
        <v>4.0656060434789083</v>
      </c>
      <c r="BO233" s="1761" t="b">
        <f t="shared" si="101"/>
        <v>0</v>
      </c>
      <c r="BP233" s="1763">
        <v>34</v>
      </c>
      <c r="BQ233" s="1750"/>
      <c r="BR233" s="1750"/>
      <c r="DD233" s="7"/>
      <c r="DE233" s="7"/>
      <c r="DF233" s="7"/>
      <c r="DG233" s="7"/>
      <c r="DH233" s="7"/>
      <c r="DI233" s="7"/>
      <c r="DJ233" s="7"/>
      <c r="DK233" s="7"/>
      <c r="DL233" s="7"/>
      <c r="DM233" s="7"/>
      <c r="DN233" s="7"/>
      <c r="DO233" s="7"/>
      <c r="DP233" s="7"/>
      <c r="DQ233" s="7"/>
      <c r="DR233" s="7"/>
      <c r="DS233" s="7"/>
      <c r="DT233" s="7"/>
      <c r="DU233" s="7"/>
      <c r="DV233" s="7"/>
      <c r="DW233" s="7"/>
      <c r="DX233" s="7"/>
      <c r="DY233" s="7"/>
      <c r="DZ233" s="7"/>
      <c r="EA233" s="7"/>
      <c r="EB233" s="7"/>
      <c r="EC233" s="7"/>
    </row>
    <row r="234" spans="61:133" ht="19.2" hidden="1" x14ac:dyDescent="0.45">
      <c r="BI234" s="1757">
        <v>35</v>
      </c>
      <c r="BJ234" s="1758">
        <f t="shared" si="102"/>
        <v>989</v>
      </c>
      <c r="BK234" s="1764">
        <f t="shared" si="103"/>
        <v>989</v>
      </c>
      <c r="BL234" s="1760">
        <f t="shared" si="99"/>
        <v>864.06560604347897</v>
      </c>
      <c r="BM234" s="1761">
        <f t="shared" si="100"/>
        <v>864.06560604347897</v>
      </c>
      <c r="BN234" s="1761">
        <f t="shared" si="104"/>
        <v>4.0656060434789083</v>
      </c>
      <c r="BO234" s="1761" t="b">
        <f t="shared" si="101"/>
        <v>0</v>
      </c>
      <c r="BP234" s="1763">
        <v>35</v>
      </c>
      <c r="BQ234" s="1750"/>
      <c r="BR234" s="1750"/>
      <c r="DD234" s="7"/>
      <c r="DE234" s="7"/>
      <c r="DF234" s="7"/>
      <c r="DG234" s="7"/>
      <c r="DH234" s="7"/>
      <c r="DI234" s="7"/>
      <c r="DJ234" s="7"/>
      <c r="DK234" s="7"/>
      <c r="DL234" s="7"/>
      <c r="DM234" s="7"/>
      <c r="DN234" s="7"/>
      <c r="DO234" s="7"/>
      <c r="DP234" s="7"/>
      <c r="DQ234" s="7"/>
      <c r="DR234" s="7"/>
      <c r="DS234" s="7"/>
      <c r="DT234" s="7"/>
      <c r="DU234" s="7"/>
      <c r="DV234" s="7"/>
      <c r="DW234" s="7"/>
      <c r="DX234" s="7"/>
      <c r="DY234" s="7"/>
      <c r="DZ234" s="7"/>
      <c r="EA234" s="7"/>
      <c r="EB234" s="7"/>
      <c r="EC234" s="7"/>
    </row>
    <row r="235" spans="61:133" ht="19.2" hidden="1" x14ac:dyDescent="0.45">
      <c r="BI235" s="1757">
        <v>36</v>
      </c>
      <c r="BJ235" s="1758">
        <f t="shared" si="102"/>
        <v>1032</v>
      </c>
      <c r="BK235" s="1764">
        <f t="shared" si="103"/>
        <v>1032</v>
      </c>
      <c r="BL235" s="1760">
        <f t="shared" si="99"/>
        <v>907.06560604347897</v>
      </c>
      <c r="BM235" s="1761">
        <f t="shared" si="100"/>
        <v>907.06560604347897</v>
      </c>
      <c r="BN235" s="1761">
        <f t="shared" si="104"/>
        <v>4.0656060434789083</v>
      </c>
      <c r="BO235" s="1761" t="b">
        <f t="shared" si="101"/>
        <v>0</v>
      </c>
      <c r="BP235" s="1763">
        <v>36</v>
      </c>
      <c r="BQ235" s="1750"/>
      <c r="BR235" s="1750"/>
      <c r="DD235" s="7"/>
      <c r="DE235" s="7"/>
      <c r="DF235" s="7"/>
      <c r="DG235" s="7"/>
      <c r="DH235" s="7"/>
      <c r="DI235" s="7"/>
      <c r="DJ235" s="7"/>
      <c r="DK235" s="7"/>
      <c r="DL235" s="7"/>
      <c r="DM235" s="7"/>
      <c r="DN235" s="7"/>
      <c r="DO235" s="7"/>
      <c r="DP235" s="7"/>
      <c r="DQ235" s="7"/>
      <c r="DR235" s="7"/>
      <c r="DS235" s="7"/>
      <c r="DT235" s="7"/>
      <c r="DU235" s="7"/>
      <c r="DV235" s="7"/>
      <c r="DW235" s="7"/>
      <c r="DX235" s="7"/>
      <c r="DY235" s="7"/>
      <c r="DZ235" s="7"/>
      <c r="EA235" s="7"/>
      <c r="EB235" s="7"/>
      <c r="EC235" s="7"/>
    </row>
    <row r="236" spans="61:133" ht="19.2" hidden="1" x14ac:dyDescent="0.45">
      <c r="BI236" s="1768">
        <v>37</v>
      </c>
      <c r="BJ236" s="1769">
        <f t="shared" si="102"/>
        <v>1075</v>
      </c>
      <c r="BK236" s="1764">
        <f t="shared" si="103"/>
        <v>1075</v>
      </c>
      <c r="BL236" s="1760">
        <f t="shared" si="99"/>
        <v>950.06560604347897</v>
      </c>
      <c r="BM236" s="1761">
        <f t="shared" si="100"/>
        <v>950.06560604347897</v>
      </c>
      <c r="BN236" s="1761">
        <f t="shared" si="104"/>
        <v>4.0656060434789083</v>
      </c>
      <c r="BO236" s="1761" t="b">
        <f t="shared" si="101"/>
        <v>0</v>
      </c>
      <c r="BP236" s="1770">
        <v>37</v>
      </c>
      <c r="BQ236" s="1750"/>
      <c r="BR236" s="1748"/>
      <c r="DD236" s="7"/>
      <c r="DE236" s="7"/>
      <c r="DF236" s="7"/>
      <c r="DG236" s="7"/>
      <c r="DH236" s="7"/>
      <c r="DI236" s="7"/>
      <c r="DJ236" s="7"/>
      <c r="DK236" s="7"/>
      <c r="DL236" s="7"/>
      <c r="DM236" s="7"/>
      <c r="DN236" s="7"/>
      <c r="DO236" s="7"/>
      <c r="DP236" s="7"/>
      <c r="DQ236" s="7"/>
      <c r="DR236" s="7"/>
      <c r="DS236" s="7"/>
      <c r="DT236" s="7"/>
      <c r="DU236" s="7"/>
      <c r="DV236" s="7"/>
      <c r="DW236" s="7"/>
      <c r="DX236" s="7"/>
      <c r="DY236" s="7"/>
      <c r="DZ236" s="7"/>
      <c r="EA236" s="7"/>
      <c r="EB236" s="7"/>
      <c r="EC236" s="7"/>
    </row>
    <row r="237" spans="61:133" hidden="1" x14ac:dyDescent="0.3">
      <c r="BI237" s="1550"/>
      <c r="BQ237" s="1750"/>
      <c r="BR237" s="1748"/>
      <c r="DD237" s="7"/>
      <c r="DE237" s="7"/>
      <c r="DF237" s="7"/>
      <c r="DG237" s="7"/>
      <c r="DH237" s="7"/>
      <c r="DI237" s="7"/>
      <c r="DJ237" s="7"/>
      <c r="DK237" s="7"/>
      <c r="DL237" s="7"/>
      <c r="DM237" s="7"/>
      <c r="DN237" s="7"/>
      <c r="DO237" s="7"/>
      <c r="DP237" s="7"/>
      <c r="DQ237" s="7"/>
      <c r="DR237" s="7"/>
      <c r="DS237" s="7"/>
      <c r="DT237" s="7"/>
      <c r="DU237" s="7"/>
      <c r="DV237" s="7"/>
      <c r="DW237" s="7"/>
      <c r="DX237" s="7"/>
      <c r="DY237" s="7"/>
      <c r="DZ237" s="7"/>
      <c r="EA237" s="7"/>
      <c r="EB237" s="7"/>
      <c r="EC237" s="7"/>
    </row>
    <row r="238" spans="61:133" hidden="1" x14ac:dyDescent="0.3">
      <c r="DD238" s="7"/>
      <c r="DE238" s="7"/>
      <c r="DF238" s="7"/>
      <c r="DG238" s="7"/>
      <c r="DH238" s="7"/>
      <c r="DI238" s="7"/>
      <c r="DJ238" s="7"/>
      <c r="DK238" s="7"/>
      <c r="DL238" s="7"/>
      <c r="DM238" s="7"/>
      <c r="DN238" s="7"/>
      <c r="DO238" s="7"/>
      <c r="DP238" s="7"/>
      <c r="DQ238" s="7"/>
      <c r="DR238" s="7"/>
      <c r="DS238" s="7"/>
      <c r="DT238" s="7"/>
      <c r="DU238" s="7"/>
      <c r="DV238" s="7"/>
      <c r="DW238" s="7"/>
      <c r="DX238" s="7"/>
      <c r="DY238" s="7"/>
      <c r="DZ238" s="7"/>
      <c r="EA238" s="7"/>
      <c r="EB238" s="7"/>
      <c r="EC238" s="7"/>
    </row>
    <row r="239" spans="61:133" hidden="1" x14ac:dyDescent="0.3">
      <c r="DD239" s="7"/>
      <c r="DE239" s="7"/>
      <c r="DF239" s="7"/>
      <c r="DG239" s="7"/>
      <c r="DH239" s="7"/>
      <c r="DI239" s="7"/>
      <c r="DJ239" s="7"/>
      <c r="DK239" s="7"/>
      <c r="DL239" s="7"/>
      <c r="DM239" s="7"/>
      <c r="DN239" s="7"/>
      <c r="DO239" s="7"/>
      <c r="DP239" s="7"/>
      <c r="DQ239" s="7"/>
      <c r="DR239" s="7"/>
      <c r="DS239" s="7"/>
      <c r="DT239" s="7"/>
      <c r="DU239" s="7"/>
      <c r="DV239" s="7"/>
      <c r="DW239" s="7"/>
      <c r="DX239" s="7"/>
      <c r="DY239" s="7"/>
      <c r="DZ239" s="7"/>
      <c r="EA239" s="7"/>
      <c r="EB239" s="7"/>
      <c r="EC239" s="7"/>
    </row>
    <row r="240" spans="61:133" hidden="1" x14ac:dyDescent="0.3">
      <c r="DD240" s="7"/>
      <c r="DE240" s="7"/>
      <c r="DF240" s="7"/>
      <c r="DG240" s="7"/>
      <c r="DH240" s="7"/>
      <c r="DI240" s="7"/>
      <c r="DJ240" s="7"/>
      <c r="DK240" s="7"/>
      <c r="DL240" s="7"/>
      <c r="DM240" s="7"/>
      <c r="DN240" s="7"/>
      <c r="DO240" s="7"/>
      <c r="DP240" s="7"/>
      <c r="DQ240" s="7"/>
      <c r="DR240" s="7"/>
      <c r="DS240" s="7"/>
      <c r="DT240" s="7"/>
      <c r="DU240" s="7"/>
      <c r="DV240" s="7"/>
      <c r="DW240" s="7"/>
      <c r="DX240" s="7"/>
      <c r="DY240" s="7"/>
      <c r="DZ240" s="7"/>
      <c r="EA240" s="7"/>
      <c r="EB240" s="7"/>
      <c r="EC240" s="7"/>
    </row>
    <row r="241" spans="108:133" hidden="1" x14ac:dyDescent="0.3">
      <c r="DD241" s="7"/>
      <c r="DE241" s="7"/>
      <c r="DF241" s="7"/>
      <c r="DG241" s="7"/>
      <c r="DH241" s="7"/>
      <c r="DI241" s="7"/>
      <c r="DJ241" s="7"/>
      <c r="DK241" s="7"/>
      <c r="DL241" s="7"/>
      <c r="DM241" s="7"/>
      <c r="DN241" s="7"/>
      <c r="DO241" s="7"/>
      <c r="DP241" s="7"/>
      <c r="DQ241" s="7"/>
      <c r="DR241" s="7"/>
      <c r="DS241" s="7"/>
      <c r="DT241" s="7"/>
      <c r="DU241" s="7"/>
      <c r="DV241" s="7"/>
      <c r="DW241" s="7"/>
      <c r="DX241" s="7"/>
      <c r="DY241" s="7"/>
      <c r="DZ241" s="7"/>
      <c r="EA241" s="7"/>
      <c r="EB241" s="7"/>
      <c r="EC241" s="7"/>
    </row>
    <row r="242" spans="108:133" hidden="1" x14ac:dyDescent="0.3">
      <c r="DD242" s="7"/>
      <c r="DE242" s="7"/>
      <c r="DF242" s="7"/>
      <c r="DG242" s="7"/>
      <c r="DH242" s="7"/>
      <c r="DI242" s="7"/>
      <c r="DJ242" s="7"/>
      <c r="DK242" s="7"/>
      <c r="DL242" s="7"/>
      <c r="DM242" s="7"/>
      <c r="DN242" s="7"/>
      <c r="DO242" s="7"/>
      <c r="DP242" s="7"/>
      <c r="DQ242" s="7"/>
      <c r="DR242" s="7"/>
      <c r="DS242" s="7"/>
      <c r="DT242" s="7"/>
      <c r="DU242" s="7"/>
      <c r="DV242" s="7"/>
      <c r="DW242" s="7"/>
      <c r="DX242" s="7"/>
      <c r="DY242" s="7"/>
      <c r="DZ242" s="7"/>
      <c r="EA242" s="7"/>
      <c r="EB242" s="7"/>
      <c r="EC242" s="7"/>
    </row>
    <row r="243" spans="108:133" hidden="1" x14ac:dyDescent="0.3">
      <c r="DD243" s="7"/>
      <c r="DE243" s="7"/>
      <c r="DF243" s="7"/>
      <c r="DG243" s="7"/>
      <c r="DH243" s="7"/>
      <c r="DI243" s="7"/>
      <c r="DJ243" s="7"/>
      <c r="DK243" s="7"/>
      <c r="DL243" s="7"/>
      <c r="DM243" s="7"/>
      <c r="DN243" s="7"/>
      <c r="DO243" s="7"/>
      <c r="DP243" s="7"/>
      <c r="DQ243" s="7"/>
      <c r="DR243" s="7"/>
      <c r="DS243" s="7"/>
      <c r="DT243" s="7"/>
      <c r="DU243" s="7"/>
      <c r="DV243" s="7"/>
      <c r="DW243" s="7"/>
      <c r="DX243" s="7"/>
      <c r="DY243" s="7"/>
      <c r="DZ243" s="7"/>
      <c r="EA243" s="7"/>
      <c r="EB243" s="7"/>
      <c r="EC243" s="7"/>
    </row>
    <row r="244" spans="108:133" hidden="1" x14ac:dyDescent="0.3">
      <c r="DD244" s="7"/>
      <c r="DE244" s="7"/>
      <c r="DF244" s="7"/>
      <c r="DG244" s="7"/>
      <c r="DH244" s="7"/>
      <c r="DI244" s="7"/>
      <c r="DJ244" s="7"/>
      <c r="DK244" s="7"/>
      <c r="DL244" s="7"/>
      <c r="DM244" s="7"/>
      <c r="DN244" s="7"/>
      <c r="DO244" s="7"/>
      <c r="DP244" s="7"/>
      <c r="DQ244" s="7"/>
      <c r="DR244" s="7"/>
      <c r="DS244" s="7"/>
      <c r="DT244" s="7"/>
      <c r="DU244" s="7"/>
      <c r="DV244" s="7"/>
      <c r="DW244" s="7"/>
      <c r="DX244" s="7"/>
      <c r="DY244" s="7"/>
      <c r="DZ244" s="7"/>
      <c r="EA244" s="7"/>
      <c r="EB244" s="7"/>
      <c r="EC244" s="7"/>
    </row>
    <row r="245" spans="108:133" x14ac:dyDescent="0.3">
      <c r="DD245" s="7"/>
      <c r="DE245" s="7"/>
      <c r="DF245" s="7"/>
      <c r="DG245" s="7"/>
      <c r="DH245" s="7"/>
      <c r="DI245" s="15"/>
      <c r="DJ245" s="15"/>
      <c r="DK245" s="15"/>
      <c r="DL245" s="15"/>
      <c r="DM245" s="15"/>
      <c r="DN245" s="15"/>
      <c r="DO245" s="15"/>
      <c r="DP245" s="15"/>
      <c r="DQ245" s="15"/>
      <c r="DR245" s="15"/>
      <c r="DS245" s="7"/>
      <c r="DT245" s="7"/>
      <c r="DU245" s="7"/>
      <c r="DV245" s="7"/>
      <c r="DW245" s="7"/>
      <c r="DX245" s="7"/>
      <c r="DY245" s="7"/>
      <c r="DZ245" s="7"/>
      <c r="EA245" s="7"/>
      <c r="EB245" s="7"/>
      <c r="EC245" s="7"/>
    </row>
    <row r="246" spans="108:133" x14ac:dyDescent="0.3">
      <c r="DD246" s="7"/>
      <c r="DE246" s="7"/>
      <c r="DF246" s="7"/>
      <c r="DG246" s="7"/>
      <c r="DH246" s="7"/>
      <c r="DI246" s="15"/>
      <c r="DJ246" s="15"/>
      <c r="DK246" s="15"/>
      <c r="DL246" s="15"/>
      <c r="DM246" s="15"/>
      <c r="DN246" s="15"/>
      <c r="DO246" s="15"/>
      <c r="DP246" s="15"/>
      <c r="DQ246" s="15"/>
      <c r="DR246" s="15"/>
      <c r="DS246" s="7"/>
      <c r="DT246" s="7"/>
      <c r="DU246" s="7"/>
      <c r="DV246" s="7"/>
      <c r="DW246" s="7"/>
      <c r="DX246" s="7"/>
      <c r="DY246" s="7"/>
      <c r="DZ246" s="7"/>
      <c r="EA246" s="7"/>
      <c r="EB246" s="7"/>
      <c r="EC246" s="7"/>
    </row>
    <row r="247" spans="108:133" x14ac:dyDescent="0.3">
      <c r="DD247" s="7"/>
      <c r="DE247" s="7"/>
      <c r="DF247" s="7"/>
      <c r="DG247" s="7"/>
      <c r="DH247" s="7"/>
      <c r="DI247" s="15"/>
      <c r="DJ247" s="15"/>
      <c r="DK247" s="15"/>
      <c r="DL247" s="15"/>
      <c r="DM247" s="15"/>
      <c r="DN247" s="15"/>
      <c r="DO247" s="15"/>
      <c r="DP247" s="15"/>
      <c r="DQ247" s="15"/>
      <c r="DR247" s="15"/>
      <c r="DS247" s="7"/>
      <c r="DT247" s="7"/>
      <c r="DU247" s="7"/>
      <c r="DV247" s="7"/>
      <c r="DW247" s="7"/>
      <c r="DX247" s="7"/>
      <c r="DY247" s="7"/>
      <c r="DZ247" s="7"/>
      <c r="EA247" s="7"/>
      <c r="EB247" s="7"/>
      <c r="EC247" s="7"/>
    </row>
    <row r="248" spans="108:133" x14ac:dyDescent="0.3">
      <c r="DD248" s="7"/>
      <c r="DE248" s="7"/>
      <c r="DF248" s="7"/>
      <c r="DG248" s="7"/>
      <c r="DH248" s="7"/>
      <c r="DI248" s="15"/>
      <c r="DJ248" s="15"/>
      <c r="DK248" s="15"/>
      <c r="DL248" s="15"/>
      <c r="DM248" s="15"/>
      <c r="DN248" s="15"/>
      <c r="DO248" s="15"/>
      <c r="DP248" s="15"/>
      <c r="DQ248" s="15"/>
      <c r="DR248" s="15"/>
      <c r="DS248" s="7"/>
      <c r="DT248" s="7"/>
      <c r="DU248" s="7"/>
      <c r="DV248" s="7"/>
      <c r="DW248" s="7"/>
      <c r="DX248" s="7"/>
      <c r="DY248" s="7"/>
      <c r="DZ248" s="7"/>
      <c r="EA248" s="7"/>
      <c r="EB248" s="7"/>
      <c r="EC248" s="7"/>
    </row>
    <row r="249" spans="108:133" x14ac:dyDescent="0.3">
      <c r="DD249" s="10"/>
      <c r="DE249" s="7"/>
      <c r="DF249" s="10"/>
      <c r="DG249" s="7"/>
      <c r="DH249" s="10"/>
      <c r="DI249" s="15"/>
      <c r="DJ249" s="15"/>
      <c r="DK249" s="15"/>
      <c r="DL249" s="15"/>
      <c r="DM249" s="15"/>
      <c r="DN249" s="15"/>
      <c r="DO249" s="15"/>
      <c r="DP249" s="15"/>
      <c r="DQ249" s="15"/>
      <c r="DR249" s="15"/>
      <c r="DS249" s="7"/>
      <c r="DT249" s="7"/>
      <c r="DU249" s="7"/>
      <c r="DV249" s="7"/>
      <c r="DW249" s="7"/>
      <c r="DX249" s="7"/>
      <c r="DY249" s="7"/>
      <c r="DZ249" s="7"/>
      <c r="EA249" s="7"/>
      <c r="EB249" s="7"/>
      <c r="EC249" s="7"/>
    </row>
    <row r="250" spans="108:133" x14ac:dyDescent="0.3">
      <c r="DD250" s="10"/>
      <c r="DE250" s="7"/>
      <c r="DF250" s="7"/>
      <c r="DG250" s="7"/>
      <c r="DH250" s="10"/>
      <c r="DI250" s="15"/>
      <c r="DJ250" s="15"/>
      <c r="DK250" s="15"/>
      <c r="DL250" s="15"/>
      <c r="DM250" s="15"/>
      <c r="DN250" s="15"/>
      <c r="DO250" s="15"/>
      <c r="DP250" s="15"/>
      <c r="DQ250" s="15"/>
      <c r="DR250" s="15"/>
      <c r="DS250" s="7"/>
      <c r="DT250" s="7"/>
      <c r="DU250" s="7"/>
      <c r="DV250" s="7"/>
      <c r="DW250" s="7"/>
      <c r="DX250" s="7"/>
      <c r="DY250" s="7"/>
      <c r="DZ250" s="7"/>
      <c r="EA250" s="7"/>
      <c r="EB250" s="7"/>
      <c r="EC250" s="7"/>
    </row>
    <row r="251" spans="108:133" x14ac:dyDescent="0.3">
      <c r="DD251" s="10"/>
      <c r="DE251" s="66"/>
      <c r="DF251" s="66"/>
      <c r="DG251" s="66"/>
      <c r="DH251" s="66"/>
      <c r="DI251" s="66"/>
      <c r="DJ251" s="66"/>
      <c r="DK251" s="66"/>
      <c r="DL251" s="66"/>
      <c r="DM251" s="66"/>
      <c r="DN251" s="66"/>
      <c r="DO251" s="66"/>
      <c r="DP251" s="66"/>
      <c r="DQ251" s="66"/>
      <c r="DR251" s="66"/>
      <c r="DS251" s="66"/>
      <c r="DT251" s="66"/>
      <c r="DU251" s="66"/>
      <c r="DV251" s="66"/>
      <c r="DW251" s="66"/>
      <c r="DX251" s="66"/>
      <c r="DY251" s="66"/>
      <c r="DZ251" s="66"/>
      <c r="EA251" s="66"/>
      <c r="EB251" s="66"/>
      <c r="EC251" s="7"/>
    </row>
    <row r="252" spans="108:133" x14ac:dyDescent="0.3">
      <c r="DD252" s="10"/>
      <c r="DE252" s="7"/>
      <c r="DF252" s="7"/>
      <c r="DG252" s="7"/>
      <c r="DH252" s="7"/>
      <c r="DI252" s="7"/>
      <c r="DJ252" s="7"/>
      <c r="DK252" s="7"/>
      <c r="DL252" s="7"/>
      <c r="DM252" s="7"/>
      <c r="DN252" s="7"/>
      <c r="DO252" s="7"/>
      <c r="DP252" s="7"/>
      <c r="DQ252" s="7"/>
      <c r="DR252" s="7"/>
      <c r="DS252" s="7"/>
      <c r="DT252" s="7"/>
      <c r="DU252" s="7"/>
      <c r="DV252" s="7"/>
      <c r="DW252" s="7"/>
      <c r="DX252" s="7"/>
      <c r="DY252" s="7"/>
      <c r="DZ252" s="7"/>
      <c r="EA252" s="7"/>
      <c r="EB252" s="7"/>
      <c r="EC252" s="7"/>
    </row>
    <row r="253" spans="108:133" x14ac:dyDescent="0.3">
      <c r="DD253" s="18"/>
      <c r="DE253" s="61"/>
      <c r="DF253" s="61"/>
      <c r="DG253" s="61"/>
      <c r="DH253" s="61"/>
      <c r="DI253" s="61"/>
      <c r="DJ253" s="61"/>
      <c r="DK253" s="61"/>
      <c r="DL253" s="61"/>
      <c r="DM253" s="61"/>
      <c r="DN253" s="61"/>
      <c r="DO253" s="61"/>
      <c r="DP253" s="61"/>
      <c r="DQ253" s="61"/>
      <c r="DR253" s="61"/>
      <c r="DS253" s="61"/>
      <c r="DT253" s="61"/>
      <c r="DU253" s="61"/>
      <c r="DV253" s="61"/>
      <c r="DW253" s="61"/>
      <c r="DX253" s="61"/>
      <c r="DY253" s="61"/>
      <c r="DZ253" s="61"/>
      <c r="EA253" s="61"/>
      <c r="EB253" s="61"/>
      <c r="EC253" s="7"/>
    </row>
    <row r="254" spans="108:133" x14ac:dyDescent="0.3">
      <c r="DD254" s="10"/>
      <c r="DE254" s="49"/>
      <c r="DF254" s="49"/>
      <c r="DG254" s="49"/>
      <c r="DH254" s="49"/>
      <c r="DI254" s="49"/>
      <c r="DJ254" s="49"/>
      <c r="DK254" s="49"/>
      <c r="DL254" s="49"/>
      <c r="DM254" s="49"/>
      <c r="DN254" s="49"/>
      <c r="DO254" s="49"/>
      <c r="DP254" s="49"/>
      <c r="DQ254" s="49"/>
      <c r="DR254" s="49"/>
      <c r="DS254" s="49"/>
      <c r="DT254" s="49"/>
      <c r="DU254" s="49"/>
      <c r="DV254" s="49"/>
      <c r="DW254" s="49"/>
      <c r="DX254" s="49"/>
      <c r="DY254" s="49"/>
      <c r="DZ254" s="49"/>
      <c r="EA254" s="49"/>
      <c r="EB254" s="49"/>
      <c r="EC254" s="7"/>
    </row>
    <row r="255" spans="108:133" x14ac:dyDescent="0.3">
      <c r="DD255" s="7"/>
      <c r="DE255" s="7"/>
      <c r="DF255" s="7"/>
      <c r="DG255" s="7"/>
      <c r="DH255" s="7"/>
      <c r="DI255" s="7"/>
      <c r="DJ255" s="7"/>
      <c r="DK255" s="7"/>
      <c r="DL255" s="7"/>
      <c r="DM255" s="7"/>
      <c r="DN255" s="7"/>
      <c r="DO255" s="7"/>
      <c r="DP255" s="7"/>
      <c r="DQ255" s="7"/>
      <c r="DR255" s="7"/>
      <c r="DS255" s="7"/>
      <c r="DT255" s="7"/>
      <c r="DU255" s="7"/>
      <c r="DV255" s="7"/>
      <c r="DW255" s="7"/>
      <c r="DX255" s="7"/>
      <c r="DY255" s="7"/>
      <c r="DZ255" s="7"/>
      <c r="EA255" s="7"/>
      <c r="EB255" s="7"/>
      <c r="EC255" s="7"/>
    </row>
    <row r="256" spans="108:133" x14ac:dyDescent="0.3">
      <c r="DD256" s="7"/>
      <c r="DE256" s="67"/>
      <c r="DF256" s="67"/>
      <c r="DG256" s="67"/>
      <c r="DH256" s="67"/>
      <c r="DI256" s="67"/>
      <c r="DJ256" s="67"/>
      <c r="DK256" s="10"/>
      <c r="DL256" s="10"/>
      <c r="DM256" s="10"/>
      <c r="DN256" s="10"/>
      <c r="DO256" s="10"/>
      <c r="DP256" s="67"/>
      <c r="DQ256" s="67"/>
      <c r="DR256" s="67"/>
      <c r="DS256" s="10"/>
      <c r="DT256" s="10"/>
      <c r="DU256" s="10"/>
      <c r="DV256" s="10"/>
      <c r="DW256" s="10"/>
      <c r="DX256" s="10"/>
      <c r="DY256" s="10"/>
      <c r="DZ256" s="10"/>
      <c r="EA256" s="10"/>
      <c r="EB256" s="10"/>
      <c r="EC256" s="7"/>
    </row>
    <row r="257" spans="108:133" x14ac:dyDescent="0.3">
      <c r="DD257" s="7"/>
      <c r="DE257" s="67"/>
      <c r="DF257" s="67"/>
      <c r="DG257" s="67"/>
      <c r="DH257" s="67"/>
      <c r="DI257" s="67"/>
      <c r="DJ257" s="67"/>
      <c r="DK257" s="7"/>
      <c r="DL257" s="7"/>
      <c r="DM257" s="7"/>
      <c r="DN257" s="7"/>
      <c r="DO257" s="67"/>
      <c r="DP257" s="67"/>
      <c r="DQ257" s="67"/>
      <c r="DR257" s="67"/>
      <c r="DS257" s="7"/>
      <c r="DT257" s="7"/>
      <c r="DU257" s="7"/>
      <c r="DV257" s="7"/>
      <c r="DW257" s="67"/>
      <c r="DX257" s="67"/>
      <c r="DY257" s="67"/>
      <c r="DZ257" s="67"/>
      <c r="EA257" s="67"/>
      <c r="EB257" s="67"/>
      <c r="EC257" s="7"/>
    </row>
    <row r="258" spans="108:133" x14ac:dyDescent="0.3">
      <c r="DD258" s="7"/>
      <c r="DE258" s="7"/>
      <c r="DF258" s="7"/>
      <c r="DG258" s="7"/>
      <c r="DH258" s="7"/>
      <c r="DI258" s="7"/>
      <c r="DJ258" s="7"/>
      <c r="DK258" s="7"/>
      <c r="DL258" s="7"/>
      <c r="DM258" s="7"/>
      <c r="DN258" s="7"/>
      <c r="DO258" s="7"/>
      <c r="DP258" s="7"/>
      <c r="DQ258" s="7"/>
      <c r="DR258" s="7"/>
      <c r="DS258" s="7"/>
      <c r="DT258" s="7"/>
      <c r="DU258" s="7"/>
      <c r="DV258" s="7"/>
      <c r="DW258" s="7"/>
      <c r="DX258" s="7"/>
      <c r="DY258" s="7"/>
      <c r="DZ258" s="7"/>
      <c r="EA258" s="7"/>
      <c r="EB258" s="7"/>
      <c r="EC258" s="7"/>
    </row>
    <row r="259" spans="108:133" x14ac:dyDescent="0.3">
      <c r="DD259" s="7"/>
      <c r="DE259" s="7"/>
      <c r="DF259" s="7"/>
      <c r="DG259" s="7"/>
      <c r="DH259" s="7"/>
      <c r="DI259" s="7"/>
      <c r="DJ259" s="7"/>
      <c r="DK259" s="7"/>
      <c r="DL259" s="7"/>
      <c r="DM259" s="7"/>
      <c r="DN259" s="7"/>
      <c r="DO259" s="7"/>
      <c r="DP259" s="7"/>
      <c r="DQ259" s="7"/>
      <c r="DR259" s="7"/>
      <c r="DS259" s="7"/>
      <c r="DT259" s="7"/>
      <c r="DU259" s="7"/>
      <c r="DV259" s="7"/>
      <c r="DW259" s="7"/>
      <c r="DX259" s="7"/>
      <c r="DY259" s="7"/>
      <c r="DZ259" s="7"/>
      <c r="EA259" s="7"/>
      <c r="EB259" s="7"/>
      <c r="EC259" s="7"/>
    </row>
  </sheetData>
  <sheetProtection algorithmName="SHA-512" hashValue="eq3+zdWkeQtrxJhLHOwohzlTnnh/C1kN/VRCaAFzNKvr6WHhKFz36A7qkYxcfp5Z6N9u9r97pqniVvlwWM/0jw==" saltValue="LaPem0Qwm7R/RYbH3bEYcQ==" spinCount="100000" sheet="1" objects="1" scenarios="1"/>
  <protectedRanges>
    <protectedRange sqref="B104 B107 D110:D133 B137 B140 D143:D154 B161 D164:D187" name="Range1"/>
  </protectedRanges>
  <mergeCells count="25">
    <mergeCell ref="BO32:BY33"/>
    <mergeCell ref="CQ32:CY33"/>
    <mergeCell ref="BZ33:CA33"/>
    <mergeCell ref="CO33:CP33"/>
    <mergeCell ref="BO25:BP25"/>
    <mergeCell ref="CO26:CY27"/>
    <mergeCell ref="BO27:BP27"/>
    <mergeCell ref="CM27:CN27"/>
    <mergeCell ref="BO29:BY30"/>
    <mergeCell ref="BZ30:CA30"/>
    <mergeCell ref="CX30:CY30"/>
    <mergeCell ref="DE79:DF79"/>
    <mergeCell ref="DV232:DW232"/>
    <mergeCell ref="W107:AA107"/>
    <mergeCell ref="BA107:BB107"/>
    <mergeCell ref="B135:B136"/>
    <mergeCell ref="W140:AA140"/>
    <mergeCell ref="BA140:BB140"/>
    <mergeCell ref="BT157:BV157"/>
    <mergeCell ref="BT159:BU159"/>
    <mergeCell ref="CF159:CG159"/>
    <mergeCell ref="BA161:BB161"/>
    <mergeCell ref="DJ230:DL230"/>
    <mergeCell ref="DJ232:DK232"/>
    <mergeCell ref="B102:B103"/>
  </mergeCells>
  <conditionalFormatting sqref="AB53:AE90 U53:U90 AB50:AE50 U50 BG31:BH31 U27">
    <cfRule type="cellIs" dxfId="641" priority="124" stopIfTrue="1" operator="between">
      <formula>"OVERLOAD"</formula>
      <formula>"OVERLOAD"</formula>
    </cfRule>
  </conditionalFormatting>
  <conditionalFormatting sqref="DE253:EB254 DJ180:DW183 DJ126:DW129">
    <cfRule type="cellIs" dxfId="640" priority="123" stopIfTrue="1" operator="equal">
      <formula>FALSE</formula>
    </cfRule>
  </conditionalFormatting>
  <conditionalFormatting sqref="DE251:EB251">
    <cfRule type="cellIs" dxfId="639" priority="44" stopIfTrue="1" operator="equal">
      <formula>0</formula>
    </cfRule>
  </conditionalFormatting>
  <conditionalFormatting sqref="DC186:DC196 DC132:DC138">
    <cfRule type="cellIs" dxfId="638" priority="122" stopIfTrue="1" operator="equal">
      <formula>FALSE</formula>
    </cfRule>
  </conditionalFormatting>
  <conditionalFormatting sqref="AY145:BB145 B145 D145:G145 J145:AB145">
    <cfRule type="expression" dxfId="637" priority="119" stopIfTrue="1">
      <formula>$B$140&lt;3</formula>
    </cfRule>
  </conditionalFormatting>
  <conditionalFormatting sqref="AY146:BB146 B146 D146:G146 J146:AB146">
    <cfRule type="expression" dxfId="636" priority="118" stopIfTrue="1">
      <formula>$B$140&lt;4</formula>
    </cfRule>
  </conditionalFormatting>
  <conditionalFormatting sqref="AY147:BB147 B147 D147:G147 J147:AB147">
    <cfRule type="expression" dxfId="635" priority="117" stopIfTrue="1">
      <formula>$B$140&lt;5</formula>
    </cfRule>
  </conditionalFormatting>
  <conditionalFormatting sqref="AY148:BB148 B148 D148:G148 J148:AB148">
    <cfRule type="expression" dxfId="634" priority="116" stopIfTrue="1">
      <formula>$B$140&lt;6</formula>
    </cfRule>
  </conditionalFormatting>
  <conditionalFormatting sqref="AY149:BB149 B149 D149:G149 J149:AB149">
    <cfRule type="expression" dxfId="633" priority="52" stopIfTrue="1">
      <formula>$B$140&lt;7</formula>
    </cfRule>
  </conditionalFormatting>
  <conditionalFormatting sqref="AY150:BB150 B150 D150:G150 J150:AB150">
    <cfRule type="expression" dxfId="632" priority="115" stopIfTrue="1">
      <formula>$B$140&lt;8</formula>
    </cfRule>
  </conditionalFormatting>
  <conditionalFormatting sqref="AY151:BB151 B151 D151:G151 J151:AB151">
    <cfRule type="expression" dxfId="631" priority="114" stopIfTrue="1">
      <formula>$B$140&lt;9</formula>
    </cfRule>
  </conditionalFormatting>
  <conditionalFormatting sqref="AY152:BB152 B152 D152:G152 J152:AB152">
    <cfRule type="expression" dxfId="630" priority="113" stopIfTrue="1">
      <formula>$B$140&lt;10</formula>
    </cfRule>
  </conditionalFormatting>
  <conditionalFormatting sqref="AY153:BB153 B153 D153:G153 J153:AB153">
    <cfRule type="expression" dxfId="629" priority="112" stopIfTrue="1">
      <formula>$B$140&lt;11</formula>
    </cfRule>
  </conditionalFormatting>
  <conditionalFormatting sqref="AY154:BB154 B154 D154:G154 J154:AB154">
    <cfRule type="expression" dxfId="628" priority="81" stopIfTrue="1">
      <formula>$B$140&lt;12</formula>
    </cfRule>
  </conditionalFormatting>
  <conditionalFormatting sqref="D101:G102">
    <cfRule type="cellIs" dxfId="627" priority="111" stopIfTrue="1" operator="equal">
      <formula>"change the angle of frame or of cabinets"</formula>
    </cfRule>
  </conditionalFormatting>
  <conditionalFormatting sqref="E104:G104">
    <cfRule type="cellIs" dxfId="626" priority="110" stopIfTrue="1" operator="equal">
      <formula>"USE EXBAR VR AT THE BACK"</formula>
    </cfRule>
  </conditionalFormatting>
  <conditionalFormatting sqref="E103:G103 E104">
    <cfRule type="cellIs" dxfId="625" priority="109" stopIfTrue="1" operator="equal">
      <formula>"USE EXBAR VR AT THE FRONT"</formula>
    </cfRule>
  </conditionalFormatting>
  <conditionalFormatting sqref="B164:B187">
    <cfRule type="cellIs" dxfId="624" priority="77" stopIfTrue="1" operator="greaterThan">
      <formula>$B$161</formula>
    </cfRule>
  </conditionalFormatting>
  <conditionalFormatting sqref="B110:Y110 AI111:AI133 AF110:BB110 AB110">
    <cfRule type="expression" dxfId="623" priority="105" stopIfTrue="1">
      <formula>$B$107&lt;1</formula>
    </cfRule>
  </conditionalFormatting>
  <conditionalFormatting sqref="B112:AB112 AF112:AO112 AQ112:BB112">
    <cfRule type="expression" dxfId="622" priority="104" stopIfTrue="1">
      <formula>$B$107&lt;3</formula>
    </cfRule>
  </conditionalFormatting>
  <conditionalFormatting sqref="B113:AB113 AF113:AO113 AQ113:BB113">
    <cfRule type="expression" dxfId="621" priority="103" stopIfTrue="1">
      <formula>$B$107&lt;4</formula>
    </cfRule>
  </conditionalFormatting>
  <conditionalFormatting sqref="B114:AB114 AF114:AO114 AQ114:BB114">
    <cfRule type="expression" dxfId="620" priority="102" stopIfTrue="1">
      <formula>$B$107&lt;5</formula>
    </cfRule>
  </conditionalFormatting>
  <conditionalFormatting sqref="B115:AB115 AF115:AO115 AQ115:BB115">
    <cfRule type="expression" dxfId="619" priority="101">
      <formula>$B$107&lt;6</formula>
    </cfRule>
  </conditionalFormatting>
  <conditionalFormatting sqref="B132:AB133 AF132:AO133 AQ132:BB133">
    <cfRule type="expression" dxfId="618" priority="83">
      <formula>$B$107&lt;23</formula>
    </cfRule>
  </conditionalFormatting>
  <conditionalFormatting sqref="B131:AB131 AF131:AO131 AQ131:BB131">
    <cfRule type="expression" dxfId="617" priority="84">
      <formula>$B$107&lt;22</formula>
    </cfRule>
  </conditionalFormatting>
  <conditionalFormatting sqref="B130:AB130 AF130:AO130 AQ130:BB130">
    <cfRule type="expression" dxfId="616" priority="85">
      <formula>$B$107&lt;21</formula>
    </cfRule>
  </conditionalFormatting>
  <conditionalFormatting sqref="B129:AB129 AF129:AO129 AQ129:BB129">
    <cfRule type="expression" dxfId="615" priority="86">
      <formula>$B$107&lt;20</formula>
    </cfRule>
  </conditionalFormatting>
  <conditionalFormatting sqref="F263">
    <cfRule type="expression" dxfId="614" priority="91">
      <formula>$B$107&lt;19</formula>
    </cfRule>
  </conditionalFormatting>
  <conditionalFormatting sqref="B127:AB128 AF127:AO128 AQ127:BB128">
    <cfRule type="expression" dxfId="613" priority="88">
      <formula>$B$107&lt;18</formula>
    </cfRule>
  </conditionalFormatting>
  <conditionalFormatting sqref="B126:AB126 AF126:AO126 AQ126:BB126">
    <cfRule type="expression" dxfId="612" priority="89">
      <formula>$B$107&lt;17</formula>
    </cfRule>
  </conditionalFormatting>
  <conditionalFormatting sqref="B125:AB125 AF125:AO125 AQ125:BB125">
    <cfRule type="expression" dxfId="611" priority="90">
      <formula>$B$107&lt;16</formula>
    </cfRule>
  </conditionalFormatting>
  <conditionalFormatting sqref="B124:AB124 AF124:AO124 AQ124:BB124">
    <cfRule type="expression" dxfId="610" priority="92">
      <formula>$B$107&lt;15</formula>
    </cfRule>
  </conditionalFormatting>
  <conditionalFormatting sqref="B123:AB123 AF123:AO123 AQ123:BB123">
    <cfRule type="expression" dxfId="609" priority="93">
      <formula>$B$107&lt;14</formula>
    </cfRule>
  </conditionalFormatting>
  <conditionalFormatting sqref="B122:AB122 AF122:AO122 AQ122:BB122">
    <cfRule type="expression" dxfId="608" priority="94">
      <formula>$B$107&lt;13</formula>
    </cfRule>
  </conditionalFormatting>
  <conditionalFormatting sqref="B121:AB121 AF121:AO121 AQ121:BB121">
    <cfRule type="expression" dxfId="607" priority="95">
      <formula>$B$107&lt;12</formula>
    </cfRule>
  </conditionalFormatting>
  <conditionalFormatting sqref="B120:AB120 AF120:AO120 AQ120:BB120">
    <cfRule type="expression" dxfId="606" priority="96">
      <formula>$B$107&lt;11</formula>
    </cfRule>
  </conditionalFormatting>
  <conditionalFormatting sqref="B119:AB119 AF119:AO119 AQ119:BB119">
    <cfRule type="expression" dxfId="605" priority="97">
      <formula>$B$107&lt;10</formula>
    </cfRule>
  </conditionalFormatting>
  <conditionalFormatting sqref="B118:AB118 AF118:AO118 AQ118:BB118">
    <cfRule type="expression" dxfId="604" priority="98">
      <formula>$B$107&lt;9</formula>
    </cfRule>
  </conditionalFormatting>
  <conditionalFormatting sqref="B117:AB117 AF117:AO117 AQ117:BB117">
    <cfRule type="expression" dxfId="603" priority="99">
      <formula>$B$107&lt;8</formula>
    </cfRule>
  </conditionalFormatting>
  <conditionalFormatting sqref="B116:AB116 AF116:AO116 AQ116:BB116">
    <cfRule type="expression" dxfId="602" priority="100">
      <formula>$B$107&lt;7</formula>
    </cfRule>
  </conditionalFormatting>
  <conditionalFormatting sqref="B128:AB128 AF128:AO128 AQ128:BB128">
    <cfRule type="expression" dxfId="601" priority="87" stopIfTrue="1">
      <formula>$B$107&lt;19</formula>
    </cfRule>
  </conditionalFormatting>
  <conditionalFormatting sqref="B133:AB133 AF133:AO133 AQ133:BB133">
    <cfRule type="expression" dxfId="600" priority="82">
      <formula>$B$107&lt;24</formula>
    </cfRule>
  </conditionalFormatting>
  <conditionalFormatting sqref="B111:AB111 AF111:AO111 AQ111:BB111">
    <cfRule type="expression" dxfId="599" priority="53" stopIfTrue="1">
      <formula>$B$107&lt;2</formula>
    </cfRule>
  </conditionalFormatting>
  <conditionalFormatting sqref="AB164:AE187 AB110:AB133">
    <cfRule type="cellIs" dxfId="598" priority="108" stopIfTrue="1" operator="equal">
      <formula>"pin in groundstacking hole"</formula>
    </cfRule>
  </conditionalFormatting>
  <conditionalFormatting sqref="BA110:BB133 BA143:BB154 BA164:BB187">
    <cfRule type="cellIs" dxfId="597" priority="107" stopIfTrue="1" operator="lessThan">
      <formula>10</formula>
    </cfRule>
  </conditionalFormatting>
  <conditionalFormatting sqref="B143:B154">
    <cfRule type="cellIs" dxfId="596" priority="120" stopIfTrue="1" operator="greaterThan">
      <formula>$B$140</formula>
    </cfRule>
  </conditionalFormatting>
  <conditionalFormatting sqref="B144:G144 AF144:AI144 AQ144:BB144 J144:AB144 AK144 AN144">
    <cfRule type="expression" dxfId="595" priority="80" stopIfTrue="1">
      <formula>$B$140&lt;2</formula>
    </cfRule>
  </conditionalFormatting>
  <conditionalFormatting sqref="B143:G143 AI144:AI154 AF143 AB143 T143:V143 AH143:AI143 AK143 AN143 AP143:BB143">
    <cfRule type="expression" dxfId="594" priority="79" stopIfTrue="1">
      <formula>$B$140&lt;1</formula>
    </cfRule>
  </conditionalFormatting>
  <conditionalFormatting sqref="B164:AF164 AH164:BB164">
    <cfRule type="expression" dxfId="593" priority="76" stopIfTrue="1">
      <formula>$B$161&lt;1</formula>
    </cfRule>
  </conditionalFormatting>
  <conditionalFormatting sqref="B166:BB166">
    <cfRule type="expression" dxfId="592" priority="75" stopIfTrue="1">
      <formula>$B$161&lt;3</formula>
    </cfRule>
  </conditionalFormatting>
  <conditionalFormatting sqref="B167:BB167">
    <cfRule type="expression" dxfId="591" priority="74" stopIfTrue="1">
      <formula>$B$161&lt;4</formula>
    </cfRule>
  </conditionalFormatting>
  <conditionalFormatting sqref="B168:BB168">
    <cfRule type="expression" dxfId="590" priority="73" stopIfTrue="1">
      <formula>$B$161&lt;5</formula>
    </cfRule>
  </conditionalFormatting>
  <conditionalFormatting sqref="B169:BB169 B170:B181">
    <cfRule type="expression" dxfId="589" priority="72">
      <formula>$B$161&lt;6</formula>
    </cfRule>
  </conditionalFormatting>
  <conditionalFormatting sqref="B186:BB187">
    <cfRule type="expression" dxfId="588" priority="71">
      <formula>$B$161&lt;23</formula>
    </cfRule>
  </conditionalFormatting>
  <conditionalFormatting sqref="B185:BB185">
    <cfRule type="expression" dxfId="587" priority="70">
      <formula>$B$161&lt;22</formula>
    </cfRule>
  </conditionalFormatting>
  <conditionalFormatting sqref="B184:BB184">
    <cfRule type="expression" dxfId="586" priority="69">
      <formula>$B$161&lt;21</formula>
    </cfRule>
  </conditionalFormatting>
  <conditionalFormatting sqref="B183:BB183">
    <cfRule type="expression" dxfId="585" priority="68">
      <formula>$B$161&lt;20</formula>
    </cfRule>
  </conditionalFormatting>
  <conditionalFormatting sqref="B181:BB182">
    <cfRule type="expression" dxfId="584" priority="67">
      <formula>$B$161&lt;18</formula>
    </cfRule>
  </conditionalFormatting>
  <conditionalFormatting sqref="B180:BB180">
    <cfRule type="expression" dxfId="583" priority="66">
      <formula>$B$161&lt;17</formula>
    </cfRule>
  </conditionalFormatting>
  <conditionalFormatting sqref="B179:BB179">
    <cfRule type="expression" dxfId="582" priority="65">
      <formula>$B$161&lt;16</formula>
    </cfRule>
  </conditionalFormatting>
  <conditionalFormatting sqref="B178:BB178">
    <cfRule type="expression" dxfId="581" priority="64">
      <formula>$B$161&lt;15</formula>
    </cfRule>
  </conditionalFormatting>
  <conditionalFormatting sqref="B177:BB177">
    <cfRule type="expression" dxfId="580" priority="63">
      <formula>$B$161&lt;14</formula>
    </cfRule>
  </conditionalFormatting>
  <conditionalFormatting sqref="B176:BB176">
    <cfRule type="expression" dxfId="579" priority="62">
      <formula>$B$161&lt;13</formula>
    </cfRule>
  </conditionalFormatting>
  <conditionalFormatting sqref="B175:BB175">
    <cfRule type="expression" dxfId="578" priority="61">
      <formula>$B$161&lt;12</formula>
    </cfRule>
  </conditionalFormatting>
  <conditionalFormatting sqref="B174:BB174">
    <cfRule type="expression" dxfId="577" priority="60">
      <formula>$B$161&lt;11</formula>
    </cfRule>
  </conditionalFormatting>
  <conditionalFormatting sqref="B173:BB173">
    <cfRule type="expression" dxfId="576" priority="59">
      <formula>$B$161&lt;10</formula>
    </cfRule>
  </conditionalFormatting>
  <conditionalFormatting sqref="B172:BB172">
    <cfRule type="expression" dxfId="575" priority="58">
      <formula>$B$161&lt;9</formula>
    </cfRule>
  </conditionalFormatting>
  <conditionalFormatting sqref="B171:BB171">
    <cfRule type="expression" dxfId="574" priority="57">
      <formula>$B$161&lt;8</formula>
    </cfRule>
  </conditionalFormatting>
  <conditionalFormatting sqref="B170:BB170">
    <cfRule type="expression" dxfId="573" priority="56">
      <formula>$B$161&lt;7</formula>
    </cfRule>
  </conditionalFormatting>
  <conditionalFormatting sqref="B182:BB182">
    <cfRule type="expression" dxfId="572" priority="55" stopIfTrue="1">
      <formula>$B$161&lt;19</formula>
    </cfRule>
  </conditionalFormatting>
  <conditionalFormatting sqref="B187:BB187">
    <cfRule type="expression" dxfId="571" priority="54">
      <formula>$B$161&lt;24</formula>
    </cfRule>
  </conditionalFormatting>
  <conditionalFormatting sqref="B165:BB165">
    <cfRule type="expression" dxfId="570" priority="51" stopIfTrue="1">
      <formula>$B$161&lt;2</formula>
    </cfRule>
  </conditionalFormatting>
  <conditionalFormatting sqref="D110:D133">
    <cfRule type="cellIs" dxfId="569" priority="106" stopIfTrue="1" operator="notEqual">
      <formula>0</formula>
    </cfRule>
  </conditionalFormatting>
  <conditionalFormatting sqref="D143:D154">
    <cfRule type="cellIs" dxfId="568" priority="121" stopIfTrue="1" operator="notEqual">
      <formula>0</formula>
    </cfRule>
  </conditionalFormatting>
  <conditionalFormatting sqref="D164:D187">
    <cfRule type="cellIs" dxfId="567" priority="78" stopIfTrue="1" operator="notEqual">
      <formula>0</formula>
    </cfRule>
  </conditionalFormatting>
  <conditionalFormatting sqref="K143:O143">
    <cfRule type="expression" dxfId="566" priority="49" stopIfTrue="1">
      <formula>$B$139&lt;1</formula>
    </cfRule>
  </conditionalFormatting>
  <conditionalFormatting sqref="AG143">
    <cfRule type="expression" dxfId="565" priority="48" stopIfTrue="1">
      <formula>$B$143&lt;1</formula>
    </cfRule>
  </conditionalFormatting>
  <conditionalFormatting sqref="AG164">
    <cfRule type="expression" dxfId="564" priority="47" stopIfTrue="1">
      <formula>$B$164&lt;1</formula>
    </cfRule>
  </conditionalFormatting>
  <conditionalFormatting sqref="AP111:AP133">
    <cfRule type="expression" dxfId="563" priority="46" stopIfTrue="1">
      <formula>$B$107&lt;1</formula>
    </cfRule>
  </conditionalFormatting>
  <conditionalFormatting sqref="AP144:AP154">
    <cfRule type="expression" dxfId="562" priority="45" stopIfTrue="1">
      <formula>$B$140&lt;1</formula>
    </cfRule>
  </conditionalFormatting>
  <conditionalFormatting sqref="BI128:BI131">
    <cfRule type="cellIs" dxfId="561" priority="43" stopIfTrue="1" operator="equal">
      <formula>FALSE</formula>
    </cfRule>
  </conditionalFormatting>
  <conditionalFormatting sqref="D103">
    <cfRule type="cellIs" dxfId="560" priority="31" stopIfTrue="1" operator="equal">
      <formula>"USE EXBAR AR AT THE FRONT"</formula>
    </cfRule>
  </conditionalFormatting>
  <conditionalFormatting sqref="D104">
    <cfRule type="cellIs" dxfId="559" priority="30" stopIfTrue="1" operator="equal">
      <formula>"USE EXBAR AR AT THE BACK"</formula>
    </cfRule>
  </conditionalFormatting>
  <conditionalFormatting sqref="W143">
    <cfRule type="expression" dxfId="558" priority="29" stopIfTrue="1">
      <formula>$B$106&lt;1</formula>
    </cfRule>
  </conditionalFormatting>
  <conditionalFormatting sqref="Y143">
    <cfRule type="expression" dxfId="557" priority="28" stopIfTrue="1">
      <formula>$B$106&lt;1</formula>
    </cfRule>
  </conditionalFormatting>
  <conditionalFormatting sqref="AQ145:AQ154">
    <cfRule type="expression" dxfId="556" priority="27" stopIfTrue="1">
      <formula>$B$140&lt;2</formula>
    </cfRule>
  </conditionalFormatting>
  <conditionalFormatting sqref="BL27">
    <cfRule type="cellIs" dxfId="555" priority="25" operator="equal">
      <formula>"""OK"""</formula>
    </cfRule>
    <cfRule type="cellIs" dxfId="554" priority="26" stopIfTrue="1" operator="equal">
      <formula>"overload"</formula>
    </cfRule>
  </conditionalFormatting>
  <conditionalFormatting sqref="BL26">
    <cfRule type="cellIs" dxfId="553" priority="23" operator="equal">
      <formula>"""OK"""</formula>
    </cfRule>
    <cfRule type="cellIs" dxfId="552" priority="24" stopIfTrue="1" operator="equal">
      <formula>"negative force at the motor"</formula>
    </cfRule>
  </conditionalFormatting>
  <conditionalFormatting sqref="BL30">
    <cfRule type="cellIs" dxfId="551" priority="21" operator="equal">
      <formula>"""OK"""</formula>
    </cfRule>
    <cfRule type="cellIs" dxfId="550" priority="22" stopIfTrue="1" operator="equal">
      <formula>"overload"</formula>
    </cfRule>
  </conditionalFormatting>
  <conditionalFormatting sqref="BL29">
    <cfRule type="cellIs" dxfId="549" priority="19" operator="equal">
      <formula>"""OK"""</formula>
    </cfRule>
    <cfRule type="cellIs" dxfId="548" priority="20" stopIfTrue="1" operator="equal">
      <formula>"negative force at the motor"</formula>
    </cfRule>
  </conditionalFormatting>
  <conditionalFormatting sqref="BL33">
    <cfRule type="cellIs" dxfId="547" priority="17" operator="equal">
      <formula>"""OK"""</formula>
    </cfRule>
    <cfRule type="cellIs" dxfId="546" priority="18" stopIfTrue="1" operator="equal">
      <formula>"overload"</formula>
    </cfRule>
  </conditionalFormatting>
  <conditionalFormatting sqref="BL32">
    <cfRule type="cellIs" dxfId="545" priority="15" operator="equal">
      <formula>"""OK"""</formula>
    </cfRule>
    <cfRule type="cellIs" dxfId="544" priority="16" stopIfTrue="1" operator="equal">
      <formula>"negative force at the motor"</formula>
    </cfRule>
  </conditionalFormatting>
  <conditionalFormatting sqref="BL56">
    <cfRule type="cellIs" dxfId="543" priority="13" operator="equal">
      <formula>"""OK"""</formula>
    </cfRule>
    <cfRule type="cellIs" dxfId="542" priority="14" stopIfTrue="1" operator="equal">
      <formula>"overload"</formula>
    </cfRule>
  </conditionalFormatting>
  <conditionalFormatting sqref="BL56">
    <cfRule type="expression" dxfId="541" priority="12">
      <formula>$B$104&lt;&gt;0</formula>
    </cfRule>
  </conditionalFormatting>
  <conditionalFormatting sqref="BM55:BM56">
    <cfRule type="expression" dxfId="540" priority="11">
      <formula>$B$104&lt;&gt;0</formula>
    </cfRule>
  </conditionalFormatting>
  <conditionalFormatting sqref="BL61">
    <cfRule type="cellIs" dxfId="539" priority="9" operator="equal">
      <formula>"""OK"""</formula>
    </cfRule>
    <cfRule type="cellIs" dxfId="538" priority="10" stopIfTrue="1" operator="equal">
      <formula>"overload"</formula>
    </cfRule>
  </conditionalFormatting>
  <conditionalFormatting sqref="BL105">
    <cfRule type="cellIs" dxfId="537" priority="7" operator="equal">
      <formula>"""OK"""</formula>
    </cfRule>
    <cfRule type="cellIs" dxfId="536" priority="8" stopIfTrue="1" operator="equal">
      <formula>"overload"</formula>
    </cfRule>
  </conditionalFormatting>
  <conditionalFormatting sqref="BL105">
    <cfRule type="expression" dxfId="535" priority="6">
      <formula>$B$104&lt;&gt;0</formula>
    </cfRule>
  </conditionalFormatting>
  <conditionalFormatting sqref="BM104:BM105">
    <cfRule type="expression" dxfId="534" priority="5">
      <formula>$B$104&lt;&gt;0</formula>
    </cfRule>
  </conditionalFormatting>
  <conditionalFormatting sqref="BZ55:CP55">
    <cfRule type="cellIs" dxfId="533" priority="3" operator="equal">
      <formula>0</formula>
    </cfRule>
    <cfRule type="expression" dxfId="532" priority="4">
      <formula>$B$104=0</formula>
    </cfRule>
  </conditionalFormatting>
  <conditionalFormatting sqref="BO104:CE104">
    <cfRule type="expression" dxfId="531" priority="2">
      <formula>$B$104=0</formula>
    </cfRule>
  </conditionalFormatting>
  <conditionalFormatting sqref="CI104:CY104">
    <cfRule type="expression" dxfId="530" priority="1">
      <formula>$B$104=0</formula>
    </cfRule>
  </conditionalFormatting>
  <dataValidations count="9">
    <dataValidation type="whole" allowBlank="1" showInputMessage="1" showErrorMessage="1" errorTitle="Coda Audio" error="YOU HAVE ENTERED A WRONG NUMBER OF CABINETS" promptTitle="Coda Audio" prompt="ENTER THE NUMBER OF CABINETS FROM 1 UP TO 24" sqref="B161 B107" xr:uid="{00000000-0002-0000-0900-000000000000}">
      <formula1>1</formula1>
      <formula2>24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40" xr:uid="{00000000-0002-0000-0900-000001000000}">
      <formula1>1</formula1>
      <formula2>10</formula2>
    </dataValidation>
    <dataValidation type="decimal" allowBlank="1" showInputMessage="1" showErrorMessage="1" sqref="G144:G154 D137:D138 D134:D135 G165:G187 F166:F187 F145:F154 F112:F138 G111:G138" xr:uid="{00000000-0002-0000-0900-000002000000}">
      <formula1>0</formula1>
      <formula2>8</formula2>
    </dataValidation>
    <dataValidation type="decimal" allowBlank="1" showInputMessage="1" showErrorMessage="1" sqref="F143:G143 F110:G110 F164:G164" xr:uid="{00000000-0002-0000-0900-000003000000}">
      <formula1>0</formula1>
      <formula2>4</formula2>
    </dataValidation>
    <dataValidation type="decimal" allowBlank="1" showInputMessage="1" showErrorMessage="1" sqref="D110 D164" xr:uid="{00000000-0002-0000-0900-000004000000}">
      <formula1>0</formula1>
      <formula2>5</formula2>
    </dataValidation>
    <dataValidation type="decimal" allowBlank="1" showInputMessage="1" showErrorMessage="1" sqref="D111:D133 D165:D187" xr:uid="{00000000-0002-0000-0900-000005000000}">
      <formula1>0</formula1>
      <formula2>10</formula2>
    </dataValidation>
    <dataValidation type="custom" allowBlank="1" showInputMessage="1" showErrorMessage="1" sqref="D143:D154" xr:uid="{00000000-0002-0000-0900-000006000000}">
      <formula1>OR(D143=0,D143=2.5,D143=5)</formula1>
    </dataValidation>
    <dataValidation type="decimal" allowBlank="1" showInputMessage="1" showErrorMessage="1" sqref="B104" xr:uid="{00000000-0002-0000-0900-000007000000}">
      <formula1>-89.9</formula1>
      <formula2>89.9</formula2>
    </dataValidation>
    <dataValidation type="whole" allowBlank="1" showInputMessage="1" showErrorMessage="1" sqref="B137" xr:uid="{D46ADA56-0CBF-4804-9E1B-46879101175A}">
      <formula1>0</formula1>
      <formula2>5</formula2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Sheet4"/>
  <dimension ref="A1:EG266"/>
  <sheetViews>
    <sheetView topLeftCell="A26" zoomScale="50" zoomScaleNormal="50" workbookViewId="0">
      <selection activeCell="B102" sqref="B102"/>
    </sheetView>
  </sheetViews>
  <sheetFormatPr baseColWidth="10" defaultColWidth="8.88671875" defaultRowHeight="17.399999999999999" x14ac:dyDescent="0.3"/>
  <cols>
    <col min="1" max="1" width="1.5546875" customWidth="1"/>
    <col min="2" max="2" width="27.109375" style="13" customWidth="1"/>
    <col min="3" max="3" width="34.44140625" style="13" hidden="1" customWidth="1"/>
    <col min="4" max="4" width="27.109375" style="14" customWidth="1"/>
    <col min="5" max="5" width="28.6640625" style="14" bestFit="1" customWidth="1"/>
    <col min="6" max="6" width="90.5546875" style="14" hidden="1" customWidth="1"/>
    <col min="7" max="7" width="10" style="14" hidden="1" customWidth="1"/>
    <col min="8" max="8" width="13.44140625" style="62" hidden="1" customWidth="1"/>
    <col min="9" max="11" width="17.5546875" style="62" hidden="1" customWidth="1"/>
    <col min="12" max="14" width="19.44140625" style="62" hidden="1" customWidth="1"/>
    <col min="15" max="15" width="8.6640625" style="62" hidden="1" customWidth="1"/>
    <col min="16" max="16" width="19.44140625" style="62" hidden="1" customWidth="1"/>
    <col min="17" max="17" width="19.6640625" style="62" hidden="1" customWidth="1"/>
    <col min="18" max="18" width="28" style="62" hidden="1" customWidth="1"/>
    <col min="19" max="19" width="19.44140625" style="62" hidden="1" customWidth="1"/>
    <col min="20" max="20" width="22.33203125" style="62" hidden="1" customWidth="1"/>
    <col min="21" max="21" width="9.33203125" style="62" hidden="1" customWidth="1"/>
    <col min="22" max="22" width="19.44140625" style="62" hidden="1" customWidth="1"/>
    <col min="23" max="24" width="17.5546875" style="62" hidden="1" customWidth="1"/>
    <col min="25" max="25" width="14.44140625" style="62" hidden="1" customWidth="1"/>
    <col min="26" max="27" width="19.44140625" style="62" hidden="1" customWidth="1"/>
    <col min="28" max="28" width="37.5546875" style="62" bestFit="1" customWidth="1"/>
    <col min="29" max="29" width="28.6640625" style="62" hidden="1" customWidth="1"/>
    <col min="30" max="31" width="4.88671875" style="62" hidden="1" customWidth="1"/>
    <col min="32" max="32" width="47.6640625" style="62" hidden="1" customWidth="1"/>
    <col min="33" max="33" width="39.44140625" style="62" hidden="1" customWidth="1"/>
    <col min="34" max="34" width="19.44140625" style="62" hidden="1" customWidth="1"/>
    <col min="35" max="35" width="9.33203125" style="62" hidden="1" customWidth="1"/>
    <col min="36" max="36" width="17.5546875" style="62" hidden="1" customWidth="1"/>
    <col min="37" max="37" width="19.44140625" style="62" hidden="1" customWidth="1"/>
    <col min="38" max="38" width="23.33203125" style="62" hidden="1" customWidth="1"/>
    <col min="39" max="39" width="17.5546875" style="62" hidden="1" customWidth="1"/>
    <col min="40" max="40" width="19.44140625" style="62" hidden="1" customWidth="1"/>
    <col min="41" max="41" width="22.33203125" style="62" hidden="1" customWidth="1"/>
    <col min="42" max="42" width="35.109375" style="62" hidden="1" customWidth="1"/>
    <col min="43" max="43" width="38.33203125" style="62" hidden="1" customWidth="1"/>
    <col min="44" max="44" width="69.44140625" style="62" hidden="1" customWidth="1"/>
    <col min="45" max="45" width="19.44140625" style="62" hidden="1" customWidth="1"/>
    <col min="46" max="46" width="20.109375" style="62" hidden="1" customWidth="1"/>
    <col min="47" max="47" width="38.5546875" style="62" hidden="1" customWidth="1"/>
    <col min="48" max="48" width="19.44140625" style="62" hidden="1" customWidth="1"/>
    <col min="49" max="50" width="20.109375" style="62" hidden="1" customWidth="1"/>
    <col min="51" max="51" width="38.5546875" style="62" hidden="1" customWidth="1"/>
    <col min="52" max="52" width="11" style="62" hidden="1" customWidth="1"/>
    <col min="53" max="54" width="12.109375" style="62" customWidth="1"/>
    <col min="55" max="55" width="15.109375" hidden="1" customWidth="1"/>
    <col min="56" max="56" width="14.44140625" hidden="1" customWidth="1"/>
    <col min="57" max="58" width="9.33203125" hidden="1" customWidth="1"/>
    <col min="59" max="59" width="4" hidden="1" customWidth="1"/>
    <col min="60" max="60" width="4.88671875" hidden="1" customWidth="1"/>
    <col min="61" max="61" width="9.44140625" hidden="1" customWidth="1"/>
    <col min="62" max="63" width="17" hidden="1" customWidth="1"/>
    <col min="64" max="65" width="16.33203125" hidden="1" customWidth="1"/>
    <col min="66" max="66" width="23" hidden="1" customWidth="1"/>
    <col min="67" max="67" width="26.88671875" hidden="1" customWidth="1"/>
    <col min="68" max="68" width="42.5546875" customWidth="1"/>
    <col min="69" max="98" width="7.33203125" customWidth="1"/>
    <col min="99" max="99" width="10.44140625" hidden="1" customWidth="1"/>
    <col min="100" max="100" width="22.33203125" hidden="1" customWidth="1"/>
    <col min="101" max="101" width="21.88671875" hidden="1" customWidth="1"/>
    <col min="102" max="102" width="9.109375" hidden="1" customWidth="1"/>
    <col min="103" max="103" width="41.44140625" hidden="1" customWidth="1"/>
    <col min="104" max="127" width="6.5546875" hidden="1" customWidth="1"/>
    <col min="128" max="133" width="6.5546875" customWidth="1"/>
    <col min="137" max="137" width="11.44140625" customWidth="1"/>
    <col min="138" max="138" width="9.33203125" customWidth="1"/>
  </cols>
  <sheetData>
    <row r="1" spans="2:6" ht="26.25" hidden="1" customHeight="1" x14ac:dyDescent="0.3">
      <c r="D1" s="745" t="s">
        <v>202</v>
      </c>
      <c r="E1" s="745" t="s">
        <v>203</v>
      </c>
      <c r="F1" s="745" t="s">
        <v>204</v>
      </c>
    </row>
    <row r="2" spans="2:6" ht="57.75" hidden="1" customHeight="1" x14ac:dyDescent="0.4">
      <c r="B2" s="253" t="s">
        <v>29</v>
      </c>
      <c r="C2" s="263">
        <v>650</v>
      </c>
      <c r="D2" s="750">
        <f>+COS(($B$101*-1)*3.14159265358979/180)*C2</f>
        <v>650</v>
      </c>
      <c r="E2" s="746">
        <f>+COS(($B$101*-1)*3.14159265358979/180)*50</f>
        <v>50</v>
      </c>
      <c r="F2" s="746">
        <f>+COS((($B$101*-1)+58.1516306)*3.14159265358979/180)*91.9127</f>
        <v>48.499858560820385</v>
      </c>
    </row>
    <row r="3" spans="2:6" ht="57.75" hidden="1" customHeight="1" x14ac:dyDescent="0.4">
      <c r="B3" s="253" t="s">
        <v>99</v>
      </c>
      <c r="C3" s="263">
        <f>+C9-48.5</f>
        <v>112.51782840453484</v>
      </c>
      <c r="D3" s="750">
        <f>+C9-F2</f>
        <v>112.51796984371445</v>
      </c>
    </row>
    <row r="4" spans="2:6" ht="57.75" hidden="1" customHeight="1" x14ac:dyDescent="0.4">
      <c r="B4" s="254" t="s">
        <v>40</v>
      </c>
      <c r="C4" s="264">
        <v>1050</v>
      </c>
      <c r="D4" s="750">
        <f>+COS(($B$101*-1)*3.14159265358979/180)*C4</f>
        <v>1050</v>
      </c>
    </row>
    <row r="5" spans="2:6" ht="57.75" hidden="1" customHeight="1" x14ac:dyDescent="0.4">
      <c r="B5" s="254" t="s">
        <v>206</v>
      </c>
      <c r="C5" s="264">
        <f>+C9+401.5</f>
        <v>562.51782840453484</v>
      </c>
      <c r="D5" s="750">
        <f>+(COS(($B$101*-1)*3.14159265358979/180)*400)+$D$3</f>
        <v>512.51796984371447</v>
      </c>
    </row>
    <row r="6" spans="2:6" hidden="1" x14ac:dyDescent="0.3">
      <c r="B6" s="147"/>
      <c r="C6" s="147"/>
    </row>
    <row r="7" spans="2:6" hidden="1" x14ac:dyDescent="0.3">
      <c r="B7" s="755" t="s">
        <v>18</v>
      </c>
      <c r="C7" s="756">
        <f>+C11+C14+30+4.3</f>
        <v>232.3</v>
      </c>
    </row>
    <row r="8" spans="2:6" hidden="1" x14ac:dyDescent="0.3">
      <c r="B8" s="755" t="s">
        <v>19</v>
      </c>
      <c r="C8" s="755">
        <f>+AS107</f>
        <v>326.55452901143133</v>
      </c>
    </row>
    <row r="9" spans="2:6" hidden="1" x14ac:dyDescent="0.3">
      <c r="B9" s="755" t="s">
        <v>14</v>
      </c>
      <c r="C9" s="755">
        <f>+AP107</f>
        <v>161.01782840453484</v>
      </c>
    </row>
    <row r="10" spans="2:6" hidden="1" x14ac:dyDescent="0.3"/>
    <row r="11" spans="2:6" hidden="1" x14ac:dyDescent="0.3">
      <c r="B11" s="267" t="s">
        <v>98</v>
      </c>
      <c r="C11" s="268">
        <f>+B137*57+30</f>
        <v>87</v>
      </c>
    </row>
    <row r="12" spans="2:6" hidden="1" x14ac:dyDescent="0.3">
      <c r="B12" s="267" t="s">
        <v>100</v>
      </c>
      <c r="C12" s="268">
        <v>747</v>
      </c>
      <c r="D12" s="85"/>
    </row>
    <row r="13" spans="2:6" hidden="1" x14ac:dyDescent="0.3">
      <c r="D13" s="85"/>
    </row>
    <row r="14" spans="2:6" hidden="1" x14ac:dyDescent="0.3">
      <c r="B14" s="218" t="s">
        <v>101</v>
      </c>
      <c r="C14" s="269">
        <f>(+B158*25.5)+30+(B104*25.5)+30</f>
        <v>111</v>
      </c>
      <c r="D14" s="85"/>
    </row>
    <row r="15" spans="2:6" hidden="1" x14ac:dyDescent="0.3">
      <c r="B15" s="218" t="s">
        <v>103</v>
      </c>
      <c r="C15" s="269">
        <v>326.60000000000002</v>
      </c>
      <c r="D15" s="85"/>
    </row>
    <row r="16" spans="2:6" hidden="1" x14ac:dyDescent="0.3">
      <c r="B16" s="84"/>
      <c r="C16" s="84"/>
      <c r="D16" s="85"/>
    </row>
    <row r="17" spans="2:137" hidden="1" x14ac:dyDescent="0.3">
      <c r="B17" s="84"/>
      <c r="C17" s="84"/>
      <c r="D17" s="85"/>
    </row>
    <row r="18" spans="2:137" ht="34.799999999999997" hidden="1" x14ac:dyDescent="0.3">
      <c r="B18" s="270" t="s">
        <v>122</v>
      </c>
      <c r="C18" s="218">
        <v>5800</v>
      </c>
      <c r="D18" s="218">
        <v>10000</v>
      </c>
    </row>
    <row r="19" spans="2:137" ht="34.799999999999997" hidden="1" x14ac:dyDescent="0.3">
      <c r="B19" s="270" t="s">
        <v>123</v>
      </c>
      <c r="C19" s="218">
        <v>5800</v>
      </c>
      <c r="D19" s="218">
        <v>5800</v>
      </c>
    </row>
    <row r="20" spans="2:137" ht="34.799999999999997" hidden="1" x14ac:dyDescent="0.3">
      <c r="B20" s="270" t="s">
        <v>124</v>
      </c>
      <c r="C20" s="218">
        <v>8000</v>
      </c>
      <c r="D20" s="218">
        <v>8000</v>
      </c>
      <c r="E20" s="163">
        <v>8000</v>
      </c>
    </row>
    <row r="21" spans="2:137" hidden="1" x14ac:dyDescent="0.3">
      <c r="B21" s="218"/>
      <c r="C21" s="218" t="s">
        <v>22</v>
      </c>
      <c r="D21" s="218" t="s">
        <v>23</v>
      </c>
    </row>
    <row r="22" spans="2:137" hidden="1" x14ac:dyDescent="0.3">
      <c r="B22" s="271" t="s">
        <v>102</v>
      </c>
      <c r="C22" s="218">
        <f>+((C8-C9)/C8)*C7</f>
        <v>117.75728748087867</v>
      </c>
      <c r="D22" s="218">
        <f>+(C9/C8)*C7</f>
        <v>114.54271251912132</v>
      </c>
    </row>
    <row r="23" spans="2:137" hidden="1" x14ac:dyDescent="0.3"/>
    <row r="24" spans="2:137" hidden="1" x14ac:dyDescent="0.3"/>
    <row r="25" spans="2:137" hidden="1" x14ac:dyDescent="0.3"/>
    <row r="26" spans="2:137" s="143" customFormat="1" ht="30.75" customHeight="1" thickBot="1" x14ac:dyDescent="0.45">
      <c r="B26" s="147"/>
      <c r="C26" s="147"/>
      <c r="D26" s="144"/>
      <c r="E26" s="144"/>
      <c r="F26" s="144"/>
      <c r="G26" s="144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  <c r="AB26" s="62"/>
      <c r="AC26" s="62"/>
      <c r="AD26" s="62"/>
      <c r="AE26" s="62"/>
      <c r="AF26" s="62"/>
      <c r="AG26" s="62"/>
      <c r="AH26" s="62"/>
      <c r="AI26" s="62"/>
      <c r="AJ26" s="62"/>
      <c r="AK26" s="62"/>
      <c r="AL26" s="62"/>
      <c r="AM26" s="62"/>
      <c r="AN26" s="62"/>
      <c r="AO26" s="62"/>
      <c r="AP26" s="62"/>
      <c r="AQ26" s="62"/>
      <c r="AR26" s="62"/>
      <c r="AS26" s="62"/>
      <c r="AT26" s="62"/>
      <c r="AU26" s="62"/>
      <c r="AV26" s="62"/>
      <c r="AW26" s="62"/>
      <c r="AX26" s="62"/>
      <c r="AY26" s="62"/>
      <c r="AZ26" s="62"/>
      <c r="BA26" s="62"/>
      <c r="BB26" s="62"/>
      <c r="BD26" s="112"/>
      <c r="BE26" s="146"/>
      <c r="BF26" s="144"/>
      <c r="BG26" s="144"/>
      <c r="BH26" s="144"/>
      <c r="BI26" s="144"/>
      <c r="BJ26" s="144"/>
      <c r="BK26" s="144"/>
      <c r="BL26" s="144"/>
      <c r="BM26" s="144"/>
      <c r="BN26" s="144"/>
      <c r="BO26" s="144"/>
      <c r="BP26" s="181" t="s">
        <v>28</v>
      </c>
      <c r="BQ26" s="1994">
        <f>+C7</f>
        <v>232.3</v>
      </c>
      <c r="BR26" s="1994"/>
      <c r="BS26" s="182" t="s">
        <v>17</v>
      </c>
      <c r="BT26" s="185"/>
      <c r="BU26" s="183" t="s">
        <v>207</v>
      </c>
      <c r="BV26" s="184"/>
      <c r="BW26" s="184"/>
      <c r="BX26" s="184"/>
      <c r="BY26" s="184"/>
      <c r="BZ26" s="184"/>
      <c r="CA26" s="184"/>
      <c r="CB26" s="184"/>
      <c r="CC26" s="184"/>
      <c r="CD26" s="184"/>
      <c r="CE26" s="184"/>
      <c r="CF26" s="184"/>
      <c r="CG26" s="184"/>
      <c r="CH26" s="184"/>
      <c r="CI26" s="184"/>
      <c r="CJ26" s="184"/>
      <c r="CK26" s="184"/>
      <c r="CL26" s="184"/>
      <c r="CM26" s="155"/>
      <c r="CN26" s="155"/>
      <c r="CO26" s="59"/>
      <c r="CR26"/>
      <c r="CS26"/>
      <c r="CT26"/>
      <c r="CU26"/>
      <c r="CV26"/>
      <c r="CW26"/>
      <c r="CX26"/>
      <c r="CY26"/>
      <c r="CZ26"/>
      <c r="DA26"/>
      <c r="DB26"/>
      <c r="DC26"/>
      <c r="DD26"/>
      <c r="DE26"/>
      <c r="DF26"/>
      <c r="DG26"/>
      <c r="DH26"/>
      <c r="DI26"/>
      <c r="DJ26"/>
      <c r="DK26"/>
      <c r="DL26"/>
      <c r="DM26"/>
      <c r="DN26"/>
      <c r="DO26"/>
      <c r="DP26"/>
      <c r="DQ26"/>
      <c r="DR26"/>
      <c r="DS26"/>
      <c r="DT26"/>
      <c r="DU26"/>
      <c r="DV26"/>
      <c r="DW26"/>
      <c r="DX26"/>
      <c r="DY26"/>
      <c r="DZ26"/>
      <c r="EA26"/>
      <c r="EB26"/>
      <c r="EC26"/>
      <c r="ED26"/>
      <c r="EE26"/>
      <c r="EF26"/>
      <c r="EG26"/>
    </row>
    <row r="27" spans="2:137" ht="30.75" customHeight="1" x14ac:dyDescent="0.45">
      <c r="U27" s="86"/>
      <c r="BD27" s="760"/>
      <c r="BF27" s="14"/>
      <c r="BG27" s="760"/>
      <c r="BH27" s="760"/>
      <c r="BI27" s="760"/>
      <c r="BJ27" s="760"/>
      <c r="BK27" s="760"/>
      <c r="BL27" s="760"/>
      <c r="BM27" s="760"/>
      <c r="BN27" s="760"/>
      <c r="BO27" s="760"/>
      <c r="BP27" s="186" t="s">
        <v>30</v>
      </c>
      <c r="BQ27" s="238" t="s">
        <v>31</v>
      </c>
      <c r="BR27" s="256"/>
      <c r="BS27" s="256"/>
      <c r="BT27" s="256"/>
      <c r="BU27" s="256"/>
      <c r="BV27" s="256"/>
      <c r="BW27" s="256"/>
      <c r="BX27" s="256"/>
      <c r="BY27" s="256"/>
      <c r="BZ27" s="256"/>
      <c r="CA27" s="256"/>
      <c r="CB27" s="256"/>
      <c r="CC27" s="256"/>
      <c r="CD27" s="256"/>
      <c r="CE27" s="256"/>
      <c r="CF27" s="256"/>
      <c r="CG27" s="256"/>
      <c r="CH27" s="256"/>
      <c r="CI27" s="1"/>
      <c r="CJ27" s="320"/>
      <c r="CK27" s="320"/>
      <c r="CL27" s="188" t="s">
        <v>32</v>
      </c>
      <c r="CM27" s="1978"/>
      <c r="CN27" s="1979"/>
      <c r="CO27" s="1979"/>
      <c r="CP27" s="1979"/>
      <c r="CQ27" s="1979"/>
      <c r="CR27" s="1979"/>
      <c r="CS27" s="1979"/>
      <c r="CT27" s="1980"/>
    </row>
    <row r="28" spans="2:137" ht="35.25" customHeight="1" thickBot="1" x14ac:dyDescent="0.5">
      <c r="BF28" s="14"/>
      <c r="BG28" s="760"/>
      <c r="BH28" s="760"/>
      <c r="BI28" s="760"/>
      <c r="BJ28" s="760"/>
      <c r="BK28" s="760"/>
      <c r="BL28" s="760"/>
      <c r="BM28" s="760"/>
      <c r="BN28" s="760"/>
      <c r="BO28" s="1347">
        <f>+IF(AND(CK28&gt;0,BQ28&gt;0),BQ28)</f>
        <v>118.91150057648107</v>
      </c>
      <c r="BP28" s="758" t="s">
        <v>78</v>
      </c>
      <c r="BQ28" s="2059">
        <f>+((D4-D5)/D4)*C7</f>
        <v>118.91150057648107</v>
      </c>
      <c r="BR28" s="2060"/>
      <c r="BS28" s="321"/>
      <c r="BT28" s="321"/>
      <c r="BU28" s="321"/>
      <c r="BV28" s="321"/>
      <c r="BW28" s="321"/>
      <c r="BX28" s="321"/>
      <c r="BY28" s="321"/>
      <c r="BZ28" s="321"/>
      <c r="CA28" s="321"/>
      <c r="CB28" s="321"/>
      <c r="CC28" s="321"/>
      <c r="CD28" s="321"/>
      <c r="CE28" s="321"/>
      <c r="CF28" s="321"/>
      <c r="CG28" s="321"/>
      <c r="CH28" s="321"/>
      <c r="CI28" s="2"/>
      <c r="CJ28" s="322"/>
      <c r="CK28" s="2057">
        <f>+(D5/D4)*C7</f>
        <v>113.38849942351894</v>
      </c>
      <c r="CL28" s="2058"/>
      <c r="CM28" s="1981"/>
      <c r="CN28" s="1982"/>
      <c r="CO28" s="1982"/>
      <c r="CP28" s="1982"/>
      <c r="CQ28" s="1982"/>
      <c r="CR28" s="1982"/>
      <c r="CS28" s="1982"/>
      <c r="CT28" s="1983"/>
      <c r="CU28" s="1347">
        <f>+IF(AND(BQ28&gt;0,CK28&gt;0),CK28)</f>
        <v>113.38849942351894</v>
      </c>
    </row>
    <row r="29" spans="2:137" ht="30.75" customHeight="1" x14ac:dyDescent="0.45">
      <c r="F29" s="119"/>
      <c r="G29" s="119"/>
      <c r="BF29" s="14"/>
      <c r="BG29" s="760"/>
      <c r="BH29" s="760"/>
      <c r="BI29" s="760"/>
      <c r="BJ29" s="760"/>
      <c r="BK29" s="760"/>
      <c r="BL29" s="760"/>
      <c r="BM29" s="760"/>
      <c r="BN29" s="760"/>
      <c r="BO29" s="760"/>
      <c r="BP29" s="189" t="s">
        <v>30</v>
      </c>
      <c r="BQ29" s="1978"/>
      <c r="BR29" s="1979"/>
      <c r="BS29" s="1979"/>
      <c r="BT29" s="1979"/>
      <c r="BU29" s="1979"/>
      <c r="BV29" s="1979"/>
      <c r="BW29" s="1979"/>
      <c r="BX29" s="1980"/>
      <c r="BY29" s="421" t="s">
        <v>31</v>
      </c>
      <c r="BZ29" s="257"/>
      <c r="CA29" s="257"/>
      <c r="CB29" s="257"/>
      <c r="CC29" s="257"/>
      <c r="CD29" s="257"/>
      <c r="CE29" s="257"/>
      <c r="CF29" s="257"/>
      <c r="CG29" s="257"/>
      <c r="CH29" s="257"/>
      <c r="CI29" s="257"/>
      <c r="CJ29" s="257"/>
      <c r="CK29" s="257"/>
      <c r="CL29" s="1"/>
      <c r="CM29" s="257"/>
      <c r="CN29" s="1"/>
      <c r="CO29" s="314"/>
      <c r="CP29" s="1"/>
      <c r="CQ29" s="1"/>
      <c r="CR29" s="1"/>
      <c r="CS29" s="1"/>
      <c r="CT29" s="191" t="s">
        <v>32</v>
      </c>
    </row>
    <row r="30" spans="2:137" ht="29.25" customHeight="1" thickBot="1" x14ac:dyDescent="0.5">
      <c r="H30" s="243"/>
      <c r="I30" s="243"/>
      <c r="J30" s="243"/>
      <c r="K30" s="243"/>
      <c r="L30" s="243"/>
      <c r="M30" s="243"/>
      <c r="N30" s="243"/>
      <c r="O30" s="243"/>
      <c r="P30" s="243"/>
      <c r="Q30" s="243"/>
      <c r="R30" s="243"/>
      <c r="S30" s="243"/>
      <c r="T30" s="243"/>
      <c r="AF30" s="243"/>
      <c r="AG30" s="243"/>
      <c r="AH30" s="243"/>
      <c r="AI30" s="243"/>
      <c r="AJ30" s="243"/>
      <c r="AK30" s="243"/>
      <c r="AL30" s="243"/>
      <c r="AM30" s="243"/>
      <c r="AN30" s="243"/>
      <c r="AO30" s="243"/>
      <c r="AP30" s="243"/>
      <c r="AQ30" s="243"/>
      <c r="AR30" s="243"/>
      <c r="AS30" s="243"/>
      <c r="AT30" s="243"/>
      <c r="AU30" s="243"/>
      <c r="AV30" s="243"/>
      <c r="AW30" s="243"/>
      <c r="AX30" s="243"/>
      <c r="AY30" s="243"/>
      <c r="AZ30" s="243"/>
      <c r="BA30" s="243"/>
      <c r="BB30" s="243"/>
      <c r="BC30" s="14"/>
      <c r="BF30" s="14"/>
      <c r="BG30" s="14"/>
      <c r="BH30" s="14"/>
      <c r="BI30" s="14"/>
      <c r="BJ30" s="14"/>
      <c r="BK30" s="14"/>
      <c r="BL30" s="14"/>
      <c r="BM30" s="14"/>
      <c r="BN30" s="14"/>
      <c r="BO30" s="1347">
        <f>+IF(AND(CS30&gt;0,BY30&gt;0),BY30)</f>
        <v>207.40673867171918</v>
      </c>
      <c r="BP30" s="759" t="s">
        <v>79</v>
      </c>
      <c r="BQ30" s="1981"/>
      <c r="BR30" s="1982"/>
      <c r="BS30" s="1982"/>
      <c r="BT30" s="1982"/>
      <c r="BU30" s="1982"/>
      <c r="BV30" s="1982"/>
      <c r="BW30" s="1982"/>
      <c r="BX30" s="1983"/>
      <c r="BY30" s="2055">
        <f>+((D4-D3)/D4)*C7</f>
        <v>207.40673867171918</v>
      </c>
      <c r="BZ30" s="2056"/>
      <c r="CA30" s="258"/>
      <c r="CB30" s="258"/>
      <c r="CC30" s="258"/>
      <c r="CD30" s="258"/>
      <c r="CE30" s="258"/>
      <c r="CF30" s="258"/>
      <c r="CG30" s="258"/>
      <c r="CH30" s="258"/>
      <c r="CI30" s="258"/>
      <c r="CJ30" s="258"/>
      <c r="CK30" s="258"/>
      <c r="CL30" s="2"/>
      <c r="CM30" s="258"/>
      <c r="CN30" s="2"/>
      <c r="CO30" s="315"/>
      <c r="CP30" s="2"/>
      <c r="CQ30" s="2"/>
      <c r="CR30" s="2"/>
      <c r="CS30" s="2053">
        <f>+(D3/D4)*C7</f>
        <v>24.893261328280829</v>
      </c>
      <c r="CT30" s="2054"/>
      <c r="CU30" s="1347">
        <f>+IF(AND(BY30&gt;0,CS30&gt;0),CS30)</f>
        <v>24.893261328280829</v>
      </c>
    </row>
    <row r="31" spans="2:137" ht="21" thickBot="1" x14ac:dyDescent="0.4">
      <c r="H31" s="243"/>
      <c r="I31" s="243"/>
      <c r="J31" s="243"/>
      <c r="K31" s="243"/>
      <c r="L31" s="243"/>
      <c r="M31" s="243"/>
      <c r="N31" s="243"/>
      <c r="O31" s="243"/>
      <c r="P31" s="243"/>
      <c r="Q31" s="243"/>
      <c r="R31" s="243"/>
      <c r="S31" s="243"/>
      <c r="T31" s="243"/>
      <c r="AF31" s="243"/>
      <c r="AG31" s="243"/>
      <c r="AH31" s="243"/>
      <c r="AI31" s="243"/>
      <c r="AJ31" s="243"/>
      <c r="AK31" s="243"/>
      <c r="AL31" s="243"/>
      <c r="AM31" s="243"/>
      <c r="AN31" s="243"/>
      <c r="AO31" s="243"/>
      <c r="AP31" s="243"/>
      <c r="AQ31" s="243"/>
      <c r="AR31" s="243"/>
      <c r="AS31" s="243"/>
      <c r="AT31" s="243"/>
      <c r="AU31" s="243"/>
      <c r="AV31" s="243"/>
      <c r="AW31" s="243"/>
      <c r="AX31" s="243"/>
      <c r="AY31" s="243"/>
      <c r="AZ31" s="243"/>
      <c r="BA31" s="243"/>
      <c r="BB31" s="243"/>
      <c r="BC31" s="14"/>
      <c r="BF31" s="14"/>
      <c r="BG31" s="86"/>
      <c r="BH31" s="86"/>
      <c r="BI31" s="86"/>
      <c r="BJ31" s="86"/>
      <c r="BK31" s="86"/>
      <c r="BL31" s="86"/>
      <c r="BM31" s="86"/>
      <c r="BN31" s="86"/>
      <c r="BO31" s="86"/>
      <c r="BP31" s="185"/>
      <c r="BQ31" s="59"/>
      <c r="BR31" s="59"/>
      <c r="BS31" s="59"/>
      <c r="BT31" s="59"/>
      <c r="BU31" s="59"/>
      <c r="BV31" s="59"/>
      <c r="BW31" s="59"/>
      <c r="BX31" s="59"/>
      <c r="BY31" s="59"/>
      <c r="BZ31" s="59"/>
      <c r="CA31" s="59"/>
      <c r="CB31" s="59"/>
      <c r="CC31" s="59"/>
      <c r="CD31" s="59"/>
      <c r="CE31" s="59"/>
      <c r="CF31" s="59"/>
      <c r="CG31" s="59"/>
      <c r="CH31" s="59"/>
      <c r="CI31" s="59"/>
      <c r="CJ31" s="59"/>
      <c r="CK31" s="59"/>
      <c r="CL31" s="59"/>
      <c r="CM31" s="59"/>
      <c r="CN31" s="59"/>
      <c r="CO31" s="59"/>
      <c r="CR31" s="14"/>
      <c r="CS31" s="14"/>
      <c r="CT31" s="14"/>
      <c r="CU31" s="14"/>
      <c r="CV31" s="14"/>
      <c r="CW31" s="14"/>
      <c r="CX31" s="14"/>
      <c r="CY31" s="14"/>
      <c r="CZ31" s="14"/>
      <c r="DA31" s="14"/>
      <c r="DB31" s="14"/>
      <c r="DC31" s="14"/>
      <c r="DD31" s="14"/>
      <c r="DE31" s="14"/>
      <c r="DF31" s="14"/>
      <c r="DG31" s="14"/>
      <c r="DH31" s="14"/>
      <c r="DI31" s="14"/>
      <c r="DJ31" s="14"/>
      <c r="DK31" s="14"/>
      <c r="DL31" s="14"/>
      <c r="DM31" s="14"/>
      <c r="DN31" s="14"/>
      <c r="DO31" s="14"/>
      <c r="DP31" s="14"/>
      <c r="DQ31" s="14"/>
      <c r="DR31" s="14"/>
      <c r="DS31" s="14"/>
      <c r="DT31" s="14"/>
      <c r="DU31" s="14"/>
      <c r="DV31" s="14"/>
      <c r="DW31" s="14"/>
      <c r="DX31" s="14"/>
      <c r="DY31" s="14"/>
      <c r="DZ31" s="14"/>
      <c r="EA31" s="14"/>
      <c r="EB31" s="14"/>
      <c r="EC31" s="14"/>
      <c r="ED31" s="14"/>
      <c r="EE31" s="14"/>
      <c r="EF31" s="14"/>
      <c r="EG31" s="14"/>
    </row>
    <row r="32" spans="2:137" ht="26.25" hidden="1" customHeight="1" x14ac:dyDescent="0.35">
      <c r="E32" s="85"/>
      <c r="F32" s="85"/>
      <c r="G32" s="85"/>
      <c r="H32" s="243"/>
      <c r="I32" s="243"/>
      <c r="J32" s="243"/>
      <c r="K32" s="243"/>
      <c r="L32" s="243"/>
      <c r="M32" s="243"/>
      <c r="N32" s="243"/>
      <c r="O32" s="243"/>
      <c r="P32" s="243"/>
      <c r="Q32" s="243"/>
      <c r="R32" s="243"/>
      <c r="S32" s="243"/>
      <c r="T32" s="243"/>
      <c r="U32" s="243"/>
      <c r="V32" s="243"/>
      <c r="W32" s="243"/>
      <c r="X32" s="243"/>
      <c r="Y32" s="243"/>
      <c r="Z32" s="243"/>
      <c r="AA32" s="243"/>
      <c r="AB32" s="243"/>
      <c r="AC32" s="243"/>
      <c r="AD32" s="243"/>
      <c r="AE32" s="243"/>
      <c r="AF32" s="243"/>
      <c r="AG32" s="243"/>
      <c r="AH32" s="243"/>
      <c r="AI32" s="243"/>
      <c r="AJ32" s="243"/>
      <c r="AK32" s="243"/>
      <c r="AL32" s="243"/>
      <c r="AM32" s="243"/>
      <c r="AN32" s="243"/>
      <c r="AO32" s="243"/>
      <c r="AP32" s="243"/>
      <c r="AQ32" s="243"/>
      <c r="AR32" s="243"/>
      <c r="AS32" s="243"/>
      <c r="AT32" s="243"/>
      <c r="AU32" s="243"/>
      <c r="AV32" s="243"/>
      <c r="AW32" s="243"/>
      <c r="AX32" s="243"/>
      <c r="AY32" s="243"/>
      <c r="AZ32" s="243"/>
      <c r="BA32" s="243"/>
      <c r="BB32" s="243"/>
      <c r="BC32" s="14"/>
      <c r="BF32" s="14"/>
      <c r="BG32" s="323"/>
      <c r="BH32" s="323"/>
      <c r="BI32" s="323"/>
      <c r="BJ32" s="323"/>
      <c r="BK32" s="323"/>
      <c r="BL32" s="323"/>
      <c r="BM32" s="323"/>
      <c r="BN32" s="323"/>
      <c r="BO32" s="323"/>
      <c r="BP32" s="185"/>
      <c r="CO32" s="59"/>
    </row>
    <row r="33" spans="5:98" ht="26.25" hidden="1" customHeight="1" thickBot="1" x14ac:dyDescent="0.45">
      <c r="E33" s="85"/>
      <c r="F33" s="85"/>
      <c r="G33" s="85"/>
      <c r="H33" s="243"/>
      <c r="I33" s="243"/>
      <c r="J33" s="243"/>
      <c r="K33" s="243"/>
      <c r="L33" s="243"/>
      <c r="M33" s="243"/>
      <c r="N33" s="243"/>
      <c r="O33" s="243"/>
      <c r="P33" s="243"/>
      <c r="Q33" s="243"/>
      <c r="R33" s="243"/>
      <c r="S33" s="243"/>
      <c r="T33" s="243"/>
      <c r="U33" s="243"/>
      <c r="V33" s="243"/>
      <c r="W33" s="243"/>
      <c r="X33" s="243"/>
      <c r="Y33" s="243"/>
      <c r="Z33" s="243"/>
      <c r="AA33" s="243"/>
      <c r="AB33" s="243"/>
      <c r="AC33" s="243"/>
      <c r="AD33" s="243"/>
      <c r="AE33" s="243"/>
      <c r="AF33" s="243"/>
      <c r="AG33" s="243"/>
      <c r="AH33" s="243"/>
      <c r="AI33" s="243"/>
      <c r="AJ33" s="243"/>
      <c r="AK33" s="243"/>
      <c r="AL33" s="243"/>
      <c r="AM33" s="243"/>
      <c r="AN33" s="243"/>
      <c r="AO33" s="243"/>
      <c r="AP33" s="243"/>
      <c r="AQ33" s="243"/>
      <c r="AR33" s="243"/>
      <c r="AS33" s="243"/>
      <c r="AT33" s="243"/>
      <c r="AU33" s="243"/>
      <c r="AV33" s="243"/>
      <c r="AW33" s="243"/>
      <c r="AX33" s="243"/>
      <c r="AY33" s="243"/>
      <c r="AZ33" s="243"/>
      <c r="BA33" s="243"/>
      <c r="BB33" s="243"/>
      <c r="BC33" s="14"/>
      <c r="BG33" s="4"/>
      <c r="BH33" s="4"/>
      <c r="BI33" s="4"/>
      <c r="BJ33" s="4"/>
      <c r="BK33" s="4"/>
      <c r="BL33" s="4"/>
      <c r="BM33" s="4"/>
      <c r="BN33" s="4"/>
      <c r="BO33" s="4"/>
      <c r="BP33" s="1883" t="s">
        <v>93</v>
      </c>
      <c r="BQ33" s="198"/>
      <c r="BR33" s="198"/>
      <c r="BS33" s="198"/>
      <c r="BT33" s="198"/>
      <c r="BU33" s="198"/>
      <c r="BV33" s="199"/>
      <c r="BW33" s="198"/>
      <c r="BX33" s="198"/>
      <c r="BY33" s="198"/>
      <c r="BZ33" s="198"/>
      <c r="CA33" s="198"/>
      <c r="CB33" s="198"/>
      <c r="CC33" s="198"/>
      <c r="CD33" s="198"/>
      <c r="CE33" s="198"/>
      <c r="CF33" s="198"/>
      <c r="CG33" s="198"/>
      <c r="CH33" s="198"/>
      <c r="CI33" s="198"/>
      <c r="CJ33" s="198"/>
      <c r="CK33" s="198"/>
      <c r="CL33" s="198"/>
      <c r="CM33" s="198"/>
      <c r="CN33" s="199"/>
      <c r="CO33" s="185"/>
      <c r="CP33" s="185"/>
      <c r="CQ33" s="185"/>
      <c r="CR33" s="185"/>
      <c r="CS33" s="185"/>
      <c r="CT33" s="185"/>
    </row>
    <row r="34" spans="5:98" ht="26.25" hidden="1" customHeight="1" thickBot="1" x14ac:dyDescent="0.45">
      <c r="E34" s="85"/>
      <c r="F34" s="85"/>
      <c r="G34" s="85"/>
      <c r="H34" s="243"/>
      <c r="I34" s="243"/>
      <c r="J34" s="243"/>
      <c r="K34" s="243"/>
      <c r="L34" s="243"/>
      <c r="M34" s="243"/>
      <c r="N34" s="243"/>
      <c r="O34" s="243"/>
      <c r="P34" s="243"/>
      <c r="Q34" s="243"/>
      <c r="R34" s="243"/>
      <c r="S34" s="243"/>
      <c r="T34" s="243"/>
      <c r="U34" s="243"/>
      <c r="V34" s="243"/>
      <c r="W34" s="243"/>
      <c r="X34" s="243"/>
      <c r="Y34" s="243"/>
      <c r="Z34" s="243"/>
      <c r="AA34" s="243"/>
      <c r="AB34" s="243"/>
      <c r="AC34" s="243"/>
      <c r="AD34" s="243"/>
      <c r="AE34" s="243"/>
      <c r="AF34" s="243"/>
      <c r="AG34" s="243"/>
      <c r="AH34" s="243"/>
      <c r="AI34" s="243"/>
      <c r="AJ34" s="243"/>
      <c r="AK34" s="243"/>
      <c r="AL34" s="243"/>
      <c r="AM34" s="243"/>
      <c r="AN34" s="243"/>
      <c r="AO34" s="243"/>
      <c r="AP34" s="243"/>
      <c r="AQ34" s="243"/>
      <c r="AR34" s="243"/>
      <c r="AS34" s="243"/>
      <c r="AT34" s="243"/>
      <c r="AU34" s="243"/>
      <c r="AV34" s="243"/>
      <c r="AW34" s="243"/>
      <c r="AX34" s="243"/>
      <c r="AY34" s="243"/>
      <c r="AZ34" s="243"/>
      <c r="BA34" s="243"/>
      <c r="BB34" s="243"/>
      <c r="BC34" s="14"/>
      <c r="BG34" s="4"/>
      <c r="BH34" s="4"/>
      <c r="BI34" s="4"/>
      <c r="BJ34" s="4"/>
      <c r="BK34" s="4"/>
      <c r="BL34" s="4"/>
      <c r="BM34" s="4"/>
      <c r="BN34" s="4"/>
      <c r="BO34" s="4"/>
      <c r="BP34" s="1883" t="s">
        <v>92</v>
      </c>
      <c r="BQ34" s="185"/>
      <c r="BR34" s="185"/>
      <c r="BS34" s="185"/>
      <c r="BT34" s="185"/>
      <c r="BU34" s="185"/>
      <c r="BV34" s="185"/>
      <c r="BW34" s="185"/>
      <c r="BX34" s="185"/>
      <c r="BY34" s="185"/>
      <c r="BZ34" s="185"/>
      <c r="CA34" s="185"/>
      <c r="CB34" s="185"/>
      <c r="CC34" s="185"/>
      <c r="CD34" s="185"/>
      <c r="CE34" s="185"/>
      <c r="CF34" s="185"/>
      <c r="CG34" s="185"/>
      <c r="CH34" s="185"/>
      <c r="CI34" s="185"/>
      <c r="CJ34" s="185"/>
      <c r="CK34" s="185"/>
      <c r="CL34" s="185"/>
      <c r="CM34" s="185"/>
      <c r="CN34" s="185"/>
      <c r="CO34" s="185"/>
      <c r="CP34" s="185"/>
      <c r="CQ34" s="185"/>
      <c r="CR34" s="210" t="b">
        <f>IF(CS84=29,28)</f>
        <v>0</v>
      </c>
      <c r="CS34" s="234"/>
      <c r="CT34" s="212" t="b">
        <f>IF(CS84=29,30)</f>
        <v>0</v>
      </c>
    </row>
    <row r="35" spans="5:98" ht="26.25" hidden="1" customHeight="1" thickBot="1" x14ac:dyDescent="0.45">
      <c r="E35" s="85"/>
      <c r="F35" s="85"/>
      <c r="G35" s="85"/>
      <c r="H35" s="243"/>
      <c r="I35" s="243"/>
      <c r="J35" s="243"/>
      <c r="K35" s="243"/>
      <c r="L35" s="243"/>
      <c r="M35" s="243"/>
      <c r="N35" s="243"/>
      <c r="O35" s="243"/>
      <c r="P35" s="243"/>
      <c r="Q35" s="243"/>
      <c r="R35" s="243"/>
      <c r="S35" s="243"/>
      <c r="T35" s="243"/>
      <c r="U35" s="243"/>
      <c r="V35" s="243"/>
      <c r="W35" s="243"/>
      <c r="X35" s="243"/>
      <c r="Y35" s="243"/>
      <c r="Z35" s="243"/>
      <c r="AA35" s="243"/>
      <c r="AB35" s="243"/>
      <c r="AC35" s="243"/>
      <c r="AD35" s="243"/>
      <c r="AE35" s="243"/>
      <c r="AF35" s="243"/>
      <c r="AG35" s="243"/>
      <c r="AH35" s="243"/>
      <c r="AI35" s="243"/>
      <c r="AJ35" s="243"/>
      <c r="AK35" s="243"/>
      <c r="AL35" s="243"/>
      <c r="AM35" s="243"/>
      <c r="AN35" s="243"/>
      <c r="AO35" s="243"/>
      <c r="AP35" s="243"/>
      <c r="AQ35" s="243"/>
      <c r="AR35" s="243"/>
      <c r="AS35" s="243"/>
      <c r="AT35" s="243"/>
      <c r="AU35" s="243"/>
      <c r="AV35" s="243"/>
      <c r="AW35" s="243"/>
      <c r="AX35" s="243"/>
      <c r="AY35" s="243"/>
      <c r="AZ35" s="243"/>
      <c r="BA35" s="243"/>
      <c r="BB35" s="243"/>
      <c r="BC35" s="14"/>
      <c r="BG35" s="4"/>
      <c r="BH35" s="4"/>
      <c r="BI35" s="4"/>
      <c r="BJ35" s="4"/>
      <c r="BK35" s="4"/>
      <c r="BL35" s="4"/>
      <c r="BM35" s="4"/>
      <c r="BN35" s="4"/>
      <c r="BO35" s="4"/>
      <c r="BP35" s="1883" t="s">
        <v>91</v>
      </c>
      <c r="BQ35" s="185"/>
      <c r="BR35" s="185"/>
      <c r="BS35" s="185"/>
      <c r="BT35" s="185"/>
      <c r="BU35" s="185"/>
      <c r="BV35" s="185"/>
      <c r="BW35" s="185"/>
      <c r="BX35" s="185"/>
      <c r="BY35" s="185"/>
      <c r="BZ35" s="185"/>
      <c r="CA35" s="185"/>
      <c r="CB35" s="185"/>
      <c r="CC35" s="185"/>
      <c r="CD35" s="185"/>
      <c r="CE35" s="185"/>
      <c r="CF35" s="185"/>
      <c r="CG35" s="185"/>
      <c r="CH35" s="185"/>
      <c r="CI35" s="185"/>
      <c r="CJ35" s="185"/>
      <c r="CK35" s="185"/>
      <c r="CL35" s="185"/>
      <c r="CM35" s="185"/>
      <c r="CN35" s="185"/>
      <c r="CO35" s="185"/>
      <c r="CP35" s="210" t="b">
        <f>IF(CR84=28,26)</f>
        <v>0</v>
      </c>
      <c r="CQ35" s="234"/>
      <c r="CR35" s="234"/>
      <c r="CS35" s="234"/>
      <c r="CT35" s="212" t="b">
        <f>IF(CR84=28,30)</f>
        <v>0</v>
      </c>
    </row>
    <row r="36" spans="5:98" ht="26.25" hidden="1" customHeight="1" thickBot="1" x14ac:dyDescent="0.45">
      <c r="E36" s="85"/>
      <c r="F36" s="85"/>
      <c r="G36" s="85"/>
      <c r="H36" s="243"/>
      <c r="I36" s="243"/>
      <c r="J36" s="243"/>
      <c r="K36" s="243"/>
      <c r="L36" s="243"/>
      <c r="M36" s="243"/>
      <c r="N36" s="243"/>
      <c r="O36" s="243"/>
      <c r="P36" s="243"/>
      <c r="Q36" s="243"/>
      <c r="R36" s="243"/>
      <c r="S36" s="243"/>
      <c r="T36" s="243"/>
      <c r="U36" s="243"/>
      <c r="V36" s="243"/>
      <c r="W36" s="243"/>
      <c r="X36" s="243"/>
      <c r="Y36" s="243"/>
      <c r="Z36" s="243"/>
      <c r="AA36" s="243"/>
      <c r="AB36" s="243"/>
      <c r="AC36" s="243"/>
      <c r="AD36" s="243"/>
      <c r="AE36" s="243"/>
      <c r="AF36" s="243"/>
      <c r="AG36" s="243"/>
      <c r="AH36" s="243"/>
      <c r="AI36" s="243"/>
      <c r="AJ36" s="243"/>
      <c r="AK36" s="243"/>
      <c r="AL36" s="243"/>
      <c r="AM36" s="243"/>
      <c r="AN36" s="243"/>
      <c r="AO36" s="243"/>
      <c r="AP36" s="243"/>
      <c r="AQ36" s="243"/>
      <c r="AR36" s="243"/>
      <c r="AS36" s="243"/>
      <c r="AT36" s="243"/>
      <c r="AU36" s="243"/>
      <c r="AV36" s="243"/>
      <c r="AW36" s="243"/>
      <c r="AX36" s="243"/>
      <c r="AY36" s="243"/>
      <c r="AZ36" s="243"/>
      <c r="BA36" s="243"/>
      <c r="BB36" s="243"/>
      <c r="BC36" s="14"/>
      <c r="BG36" s="4"/>
      <c r="BH36" s="4"/>
      <c r="BI36" s="4"/>
      <c r="BJ36" s="4"/>
      <c r="BK36" s="4"/>
      <c r="BL36" s="4"/>
      <c r="BM36" s="4"/>
      <c r="BN36" s="4"/>
      <c r="BO36" s="4"/>
      <c r="BP36" s="1883" t="s">
        <v>90</v>
      </c>
      <c r="BQ36" s="185"/>
      <c r="BR36" s="185"/>
      <c r="BS36" s="185"/>
      <c r="BT36" s="185"/>
      <c r="BU36" s="185"/>
      <c r="BV36" s="185"/>
      <c r="BW36" s="185"/>
      <c r="BX36" s="185"/>
      <c r="BY36" s="185"/>
      <c r="BZ36" s="185"/>
      <c r="CA36" s="185"/>
      <c r="CB36" s="185"/>
      <c r="CC36" s="185"/>
      <c r="CD36" s="185"/>
      <c r="CE36" s="185"/>
      <c r="CF36" s="185"/>
      <c r="CG36" s="185"/>
      <c r="CH36" s="185"/>
      <c r="CI36" s="185"/>
      <c r="CJ36" s="185"/>
      <c r="CK36" s="185"/>
      <c r="CL36" s="185"/>
      <c r="CM36" s="185"/>
      <c r="CN36" s="210" t="b">
        <f>IF(CQ84=27,24)</f>
        <v>0</v>
      </c>
      <c r="CO36" s="234"/>
      <c r="CP36" s="234"/>
      <c r="CQ36" s="234"/>
      <c r="CR36" s="234"/>
      <c r="CS36" s="234"/>
      <c r="CT36" s="212" t="b">
        <f>IF(CQ84=27,30)</f>
        <v>0</v>
      </c>
    </row>
    <row r="37" spans="5:98" ht="26.25" hidden="1" customHeight="1" thickBot="1" x14ac:dyDescent="0.45">
      <c r="E37" s="85"/>
      <c r="F37" s="85"/>
      <c r="G37" s="85"/>
      <c r="H37" s="243"/>
      <c r="I37" s="243"/>
      <c r="J37" s="243"/>
      <c r="K37" s="243"/>
      <c r="L37" s="243"/>
      <c r="M37" s="243"/>
      <c r="N37" s="243"/>
      <c r="O37" s="243"/>
      <c r="P37" s="243"/>
      <c r="Q37" s="243"/>
      <c r="R37" s="243"/>
      <c r="S37" s="243"/>
      <c r="T37" s="243"/>
      <c r="U37" s="243"/>
      <c r="V37" s="243"/>
      <c r="W37" s="243"/>
      <c r="X37" s="243"/>
      <c r="Y37" s="243"/>
      <c r="Z37" s="243"/>
      <c r="AA37" s="243"/>
      <c r="AB37" s="243"/>
      <c r="AC37" s="243"/>
      <c r="AD37" s="243"/>
      <c r="AE37" s="243"/>
      <c r="AF37" s="243"/>
      <c r="AG37" s="243"/>
      <c r="AH37" s="243"/>
      <c r="AI37" s="243"/>
      <c r="AJ37" s="243"/>
      <c r="AK37" s="243"/>
      <c r="AL37" s="243"/>
      <c r="AM37" s="243"/>
      <c r="AN37" s="243"/>
      <c r="AO37" s="243"/>
      <c r="AP37" s="243"/>
      <c r="AQ37" s="243"/>
      <c r="AR37" s="243"/>
      <c r="AS37" s="243"/>
      <c r="AT37" s="243"/>
      <c r="AU37" s="243"/>
      <c r="AV37" s="243"/>
      <c r="AW37" s="243"/>
      <c r="AX37" s="243"/>
      <c r="AY37" s="243"/>
      <c r="AZ37" s="243"/>
      <c r="BA37" s="243"/>
      <c r="BB37" s="243"/>
      <c r="BC37" s="14"/>
      <c r="BG37" s="4"/>
      <c r="BH37" s="4"/>
      <c r="BI37" s="4"/>
      <c r="BJ37" s="4"/>
      <c r="BK37" s="4"/>
      <c r="BL37" s="4"/>
      <c r="BM37" s="4"/>
      <c r="BN37" s="4"/>
      <c r="BO37" s="4"/>
      <c r="BP37" s="1883" t="s">
        <v>89</v>
      </c>
      <c r="BQ37" s="185"/>
      <c r="BR37" s="185"/>
      <c r="BS37" s="185"/>
      <c r="BT37" s="185"/>
      <c r="BU37" s="185"/>
      <c r="BV37" s="185"/>
      <c r="BW37" s="185"/>
      <c r="BX37" s="185"/>
      <c r="BY37" s="185"/>
      <c r="BZ37" s="185"/>
      <c r="CA37" s="185"/>
      <c r="CB37" s="185"/>
      <c r="CC37" s="185"/>
      <c r="CD37" s="185"/>
      <c r="CE37" s="185"/>
      <c r="CF37" s="185"/>
      <c r="CG37" s="185"/>
      <c r="CH37" s="185"/>
      <c r="CI37" s="185"/>
      <c r="CJ37" s="185"/>
      <c r="CK37" s="185"/>
      <c r="CL37" s="210" t="b">
        <f>IF(CP84=26,22)</f>
        <v>0</v>
      </c>
      <c r="CM37" s="234"/>
      <c r="CN37" s="234"/>
      <c r="CO37" s="234"/>
      <c r="CP37" s="234"/>
      <c r="CQ37" s="234"/>
      <c r="CR37" s="234"/>
      <c r="CS37" s="234"/>
      <c r="CT37" s="212" t="b">
        <f>IF(CP84=26,30)</f>
        <v>0</v>
      </c>
    </row>
    <row r="38" spans="5:98" ht="26.25" hidden="1" customHeight="1" thickBot="1" x14ac:dyDescent="0.45">
      <c r="E38" s="85"/>
      <c r="F38" s="85"/>
      <c r="G38" s="85"/>
      <c r="H38" s="243"/>
      <c r="I38" s="243"/>
      <c r="J38" s="243"/>
      <c r="K38" s="243"/>
      <c r="L38" s="243"/>
      <c r="M38" s="243"/>
      <c r="N38" s="243"/>
      <c r="O38" s="243"/>
      <c r="P38" s="243"/>
      <c r="Q38" s="243"/>
      <c r="R38" s="243"/>
      <c r="S38" s="243"/>
      <c r="T38" s="243"/>
      <c r="U38" s="243"/>
      <c r="V38" s="243"/>
      <c r="W38" s="243"/>
      <c r="X38" s="243"/>
      <c r="Y38" s="243"/>
      <c r="Z38" s="243"/>
      <c r="AA38" s="243"/>
      <c r="AB38" s="243"/>
      <c r="AC38" s="243"/>
      <c r="AD38" s="243"/>
      <c r="AE38" s="243"/>
      <c r="AF38" s="243"/>
      <c r="AG38" s="243"/>
      <c r="AH38" s="243"/>
      <c r="AI38" s="243"/>
      <c r="AJ38" s="243"/>
      <c r="AK38" s="243"/>
      <c r="AL38" s="243"/>
      <c r="AM38" s="243"/>
      <c r="AN38" s="243"/>
      <c r="AO38" s="243"/>
      <c r="AP38" s="243"/>
      <c r="AQ38" s="243"/>
      <c r="AR38" s="243"/>
      <c r="AS38" s="243"/>
      <c r="AT38" s="243"/>
      <c r="AU38" s="243"/>
      <c r="AV38" s="243"/>
      <c r="AW38" s="243"/>
      <c r="AX38" s="243"/>
      <c r="AY38" s="243"/>
      <c r="AZ38" s="243"/>
      <c r="BA38" s="243"/>
      <c r="BB38" s="243"/>
      <c r="BC38" s="14"/>
      <c r="BG38" s="4"/>
      <c r="BH38" s="4"/>
      <c r="BI38" s="4"/>
      <c r="BJ38" s="4"/>
      <c r="BK38" s="4"/>
      <c r="BL38" s="4"/>
      <c r="BM38" s="4"/>
      <c r="BN38" s="4"/>
      <c r="BO38" s="4"/>
      <c r="BP38" s="1883" t="s">
        <v>88</v>
      </c>
      <c r="BQ38" s="185"/>
      <c r="BR38" s="185"/>
      <c r="BS38" s="185"/>
      <c r="BT38" s="185"/>
      <c r="BU38" s="185"/>
      <c r="BV38" s="185"/>
      <c r="BW38" s="185"/>
      <c r="BX38" s="185"/>
      <c r="BY38" s="185"/>
      <c r="BZ38" s="185"/>
      <c r="CA38" s="185"/>
      <c r="CB38" s="185"/>
      <c r="CC38" s="185"/>
      <c r="CD38" s="185"/>
      <c r="CE38" s="185"/>
      <c r="CF38" s="185"/>
      <c r="CG38" s="185"/>
      <c r="CH38" s="185"/>
      <c r="CI38" s="185"/>
      <c r="CJ38" s="210" t="b">
        <f>IF(CO84=25,20)</f>
        <v>0</v>
      </c>
      <c r="CK38" s="234"/>
      <c r="CL38" s="234"/>
      <c r="CM38" s="234"/>
      <c r="CN38" s="234"/>
      <c r="CO38" s="234"/>
      <c r="CP38" s="234"/>
      <c r="CQ38" s="234"/>
      <c r="CR38" s="234"/>
      <c r="CS38" s="234"/>
      <c r="CT38" s="212" t="b">
        <f>IF(CO84=25,30)</f>
        <v>0</v>
      </c>
    </row>
    <row r="39" spans="5:98" ht="26.25" hidden="1" customHeight="1" thickBot="1" x14ac:dyDescent="0.45">
      <c r="E39" s="85"/>
      <c r="F39" s="85"/>
      <c r="G39" s="85"/>
      <c r="H39" s="243"/>
      <c r="I39" s="243"/>
      <c r="J39" s="243"/>
      <c r="K39" s="243"/>
      <c r="L39" s="243"/>
      <c r="M39" s="243"/>
      <c r="N39" s="243"/>
      <c r="O39" s="243"/>
      <c r="P39" s="243"/>
      <c r="Q39" s="243"/>
      <c r="R39" s="243"/>
      <c r="S39" s="243"/>
      <c r="T39" s="243"/>
      <c r="U39" s="243"/>
      <c r="V39" s="243"/>
      <c r="W39" s="243"/>
      <c r="X39" s="243"/>
      <c r="Y39" s="243"/>
      <c r="Z39" s="243"/>
      <c r="AA39" s="243"/>
      <c r="AB39" s="243"/>
      <c r="AC39" s="243"/>
      <c r="AD39" s="243"/>
      <c r="AE39" s="243"/>
      <c r="AF39" s="243"/>
      <c r="AG39" s="243"/>
      <c r="AH39" s="243"/>
      <c r="AI39" s="243"/>
      <c r="AJ39" s="243"/>
      <c r="AK39" s="243"/>
      <c r="AL39" s="243"/>
      <c r="AM39" s="243"/>
      <c r="AN39" s="243"/>
      <c r="AO39" s="243"/>
      <c r="AP39" s="243"/>
      <c r="AQ39" s="243"/>
      <c r="AR39" s="243"/>
      <c r="AS39" s="243"/>
      <c r="AT39" s="243"/>
      <c r="AU39" s="243"/>
      <c r="AV39" s="243"/>
      <c r="AW39" s="243"/>
      <c r="AX39" s="243"/>
      <c r="AY39" s="243"/>
      <c r="AZ39" s="243"/>
      <c r="BA39" s="243"/>
      <c r="BB39" s="243"/>
      <c r="BC39" s="14"/>
      <c r="BG39" s="4"/>
      <c r="BH39" s="4"/>
      <c r="BI39" s="4"/>
      <c r="BJ39" s="4"/>
      <c r="BK39" s="4"/>
      <c r="BL39" s="4"/>
      <c r="BM39" s="4"/>
      <c r="BN39" s="4"/>
      <c r="BO39" s="4"/>
      <c r="BP39" s="181" t="s">
        <v>15</v>
      </c>
      <c r="BQ39" s="185"/>
      <c r="BR39" s="185"/>
      <c r="BS39" s="185"/>
      <c r="BT39" s="185"/>
      <c r="BU39" s="185"/>
      <c r="BV39" s="185"/>
      <c r="BW39" s="185"/>
      <c r="BX39" s="185"/>
      <c r="BY39" s="185"/>
      <c r="BZ39" s="185"/>
      <c r="CA39" s="185"/>
      <c r="CB39" s="185"/>
      <c r="CC39" s="185"/>
      <c r="CD39" s="185"/>
      <c r="CE39" s="185"/>
      <c r="CF39" s="185"/>
      <c r="CG39" s="185"/>
      <c r="CH39" s="210" t="b">
        <f>IF(CN84=24,18)</f>
        <v>0</v>
      </c>
      <c r="CI39" s="234"/>
      <c r="CJ39" s="234"/>
      <c r="CK39" s="234"/>
      <c r="CL39" s="234"/>
      <c r="CM39" s="234"/>
      <c r="CN39" s="234"/>
      <c r="CO39" s="234"/>
      <c r="CP39" s="234"/>
      <c r="CQ39" s="234"/>
      <c r="CR39" s="234"/>
      <c r="CS39" s="234"/>
      <c r="CT39" s="212" t="b">
        <f>IF(CN84=24,30)</f>
        <v>0</v>
      </c>
    </row>
    <row r="40" spans="5:98" ht="26.25" hidden="1" customHeight="1" thickBot="1" x14ac:dyDescent="0.45">
      <c r="E40" s="85"/>
      <c r="F40" s="85"/>
      <c r="G40" s="85"/>
      <c r="H40" s="243"/>
      <c r="I40" s="243"/>
      <c r="J40" s="243"/>
      <c r="K40" s="243"/>
      <c r="L40" s="243"/>
      <c r="M40" s="243"/>
      <c r="N40" s="243"/>
      <c r="O40" s="243"/>
      <c r="P40" s="243"/>
      <c r="Q40" s="243"/>
      <c r="R40" s="243"/>
      <c r="S40" s="243"/>
      <c r="T40" s="243"/>
      <c r="U40" s="243"/>
      <c r="V40" s="243"/>
      <c r="W40" s="243"/>
      <c r="X40" s="243"/>
      <c r="Y40" s="243"/>
      <c r="Z40" s="243"/>
      <c r="AA40" s="243"/>
      <c r="AB40" s="243"/>
      <c r="AC40" s="243"/>
      <c r="AD40" s="243"/>
      <c r="AE40" s="243"/>
      <c r="AF40" s="243"/>
      <c r="AG40" s="243"/>
      <c r="AH40" s="243"/>
      <c r="AI40" s="243"/>
      <c r="AJ40" s="243"/>
      <c r="AK40" s="243"/>
      <c r="AL40" s="243"/>
      <c r="AM40" s="243"/>
      <c r="AN40" s="243"/>
      <c r="AO40" s="243"/>
      <c r="AP40" s="243"/>
      <c r="AQ40" s="243"/>
      <c r="AR40" s="243"/>
      <c r="AS40" s="243"/>
      <c r="AT40" s="243"/>
      <c r="AU40" s="243"/>
      <c r="AV40" s="243"/>
      <c r="AW40" s="243"/>
      <c r="AX40" s="243"/>
      <c r="AY40" s="243"/>
      <c r="AZ40" s="243"/>
      <c r="BA40" s="243"/>
      <c r="BB40" s="243"/>
      <c r="BC40" s="14"/>
      <c r="BG40" s="4"/>
      <c r="BH40" s="4"/>
      <c r="BI40" s="4"/>
      <c r="BJ40" s="4"/>
      <c r="BK40" s="4"/>
      <c r="BL40" s="4"/>
      <c r="BM40" s="4"/>
      <c r="BN40" s="4"/>
      <c r="BO40" s="4"/>
      <c r="BP40" s="181" t="s">
        <v>87</v>
      </c>
      <c r="BQ40" s="185"/>
      <c r="BR40" s="185"/>
      <c r="BS40" s="185"/>
      <c r="BT40" s="185"/>
      <c r="BU40" s="185"/>
      <c r="BV40" s="185"/>
      <c r="BW40" s="185"/>
      <c r="BX40" s="185"/>
      <c r="BY40" s="185"/>
      <c r="BZ40" s="185"/>
      <c r="CA40" s="185"/>
      <c r="CB40" s="185"/>
      <c r="CC40" s="185"/>
      <c r="CD40" s="185"/>
      <c r="CE40" s="185"/>
      <c r="CF40" s="210" t="b">
        <f>IF(CM84=23,16)</f>
        <v>0</v>
      </c>
      <c r="CG40" s="234"/>
      <c r="CH40" s="234"/>
      <c r="CI40" s="234"/>
      <c r="CJ40" s="234"/>
      <c r="CK40" s="234"/>
      <c r="CL40" s="234"/>
      <c r="CM40" s="234"/>
      <c r="CN40" s="234"/>
      <c r="CO40" s="234"/>
      <c r="CP40" s="234"/>
      <c r="CQ40" s="234"/>
      <c r="CR40" s="234"/>
      <c r="CS40" s="234"/>
      <c r="CT40" s="212" t="b">
        <f>IF(CM84=23,30)</f>
        <v>0</v>
      </c>
    </row>
    <row r="41" spans="5:98" ht="26.25" hidden="1" customHeight="1" thickBot="1" x14ac:dyDescent="0.45">
      <c r="E41" s="85"/>
      <c r="F41" s="85"/>
      <c r="G41" s="85"/>
      <c r="H41" s="243"/>
      <c r="I41" s="243"/>
      <c r="J41" s="243"/>
      <c r="K41" s="243"/>
      <c r="L41" s="243"/>
      <c r="M41" s="243"/>
      <c r="N41" s="243"/>
      <c r="O41" s="243"/>
      <c r="P41" s="243"/>
      <c r="Q41" s="243"/>
      <c r="R41" s="243"/>
      <c r="S41" s="243"/>
      <c r="T41" s="243"/>
      <c r="U41" s="243"/>
      <c r="V41" s="243"/>
      <c r="W41" s="243"/>
      <c r="X41" s="243"/>
      <c r="Y41" s="243"/>
      <c r="Z41" s="243"/>
      <c r="AA41" s="243"/>
      <c r="AB41" s="243"/>
      <c r="AC41" s="243"/>
      <c r="AD41" s="243"/>
      <c r="AE41" s="243"/>
      <c r="AF41" s="243"/>
      <c r="AG41" s="243"/>
      <c r="AH41" s="243"/>
      <c r="AI41" s="243"/>
      <c r="AJ41" s="243"/>
      <c r="AK41" s="243"/>
      <c r="AL41" s="243"/>
      <c r="AM41" s="243"/>
      <c r="AN41" s="243"/>
      <c r="AO41" s="243"/>
      <c r="AP41" s="243"/>
      <c r="AQ41" s="243"/>
      <c r="AR41" s="243"/>
      <c r="AS41" s="243"/>
      <c r="AT41" s="243"/>
      <c r="AU41" s="243"/>
      <c r="AV41" s="243"/>
      <c r="AW41" s="243"/>
      <c r="AX41" s="243"/>
      <c r="AY41" s="243"/>
      <c r="AZ41" s="243"/>
      <c r="BA41" s="243"/>
      <c r="BB41" s="243"/>
      <c r="BC41" s="14"/>
      <c r="BG41" s="4"/>
      <c r="BH41" s="4"/>
      <c r="BI41" s="4"/>
      <c r="BJ41" s="4"/>
      <c r="BK41" s="4"/>
      <c r="BL41" s="4"/>
      <c r="BM41" s="4"/>
      <c r="BN41" s="4"/>
      <c r="BO41" s="4"/>
      <c r="BP41" s="181">
        <v>12</v>
      </c>
      <c r="BQ41" s="182"/>
      <c r="BR41" s="182"/>
      <c r="BS41" s="182"/>
      <c r="BT41" s="182"/>
      <c r="BU41" s="182"/>
      <c r="BV41" s="182"/>
      <c r="BW41" s="182"/>
      <c r="BX41" s="182"/>
      <c r="BY41" s="182"/>
      <c r="BZ41" s="182"/>
      <c r="CA41" s="182"/>
      <c r="CB41" s="182"/>
      <c r="CC41" s="182"/>
      <c r="CD41" s="182"/>
      <c r="CE41" s="182"/>
      <c r="CF41" s="208" t="b">
        <f>IF(CL84=22,16)</f>
        <v>0</v>
      </c>
      <c r="CG41" s="230"/>
      <c r="CH41" s="230"/>
      <c r="CI41" s="230"/>
      <c r="CJ41" s="230"/>
      <c r="CK41" s="230"/>
      <c r="CL41" s="230"/>
      <c r="CM41" s="230"/>
      <c r="CN41" s="230"/>
      <c r="CO41" s="235"/>
      <c r="CP41" s="235"/>
      <c r="CQ41" s="209" t="b">
        <f>IF(CL84=22,27)</f>
        <v>0</v>
      </c>
      <c r="CR41" s="185"/>
      <c r="CS41" s="185"/>
      <c r="CT41" s="185"/>
    </row>
    <row r="42" spans="5:98" ht="26.25" hidden="1" customHeight="1" thickBot="1" x14ac:dyDescent="0.45">
      <c r="E42" s="85"/>
      <c r="F42" s="85"/>
      <c r="G42" s="85"/>
      <c r="H42" s="243"/>
      <c r="I42" s="243"/>
      <c r="J42" s="243"/>
      <c r="K42" s="243"/>
      <c r="L42" s="243"/>
      <c r="M42" s="243"/>
      <c r="N42" s="243"/>
      <c r="O42" s="243"/>
      <c r="P42" s="243"/>
      <c r="Q42" s="243"/>
      <c r="R42" s="243"/>
      <c r="S42" s="243"/>
      <c r="T42" s="243"/>
      <c r="U42" s="243"/>
      <c r="V42" s="243"/>
      <c r="W42" s="243"/>
      <c r="X42" s="243"/>
      <c r="Y42" s="243"/>
      <c r="Z42" s="243"/>
      <c r="AA42" s="243"/>
      <c r="AB42" s="243"/>
      <c r="AC42" s="243"/>
      <c r="AD42" s="243"/>
      <c r="AE42" s="243"/>
      <c r="AF42" s="243"/>
      <c r="AG42" s="243"/>
      <c r="AH42" s="243"/>
      <c r="AI42" s="243"/>
      <c r="AJ42" s="243"/>
      <c r="AK42" s="243"/>
      <c r="AL42" s="243"/>
      <c r="AM42" s="243"/>
      <c r="AN42" s="243"/>
      <c r="AO42" s="243"/>
      <c r="AP42" s="243"/>
      <c r="AQ42" s="243"/>
      <c r="AR42" s="243"/>
      <c r="AS42" s="243"/>
      <c r="AT42" s="243"/>
      <c r="AU42" s="243"/>
      <c r="AV42" s="243"/>
      <c r="AW42" s="243"/>
      <c r="AX42" s="243"/>
      <c r="AY42" s="243"/>
      <c r="AZ42" s="243"/>
      <c r="BA42" s="243"/>
      <c r="BB42" s="243"/>
      <c r="BC42" s="14"/>
      <c r="BG42" s="4"/>
      <c r="BH42" s="4"/>
      <c r="BI42" s="4"/>
      <c r="BJ42" s="4"/>
      <c r="BK42" s="4"/>
      <c r="BL42" s="4"/>
      <c r="BM42" s="4"/>
      <c r="BN42" s="4"/>
      <c r="BO42" s="4"/>
      <c r="BP42" s="181">
        <v>11</v>
      </c>
      <c r="BQ42" s="185"/>
      <c r="BR42" s="185"/>
      <c r="BS42" s="185"/>
      <c r="BT42" s="185"/>
      <c r="BU42" s="185"/>
      <c r="BV42" s="185"/>
      <c r="BW42" s="185"/>
      <c r="BX42" s="185"/>
      <c r="BY42" s="185"/>
      <c r="BZ42" s="185"/>
      <c r="CA42" s="185"/>
      <c r="CB42" s="210" t="b">
        <f>IF(CK84=21,12)</f>
        <v>0</v>
      </c>
      <c r="CC42" s="234"/>
      <c r="CD42" s="234"/>
      <c r="CE42" s="234"/>
      <c r="CF42" s="234"/>
      <c r="CG42" s="234"/>
      <c r="CH42" s="234"/>
      <c r="CI42" s="234"/>
      <c r="CJ42" s="234"/>
      <c r="CK42" s="234"/>
      <c r="CL42" s="234"/>
      <c r="CM42" s="234"/>
      <c r="CN42" s="234"/>
      <c r="CO42" s="234"/>
      <c r="CP42" s="234"/>
      <c r="CQ42" s="234"/>
      <c r="CR42" s="234"/>
      <c r="CS42" s="234"/>
      <c r="CT42" s="212" t="b">
        <f>IF(CK84=21,30)</f>
        <v>0</v>
      </c>
    </row>
    <row r="43" spans="5:98" ht="26.25" hidden="1" customHeight="1" thickBot="1" x14ac:dyDescent="0.45">
      <c r="E43" s="85"/>
      <c r="F43" s="85"/>
      <c r="G43" s="85"/>
      <c r="H43" s="243"/>
      <c r="I43" s="243"/>
      <c r="J43" s="243"/>
      <c r="K43" s="243"/>
      <c r="L43" s="243"/>
      <c r="M43" s="243"/>
      <c r="N43" s="243"/>
      <c r="O43" s="243"/>
      <c r="P43" s="243"/>
      <c r="Q43" s="243"/>
      <c r="R43" s="243"/>
      <c r="S43" s="243"/>
      <c r="T43" s="243"/>
      <c r="U43" s="243"/>
      <c r="V43" s="243"/>
      <c r="W43" s="243"/>
      <c r="X43" s="243"/>
      <c r="Y43" s="243"/>
      <c r="Z43" s="243"/>
      <c r="AA43" s="243"/>
      <c r="AB43" s="243"/>
      <c r="AC43" s="243"/>
      <c r="AD43" s="243"/>
      <c r="AE43" s="243"/>
      <c r="AF43" s="243"/>
      <c r="AG43" s="243"/>
      <c r="AH43" s="243"/>
      <c r="AI43" s="243"/>
      <c r="AJ43" s="243"/>
      <c r="AK43" s="243"/>
      <c r="AL43" s="243"/>
      <c r="AM43" s="243"/>
      <c r="AN43" s="243"/>
      <c r="AO43" s="243"/>
      <c r="AP43" s="243"/>
      <c r="AQ43" s="243"/>
      <c r="AR43" s="243"/>
      <c r="AS43" s="243"/>
      <c r="AT43" s="243"/>
      <c r="AU43" s="243"/>
      <c r="AV43" s="243"/>
      <c r="AW43" s="243"/>
      <c r="AX43" s="243"/>
      <c r="AY43" s="243"/>
      <c r="AZ43" s="243"/>
      <c r="BA43" s="243"/>
      <c r="BB43" s="243"/>
      <c r="BC43" s="14"/>
      <c r="BG43" s="4"/>
      <c r="BH43" s="4"/>
      <c r="BI43" s="4"/>
      <c r="BJ43" s="4"/>
      <c r="BK43" s="4"/>
      <c r="BL43" s="4"/>
      <c r="BM43" s="4"/>
      <c r="BN43" s="4"/>
      <c r="BO43" s="4"/>
      <c r="BP43" s="181">
        <v>10</v>
      </c>
      <c r="BQ43" s="185"/>
      <c r="BR43" s="185"/>
      <c r="BS43" s="185"/>
      <c r="BT43" s="185"/>
      <c r="BU43" s="185"/>
      <c r="BV43" s="185"/>
      <c r="BW43" s="185"/>
      <c r="BX43" s="185"/>
      <c r="BZ43" s="210" t="b">
        <f>IF(CJ84=20,10)</f>
        <v>0</v>
      </c>
      <c r="CA43" s="234"/>
      <c r="CB43" s="234"/>
      <c r="CC43" s="234"/>
      <c r="CD43" s="234"/>
      <c r="CE43" s="234"/>
      <c r="CF43" s="234"/>
      <c r="CG43" s="234"/>
      <c r="CH43" s="234"/>
      <c r="CI43" s="234"/>
      <c r="CJ43" s="234"/>
      <c r="CK43" s="234"/>
      <c r="CL43" s="234"/>
      <c r="CM43" s="234"/>
      <c r="CN43" s="234"/>
      <c r="CO43" s="234"/>
      <c r="CP43" s="234"/>
      <c r="CQ43" s="234"/>
      <c r="CR43" s="234"/>
      <c r="CS43" s="234"/>
      <c r="CT43" s="212" t="b">
        <f>IF(CJ84=20,30)</f>
        <v>0</v>
      </c>
    </row>
    <row r="44" spans="5:98" ht="26.25" hidden="1" customHeight="1" thickBot="1" x14ac:dyDescent="0.45">
      <c r="E44" s="85"/>
      <c r="F44" s="85"/>
      <c r="G44" s="85"/>
      <c r="H44" s="243"/>
      <c r="I44" s="243"/>
      <c r="J44" s="243"/>
      <c r="K44" s="243"/>
      <c r="L44" s="243"/>
      <c r="M44" s="243"/>
      <c r="N44" s="243"/>
      <c r="O44" s="243"/>
      <c r="P44" s="243"/>
      <c r="Q44" s="243"/>
      <c r="R44" s="243"/>
      <c r="S44" s="243"/>
      <c r="T44" s="243"/>
      <c r="U44" s="243"/>
      <c r="V44" s="243"/>
      <c r="W44" s="243"/>
      <c r="X44" s="243"/>
      <c r="Y44" s="243"/>
      <c r="Z44" s="243"/>
      <c r="AA44" s="243"/>
      <c r="AB44" s="243"/>
      <c r="AC44" s="243"/>
      <c r="AD44" s="243"/>
      <c r="AE44" s="243"/>
      <c r="AF44" s="243"/>
      <c r="AG44" s="243"/>
      <c r="AH44" s="243"/>
      <c r="AI44" s="243"/>
      <c r="AJ44" s="243"/>
      <c r="AK44" s="243"/>
      <c r="AL44" s="243"/>
      <c r="AM44" s="243"/>
      <c r="AN44" s="243"/>
      <c r="AO44" s="243"/>
      <c r="AP44" s="243"/>
      <c r="AQ44" s="243"/>
      <c r="AR44" s="243"/>
      <c r="AS44" s="243"/>
      <c r="AT44" s="243"/>
      <c r="AU44" s="243"/>
      <c r="AV44" s="243"/>
      <c r="AW44" s="243"/>
      <c r="AX44" s="243"/>
      <c r="AY44" s="243"/>
      <c r="AZ44" s="243"/>
      <c r="BA44" s="243"/>
      <c r="BB44" s="243"/>
      <c r="BC44" s="14"/>
      <c r="BG44" s="4"/>
      <c r="BH44" s="4"/>
      <c r="BI44" s="4"/>
      <c r="BJ44" s="4"/>
      <c r="BK44" s="4"/>
      <c r="BL44" s="4"/>
      <c r="BM44" s="4"/>
      <c r="BN44" s="4"/>
      <c r="BO44" s="4"/>
      <c r="BP44" s="181">
        <v>9</v>
      </c>
      <c r="BQ44" s="185"/>
      <c r="BR44" s="185"/>
      <c r="BS44" s="185"/>
      <c r="BT44" s="185"/>
      <c r="BU44" s="185"/>
      <c r="BV44" s="185"/>
      <c r="BW44" s="185"/>
      <c r="BX44" s="185"/>
      <c r="BY44" s="210" t="b">
        <f>IF(CI84=19,9)</f>
        <v>0</v>
      </c>
      <c r="BZ44" s="229"/>
      <c r="CA44" s="229"/>
      <c r="CB44" s="229"/>
      <c r="CC44" s="229"/>
      <c r="CD44" s="229"/>
      <c r="CE44" s="224"/>
      <c r="CF44" s="229"/>
      <c r="CG44" s="229"/>
      <c r="CH44" s="229"/>
      <c r="CI44" s="229"/>
      <c r="CJ44" s="229"/>
      <c r="CK44" s="224"/>
      <c r="CL44" s="229"/>
      <c r="CM44" s="229"/>
      <c r="CN44" s="229"/>
      <c r="CO44" s="234"/>
      <c r="CP44" s="234"/>
      <c r="CQ44" s="224"/>
      <c r="CR44" s="234"/>
      <c r="CS44" s="212" t="b">
        <f>IF(CI84=19,29)</f>
        <v>0</v>
      </c>
      <c r="CT44" s="185"/>
    </row>
    <row r="45" spans="5:98" ht="26.25" hidden="1" customHeight="1" thickBot="1" x14ac:dyDescent="0.45">
      <c r="E45" s="85"/>
      <c r="F45" s="85"/>
      <c r="G45" s="85"/>
      <c r="H45" s="243"/>
      <c r="I45" s="243"/>
      <c r="J45" s="243"/>
      <c r="K45" s="243"/>
      <c r="L45" s="243"/>
      <c r="M45" s="243"/>
      <c r="N45" s="243"/>
      <c r="O45" s="243"/>
      <c r="P45" s="243"/>
      <c r="Q45" s="243"/>
      <c r="R45" s="243"/>
      <c r="S45" s="243"/>
      <c r="AF45" s="243"/>
      <c r="AG45" s="243"/>
      <c r="AH45" s="243"/>
      <c r="AI45" s="243"/>
      <c r="AJ45" s="243"/>
      <c r="AK45" s="243"/>
      <c r="AL45" s="243"/>
      <c r="AM45" s="243"/>
      <c r="AN45" s="243"/>
      <c r="AO45" s="243"/>
      <c r="AP45" s="243"/>
      <c r="AQ45" s="243"/>
      <c r="AR45" s="243"/>
      <c r="AS45" s="243"/>
      <c r="AT45" s="243"/>
      <c r="AU45" s="243"/>
      <c r="AV45" s="243"/>
      <c r="AW45" s="243"/>
      <c r="AX45" s="243"/>
      <c r="AY45" s="243"/>
      <c r="AZ45" s="243"/>
      <c r="BA45" s="243"/>
      <c r="BB45" s="243"/>
      <c r="BC45" s="14"/>
      <c r="BG45" s="4"/>
      <c r="BH45" s="4"/>
      <c r="BI45" s="4"/>
      <c r="BJ45" s="4"/>
      <c r="BK45" s="4"/>
      <c r="BL45" s="4"/>
      <c r="BM45" s="4"/>
      <c r="BN45" s="4"/>
      <c r="BO45" s="4"/>
      <c r="BP45" s="181">
        <v>8</v>
      </c>
      <c r="BQ45" s="182"/>
      <c r="BR45" s="182"/>
      <c r="BS45" s="182"/>
      <c r="BT45" s="182"/>
      <c r="BU45" s="182"/>
      <c r="BV45" s="182"/>
      <c r="BW45" s="182"/>
      <c r="BX45" s="182"/>
      <c r="BY45" s="208" t="b">
        <f>IF(CH84=18,9)</f>
        <v>0</v>
      </c>
      <c r="BZ45" s="230"/>
      <c r="CA45" s="230"/>
      <c r="CB45" s="230"/>
      <c r="CC45" s="230"/>
      <c r="CD45" s="230"/>
      <c r="CE45" s="2"/>
      <c r="CF45" s="230"/>
      <c r="CG45" s="230"/>
      <c r="CH45" s="230"/>
      <c r="CI45" s="230"/>
      <c r="CJ45" s="230"/>
      <c r="CK45" s="2"/>
      <c r="CL45" s="230"/>
      <c r="CM45" s="230"/>
      <c r="CN45" s="230"/>
      <c r="CO45" s="235"/>
      <c r="CP45" s="235"/>
      <c r="CQ45" s="209" t="b">
        <f>IF(CH84=18,27)</f>
        <v>0</v>
      </c>
      <c r="CR45" s="185"/>
      <c r="CS45" s="185"/>
      <c r="CT45" s="185"/>
    </row>
    <row r="46" spans="5:98" ht="26.25" hidden="1" customHeight="1" thickBot="1" x14ac:dyDescent="0.45">
      <c r="E46" s="85"/>
      <c r="F46" s="85"/>
      <c r="G46" s="85"/>
      <c r="H46" s="243"/>
      <c r="I46" s="243"/>
      <c r="J46" s="243"/>
      <c r="K46" s="243"/>
      <c r="L46" s="243"/>
      <c r="M46" s="243"/>
      <c r="N46" s="243"/>
      <c r="O46" s="243"/>
      <c r="P46" s="243"/>
      <c r="Q46" s="243"/>
      <c r="R46" s="243"/>
      <c r="S46" s="243"/>
      <c r="AF46" s="243"/>
      <c r="AG46" s="243"/>
      <c r="AH46" s="243"/>
      <c r="AI46" s="243"/>
      <c r="AJ46" s="243"/>
      <c r="AK46" s="243"/>
      <c r="AL46" s="243"/>
      <c r="AM46" s="243"/>
      <c r="AN46" s="243"/>
      <c r="AO46" s="243"/>
      <c r="AP46" s="243"/>
      <c r="AQ46" s="243"/>
      <c r="AR46" s="243"/>
      <c r="AS46" s="243"/>
      <c r="AT46" s="243"/>
      <c r="AU46" s="243"/>
      <c r="AV46" s="243"/>
      <c r="AW46" s="243"/>
      <c r="AX46" s="243"/>
      <c r="AY46" s="243"/>
      <c r="AZ46" s="243"/>
      <c r="BA46" s="243"/>
      <c r="BB46" s="243"/>
      <c r="BC46" s="14"/>
      <c r="BG46" s="4"/>
      <c r="BH46" s="4"/>
      <c r="BI46" s="4"/>
      <c r="BJ46" s="4"/>
      <c r="BK46" s="4"/>
      <c r="BL46" s="4"/>
      <c r="BM46" s="4"/>
      <c r="BN46" s="4"/>
      <c r="BO46" s="4"/>
      <c r="BP46" s="1884">
        <v>7</v>
      </c>
      <c r="BQ46" s="182"/>
      <c r="BR46" s="182"/>
      <c r="BS46" s="182"/>
      <c r="BT46" s="182"/>
      <c r="BU46" s="182"/>
      <c r="BV46" s="182"/>
      <c r="BW46" s="182"/>
      <c r="BX46" s="182"/>
      <c r="BY46" s="208" t="b">
        <f>IF(CG84=17,9)</f>
        <v>0</v>
      </c>
      <c r="BZ46" s="2"/>
      <c r="CA46" s="230"/>
      <c r="CB46" s="230"/>
      <c r="CC46" s="230"/>
      <c r="CD46" s="230"/>
      <c r="CE46" s="230"/>
      <c r="CF46" s="230"/>
      <c r="CG46" s="230"/>
      <c r="CH46" s="230"/>
      <c r="CI46" s="230"/>
      <c r="CJ46" s="230"/>
      <c r="CK46" s="230"/>
      <c r="CL46" s="230"/>
      <c r="CM46" s="230"/>
      <c r="CN46" s="2"/>
      <c r="CO46" s="209" t="b">
        <f>IF(CG84=17,25)</f>
        <v>0</v>
      </c>
      <c r="CP46" s="185"/>
      <c r="CQ46" s="185"/>
      <c r="CR46" s="185"/>
      <c r="CS46" s="185"/>
      <c r="CT46" s="185"/>
    </row>
    <row r="47" spans="5:98" ht="26.25" hidden="1" customHeight="1" thickBot="1" x14ac:dyDescent="0.45">
      <c r="E47" s="85"/>
      <c r="F47" s="85"/>
      <c r="G47" s="85"/>
      <c r="H47" s="243"/>
      <c r="I47" s="243"/>
      <c r="J47" s="243"/>
      <c r="K47" s="243"/>
      <c r="L47" s="243"/>
      <c r="M47" s="243"/>
      <c r="N47" s="243"/>
      <c r="O47" s="243"/>
      <c r="P47" s="243"/>
      <c r="Q47" s="243"/>
      <c r="R47" s="243"/>
      <c r="S47" s="243"/>
      <c r="AF47" s="243"/>
      <c r="AG47" s="243"/>
      <c r="AH47" s="243"/>
      <c r="AI47" s="243"/>
      <c r="AJ47" s="243"/>
      <c r="AK47" s="243"/>
      <c r="AL47" s="243"/>
      <c r="AM47" s="243"/>
      <c r="AN47" s="243"/>
      <c r="AO47" s="243"/>
      <c r="AP47" s="243"/>
      <c r="AQ47" s="243"/>
      <c r="AR47" s="243"/>
      <c r="AS47" s="243"/>
      <c r="AT47" s="243"/>
      <c r="AU47" s="243"/>
      <c r="AV47" s="243"/>
      <c r="AW47" s="243"/>
      <c r="AX47" s="243"/>
      <c r="AY47" s="243"/>
      <c r="AZ47" s="243"/>
      <c r="BA47" s="243"/>
      <c r="BB47" s="243"/>
      <c r="BC47" s="14"/>
      <c r="BG47" s="4"/>
      <c r="BH47" s="4"/>
      <c r="BI47" s="4"/>
      <c r="BJ47" s="4"/>
      <c r="BK47" s="4"/>
      <c r="BL47" s="4"/>
      <c r="BM47" s="4"/>
      <c r="BN47" s="4"/>
      <c r="BO47" s="4"/>
      <c r="BP47" s="1884">
        <v>6</v>
      </c>
      <c r="BQ47" s="182"/>
      <c r="BR47" s="182"/>
      <c r="BS47" s="182"/>
      <c r="BT47" s="182"/>
      <c r="BU47" s="182"/>
      <c r="BV47" s="182"/>
      <c r="BW47" s="182"/>
      <c r="BY47" s="233" t="b">
        <f>IF(CF84=16,9)</f>
        <v>0</v>
      </c>
      <c r="BZ47" s="182"/>
      <c r="CA47" s="182"/>
      <c r="CB47" s="182"/>
      <c r="CC47" s="182"/>
      <c r="CD47" s="182"/>
      <c r="CE47" s="182"/>
      <c r="CF47" s="182"/>
      <c r="CG47" s="182"/>
      <c r="CH47" s="182"/>
      <c r="CI47" s="182"/>
      <c r="CJ47" s="182"/>
      <c r="CK47" s="182"/>
      <c r="CL47" s="182"/>
      <c r="CM47" s="209" t="b">
        <f>IF(CF84=16,23)</f>
        <v>0</v>
      </c>
      <c r="CO47" s="185"/>
      <c r="CP47" s="185"/>
      <c r="CQ47" s="185"/>
      <c r="CR47" s="185"/>
      <c r="CS47" s="185"/>
      <c r="CT47" s="185"/>
    </row>
    <row r="48" spans="5:98" ht="26.25" hidden="1" customHeight="1" thickBot="1" x14ac:dyDescent="0.45">
      <c r="E48" s="85"/>
      <c r="F48" s="85"/>
      <c r="G48" s="85"/>
      <c r="H48" s="243"/>
      <c r="I48" s="243"/>
      <c r="J48" s="243"/>
      <c r="K48" s="243"/>
      <c r="L48" s="243"/>
      <c r="M48" s="243"/>
      <c r="N48" s="243"/>
      <c r="O48" s="243"/>
      <c r="P48" s="243"/>
      <c r="Q48" s="243"/>
      <c r="R48" s="243"/>
      <c r="S48" s="243"/>
      <c r="AF48" s="243"/>
      <c r="AG48" s="243"/>
      <c r="AH48" s="243"/>
      <c r="AI48" s="243"/>
      <c r="AJ48" s="243"/>
      <c r="AK48" s="243"/>
      <c r="AL48" s="243"/>
      <c r="AM48" s="243"/>
      <c r="AN48" s="243"/>
      <c r="AO48" s="243"/>
      <c r="AP48" s="243"/>
      <c r="AQ48" s="243"/>
      <c r="AR48" s="243"/>
      <c r="AS48" s="243"/>
      <c r="AT48" s="243"/>
      <c r="AU48" s="243"/>
      <c r="AV48" s="243"/>
      <c r="AW48" s="243"/>
      <c r="AX48" s="243"/>
      <c r="AY48" s="243"/>
      <c r="AZ48" s="243"/>
      <c r="BA48" s="243"/>
      <c r="BB48" s="243"/>
      <c r="BC48" s="14"/>
      <c r="BG48" s="4"/>
      <c r="BH48" s="4"/>
      <c r="BI48" s="4"/>
      <c r="BJ48" s="4"/>
      <c r="BK48" s="4"/>
      <c r="BL48" s="4"/>
      <c r="BM48" s="4"/>
      <c r="BN48" s="4"/>
      <c r="BO48" s="4"/>
      <c r="BP48" s="181" t="s">
        <v>86</v>
      </c>
      <c r="BQ48" s="182"/>
      <c r="BR48" s="182"/>
      <c r="BS48" s="182"/>
      <c r="BT48" s="182"/>
      <c r="BU48" s="182"/>
      <c r="BV48" s="182"/>
      <c r="BW48" s="182"/>
      <c r="BX48" s="210" t="b">
        <f>IF(CE84=15,8)</f>
        <v>0</v>
      </c>
      <c r="BY48" s="229"/>
      <c r="BZ48" s="229"/>
      <c r="CA48" s="224"/>
      <c r="CB48" s="229"/>
      <c r="CC48" s="229"/>
      <c r="CD48" s="229"/>
      <c r="CE48" s="229"/>
      <c r="CF48" s="229"/>
      <c r="CG48" s="229"/>
      <c r="CH48" s="229"/>
      <c r="CI48" s="224"/>
      <c r="CJ48" s="229"/>
      <c r="CK48" s="229"/>
      <c r="CL48" s="212" t="b">
        <f>IF(CE84=15,22)</f>
        <v>0</v>
      </c>
      <c r="CM48" s="182"/>
      <c r="CN48" s="182"/>
      <c r="CO48" s="185"/>
      <c r="CP48" s="185"/>
      <c r="CQ48" s="185"/>
      <c r="CR48" s="185"/>
      <c r="CS48" s="185"/>
      <c r="CT48" s="185"/>
    </row>
    <row r="49" spans="2:98" ht="26.25" hidden="1" customHeight="1" thickBot="1" x14ac:dyDescent="0.45">
      <c r="E49" s="85"/>
      <c r="F49" s="85"/>
      <c r="G49" s="85"/>
      <c r="H49" s="243"/>
      <c r="I49" s="243"/>
      <c r="J49" s="243"/>
      <c r="K49" s="243"/>
      <c r="L49" s="243"/>
      <c r="M49" s="243"/>
      <c r="N49" s="243"/>
      <c r="O49" s="243"/>
      <c r="P49" s="243"/>
      <c r="Q49" s="243"/>
      <c r="R49" s="243"/>
      <c r="S49" s="243"/>
      <c r="AF49" s="243"/>
      <c r="AG49" s="243"/>
      <c r="AH49" s="243"/>
      <c r="AI49" s="243"/>
      <c r="AJ49" s="243"/>
      <c r="AK49" s="243"/>
      <c r="AL49" s="243"/>
      <c r="AM49" s="243"/>
      <c r="AN49" s="243"/>
      <c r="AO49" s="243"/>
      <c r="AP49" s="243"/>
      <c r="AQ49" s="243"/>
      <c r="AR49" s="243"/>
      <c r="AS49" s="243"/>
      <c r="AT49" s="243"/>
      <c r="AU49" s="243"/>
      <c r="AV49" s="243"/>
      <c r="AW49" s="243"/>
      <c r="AX49" s="243"/>
      <c r="AY49" s="243"/>
      <c r="AZ49" s="243"/>
      <c r="BA49" s="243"/>
      <c r="BB49" s="243"/>
      <c r="BC49" s="14"/>
      <c r="BG49" s="4"/>
      <c r="BH49" s="4"/>
      <c r="BI49" s="4"/>
      <c r="BJ49" s="4"/>
      <c r="BK49" s="4"/>
      <c r="BL49" s="4"/>
      <c r="BM49" s="4"/>
      <c r="BN49" s="4"/>
      <c r="BO49" s="4"/>
      <c r="BP49" s="181" t="s">
        <v>85</v>
      </c>
      <c r="BQ49" s="182"/>
      <c r="BR49" s="182"/>
      <c r="BS49" s="182"/>
      <c r="BT49" s="182"/>
      <c r="BU49" s="182"/>
      <c r="BV49" s="210" t="b">
        <f>IF(CD84=14,6)</f>
        <v>0</v>
      </c>
      <c r="BW49" s="229"/>
      <c r="BX49" s="229"/>
      <c r="BY49" s="224"/>
      <c r="BZ49" s="229"/>
      <c r="CA49" s="229"/>
      <c r="CB49" s="229"/>
      <c r="CC49" s="229"/>
      <c r="CD49" s="229"/>
      <c r="CE49" s="229"/>
      <c r="CF49" s="229"/>
      <c r="CG49" s="229"/>
      <c r="CH49" s="229"/>
      <c r="CI49" s="224"/>
      <c r="CJ49" s="229"/>
      <c r="CK49" s="229"/>
      <c r="CL49" s="212" t="b">
        <f>IF(CD84=14,22)</f>
        <v>0</v>
      </c>
      <c r="CM49" s="182"/>
      <c r="CN49" s="182"/>
      <c r="CO49" s="185"/>
      <c r="CP49" s="185"/>
      <c r="CQ49" s="185"/>
      <c r="CR49" s="185"/>
      <c r="CS49" s="185"/>
      <c r="CT49" s="185"/>
    </row>
    <row r="50" spans="2:98" ht="21.6" hidden="1" thickBot="1" x14ac:dyDescent="0.45">
      <c r="E50" s="85"/>
      <c r="F50" s="85"/>
      <c r="G50" s="85"/>
      <c r="H50" s="243"/>
      <c r="I50" s="243"/>
      <c r="J50" s="243"/>
      <c r="K50" s="243"/>
      <c r="L50" s="243"/>
      <c r="M50" s="243"/>
      <c r="N50" s="243"/>
      <c r="O50" s="243"/>
      <c r="P50" s="243"/>
      <c r="Q50" s="243"/>
      <c r="R50" s="243"/>
      <c r="S50" s="243"/>
      <c r="T50" s="243"/>
      <c r="U50" s="86"/>
      <c r="V50" s="243"/>
      <c r="W50" s="243"/>
      <c r="X50" s="243"/>
      <c r="Y50" s="243"/>
      <c r="Z50" s="243"/>
      <c r="AA50" s="243"/>
      <c r="AB50" s="86"/>
      <c r="AC50" s="86"/>
      <c r="AD50" s="86"/>
      <c r="AE50" s="86"/>
      <c r="AF50" s="243"/>
      <c r="AG50" s="243"/>
      <c r="AH50" s="243"/>
      <c r="AI50" s="243"/>
      <c r="AJ50" s="243"/>
      <c r="AK50" s="243"/>
      <c r="AL50" s="243"/>
      <c r="AM50" s="243"/>
      <c r="AN50" s="243"/>
      <c r="AO50" s="243"/>
      <c r="AP50" s="243"/>
      <c r="AQ50" s="243"/>
      <c r="AR50" s="243"/>
      <c r="AS50" s="243"/>
      <c r="AT50" s="243"/>
      <c r="AU50" s="243"/>
      <c r="AV50" s="243"/>
      <c r="AW50" s="243"/>
      <c r="AX50" s="243"/>
      <c r="AY50" s="243"/>
      <c r="AZ50" s="243"/>
      <c r="BA50" s="243"/>
      <c r="BB50" s="243"/>
      <c r="BC50" s="14"/>
      <c r="BG50" s="4"/>
      <c r="BH50" s="4"/>
      <c r="BI50" s="4"/>
      <c r="BJ50" s="4"/>
      <c r="BK50" s="4"/>
      <c r="BL50" s="4"/>
      <c r="BM50" s="4"/>
      <c r="BN50" s="4"/>
      <c r="BO50" s="4"/>
      <c r="BP50" s="181">
        <v>5</v>
      </c>
      <c r="BQ50" s="182"/>
      <c r="BR50" s="182"/>
      <c r="BS50" s="182"/>
      <c r="BT50" s="210" t="b">
        <f>IF(CC84=13,4)</f>
        <v>0</v>
      </c>
      <c r="BU50" s="229"/>
      <c r="BV50" s="229"/>
      <c r="BW50" s="224"/>
      <c r="BX50" s="229"/>
      <c r="BY50" s="229"/>
      <c r="BZ50" s="229"/>
      <c r="CA50" s="229"/>
      <c r="CB50" s="229"/>
      <c r="CC50" s="229"/>
      <c r="CD50" s="229"/>
      <c r="CE50" s="229"/>
      <c r="CF50" s="229"/>
      <c r="CG50" s="229"/>
      <c r="CH50" s="229"/>
      <c r="CI50" s="224"/>
      <c r="CJ50" s="229"/>
      <c r="CK50" s="229"/>
      <c r="CL50" s="212" t="b">
        <f>IF(CC84=13,22)</f>
        <v>0</v>
      </c>
      <c r="CM50" s="182"/>
      <c r="CN50" s="182"/>
      <c r="CO50" s="185"/>
      <c r="CP50" s="185"/>
      <c r="CQ50" s="185"/>
      <c r="CR50" s="185"/>
      <c r="CS50" s="185"/>
      <c r="CT50" s="185"/>
    </row>
    <row r="51" spans="2:98" ht="21.6" hidden="1" thickBot="1" x14ac:dyDescent="0.45">
      <c r="E51" s="85"/>
      <c r="F51" s="85"/>
      <c r="G51" s="85"/>
      <c r="H51" s="243"/>
      <c r="I51" s="243"/>
      <c r="J51" s="243"/>
      <c r="K51" s="243"/>
      <c r="L51" s="243"/>
      <c r="M51" s="243"/>
      <c r="N51" s="243"/>
      <c r="O51" s="243"/>
      <c r="P51" s="243"/>
      <c r="Q51" s="243"/>
      <c r="R51" s="243"/>
      <c r="S51" s="265"/>
      <c r="T51" s="244"/>
      <c r="U51" s="244"/>
      <c r="AF51" s="243"/>
      <c r="AG51" s="243"/>
      <c r="AH51" s="243"/>
      <c r="AI51" s="243"/>
      <c r="AJ51" s="243"/>
      <c r="AK51" s="243"/>
      <c r="AL51" s="243"/>
      <c r="AM51" s="243"/>
      <c r="AN51" s="243"/>
      <c r="AO51" s="243"/>
      <c r="AP51" s="243"/>
      <c r="AQ51" s="243"/>
      <c r="AR51" s="243"/>
      <c r="AS51" s="243"/>
      <c r="AT51" s="243"/>
      <c r="AU51" s="243"/>
      <c r="AV51" s="243"/>
      <c r="AW51" s="243"/>
      <c r="AX51" s="243"/>
      <c r="AY51" s="243"/>
      <c r="AZ51" s="243"/>
      <c r="BA51" s="243"/>
      <c r="BB51" s="243"/>
      <c r="BC51" s="14"/>
      <c r="BG51" s="4"/>
      <c r="BH51" s="4"/>
      <c r="BI51" s="4"/>
      <c r="BJ51" s="4"/>
      <c r="BK51" s="4"/>
      <c r="BL51" s="4"/>
      <c r="BM51" s="4"/>
      <c r="BN51" s="4"/>
      <c r="BO51" s="4"/>
      <c r="BP51" s="181">
        <v>4</v>
      </c>
      <c r="BQ51" s="182"/>
      <c r="BR51" s="210" t="b">
        <f>IF(CB84=12,2)</f>
        <v>0</v>
      </c>
      <c r="BS51" s="229"/>
      <c r="BT51" s="229"/>
      <c r="BU51" s="224"/>
      <c r="BV51" s="229"/>
      <c r="BW51" s="229"/>
      <c r="BX51" s="229"/>
      <c r="BY51" s="229"/>
      <c r="BZ51" s="229"/>
      <c r="CA51" s="229"/>
      <c r="CB51" s="229"/>
      <c r="CC51" s="229"/>
      <c r="CD51" s="229"/>
      <c r="CE51" s="229"/>
      <c r="CF51" s="229"/>
      <c r="CG51" s="229"/>
      <c r="CH51" s="229"/>
      <c r="CI51" s="224"/>
      <c r="CJ51" s="229"/>
      <c r="CK51" s="229"/>
      <c r="CL51" s="212" t="b">
        <f>IF(CB84=12,22)</f>
        <v>0</v>
      </c>
      <c r="CM51" s="182"/>
      <c r="CN51" s="182"/>
      <c r="CO51" s="185"/>
      <c r="CP51" s="185"/>
      <c r="CQ51" s="185"/>
      <c r="CR51" s="185"/>
      <c r="CS51" s="185"/>
      <c r="CT51" s="185"/>
    </row>
    <row r="52" spans="2:98" ht="21.6" hidden="1" thickBot="1" x14ac:dyDescent="0.45">
      <c r="E52" s="85"/>
      <c r="F52" s="85"/>
      <c r="G52" s="85"/>
      <c r="H52" s="243"/>
      <c r="I52" s="243"/>
      <c r="J52" s="243"/>
      <c r="K52" s="243"/>
      <c r="L52" s="243"/>
      <c r="M52" s="243"/>
      <c r="N52" s="243"/>
      <c r="O52" s="243"/>
      <c r="P52" s="243"/>
      <c r="Q52" s="243"/>
      <c r="R52" s="243"/>
      <c r="S52" s="265"/>
      <c r="T52" s="266"/>
      <c r="U52" s="244"/>
      <c r="AF52" s="243"/>
      <c r="AG52" s="243"/>
      <c r="AH52" s="243"/>
      <c r="AI52" s="243"/>
      <c r="AJ52" s="243"/>
      <c r="AK52" s="243"/>
      <c r="AL52" s="243"/>
      <c r="AM52" s="243"/>
      <c r="AN52" s="243"/>
      <c r="AO52" s="243"/>
      <c r="AP52" s="243"/>
      <c r="AQ52" s="243"/>
      <c r="AR52" s="243"/>
      <c r="AS52" s="243"/>
      <c r="AT52" s="243"/>
      <c r="AU52" s="243"/>
      <c r="AV52" s="243"/>
      <c r="AW52" s="243"/>
      <c r="AX52" s="243"/>
      <c r="AY52" s="243"/>
      <c r="AZ52" s="243"/>
      <c r="BA52" s="243"/>
      <c r="BB52" s="243"/>
      <c r="BC52" s="14"/>
      <c r="BG52" s="4"/>
      <c r="BH52" s="4"/>
      <c r="BI52" s="4"/>
      <c r="BJ52" s="4"/>
      <c r="BK52" s="4"/>
      <c r="BL52" s="4"/>
      <c r="BM52" s="4"/>
      <c r="BN52" s="4"/>
      <c r="BO52" s="4"/>
      <c r="BP52" s="181">
        <v>3</v>
      </c>
      <c r="BQ52" s="210">
        <f>IF(CA84=11,1)</f>
        <v>1</v>
      </c>
      <c r="BR52" s="230"/>
      <c r="BS52" s="2"/>
      <c r="BT52" s="230"/>
      <c r="BU52" s="230"/>
      <c r="BV52" s="230"/>
      <c r="BW52" s="230"/>
      <c r="BX52" s="230"/>
      <c r="BY52" s="230"/>
      <c r="BZ52" s="230"/>
      <c r="CA52" s="230"/>
      <c r="CB52" s="230"/>
      <c r="CC52" s="230"/>
      <c r="CD52" s="230"/>
      <c r="CE52" s="230"/>
      <c r="CF52" s="230"/>
      <c r="CG52" s="230"/>
      <c r="CH52" s="230"/>
      <c r="CI52" s="2"/>
      <c r="CJ52" s="230"/>
      <c r="CK52" s="209">
        <f>IF(CA84=11,21)</f>
        <v>21</v>
      </c>
      <c r="CL52" s="182"/>
      <c r="CM52" s="182"/>
      <c r="CN52" s="182"/>
      <c r="CO52" s="185"/>
      <c r="CP52" s="185"/>
      <c r="CQ52" s="185"/>
      <c r="CR52" s="185"/>
      <c r="CS52" s="185"/>
      <c r="CT52" s="185"/>
    </row>
    <row r="53" spans="2:98" ht="21.6" hidden="1" thickBot="1" x14ac:dyDescent="0.45">
      <c r="E53" s="85"/>
      <c r="F53" s="85"/>
      <c r="G53" s="85"/>
      <c r="H53" s="243"/>
      <c r="I53" s="243"/>
      <c r="J53" s="243"/>
      <c r="K53" s="243"/>
      <c r="L53" s="243"/>
      <c r="M53" s="243"/>
      <c r="N53" s="243"/>
      <c r="O53" s="243"/>
      <c r="P53" s="243"/>
      <c r="Q53" s="243"/>
      <c r="R53" s="243"/>
      <c r="S53" s="265"/>
      <c r="T53" s="265"/>
      <c r="U53" s="86"/>
      <c r="V53" s="243"/>
      <c r="W53" s="243"/>
      <c r="X53" s="243"/>
      <c r="Y53" s="243"/>
      <c r="Z53" s="243"/>
      <c r="AA53" s="243"/>
      <c r="AB53" s="86"/>
      <c r="AC53" s="86"/>
      <c r="AD53" s="86"/>
      <c r="AE53" s="86"/>
      <c r="AF53" s="243"/>
      <c r="AG53" s="243"/>
      <c r="AH53" s="243"/>
      <c r="AI53" s="243"/>
      <c r="AJ53" s="243"/>
      <c r="AK53" s="243"/>
      <c r="AL53" s="243"/>
      <c r="AM53" s="243"/>
      <c r="AN53" s="243"/>
      <c r="AO53" s="243"/>
      <c r="AP53" s="243"/>
      <c r="AQ53" s="243"/>
      <c r="AR53" s="243"/>
      <c r="AS53" s="243"/>
      <c r="AT53" s="243"/>
      <c r="AU53" s="243"/>
      <c r="AV53" s="243"/>
      <c r="AW53" s="243"/>
      <c r="AX53" s="243"/>
      <c r="AY53" s="243"/>
      <c r="AZ53" s="243"/>
      <c r="BA53" s="243"/>
      <c r="BB53" s="243"/>
      <c r="BC53" s="14"/>
      <c r="BG53" s="4"/>
      <c r="BH53" s="4"/>
      <c r="BI53" s="4"/>
      <c r="BJ53" s="4"/>
      <c r="BK53" s="4"/>
      <c r="BL53" s="4"/>
      <c r="BM53" s="4"/>
      <c r="BN53" s="4"/>
      <c r="BO53" s="4"/>
      <c r="BP53" s="181">
        <v>2</v>
      </c>
      <c r="BQ53" s="208" t="b">
        <f>IF(BZ84=10,1)</f>
        <v>0</v>
      </c>
      <c r="BR53" s="230"/>
      <c r="BS53" s="230"/>
      <c r="BT53" s="230"/>
      <c r="BU53" s="230"/>
      <c r="BV53" s="230"/>
      <c r="BW53" s="230"/>
      <c r="BX53" s="230"/>
      <c r="BY53" s="230"/>
      <c r="BZ53" s="230"/>
      <c r="CA53" s="230"/>
      <c r="CB53" s="230"/>
      <c r="CC53" s="230"/>
      <c r="CD53" s="230"/>
      <c r="CE53" s="230"/>
      <c r="CF53" s="230"/>
      <c r="CG53" s="230"/>
      <c r="CH53" s="230"/>
      <c r="CI53" s="209" t="b">
        <f>IF(BZ84=10,19)</f>
        <v>0</v>
      </c>
      <c r="CJ53" s="182"/>
      <c r="CK53" s="182"/>
      <c r="CL53" s="182"/>
      <c r="CM53" s="182"/>
      <c r="CN53" s="182"/>
      <c r="CO53" s="185"/>
      <c r="CP53" s="185"/>
      <c r="CQ53" s="185"/>
      <c r="CR53" s="185"/>
      <c r="CS53" s="185"/>
      <c r="CT53" s="185"/>
    </row>
    <row r="54" spans="2:98" ht="21.6" hidden="1" thickBot="1" x14ac:dyDescent="0.45">
      <c r="E54" s="85"/>
      <c r="F54" s="85"/>
      <c r="G54" s="85"/>
      <c r="H54" s="243"/>
      <c r="I54" s="243"/>
      <c r="J54" s="243"/>
      <c r="K54" s="243"/>
      <c r="L54" s="243"/>
      <c r="M54" s="243"/>
      <c r="N54" s="243"/>
      <c r="O54" s="243"/>
      <c r="P54" s="243"/>
      <c r="Q54" s="243"/>
      <c r="R54" s="243"/>
      <c r="U54" s="86"/>
      <c r="V54" s="243"/>
      <c r="W54" s="243"/>
      <c r="X54" s="243"/>
      <c r="Y54" s="243"/>
      <c r="Z54" s="243"/>
      <c r="AA54" s="243"/>
      <c r="AB54" s="86"/>
      <c r="AC54" s="86"/>
      <c r="AD54" s="86"/>
      <c r="AE54" s="86"/>
      <c r="AF54" s="243"/>
      <c r="AG54" s="243"/>
      <c r="AH54" s="243"/>
      <c r="AI54" s="243"/>
      <c r="AJ54" s="243"/>
      <c r="AK54" s="243"/>
      <c r="AL54" s="243"/>
      <c r="AM54" s="243"/>
      <c r="AN54" s="243"/>
      <c r="AO54" s="243"/>
      <c r="AP54" s="243"/>
      <c r="AQ54" s="243"/>
      <c r="AR54" s="243"/>
      <c r="AS54" s="243"/>
      <c r="AT54" s="243"/>
      <c r="AU54" s="243"/>
      <c r="AV54" s="243"/>
      <c r="AW54" s="243"/>
      <c r="AX54" s="243"/>
      <c r="AY54" s="243"/>
      <c r="AZ54" s="243"/>
      <c r="BA54" s="243"/>
      <c r="BB54" s="243"/>
      <c r="BC54" s="14"/>
      <c r="BG54" s="4"/>
      <c r="BH54" s="4"/>
      <c r="BI54" s="4"/>
      <c r="BJ54" s="4"/>
      <c r="BK54" s="4"/>
      <c r="BL54" s="4"/>
      <c r="BM54" s="4"/>
      <c r="BN54" s="4"/>
      <c r="BO54" s="4"/>
      <c r="BP54" s="181">
        <v>1</v>
      </c>
      <c r="BQ54" s="208" t="b">
        <f>IF(BY84=9,1)</f>
        <v>0</v>
      </c>
      <c r="BR54" s="230"/>
      <c r="BS54" s="230"/>
      <c r="BT54" s="230"/>
      <c r="BU54" s="230"/>
      <c r="BV54" s="230"/>
      <c r="BW54" s="230"/>
      <c r="BX54" s="230"/>
      <c r="BY54" s="230"/>
      <c r="BZ54" s="230"/>
      <c r="CA54" s="230"/>
      <c r="CB54" s="230"/>
      <c r="CC54" s="230"/>
      <c r="CD54" s="230"/>
      <c r="CE54" s="230"/>
      <c r="CF54" s="230"/>
      <c r="CG54" s="209" t="b">
        <f>IF(BY84=9,17)</f>
        <v>0</v>
      </c>
      <c r="CH54" s="182"/>
      <c r="CI54" s="182"/>
      <c r="CJ54" s="182"/>
      <c r="CK54" s="182"/>
      <c r="CL54" s="182"/>
      <c r="CM54" s="182"/>
      <c r="CN54" s="182"/>
      <c r="CO54" s="185"/>
      <c r="CP54" s="185"/>
      <c r="CQ54" s="185"/>
      <c r="CR54" s="185"/>
      <c r="CS54" s="185"/>
      <c r="CT54" s="185"/>
    </row>
    <row r="55" spans="2:98" ht="21.6" hidden="1" thickBot="1" x14ac:dyDescent="0.45">
      <c r="E55" s="85"/>
      <c r="F55" s="85"/>
      <c r="G55" s="85"/>
      <c r="H55" s="243"/>
      <c r="I55" s="243"/>
      <c r="J55" s="243"/>
      <c r="K55" s="243"/>
      <c r="L55" s="243"/>
      <c r="M55" s="243"/>
      <c r="N55" s="243"/>
      <c r="O55" s="243"/>
      <c r="P55" s="243"/>
      <c r="Q55" s="243"/>
      <c r="R55" s="243"/>
      <c r="U55" s="86"/>
      <c r="V55" s="243"/>
      <c r="W55" s="243"/>
      <c r="X55" s="243"/>
      <c r="Y55" s="243"/>
      <c r="Z55" s="243"/>
      <c r="AA55" s="243"/>
      <c r="AB55" s="86"/>
      <c r="AC55" s="86"/>
      <c r="AD55" s="86"/>
      <c r="AE55" s="86"/>
      <c r="AF55" s="243"/>
      <c r="AG55" s="243"/>
      <c r="AH55" s="243"/>
      <c r="AI55" s="243"/>
      <c r="AJ55" s="243"/>
      <c r="AK55" s="243"/>
      <c r="AL55" s="243"/>
      <c r="AM55" s="243"/>
      <c r="AN55" s="243"/>
      <c r="AO55" s="243"/>
      <c r="AP55" s="243"/>
      <c r="AQ55" s="243"/>
      <c r="AR55" s="243"/>
      <c r="AS55" s="243"/>
      <c r="AT55" s="243"/>
      <c r="AU55" s="243"/>
      <c r="AV55" s="243"/>
      <c r="AW55" s="243"/>
      <c r="AX55" s="243"/>
      <c r="AY55" s="243"/>
      <c r="AZ55" s="243"/>
      <c r="BA55" s="243"/>
      <c r="BB55" s="243"/>
      <c r="BC55" s="14"/>
      <c r="BG55" s="4"/>
      <c r="BH55" s="4"/>
      <c r="BI55" s="4"/>
      <c r="BJ55" s="4"/>
      <c r="BK55" s="4"/>
      <c r="BL55" s="4"/>
      <c r="BM55" s="4"/>
      <c r="BN55" s="4"/>
      <c r="BO55" s="4"/>
      <c r="BP55" s="181" t="s">
        <v>84</v>
      </c>
      <c r="BR55" s="182"/>
      <c r="BS55" s="208" t="b">
        <f>IF(BX84=8,3)</f>
        <v>0</v>
      </c>
      <c r="BT55" s="230"/>
      <c r="BU55" s="230"/>
      <c r="BV55" s="230"/>
      <c r="BW55" s="230"/>
      <c r="BX55" s="230"/>
      <c r="BY55" s="230"/>
      <c r="BZ55" s="230"/>
      <c r="CA55" s="230"/>
      <c r="CB55" s="230"/>
      <c r="CC55" s="209" t="b">
        <f>IF(BX84=8,5)</f>
        <v>0</v>
      </c>
      <c r="CD55" s="182"/>
      <c r="CF55" s="182"/>
      <c r="CG55" s="182"/>
      <c r="CH55" s="182"/>
      <c r="CI55" s="182"/>
      <c r="CJ55" s="182"/>
      <c r="CK55" s="182"/>
      <c r="CL55" s="182"/>
      <c r="CM55" s="182"/>
      <c r="CN55" s="182"/>
      <c r="CO55" s="185"/>
      <c r="CP55" s="185"/>
      <c r="CQ55" s="185"/>
      <c r="CR55" s="185"/>
      <c r="CS55" s="185"/>
      <c r="CT55" s="185"/>
    </row>
    <row r="56" spans="2:98" ht="21.6" hidden="1" thickBot="1" x14ac:dyDescent="0.45">
      <c r="E56" s="85"/>
      <c r="F56" s="85"/>
      <c r="G56" s="85"/>
      <c r="H56" s="243"/>
      <c r="I56" s="243"/>
      <c r="J56" s="243"/>
      <c r="K56" s="243"/>
      <c r="L56" s="243"/>
      <c r="M56" s="243"/>
      <c r="N56" s="243"/>
      <c r="O56" s="243"/>
      <c r="P56" s="243"/>
      <c r="Q56" s="243"/>
      <c r="R56" s="243"/>
      <c r="U56" s="86"/>
      <c r="V56" s="243"/>
      <c r="W56" s="243"/>
      <c r="X56" s="243"/>
      <c r="Y56" s="243"/>
      <c r="Z56" s="243"/>
      <c r="AA56" s="243"/>
      <c r="AB56" s="86"/>
      <c r="AC56" s="86"/>
      <c r="AD56" s="86"/>
      <c r="AE56" s="86"/>
      <c r="AF56" s="243"/>
      <c r="AG56" s="243"/>
      <c r="AH56" s="243"/>
      <c r="AI56" s="243"/>
      <c r="AJ56" s="243"/>
      <c r="AK56" s="243"/>
      <c r="AL56" s="243"/>
      <c r="AM56" s="243"/>
      <c r="AN56" s="243"/>
      <c r="AO56" s="243"/>
      <c r="AP56" s="243"/>
      <c r="AQ56" s="243"/>
      <c r="AR56" s="243"/>
      <c r="AS56" s="243"/>
      <c r="AT56" s="243"/>
      <c r="AU56" s="243"/>
      <c r="AV56" s="243"/>
      <c r="AW56" s="243"/>
      <c r="AX56" s="243"/>
      <c r="AY56" s="243"/>
      <c r="AZ56" s="243"/>
      <c r="BA56" s="243"/>
      <c r="BB56" s="243"/>
      <c r="BC56" s="14"/>
      <c r="BG56" s="4"/>
      <c r="BH56" s="4"/>
      <c r="BI56" s="4"/>
      <c r="BJ56" s="4"/>
      <c r="BK56" s="4"/>
      <c r="BL56" s="4"/>
      <c r="BM56" s="4"/>
      <c r="BN56" s="4"/>
      <c r="BO56" s="4"/>
      <c r="BP56" s="181" t="s">
        <v>16</v>
      </c>
      <c r="BQ56" s="182"/>
      <c r="BR56" s="210" t="b">
        <f>IF(BW84=7,2)</f>
        <v>0</v>
      </c>
      <c r="BS56" s="230"/>
      <c r="BT56" s="230"/>
      <c r="BU56" s="230"/>
      <c r="BV56" s="230"/>
      <c r="BW56" s="230"/>
      <c r="BX56" s="230"/>
      <c r="BY56" s="230"/>
      <c r="BZ56" s="230"/>
      <c r="CA56" s="2"/>
      <c r="CB56" s="209" t="b">
        <f>IF(BW84=7,12)</f>
        <v>0</v>
      </c>
      <c r="CC56" s="182"/>
      <c r="CD56" s="182"/>
      <c r="CE56" s="182"/>
      <c r="CF56" s="182"/>
      <c r="CG56" s="182"/>
      <c r="CH56" s="182"/>
      <c r="CI56" s="182"/>
      <c r="CJ56" s="182"/>
      <c r="CK56" s="182"/>
      <c r="CL56" s="182"/>
      <c r="CM56" s="182"/>
      <c r="CN56" s="182"/>
      <c r="CO56" s="185"/>
      <c r="CP56" s="185"/>
      <c r="CQ56" s="185"/>
      <c r="CR56" s="185"/>
      <c r="CS56" s="185"/>
      <c r="CT56" s="185"/>
    </row>
    <row r="57" spans="2:98" ht="21.6" hidden="1" thickBot="1" x14ac:dyDescent="0.45">
      <c r="E57" s="85"/>
      <c r="F57" s="85"/>
      <c r="G57" s="85"/>
      <c r="H57" s="243"/>
      <c r="I57" s="243"/>
      <c r="J57" s="243"/>
      <c r="K57" s="243"/>
      <c r="L57" s="243"/>
      <c r="M57" s="243"/>
      <c r="N57" s="243"/>
      <c r="O57" s="243"/>
      <c r="P57" s="243"/>
      <c r="Q57" s="243"/>
      <c r="R57" s="243"/>
      <c r="S57" s="243"/>
      <c r="T57" s="243"/>
      <c r="U57" s="86"/>
      <c r="V57" s="243"/>
      <c r="W57" s="243"/>
      <c r="X57" s="243"/>
      <c r="Y57" s="243"/>
      <c r="Z57" s="243"/>
      <c r="AA57" s="243"/>
      <c r="AB57" s="86"/>
      <c r="AC57" s="86"/>
      <c r="AD57" s="86"/>
      <c r="AE57" s="86"/>
      <c r="AF57" s="243"/>
      <c r="AG57" s="243"/>
      <c r="AH57" s="243"/>
      <c r="AI57" s="243"/>
      <c r="AJ57" s="243"/>
      <c r="AK57" s="243"/>
      <c r="AL57" s="243"/>
      <c r="AM57" s="243"/>
      <c r="AN57" s="243"/>
      <c r="AO57" s="243"/>
      <c r="AP57" s="243"/>
      <c r="AQ57" s="243"/>
      <c r="AR57" s="243"/>
      <c r="AS57" s="243"/>
      <c r="AT57" s="243"/>
      <c r="AU57" s="243"/>
      <c r="AV57" s="243"/>
      <c r="AW57" s="243"/>
      <c r="AX57" s="243"/>
      <c r="AY57" s="243"/>
      <c r="AZ57" s="243"/>
      <c r="BA57" s="243"/>
      <c r="BB57" s="243"/>
      <c r="BC57" s="14"/>
      <c r="BG57" s="4"/>
      <c r="BH57" s="4"/>
      <c r="BI57" s="4"/>
      <c r="BJ57" s="4"/>
      <c r="BK57" s="4"/>
      <c r="BL57" s="4"/>
      <c r="BM57" s="4"/>
      <c r="BN57" s="4"/>
      <c r="BO57" s="4"/>
      <c r="BP57" s="181" t="s">
        <v>83</v>
      </c>
      <c r="BQ57" s="210" t="b">
        <f>IF(BV84=6,1)</f>
        <v>0</v>
      </c>
      <c r="BR57" s="229"/>
      <c r="BS57" s="229"/>
      <c r="BT57" s="229"/>
      <c r="BU57" s="229"/>
      <c r="BV57" s="229"/>
      <c r="BW57" s="229"/>
      <c r="BX57" s="229"/>
      <c r="BY57" s="229"/>
      <c r="BZ57" s="229"/>
      <c r="CA57" s="212" t="b">
        <f>IF(BV84=6,11)</f>
        <v>0</v>
      </c>
      <c r="CB57" s="182"/>
      <c r="CC57" s="182"/>
      <c r="CD57" s="182"/>
      <c r="CE57" s="182"/>
      <c r="CF57" s="182"/>
      <c r="CG57" s="182"/>
      <c r="CH57" s="182"/>
      <c r="CI57" s="182"/>
      <c r="CJ57" s="182"/>
      <c r="CK57" s="182"/>
      <c r="CL57" s="182"/>
      <c r="CM57" s="182"/>
      <c r="CN57" s="182"/>
      <c r="CO57" s="185"/>
      <c r="CP57" s="185"/>
      <c r="CQ57" s="185"/>
      <c r="CR57" s="185"/>
      <c r="CS57" s="185"/>
      <c r="CT57" s="185"/>
    </row>
    <row r="58" spans="2:98" ht="21.6" hidden="1" thickBot="1" x14ac:dyDescent="0.45">
      <c r="E58" s="85"/>
      <c r="F58" s="85"/>
      <c r="G58" s="85"/>
      <c r="H58" s="243"/>
      <c r="I58" s="243"/>
      <c r="J58" s="243"/>
      <c r="K58" s="243"/>
      <c r="L58" s="243"/>
      <c r="M58" s="243"/>
      <c r="N58" s="243"/>
      <c r="O58" s="243"/>
      <c r="P58" s="243"/>
      <c r="Q58" s="243"/>
      <c r="R58" s="243"/>
      <c r="S58" s="243"/>
      <c r="T58" s="243"/>
      <c r="U58" s="86"/>
      <c r="V58" s="243"/>
      <c r="W58" s="243"/>
      <c r="X58" s="243"/>
      <c r="Y58" s="243"/>
      <c r="Z58" s="243"/>
      <c r="AA58" s="243"/>
      <c r="AB58" s="86"/>
      <c r="AC58" s="86"/>
      <c r="AD58" s="86"/>
      <c r="AE58" s="86"/>
      <c r="AF58" s="243"/>
      <c r="AG58" s="243"/>
      <c r="AH58" s="243"/>
      <c r="AI58" s="243"/>
      <c r="AJ58" s="243"/>
      <c r="AK58" s="243"/>
      <c r="AL58" s="243"/>
      <c r="AM58" s="243"/>
      <c r="AN58" s="243"/>
      <c r="AO58" s="243"/>
      <c r="AP58" s="243"/>
      <c r="AQ58" s="243"/>
      <c r="AR58" s="243"/>
      <c r="AS58" s="243"/>
      <c r="AT58" s="243"/>
      <c r="AU58" s="243"/>
      <c r="AV58" s="243"/>
      <c r="AW58" s="243"/>
      <c r="AX58" s="243"/>
      <c r="AY58" s="243"/>
      <c r="AZ58" s="243"/>
      <c r="BA58" s="243"/>
      <c r="BB58" s="243"/>
      <c r="BC58" s="14"/>
      <c r="BG58" s="4"/>
      <c r="BH58" s="4"/>
      <c r="BI58" s="4"/>
      <c r="BJ58" s="4"/>
      <c r="BK58" s="4"/>
      <c r="BL58" s="4"/>
      <c r="BM58" s="4"/>
      <c r="BN58" s="4"/>
      <c r="BO58" s="4"/>
      <c r="BP58" s="181" t="s">
        <v>37</v>
      </c>
      <c r="BQ58" s="208" t="b">
        <f>IF(BU84=5,1)</f>
        <v>0</v>
      </c>
      <c r="BR58" s="2"/>
      <c r="BS58" s="230"/>
      <c r="BT58" s="230"/>
      <c r="BU58" s="230"/>
      <c r="BV58" s="230"/>
      <c r="BW58" s="230"/>
      <c r="BX58" s="2"/>
      <c r="BY58" s="209" t="b">
        <f>IF(BU84=5,9)</f>
        <v>0</v>
      </c>
      <c r="BZ58" s="182"/>
      <c r="CA58" s="182"/>
      <c r="CB58" s="182"/>
      <c r="CC58" s="182"/>
      <c r="CD58" s="182"/>
      <c r="CE58" s="182"/>
      <c r="CF58" s="182"/>
      <c r="CG58" s="182"/>
      <c r="CH58" s="182"/>
      <c r="CI58" s="182"/>
      <c r="CJ58" s="182"/>
      <c r="CK58" s="182"/>
      <c r="CL58" s="182"/>
      <c r="CM58" s="182"/>
      <c r="CN58" s="182"/>
      <c r="CO58" s="185"/>
      <c r="CP58" s="185"/>
      <c r="CQ58" s="185"/>
      <c r="CR58" s="185"/>
      <c r="CS58" s="185"/>
      <c r="CT58" s="185"/>
    </row>
    <row r="59" spans="2:98" ht="21.6" hidden="1" thickBot="1" x14ac:dyDescent="0.45">
      <c r="E59" s="85"/>
      <c r="F59" s="85"/>
      <c r="G59" s="85"/>
      <c r="H59" s="243"/>
      <c r="I59" s="243"/>
      <c r="J59" s="243"/>
      <c r="K59" s="243"/>
      <c r="L59" s="243"/>
      <c r="M59" s="243"/>
      <c r="N59" s="243"/>
      <c r="O59" s="243"/>
      <c r="P59" s="243"/>
      <c r="Q59" s="243"/>
      <c r="R59" s="243"/>
      <c r="S59" s="243"/>
      <c r="T59" s="243"/>
      <c r="U59" s="86"/>
      <c r="V59" s="243"/>
      <c r="W59" s="243"/>
      <c r="X59" s="243"/>
      <c r="Y59" s="243"/>
      <c r="Z59" s="243"/>
      <c r="AA59" s="243"/>
      <c r="AB59" s="86"/>
      <c r="AC59" s="86"/>
      <c r="AD59" s="86"/>
      <c r="AE59" s="86"/>
      <c r="AF59" s="243"/>
      <c r="AG59" s="243"/>
      <c r="AH59" s="243"/>
      <c r="AI59" s="243"/>
      <c r="AJ59" s="243"/>
      <c r="AK59" s="243"/>
      <c r="AL59" s="243"/>
      <c r="AM59" s="243"/>
      <c r="AN59" s="243"/>
      <c r="AO59" s="243"/>
      <c r="AP59" s="243"/>
      <c r="AQ59" s="243"/>
      <c r="AR59" s="243"/>
      <c r="AS59" s="243"/>
      <c r="AT59" s="243"/>
      <c r="AU59" s="243"/>
      <c r="AV59" s="243"/>
      <c r="AW59" s="243"/>
      <c r="AX59" s="243"/>
      <c r="AY59" s="243"/>
      <c r="AZ59" s="243"/>
      <c r="BA59" s="243"/>
      <c r="BB59" s="243"/>
      <c r="BC59" s="14"/>
      <c r="BG59" s="4"/>
      <c r="BH59" s="4"/>
      <c r="BI59" s="4"/>
      <c r="BJ59" s="4"/>
      <c r="BK59" s="4"/>
      <c r="BL59" s="4"/>
      <c r="BM59" s="4"/>
      <c r="BN59" s="4"/>
      <c r="BO59" s="4"/>
      <c r="BP59" s="181" t="s">
        <v>36</v>
      </c>
      <c r="BQ59" s="208" t="b">
        <f>IF(BT84=4,1)</f>
        <v>0</v>
      </c>
      <c r="BR59" s="230"/>
      <c r="BS59" s="230"/>
      <c r="BT59" s="230"/>
      <c r="BU59" s="230"/>
      <c r="BV59" s="230"/>
      <c r="BW59" s="209" t="b">
        <f>IF(BT84=4,7)</f>
        <v>0</v>
      </c>
      <c r="BX59" s="182"/>
      <c r="BY59" s="194"/>
      <c r="BZ59" s="194"/>
      <c r="CA59" s="182"/>
      <c r="CB59" s="194"/>
      <c r="CC59" s="182"/>
      <c r="CD59" s="182"/>
      <c r="CE59" s="182"/>
      <c r="CF59" s="182"/>
      <c r="CG59" s="182"/>
      <c r="CH59" s="182"/>
      <c r="CI59" s="182"/>
      <c r="CJ59" s="182"/>
      <c r="CK59" s="182"/>
      <c r="CL59" s="182"/>
      <c r="CM59" s="182"/>
      <c r="CN59" s="182"/>
      <c r="CO59" s="185"/>
      <c r="CP59" s="185"/>
      <c r="CQ59" s="185"/>
      <c r="CR59" s="185"/>
      <c r="CS59" s="185"/>
      <c r="CT59" s="185"/>
    </row>
    <row r="60" spans="2:98" ht="21.6" hidden="1" thickBot="1" x14ac:dyDescent="0.45">
      <c r="D60" s="85"/>
      <c r="E60" s="85"/>
      <c r="F60" s="85"/>
      <c r="G60" s="85"/>
      <c r="H60" s="243"/>
      <c r="I60" s="243"/>
      <c r="J60" s="243"/>
      <c r="K60" s="243"/>
      <c r="L60" s="243"/>
      <c r="M60" s="243"/>
      <c r="N60" s="243"/>
      <c r="O60" s="243"/>
      <c r="P60" s="243"/>
      <c r="Q60" s="243"/>
      <c r="R60" s="243"/>
      <c r="S60" s="243"/>
      <c r="T60" s="243"/>
      <c r="U60" s="86"/>
      <c r="V60" s="243"/>
      <c r="W60" s="243"/>
      <c r="X60" s="243"/>
      <c r="Y60" s="243"/>
      <c r="Z60" s="243"/>
      <c r="AA60" s="243"/>
      <c r="AB60" s="86"/>
      <c r="AC60" s="86"/>
      <c r="AD60" s="86"/>
      <c r="AE60" s="86"/>
      <c r="AF60" s="243"/>
      <c r="AG60" s="243"/>
      <c r="AH60" s="243"/>
      <c r="AI60" s="243"/>
      <c r="AJ60" s="243"/>
      <c r="AK60" s="243"/>
      <c r="AL60" s="243"/>
      <c r="AM60" s="243"/>
      <c r="AN60" s="243"/>
      <c r="AO60" s="243"/>
      <c r="AP60" s="243"/>
      <c r="AQ60" s="243"/>
      <c r="AR60" s="243"/>
      <c r="AS60" s="243"/>
      <c r="AT60" s="243"/>
      <c r="AU60" s="243"/>
      <c r="AV60" s="243"/>
      <c r="AW60" s="243"/>
      <c r="AX60" s="243"/>
      <c r="AY60" s="243"/>
      <c r="AZ60" s="243"/>
      <c r="BA60" s="243"/>
      <c r="BB60" s="243"/>
      <c r="BC60" s="14"/>
      <c r="BG60" s="4"/>
      <c r="BH60" s="4"/>
      <c r="BI60" s="4"/>
      <c r="BJ60" s="4"/>
      <c r="BK60" s="4"/>
      <c r="BL60" s="4"/>
      <c r="BM60" s="4"/>
      <c r="BN60" s="4"/>
      <c r="BO60" s="4"/>
      <c r="BP60" s="181" t="s">
        <v>35</v>
      </c>
      <c r="BQ60" s="208" t="b">
        <f>IF(BS84=3,1)</f>
        <v>0</v>
      </c>
      <c r="BR60" s="230"/>
      <c r="BS60" s="230"/>
      <c r="BT60" s="230"/>
      <c r="BU60" s="209" t="b">
        <f>IF(BS84=3,5)</f>
        <v>0</v>
      </c>
      <c r="BV60" s="182"/>
      <c r="BW60" s="182"/>
      <c r="BX60" s="182"/>
      <c r="BY60" s="182"/>
      <c r="BZ60" s="182"/>
      <c r="CA60" s="182"/>
      <c r="CB60" s="182"/>
      <c r="CC60" s="182"/>
      <c r="CD60" s="182"/>
      <c r="CE60" s="182"/>
      <c r="CF60" s="182"/>
      <c r="CG60" s="182"/>
      <c r="CH60" s="182"/>
      <c r="CI60" s="182"/>
      <c r="CJ60" s="182"/>
      <c r="CK60" s="182"/>
      <c r="CL60" s="182"/>
      <c r="CM60" s="182"/>
      <c r="CN60" s="182"/>
      <c r="CO60" s="185"/>
      <c r="CP60" s="185"/>
      <c r="CQ60" s="185"/>
      <c r="CR60" s="185"/>
      <c r="CS60" s="185"/>
      <c r="CT60" s="185"/>
    </row>
    <row r="61" spans="2:98" ht="21.6" hidden="1" thickBot="1" x14ac:dyDescent="0.45">
      <c r="D61" s="85"/>
      <c r="E61" s="85"/>
      <c r="F61" s="85"/>
      <c r="G61" s="85"/>
      <c r="H61" s="243"/>
      <c r="I61" s="243"/>
      <c r="J61" s="243"/>
      <c r="K61" s="243"/>
      <c r="L61" s="243"/>
      <c r="M61" s="243"/>
      <c r="N61" s="243"/>
      <c r="O61" s="243"/>
      <c r="P61" s="243"/>
      <c r="Q61" s="243"/>
      <c r="R61" s="243"/>
      <c r="S61" s="243"/>
      <c r="T61" s="243"/>
      <c r="U61" s="86"/>
      <c r="V61" s="243"/>
      <c r="W61" s="243"/>
      <c r="X61" s="243"/>
      <c r="Y61" s="243"/>
      <c r="Z61" s="243"/>
      <c r="AA61" s="243"/>
      <c r="AB61" s="86"/>
      <c r="AC61" s="86"/>
      <c r="AD61" s="86"/>
      <c r="AE61" s="86"/>
      <c r="AF61" s="243"/>
      <c r="AG61" s="243"/>
      <c r="AH61" s="243"/>
      <c r="AI61" s="243"/>
      <c r="AJ61" s="243"/>
      <c r="AK61" s="243"/>
      <c r="AL61" s="243"/>
      <c r="AM61" s="243"/>
      <c r="AN61" s="243"/>
      <c r="AO61" s="243"/>
      <c r="AP61" s="243"/>
      <c r="AQ61" s="243"/>
      <c r="AR61" s="243"/>
      <c r="AS61" s="243"/>
      <c r="AT61" s="243"/>
      <c r="AU61" s="243"/>
      <c r="AV61" s="243"/>
      <c r="AW61" s="243"/>
      <c r="AX61" s="243"/>
      <c r="AY61" s="243"/>
      <c r="AZ61" s="243"/>
      <c r="BA61" s="243"/>
      <c r="BB61" s="243"/>
      <c r="BC61" s="14"/>
      <c r="BG61" s="4"/>
      <c r="BH61" s="4"/>
      <c r="BI61" s="4"/>
      <c r="BJ61" s="4"/>
      <c r="BK61" s="4"/>
      <c r="BL61" s="4"/>
      <c r="BM61" s="4"/>
      <c r="BN61" s="4"/>
      <c r="BO61" s="4"/>
      <c r="BP61" s="181" t="s">
        <v>34</v>
      </c>
      <c r="BQ61" s="208" t="b">
        <f>IF(BR84=2,1)</f>
        <v>0</v>
      </c>
      <c r="BR61" s="230"/>
      <c r="BS61" s="209" t="b">
        <f>IF(BR84=2,3)</f>
        <v>0</v>
      </c>
      <c r="BT61" s="182"/>
      <c r="BU61" s="182"/>
      <c r="BV61" s="182"/>
      <c r="BW61" s="182"/>
      <c r="BX61" s="182"/>
      <c r="BY61" s="182"/>
      <c r="BZ61" s="182"/>
      <c r="CA61" s="182"/>
      <c r="CB61" s="182"/>
      <c r="CC61" s="182"/>
      <c r="CD61" s="182"/>
      <c r="CE61" s="182"/>
      <c r="CF61" s="182"/>
      <c r="CG61" s="182"/>
      <c r="CH61" s="182"/>
      <c r="CI61" s="182"/>
      <c r="CJ61" s="182"/>
      <c r="CK61" s="182"/>
      <c r="CL61" s="182"/>
      <c r="CM61" s="182"/>
      <c r="CN61" s="182"/>
      <c r="CO61" s="185"/>
      <c r="CP61" s="185"/>
      <c r="CQ61" s="185"/>
      <c r="CR61" s="185"/>
      <c r="CS61" s="185"/>
      <c r="CT61" s="185"/>
    </row>
    <row r="62" spans="2:98" ht="21.6" hidden="1" thickBot="1" x14ac:dyDescent="0.45">
      <c r="B62" s="84"/>
      <c r="C62" s="84"/>
      <c r="D62" s="85"/>
      <c r="E62" s="85"/>
      <c r="F62" s="85"/>
      <c r="G62" s="85"/>
      <c r="H62" s="243"/>
      <c r="I62" s="243"/>
      <c r="J62" s="243"/>
      <c r="K62" s="243"/>
      <c r="L62" s="243"/>
      <c r="M62" s="243"/>
      <c r="N62" s="243"/>
      <c r="O62" s="243"/>
      <c r="P62" s="243"/>
      <c r="Q62" s="243"/>
      <c r="R62" s="243"/>
      <c r="S62" s="243"/>
      <c r="T62" s="243"/>
      <c r="U62" s="86"/>
      <c r="V62" s="243"/>
      <c r="W62" s="243"/>
      <c r="X62" s="243"/>
      <c r="Y62" s="243"/>
      <c r="Z62" s="243"/>
      <c r="AA62" s="243"/>
      <c r="AB62" s="86"/>
      <c r="AC62" s="86"/>
      <c r="AD62" s="86"/>
      <c r="AE62" s="86"/>
      <c r="AF62" s="243"/>
      <c r="AG62" s="243"/>
      <c r="AH62" s="243"/>
      <c r="AI62" s="243"/>
      <c r="AJ62" s="243"/>
      <c r="AK62" s="243"/>
      <c r="AL62" s="243"/>
      <c r="AM62" s="243"/>
      <c r="AN62" s="243"/>
      <c r="AO62" s="243"/>
      <c r="AP62" s="243"/>
      <c r="AQ62" s="243"/>
      <c r="AR62" s="243"/>
      <c r="AS62" s="243"/>
      <c r="AT62" s="243"/>
      <c r="AU62" s="243"/>
      <c r="AV62" s="243"/>
      <c r="AW62" s="243"/>
      <c r="AX62" s="243"/>
      <c r="AY62" s="243"/>
      <c r="AZ62" s="243"/>
      <c r="BA62" s="243"/>
      <c r="BB62" s="243"/>
      <c r="BC62" s="14"/>
      <c r="BG62" s="4"/>
      <c r="BH62" s="4"/>
      <c r="BI62" s="4"/>
      <c r="BJ62" s="4"/>
      <c r="BK62" s="4"/>
      <c r="BL62" s="4"/>
      <c r="BM62" s="4"/>
      <c r="BN62" s="4"/>
      <c r="BO62" s="4"/>
      <c r="BP62" s="195"/>
      <c r="BQ62" s="196">
        <f>SUM(BQ33:BQ61)</f>
        <v>1</v>
      </c>
      <c r="BR62" s="196">
        <f t="shared" ref="BR62:CT62" si="0">SUM(BR33:BR61)</f>
        <v>0</v>
      </c>
      <c r="BS62" s="196">
        <f t="shared" si="0"/>
        <v>0</v>
      </c>
      <c r="BT62" s="196">
        <f t="shared" si="0"/>
        <v>0</v>
      </c>
      <c r="BU62" s="196">
        <f t="shared" si="0"/>
        <v>0</v>
      </c>
      <c r="BV62" s="196">
        <f t="shared" si="0"/>
        <v>0</v>
      </c>
      <c r="BW62" s="196">
        <f t="shared" si="0"/>
        <v>0</v>
      </c>
      <c r="BX62" s="196">
        <f t="shared" si="0"/>
        <v>0</v>
      </c>
      <c r="BY62" s="196">
        <f t="shared" si="0"/>
        <v>0</v>
      </c>
      <c r="BZ62" s="196">
        <f t="shared" si="0"/>
        <v>0</v>
      </c>
      <c r="CA62" s="196">
        <f t="shared" si="0"/>
        <v>0</v>
      </c>
      <c r="CB62" s="196">
        <f t="shared" si="0"/>
        <v>0</v>
      </c>
      <c r="CC62" s="196">
        <f t="shared" si="0"/>
        <v>0</v>
      </c>
      <c r="CD62" s="196">
        <f t="shared" si="0"/>
        <v>0</v>
      </c>
      <c r="CE62" s="196">
        <f t="shared" si="0"/>
        <v>0</v>
      </c>
      <c r="CF62" s="196">
        <f t="shared" si="0"/>
        <v>0</v>
      </c>
      <c r="CG62" s="196">
        <f t="shared" si="0"/>
        <v>0</v>
      </c>
      <c r="CH62" s="196">
        <f t="shared" si="0"/>
        <v>0</v>
      </c>
      <c r="CI62" s="196">
        <f t="shared" si="0"/>
        <v>0</v>
      </c>
      <c r="CJ62" s="196">
        <f t="shared" si="0"/>
        <v>0</v>
      </c>
      <c r="CK62" s="196">
        <f t="shared" si="0"/>
        <v>21</v>
      </c>
      <c r="CL62" s="196">
        <f t="shared" si="0"/>
        <v>0</v>
      </c>
      <c r="CM62" s="196">
        <f t="shared" si="0"/>
        <v>0</v>
      </c>
      <c r="CN62" s="196">
        <f t="shared" si="0"/>
        <v>0</v>
      </c>
      <c r="CO62" s="196">
        <f t="shared" si="0"/>
        <v>0</v>
      </c>
      <c r="CP62" s="196">
        <f t="shared" si="0"/>
        <v>0</v>
      </c>
      <c r="CQ62" s="196">
        <f t="shared" si="0"/>
        <v>0</v>
      </c>
      <c r="CR62" s="196">
        <f t="shared" si="0"/>
        <v>0</v>
      </c>
      <c r="CS62" s="196">
        <f t="shared" si="0"/>
        <v>0</v>
      </c>
      <c r="CT62" s="196">
        <f t="shared" si="0"/>
        <v>0</v>
      </c>
    </row>
    <row r="63" spans="2:98" ht="42.75" customHeight="1" thickBot="1" x14ac:dyDescent="0.45">
      <c r="B63" s="84"/>
      <c r="C63" s="84"/>
      <c r="D63" s="85"/>
      <c r="E63" s="85"/>
      <c r="F63" s="85"/>
      <c r="G63" s="85"/>
      <c r="H63" s="243"/>
      <c r="I63" s="243"/>
      <c r="J63" s="243"/>
      <c r="K63" s="243"/>
      <c r="L63" s="243"/>
      <c r="M63" s="243"/>
      <c r="N63" s="243"/>
      <c r="O63" s="243"/>
      <c r="P63" s="243"/>
      <c r="Q63" s="243"/>
      <c r="R63" s="243"/>
      <c r="S63" s="243"/>
      <c r="T63" s="243"/>
      <c r="U63" s="86"/>
      <c r="V63" s="243"/>
      <c r="W63" s="243"/>
      <c r="X63" s="243"/>
      <c r="Y63" s="243"/>
      <c r="Z63" s="243"/>
      <c r="AA63" s="243"/>
      <c r="AB63" s="86"/>
      <c r="AC63" s="86"/>
      <c r="AD63" s="86"/>
      <c r="AE63" s="86"/>
      <c r="AF63" s="243"/>
      <c r="AG63" s="243"/>
      <c r="AH63" s="243"/>
      <c r="AI63" s="243"/>
      <c r="AJ63" s="243"/>
      <c r="AK63" s="243"/>
      <c r="AL63" s="243"/>
      <c r="AM63" s="243"/>
      <c r="AN63" s="243"/>
      <c r="AO63" s="243"/>
      <c r="AP63" s="243"/>
      <c r="AQ63" s="243"/>
      <c r="AR63" s="243"/>
      <c r="AS63" s="243"/>
      <c r="AT63" s="243"/>
      <c r="AU63" s="243"/>
      <c r="AV63" s="243"/>
      <c r="AW63" s="243"/>
      <c r="AX63" s="243"/>
      <c r="AY63" s="243"/>
      <c r="AZ63" s="243"/>
      <c r="BA63" s="243"/>
      <c r="BB63" s="243"/>
      <c r="BC63" s="14"/>
      <c r="BG63" s="4"/>
      <c r="BH63" s="4"/>
      <c r="BI63" s="4"/>
      <c r="BJ63" s="4"/>
      <c r="BK63" s="4"/>
      <c r="BL63" s="4"/>
      <c r="BM63" s="4"/>
      <c r="BN63" s="4"/>
      <c r="BO63" s="4"/>
      <c r="BP63" s="197" t="s">
        <v>80</v>
      </c>
      <c r="BQ63" s="765" t="str">
        <f>IF(BQ62=1,"A ","")</f>
        <v xml:space="preserve">A </v>
      </c>
      <c r="BR63" s="766" t="str">
        <f>IF(BR62=2,"B ","")</f>
        <v/>
      </c>
      <c r="BS63" s="766" t="str">
        <f>IF(BS62=3,"C ","")</f>
        <v/>
      </c>
      <c r="BT63" s="766" t="str">
        <f>IF(BT62=4,"D ","")</f>
        <v/>
      </c>
      <c r="BU63" s="766" t="str">
        <f>IF(BU62=5,"E ","")</f>
        <v/>
      </c>
      <c r="BV63" s="766" t="str">
        <f>IF(BV62=6,"F ","")</f>
        <v/>
      </c>
      <c r="BW63" s="766" t="str">
        <f>IF(BW62=7,"G ","")</f>
        <v/>
      </c>
      <c r="BX63" s="766" t="str">
        <f>IF(BX62=8,"H ","")</f>
        <v/>
      </c>
      <c r="BY63" s="766" t="str">
        <f>IF(BY62=9,"1 ","")</f>
        <v/>
      </c>
      <c r="BZ63" s="766" t="str">
        <f>IF(BZ62=10,"2 ","")</f>
        <v/>
      </c>
      <c r="CA63" s="766" t="str">
        <f>IF(CA62=11,"3 ","")</f>
        <v/>
      </c>
      <c r="CB63" s="766" t="str">
        <f>IF(CB62=12,"4 ","")</f>
        <v/>
      </c>
      <c r="CC63" s="766" t="str">
        <f>IF(CC62=13,"5 ","")</f>
        <v/>
      </c>
      <c r="CD63" s="766" t="str">
        <f>IF(CD62=14,"i ","")</f>
        <v/>
      </c>
      <c r="CE63" s="766" t="str">
        <f>IF(CE62=15,"J ","")</f>
        <v/>
      </c>
      <c r="CF63" s="766" t="str">
        <f>IF(CF62=16,"6 ","")</f>
        <v/>
      </c>
      <c r="CG63" s="766" t="str">
        <f>IF(CG62=17,"7 ","")</f>
        <v/>
      </c>
      <c r="CH63" s="766" t="str">
        <f>IF(CH62=18,"8 ","")</f>
        <v/>
      </c>
      <c r="CI63" s="766" t="str">
        <f>IF(CI62=19,"9 ","")</f>
        <v/>
      </c>
      <c r="CJ63" s="766" t="str">
        <f>IF(CJ62=20,"10 ","")</f>
        <v/>
      </c>
      <c r="CK63" s="766" t="str">
        <f>IF(CK62=21,"11 ","")</f>
        <v xml:space="preserve">11 </v>
      </c>
      <c r="CL63" s="766" t="str">
        <f>IF(CL62=22,"12 ","")</f>
        <v/>
      </c>
      <c r="CM63" s="766" t="str">
        <f>IF(CM62=23,"K ","")</f>
        <v/>
      </c>
      <c r="CN63" s="766" t="str">
        <f>IF(CN62=24,"L ","")</f>
        <v/>
      </c>
      <c r="CO63" s="766" t="str">
        <f>IF(CO62=25,"M ","")</f>
        <v/>
      </c>
      <c r="CP63" s="766" t="str">
        <f>IF(CP62=26,"N ","")</f>
        <v/>
      </c>
      <c r="CQ63" s="766" t="str">
        <f>IF(CQ62=27,"O ","")</f>
        <v/>
      </c>
      <c r="CR63" s="766" t="str">
        <f>IF(CR62=28,"P ","")</f>
        <v/>
      </c>
      <c r="CS63" s="766" t="str">
        <f>IF(CS62=29,"Q ","")</f>
        <v/>
      </c>
      <c r="CT63" s="767" t="str">
        <f>IF(CT62=30,"R ","")</f>
        <v/>
      </c>
    </row>
    <row r="64" spans="2:98" ht="21" hidden="1" x14ac:dyDescent="0.4">
      <c r="B64" s="266"/>
      <c r="E64" s="85"/>
      <c r="F64" s="85"/>
      <c r="G64" s="85"/>
      <c r="H64" s="243"/>
      <c r="I64" s="243"/>
      <c r="J64" s="243"/>
      <c r="K64" s="243"/>
      <c r="L64" s="243"/>
      <c r="M64" s="243"/>
      <c r="N64" s="243"/>
      <c r="O64" s="243"/>
      <c r="P64" s="243"/>
      <c r="Q64" s="243"/>
      <c r="R64" s="243"/>
      <c r="S64" s="243"/>
      <c r="T64" s="243"/>
      <c r="U64" s="86"/>
      <c r="V64" s="243"/>
      <c r="W64" s="243"/>
      <c r="X64" s="243"/>
      <c r="Y64" s="243"/>
      <c r="Z64" s="243"/>
      <c r="AA64" s="243"/>
      <c r="AB64" s="86"/>
      <c r="AC64" s="86"/>
      <c r="AD64" s="86"/>
      <c r="AE64" s="86"/>
      <c r="AF64" s="243"/>
      <c r="AG64" s="243"/>
      <c r="AH64" s="243"/>
      <c r="AI64" s="243"/>
      <c r="AJ64" s="243"/>
      <c r="AK64" s="243"/>
      <c r="AL64" s="243"/>
      <c r="AM64" s="243"/>
      <c r="AN64" s="243"/>
      <c r="AO64" s="243"/>
      <c r="AP64" s="243"/>
      <c r="AQ64" s="243"/>
      <c r="AR64" s="243"/>
      <c r="AS64" s="243"/>
      <c r="AT64" s="243"/>
      <c r="AU64" s="243"/>
      <c r="AV64" s="243"/>
      <c r="AW64" s="243"/>
      <c r="AX64" s="243"/>
      <c r="AY64" s="243"/>
      <c r="AZ64" s="243"/>
      <c r="BA64" s="243"/>
      <c r="BB64" s="243"/>
      <c r="BC64" s="14"/>
      <c r="BG64" s="4"/>
      <c r="BH64" s="4"/>
      <c r="BI64" s="4"/>
      <c r="BJ64" s="4"/>
      <c r="BK64" s="4"/>
      <c r="BL64" s="4"/>
      <c r="BM64" s="4"/>
      <c r="BN64" s="4"/>
      <c r="BO64" s="4"/>
      <c r="BP64" s="185"/>
      <c r="BQ64" s="185"/>
      <c r="BR64" s="185"/>
      <c r="BS64" s="185"/>
      <c r="BT64" s="185"/>
      <c r="BU64" s="185"/>
      <c r="BV64" s="185"/>
      <c r="BW64" s="185"/>
      <c r="BX64" s="185"/>
      <c r="BY64" s="185"/>
      <c r="BZ64" s="185"/>
      <c r="CA64" s="185"/>
      <c r="CB64" s="185"/>
      <c r="CC64" s="185"/>
      <c r="CD64" s="185"/>
      <c r="CE64" s="185"/>
      <c r="CF64" s="185"/>
      <c r="CG64" s="185"/>
      <c r="CH64" s="185"/>
      <c r="CI64" s="185"/>
      <c r="CJ64" s="198"/>
      <c r="CK64" s="198"/>
      <c r="CL64" s="198"/>
      <c r="CM64" s="198"/>
      <c r="CN64" s="199"/>
      <c r="CO64" s="185"/>
      <c r="CP64" s="185"/>
      <c r="CQ64" s="185"/>
      <c r="CR64" s="185"/>
      <c r="CS64" s="185"/>
      <c r="CT64" s="185"/>
    </row>
    <row r="65" spans="2:137" ht="21" thickBot="1" x14ac:dyDescent="0.4">
      <c r="B65" s="84"/>
      <c r="C65" s="84"/>
      <c r="D65" s="85"/>
      <c r="E65" s="85"/>
      <c r="F65" s="85"/>
      <c r="G65" s="85"/>
      <c r="H65" s="243"/>
      <c r="I65" s="243"/>
      <c r="J65" s="243"/>
      <c r="K65" s="243"/>
      <c r="L65" s="243"/>
      <c r="M65" s="243"/>
      <c r="N65" s="243"/>
      <c r="O65" s="243"/>
      <c r="P65" s="243"/>
      <c r="Q65" s="243"/>
      <c r="R65" s="243"/>
      <c r="S65" s="243"/>
      <c r="T65" s="243"/>
      <c r="U65" s="86"/>
      <c r="V65" s="243"/>
      <c r="W65" s="243"/>
      <c r="X65" s="243"/>
      <c r="Y65" s="243"/>
      <c r="Z65" s="243"/>
      <c r="AA65" s="243"/>
      <c r="AB65" s="86"/>
      <c r="AC65" s="86"/>
      <c r="AD65" s="86"/>
      <c r="AE65" s="86"/>
      <c r="AF65" s="243"/>
      <c r="AG65" s="243"/>
      <c r="AH65" s="243"/>
      <c r="AI65" s="243"/>
      <c r="AJ65" s="243"/>
      <c r="AK65" s="243"/>
      <c r="AL65" s="243"/>
      <c r="AM65" s="243"/>
      <c r="AN65" s="243"/>
      <c r="AO65" s="243"/>
      <c r="AP65" s="243"/>
      <c r="AQ65" s="243"/>
      <c r="AR65" s="243"/>
      <c r="AS65" s="243"/>
      <c r="AT65" s="243"/>
      <c r="AU65" s="243"/>
      <c r="AV65" s="243"/>
      <c r="AW65" s="243"/>
      <c r="AX65" s="243"/>
      <c r="AY65" s="243"/>
      <c r="AZ65" s="243"/>
      <c r="BA65" s="243"/>
      <c r="BB65" s="243"/>
      <c r="BC65" s="14"/>
      <c r="BG65" s="4"/>
      <c r="BH65" s="4"/>
      <c r="BI65" s="4"/>
      <c r="BJ65" s="4"/>
      <c r="BK65" s="4"/>
      <c r="BL65" s="4"/>
      <c r="BM65" s="4"/>
      <c r="BN65" s="4"/>
      <c r="BO65" s="4"/>
      <c r="BP65" s="185"/>
      <c r="BQ65" s="59"/>
      <c r="BR65" s="59"/>
      <c r="BS65" s="59"/>
      <c r="BT65" s="59"/>
      <c r="BU65" s="59"/>
      <c r="BV65" s="59"/>
      <c r="BW65" s="59"/>
      <c r="BX65" s="59"/>
      <c r="BY65" s="59"/>
      <c r="BZ65" s="59"/>
      <c r="CA65" s="59"/>
      <c r="CB65" s="59"/>
      <c r="CC65" s="59"/>
      <c r="CD65" s="59"/>
      <c r="CE65" s="59"/>
      <c r="CF65" s="59"/>
      <c r="CG65" s="59"/>
      <c r="CH65" s="59"/>
      <c r="CI65" s="59"/>
      <c r="CJ65" s="259"/>
      <c r="CK65" s="259"/>
      <c r="CL65" s="259"/>
      <c r="CM65" s="259"/>
      <c r="CN65" s="69"/>
      <c r="CO65" s="59"/>
    </row>
    <row r="66" spans="2:137" ht="30.75" customHeight="1" thickBot="1" x14ac:dyDescent="0.45">
      <c r="B66" s="84"/>
      <c r="C66" s="84"/>
      <c r="D66" s="85"/>
      <c r="E66" s="85"/>
      <c r="F66" s="85"/>
      <c r="G66" s="85"/>
      <c r="H66" s="243"/>
      <c r="I66" s="243"/>
      <c r="J66" s="243"/>
      <c r="K66" s="243"/>
      <c r="L66" s="243"/>
      <c r="M66" s="243"/>
      <c r="N66" s="243"/>
      <c r="O66" s="243"/>
      <c r="P66" s="243"/>
      <c r="Q66" s="243"/>
      <c r="R66" s="243"/>
      <c r="S66" s="243"/>
      <c r="T66" s="243"/>
      <c r="U66" s="86"/>
      <c r="V66" s="243"/>
      <c r="W66" s="243"/>
      <c r="X66" s="243"/>
      <c r="Y66" s="243"/>
      <c r="Z66" s="243"/>
      <c r="AA66" s="243"/>
      <c r="AB66" s="86"/>
      <c r="AC66" s="86"/>
      <c r="AD66" s="86"/>
      <c r="AE66" s="86"/>
      <c r="AF66" s="243"/>
      <c r="AG66" s="243"/>
      <c r="AH66" s="243"/>
      <c r="AI66" s="243"/>
      <c r="AJ66" s="243"/>
      <c r="AK66" s="243"/>
      <c r="AL66" s="243"/>
      <c r="AM66" s="243"/>
      <c r="AN66" s="243"/>
      <c r="AO66" s="243"/>
      <c r="AP66" s="243"/>
      <c r="AQ66" s="243"/>
      <c r="AR66" s="243"/>
      <c r="AS66" s="243"/>
      <c r="AT66" s="243"/>
      <c r="AU66" s="243"/>
      <c r="AV66" s="243"/>
      <c r="AW66" s="243"/>
      <c r="AX66" s="243"/>
      <c r="AY66" s="243"/>
      <c r="AZ66" s="243"/>
      <c r="BA66" s="243"/>
      <c r="BB66" s="243"/>
      <c r="BC66" s="14"/>
      <c r="BG66" s="4"/>
      <c r="BH66" s="4"/>
      <c r="BI66" s="4"/>
      <c r="BJ66" s="4"/>
      <c r="BK66" s="4"/>
      <c r="BL66" s="4"/>
      <c r="BM66" s="4"/>
      <c r="BN66" s="4"/>
      <c r="BO66" s="4"/>
      <c r="BP66" s="200" t="s">
        <v>30</v>
      </c>
      <c r="BQ66" s="1978"/>
      <c r="BR66" s="1979"/>
      <c r="BS66" s="1979"/>
      <c r="BT66" s="1979"/>
      <c r="BU66" s="1979"/>
      <c r="BV66" s="1979"/>
      <c r="BW66" s="1979"/>
      <c r="BX66" s="1980"/>
      <c r="BY66" s="202" t="s">
        <v>31</v>
      </c>
      <c r="BZ66" s="260"/>
      <c r="CA66" s="260"/>
      <c r="CB66" s="260"/>
      <c r="CC66" s="260"/>
      <c r="CD66" s="260"/>
      <c r="CE66" s="260"/>
      <c r="CF66" s="260"/>
      <c r="CG66" s="260"/>
      <c r="CH66" s="260"/>
      <c r="CI66" s="1"/>
      <c r="CJ66" s="257"/>
      <c r="CK66" s="257"/>
      <c r="CL66" s="203" t="s">
        <v>32</v>
      </c>
      <c r="CM66" s="1978"/>
      <c r="CN66" s="1979"/>
      <c r="CO66" s="1979"/>
      <c r="CP66" s="1979"/>
      <c r="CQ66" s="1979"/>
      <c r="CR66" s="1979"/>
      <c r="CS66" s="1979"/>
      <c r="CT66" s="1980"/>
    </row>
    <row r="67" spans="2:137" ht="30.75" customHeight="1" thickTop="1" thickBot="1" x14ac:dyDescent="0.5">
      <c r="B67" s="1356" t="s">
        <v>190</v>
      </c>
      <c r="C67" s="1473"/>
      <c r="D67" s="1480"/>
      <c r="E67" s="1356" t="s">
        <v>191</v>
      </c>
      <c r="F67" s="85"/>
      <c r="G67" s="85"/>
      <c r="H67" s="243"/>
      <c r="I67" s="243"/>
      <c r="J67" s="243"/>
      <c r="K67" s="243"/>
      <c r="L67" s="243"/>
      <c r="M67" s="243"/>
      <c r="N67" s="243"/>
      <c r="O67" s="243"/>
      <c r="P67" s="243"/>
      <c r="Q67" s="243"/>
      <c r="R67" s="243"/>
      <c r="S67" s="243"/>
      <c r="T67" s="243"/>
      <c r="U67" s="86"/>
      <c r="V67" s="243"/>
      <c r="W67" s="243"/>
      <c r="X67" s="243"/>
      <c r="Y67" s="243"/>
      <c r="Z67" s="243"/>
      <c r="AA67" s="243"/>
      <c r="AB67" s="86"/>
      <c r="AC67" s="86"/>
      <c r="AD67" s="86"/>
      <c r="AE67" s="86"/>
      <c r="AF67" s="243"/>
      <c r="AG67" s="243"/>
      <c r="AH67" s="243"/>
      <c r="AI67" s="243"/>
      <c r="AJ67" s="243"/>
      <c r="AK67" s="243"/>
      <c r="AL67" s="243"/>
      <c r="AM67" s="243"/>
      <c r="AN67" s="243"/>
      <c r="AO67" s="243"/>
      <c r="AP67" s="243"/>
      <c r="AQ67" s="243"/>
      <c r="AR67" s="243"/>
      <c r="AS67" s="243"/>
      <c r="AT67" s="243"/>
      <c r="AU67" s="243"/>
      <c r="AV67" s="243"/>
      <c r="AW67" s="243"/>
      <c r="AX67" s="243"/>
      <c r="AY67" s="243"/>
      <c r="AZ67" s="243"/>
      <c r="BA67" s="243"/>
      <c r="BB67" s="243"/>
      <c r="BC67" s="14"/>
      <c r="BF67" s="39"/>
      <c r="BG67" s="40"/>
      <c r="BH67" s="40"/>
      <c r="BI67" s="59"/>
      <c r="BJ67" s="59"/>
      <c r="BK67" s="59"/>
      <c r="BL67" s="59"/>
      <c r="BM67" s="1348" t="s">
        <v>223</v>
      </c>
      <c r="BN67" s="1348">
        <f>+MAX(BO28,BO30,BO67)</f>
        <v>207.40673867171918</v>
      </c>
      <c r="BO67" s="1347">
        <f>+IF(AND(CK67&gt;0,BY67&gt;0),BY67)</f>
        <v>192.08780862354635</v>
      </c>
      <c r="BP67" s="204" t="s">
        <v>41</v>
      </c>
      <c r="BQ67" s="1981"/>
      <c r="BR67" s="1982"/>
      <c r="BS67" s="1982"/>
      <c r="BT67" s="1982"/>
      <c r="BU67" s="1982"/>
      <c r="BV67" s="1982"/>
      <c r="BW67" s="1982"/>
      <c r="BX67" s="1983"/>
      <c r="BY67" s="2051">
        <f>+((D2-D3)/D2)*C7</f>
        <v>192.08780862354635</v>
      </c>
      <c r="BZ67" s="2052"/>
      <c r="CA67" s="261"/>
      <c r="CB67" s="261"/>
      <c r="CC67" s="261"/>
      <c r="CD67" s="261"/>
      <c r="CE67" s="261"/>
      <c r="CF67" s="261"/>
      <c r="CG67" s="261"/>
      <c r="CH67" s="261"/>
      <c r="CI67" s="2"/>
      <c r="CJ67" s="258"/>
      <c r="CK67" s="2049">
        <f>+(D3/D2)*C7</f>
        <v>40.212191376453639</v>
      </c>
      <c r="CL67" s="2050"/>
      <c r="CM67" s="1981"/>
      <c r="CN67" s="1982"/>
      <c r="CO67" s="1982"/>
      <c r="CP67" s="1982"/>
      <c r="CQ67" s="1982"/>
      <c r="CR67" s="1982"/>
      <c r="CS67" s="1982"/>
      <c r="CT67" s="1983"/>
      <c r="CU67" s="1347">
        <f>+IF(AND(BY67&gt;0,CK67&gt;0),CK67)</f>
        <v>40.212191376453639</v>
      </c>
      <c r="CV67" s="1348">
        <f>+MAX(CU28,CU30,CU67)</f>
        <v>113.38849942351894</v>
      </c>
      <c r="CW67" s="1348" t="s">
        <v>224</v>
      </c>
    </row>
    <row r="68" spans="2:137" ht="22.2" hidden="1" thickTop="1" thickBot="1" x14ac:dyDescent="0.45">
      <c r="B68" s="1473"/>
      <c r="C68" s="1473"/>
      <c r="D68" s="1481"/>
      <c r="E68" s="1474"/>
      <c r="F68" s="85"/>
      <c r="G68" s="85"/>
      <c r="H68" s="243"/>
      <c r="I68" s="243"/>
      <c r="J68" s="243"/>
      <c r="K68" s="243"/>
      <c r="L68" s="243"/>
      <c r="M68" s="243"/>
      <c r="N68" s="243"/>
      <c r="O68" s="243"/>
      <c r="P68" s="243"/>
      <c r="Q68" s="243"/>
      <c r="R68" s="243"/>
      <c r="S68" s="243"/>
      <c r="T68" s="243"/>
      <c r="U68" s="86"/>
      <c r="V68" s="243"/>
      <c r="W68" s="243"/>
      <c r="X68" s="243"/>
      <c r="Y68" s="243"/>
      <c r="Z68" s="243"/>
      <c r="AA68" s="243"/>
      <c r="AB68" s="86"/>
      <c r="AC68" s="86"/>
      <c r="AD68" s="86"/>
      <c r="AE68" s="86"/>
      <c r="AF68" s="243"/>
      <c r="AG68" s="243"/>
      <c r="AH68" s="243"/>
      <c r="AI68" s="243"/>
      <c r="AJ68" s="243"/>
      <c r="AK68" s="243"/>
      <c r="AL68" s="243"/>
      <c r="AM68" s="243"/>
      <c r="AN68" s="243"/>
      <c r="AO68" s="243"/>
      <c r="AP68" s="243"/>
      <c r="AQ68" s="243"/>
      <c r="AR68" s="243"/>
      <c r="AS68" s="243"/>
      <c r="AT68" s="243"/>
      <c r="AU68" s="243"/>
      <c r="AV68" s="243"/>
      <c r="AW68" s="243"/>
      <c r="AX68" s="243"/>
      <c r="AY68" s="243"/>
      <c r="AZ68" s="243"/>
      <c r="BA68" s="243"/>
      <c r="BB68" s="243"/>
      <c r="BC68" s="14"/>
      <c r="BF68" s="39"/>
      <c r="BG68" s="40"/>
      <c r="BH68" s="40"/>
      <c r="BI68" s="59"/>
      <c r="BJ68" s="59"/>
      <c r="BK68" s="59"/>
      <c r="BL68" s="59"/>
      <c r="BM68" s="59"/>
      <c r="BN68" s="4"/>
      <c r="BO68" s="4"/>
      <c r="BP68" s="206"/>
      <c r="BQ68" s="262"/>
      <c r="BR68" s="70"/>
      <c r="BS68" s="262"/>
      <c r="BT68" s="262"/>
      <c r="BU68" s="262"/>
      <c r="BV68" s="70"/>
      <c r="BW68" s="262"/>
      <c r="BX68" s="262"/>
      <c r="BY68" s="262"/>
      <c r="BZ68" s="262"/>
      <c r="CA68" s="262"/>
      <c r="CB68" s="262"/>
      <c r="CC68" s="262"/>
      <c r="CD68" s="262"/>
      <c r="CE68" s="262"/>
      <c r="CF68" s="262"/>
      <c r="CG68" s="140"/>
      <c r="CH68" s="262"/>
      <c r="CI68" s="140"/>
      <c r="CJ68" s="259"/>
      <c r="CK68" s="259"/>
      <c r="CL68" s="259"/>
      <c r="CM68" s="259"/>
      <c r="CN68" s="155"/>
      <c r="CO68" s="155"/>
    </row>
    <row r="69" spans="2:137" ht="22.2" hidden="1" thickTop="1" thickBot="1" x14ac:dyDescent="0.45">
      <c r="B69" s="1473"/>
      <c r="C69" s="1473"/>
      <c r="D69" s="1481"/>
      <c r="E69" s="1474"/>
      <c r="F69" s="85"/>
      <c r="G69" s="85"/>
      <c r="H69" s="243"/>
      <c r="I69" s="243"/>
      <c r="J69" s="243"/>
      <c r="K69" s="243"/>
      <c r="L69" s="243"/>
      <c r="M69" s="243"/>
      <c r="N69" s="243"/>
      <c r="O69" s="243"/>
      <c r="P69" s="243"/>
      <c r="Q69" s="243"/>
      <c r="R69" s="243"/>
      <c r="S69" s="243"/>
      <c r="T69" s="243"/>
      <c r="U69" s="86"/>
      <c r="V69" s="243"/>
      <c r="W69" s="243"/>
      <c r="X69" s="243"/>
      <c r="Y69" s="243"/>
      <c r="Z69" s="243"/>
      <c r="AA69" s="243"/>
      <c r="AB69" s="86"/>
      <c r="AC69" s="86"/>
      <c r="AD69" s="86"/>
      <c r="AE69" s="86"/>
      <c r="AF69" s="243"/>
      <c r="AG69" s="243"/>
      <c r="AH69" s="243"/>
      <c r="AI69" s="243"/>
      <c r="AJ69" s="243"/>
      <c r="AK69" s="243"/>
      <c r="AL69" s="243"/>
      <c r="AM69" s="243"/>
      <c r="AN69" s="243"/>
      <c r="AO69" s="243"/>
      <c r="AP69" s="243"/>
      <c r="AQ69" s="243"/>
      <c r="AR69" s="243"/>
      <c r="AS69" s="243"/>
      <c r="AT69" s="243"/>
      <c r="AU69" s="243"/>
      <c r="AV69" s="243"/>
      <c r="AW69" s="243"/>
      <c r="AX69" s="243"/>
      <c r="AY69" s="243"/>
      <c r="AZ69" s="243"/>
      <c r="BA69" s="243"/>
      <c r="BB69" s="243"/>
      <c r="BC69" s="14"/>
      <c r="BF69" s="39"/>
      <c r="BG69" s="40"/>
      <c r="BH69" s="40"/>
      <c r="BI69" s="59"/>
      <c r="BJ69" s="59"/>
      <c r="BK69" s="59"/>
      <c r="BL69" s="59"/>
      <c r="BM69" s="59"/>
      <c r="BN69" s="4"/>
      <c r="BO69" s="27"/>
      <c r="BP69" s="206"/>
      <c r="BQ69" s="206"/>
      <c r="BR69" s="207"/>
      <c r="BS69" s="206"/>
      <c r="BT69" s="206"/>
      <c r="BU69" s="206"/>
      <c r="BX69">
        <v>11</v>
      </c>
      <c r="BY69" s="207"/>
      <c r="BZ69" s="206"/>
      <c r="CA69" s="206"/>
      <c r="CB69" s="206"/>
      <c r="CC69" s="206"/>
      <c r="CD69" s="206"/>
      <c r="CE69" s="206"/>
      <c r="CF69" s="206"/>
      <c r="CG69" s="206"/>
      <c r="CH69" s="206"/>
      <c r="CI69" s="206"/>
      <c r="CJ69" s="208" t="b">
        <f>IF(CK84=21,10)</f>
        <v>0</v>
      </c>
      <c r="CK69" s="205"/>
      <c r="CL69" s="209" t="b">
        <f>IF(CK84=21,12)</f>
        <v>0</v>
      </c>
      <c r="CM69" s="198"/>
      <c r="CN69" s="184"/>
      <c r="CO69" s="185"/>
      <c r="CP69" s="185"/>
      <c r="CQ69" s="185"/>
      <c r="CR69" s="185"/>
      <c r="CS69" s="185"/>
      <c r="CT69" s="185"/>
      <c r="CU69" s="185"/>
      <c r="CV69" s="185"/>
    </row>
    <row r="70" spans="2:137" ht="22.2" hidden="1" thickTop="1" thickBot="1" x14ac:dyDescent="0.45">
      <c r="B70" s="1473"/>
      <c r="C70" s="1473"/>
      <c r="D70" s="1481"/>
      <c r="E70" s="1474"/>
      <c r="F70" s="85"/>
      <c r="G70" s="85"/>
      <c r="H70" s="243"/>
      <c r="I70" s="243"/>
      <c r="J70" s="243"/>
      <c r="K70" s="243"/>
      <c r="L70" s="243"/>
      <c r="M70" s="243"/>
      <c r="N70" s="243"/>
      <c r="O70" s="243"/>
      <c r="P70" s="243"/>
      <c r="Q70" s="243"/>
      <c r="R70" s="243"/>
      <c r="S70" s="243"/>
      <c r="T70" s="243"/>
      <c r="U70" s="86"/>
      <c r="V70" s="243"/>
      <c r="W70" s="243"/>
      <c r="X70" s="243"/>
      <c r="Y70" s="243"/>
      <c r="Z70" s="243"/>
      <c r="AA70" s="243"/>
      <c r="AB70" s="86"/>
      <c r="AC70" s="86"/>
      <c r="AD70" s="86"/>
      <c r="AE70" s="86"/>
      <c r="AF70" s="243"/>
      <c r="AG70" s="243"/>
      <c r="AH70" s="243"/>
      <c r="AI70" s="243"/>
      <c r="AJ70" s="243"/>
      <c r="AK70" s="243"/>
      <c r="AL70" s="243"/>
      <c r="AM70" s="243"/>
      <c r="AN70" s="243"/>
      <c r="AO70" s="243"/>
      <c r="AP70" s="243"/>
      <c r="AQ70" s="243"/>
      <c r="AR70" s="243"/>
      <c r="AS70" s="243"/>
      <c r="AT70" s="243"/>
      <c r="AU70" s="243"/>
      <c r="AV70" s="243"/>
      <c r="AW70" s="243"/>
      <c r="AX70" s="243"/>
      <c r="AY70" s="243"/>
      <c r="AZ70" s="243"/>
      <c r="BA70" s="243"/>
      <c r="BB70" s="243"/>
      <c r="BC70" s="14"/>
      <c r="BF70" s="39"/>
      <c r="BG70" s="40"/>
      <c r="BH70" s="40"/>
      <c r="BI70" s="59"/>
      <c r="BJ70" s="59"/>
      <c r="BK70" s="59"/>
      <c r="BL70" s="59"/>
      <c r="BM70" s="59"/>
      <c r="BN70" s="4"/>
      <c r="BO70" s="27"/>
      <c r="BP70" s="206"/>
      <c r="BQ70" s="206"/>
      <c r="BR70" s="207"/>
      <c r="BS70" s="206"/>
      <c r="BT70" s="206"/>
      <c r="BU70" s="206"/>
      <c r="BX70">
        <v>10</v>
      </c>
      <c r="BY70" s="207"/>
      <c r="BZ70" s="206"/>
      <c r="CA70" s="206"/>
      <c r="CB70" s="206"/>
      <c r="CC70" s="206"/>
      <c r="CD70" s="206"/>
      <c r="CE70" s="206"/>
      <c r="CF70" s="206"/>
      <c r="CG70" s="206"/>
      <c r="CH70" s="222" t="b">
        <f>IF(CJ84=20,8)</f>
        <v>0</v>
      </c>
      <c r="CI70" s="201"/>
      <c r="CJ70" s="201"/>
      <c r="CK70" s="201"/>
      <c r="CL70" s="226" t="b">
        <f>IF(CJ84=20,12)</f>
        <v>0</v>
      </c>
      <c r="CM70" s="198"/>
      <c r="CN70" s="184"/>
      <c r="CO70" s="185"/>
      <c r="CP70" s="185"/>
      <c r="CQ70" s="185"/>
      <c r="CR70" s="185"/>
      <c r="CS70" s="185"/>
      <c r="CT70" s="185"/>
      <c r="CU70" s="185"/>
      <c r="CV70" s="185"/>
    </row>
    <row r="71" spans="2:137" ht="22.2" hidden="1" thickTop="1" thickBot="1" x14ac:dyDescent="0.45">
      <c r="B71" s="1473"/>
      <c r="C71" s="1473"/>
      <c r="D71" s="1481"/>
      <c r="E71" s="1474"/>
      <c r="F71" s="85"/>
      <c r="G71" s="85"/>
      <c r="H71" s="243"/>
      <c r="I71" s="243"/>
      <c r="J71" s="243"/>
      <c r="K71" s="243"/>
      <c r="L71" s="243"/>
      <c r="M71" s="243"/>
      <c r="N71" s="243"/>
      <c r="O71" s="243"/>
      <c r="P71" s="243"/>
      <c r="Q71" s="243"/>
      <c r="R71" s="243"/>
      <c r="S71" s="243"/>
      <c r="T71" s="243"/>
      <c r="U71" s="86"/>
      <c r="V71" s="243"/>
      <c r="W71" s="243"/>
      <c r="X71" s="243"/>
      <c r="Y71" s="243"/>
      <c r="Z71" s="243"/>
      <c r="AA71" s="243"/>
      <c r="AB71" s="86"/>
      <c r="AC71" s="86"/>
      <c r="AD71" s="86"/>
      <c r="AE71" s="86"/>
      <c r="AF71" s="243"/>
      <c r="AG71" s="243"/>
      <c r="AH71" s="243"/>
      <c r="AI71" s="243"/>
      <c r="AJ71" s="243"/>
      <c r="AK71" s="243"/>
      <c r="AL71" s="243"/>
      <c r="AM71" s="243"/>
      <c r="AN71" s="243"/>
      <c r="AO71" s="243"/>
      <c r="AP71" s="243"/>
      <c r="AQ71" s="243"/>
      <c r="AR71" s="243"/>
      <c r="AS71" s="243"/>
      <c r="AT71" s="243"/>
      <c r="AU71" s="243"/>
      <c r="AV71" s="243"/>
      <c r="AW71" s="243"/>
      <c r="AX71" s="243"/>
      <c r="AY71" s="243"/>
      <c r="AZ71" s="243"/>
      <c r="BA71" s="243"/>
      <c r="BB71" s="243"/>
      <c r="BC71" s="14"/>
      <c r="BF71" s="39"/>
      <c r="BG71" s="40"/>
      <c r="BH71" s="40"/>
      <c r="BI71" s="59"/>
      <c r="BJ71" s="59"/>
      <c r="BK71" s="59"/>
      <c r="BL71" s="59"/>
      <c r="BM71" s="59"/>
      <c r="BN71" s="4"/>
      <c r="BO71" s="27"/>
      <c r="BP71" s="206"/>
      <c r="BQ71" s="206"/>
      <c r="BR71" s="207"/>
      <c r="BS71" s="206"/>
      <c r="BT71" s="206"/>
      <c r="BU71" s="206"/>
      <c r="BX71">
        <v>9</v>
      </c>
      <c r="BY71" s="207"/>
      <c r="BZ71" s="206"/>
      <c r="CA71" s="206"/>
      <c r="CB71" s="206"/>
      <c r="CC71" s="206"/>
      <c r="CD71" s="206"/>
      <c r="CE71" s="206"/>
      <c r="CF71" s="210" t="b">
        <f>IF(CI84=19,6)</f>
        <v>0</v>
      </c>
      <c r="CG71" s="211"/>
      <c r="CH71" s="224"/>
      <c r="CI71" s="211"/>
      <c r="CJ71" s="224"/>
      <c r="CK71" s="211"/>
      <c r="CL71" s="212" t="b">
        <f>IF(CI84=19,12)</f>
        <v>0</v>
      </c>
      <c r="CM71" s="198"/>
      <c r="CN71" s="184"/>
      <c r="CO71" s="185"/>
      <c r="CP71" s="185"/>
      <c r="CQ71" s="185"/>
      <c r="CR71" s="185"/>
      <c r="CS71" s="185"/>
      <c r="CT71" s="185"/>
      <c r="CU71" s="185"/>
      <c r="CV71" s="185"/>
    </row>
    <row r="72" spans="2:137" ht="22.2" hidden="1" thickTop="1" thickBot="1" x14ac:dyDescent="0.45">
      <c r="B72" s="1473"/>
      <c r="C72" s="1473"/>
      <c r="D72" s="1481"/>
      <c r="E72" s="1474"/>
      <c r="F72" s="85"/>
      <c r="G72" s="85"/>
      <c r="H72" s="243"/>
      <c r="I72" s="243"/>
      <c r="J72" s="243"/>
      <c r="K72" s="243"/>
      <c r="L72" s="243"/>
      <c r="M72" s="243"/>
      <c r="N72" s="243"/>
      <c r="O72" s="243"/>
      <c r="P72" s="243"/>
      <c r="Q72" s="243"/>
      <c r="R72" s="243"/>
      <c r="S72" s="243"/>
      <c r="T72" s="243"/>
      <c r="U72" s="86"/>
      <c r="V72" s="243"/>
      <c r="W72" s="243"/>
      <c r="X72" s="243"/>
      <c r="Y72" s="243"/>
      <c r="Z72" s="243"/>
      <c r="AA72" s="243"/>
      <c r="AB72" s="86"/>
      <c r="AC72" s="86"/>
      <c r="AD72" s="86"/>
      <c r="AE72" s="86"/>
      <c r="AF72" s="243"/>
      <c r="AG72" s="243"/>
      <c r="AH72" s="243"/>
      <c r="AI72" s="243"/>
      <c r="AJ72" s="243"/>
      <c r="AK72" s="243"/>
      <c r="AL72" s="243"/>
      <c r="AM72" s="243"/>
      <c r="AN72" s="243"/>
      <c r="AO72" s="243"/>
      <c r="AP72" s="243"/>
      <c r="AQ72" s="243"/>
      <c r="AR72" s="243"/>
      <c r="AS72" s="243"/>
      <c r="AT72" s="243"/>
      <c r="AU72" s="243"/>
      <c r="AV72" s="243"/>
      <c r="AW72" s="243"/>
      <c r="AX72" s="243"/>
      <c r="AY72" s="243"/>
      <c r="AZ72" s="243"/>
      <c r="BA72" s="243"/>
      <c r="BB72" s="243"/>
      <c r="BC72" s="14"/>
      <c r="BF72" s="39"/>
      <c r="BG72" s="40"/>
      <c r="BH72" s="40"/>
      <c r="BI72" s="59"/>
      <c r="BJ72" s="59"/>
      <c r="BK72" s="59"/>
      <c r="BL72" s="59"/>
      <c r="BM72" s="59"/>
      <c r="BN72" s="4"/>
      <c r="BO72" s="27"/>
      <c r="BP72" s="206"/>
      <c r="BQ72" s="206"/>
      <c r="BR72" s="207"/>
      <c r="BS72" s="206"/>
      <c r="BT72" s="206"/>
      <c r="BU72" s="206"/>
      <c r="BX72">
        <v>8</v>
      </c>
      <c r="BY72" s="207"/>
      <c r="BZ72" s="206"/>
      <c r="CA72" s="206"/>
      <c r="CB72" s="206"/>
      <c r="CC72" s="206"/>
      <c r="CF72" s="208" t="b">
        <f>IF(CH84=18,6)</f>
        <v>0</v>
      </c>
      <c r="CG72" s="205"/>
      <c r="CH72" s="205"/>
      <c r="CI72" s="205"/>
      <c r="CJ72" s="209" t="b">
        <f>IF(CH84=18,10)</f>
        <v>0</v>
      </c>
      <c r="CK72" s="206"/>
      <c r="CM72" s="198"/>
      <c r="CN72" s="184"/>
      <c r="CO72" s="185"/>
      <c r="CP72" s="185"/>
      <c r="CQ72" s="185"/>
      <c r="CR72" s="185"/>
      <c r="CS72" s="185"/>
      <c r="CT72" s="185"/>
      <c r="CU72" s="185"/>
      <c r="CV72" s="185"/>
    </row>
    <row r="73" spans="2:137" ht="22.2" hidden="1" thickTop="1" thickBot="1" x14ac:dyDescent="0.45">
      <c r="B73" s="1473"/>
      <c r="C73" s="1473"/>
      <c r="D73" s="1481"/>
      <c r="E73" s="1474"/>
      <c r="F73" s="85"/>
      <c r="G73" s="85"/>
      <c r="H73" s="243"/>
      <c r="I73" s="243"/>
      <c r="J73" s="243"/>
      <c r="K73" s="243"/>
      <c r="L73" s="243"/>
      <c r="M73" s="243"/>
      <c r="N73" s="243"/>
      <c r="O73" s="243"/>
      <c r="P73" s="243"/>
      <c r="Q73" s="243"/>
      <c r="R73" s="243"/>
      <c r="S73" s="243"/>
      <c r="T73" s="243"/>
      <c r="U73" s="86"/>
      <c r="V73" s="243"/>
      <c r="W73" s="243"/>
      <c r="X73" s="243"/>
      <c r="Y73" s="243"/>
      <c r="Z73" s="243"/>
      <c r="AA73" s="243"/>
      <c r="AB73" s="86"/>
      <c r="AC73" s="86"/>
      <c r="AD73" s="86"/>
      <c r="AE73" s="86"/>
      <c r="AF73" s="243"/>
      <c r="AG73" s="243"/>
      <c r="AH73" s="243"/>
      <c r="AI73" s="243"/>
      <c r="AJ73" s="243"/>
      <c r="AK73" s="243"/>
      <c r="AL73" s="243"/>
      <c r="AM73" s="243"/>
      <c r="AN73" s="243"/>
      <c r="AO73" s="243"/>
      <c r="AP73" s="243"/>
      <c r="AQ73" s="243"/>
      <c r="AR73" s="243"/>
      <c r="AS73" s="243"/>
      <c r="AT73" s="243"/>
      <c r="AU73" s="243"/>
      <c r="AV73" s="243"/>
      <c r="AW73" s="243"/>
      <c r="AX73" s="243"/>
      <c r="AY73" s="243"/>
      <c r="AZ73" s="243"/>
      <c r="BA73" s="243"/>
      <c r="BB73" s="243"/>
      <c r="BC73" s="14"/>
      <c r="BF73" s="39"/>
      <c r="BG73" s="40"/>
      <c r="BH73" s="40"/>
      <c r="BI73" s="59"/>
      <c r="BJ73" s="59"/>
      <c r="BK73" s="59"/>
      <c r="BL73" s="59"/>
      <c r="BM73" s="59"/>
      <c r="BN73" s="4"/>
      <c r="BO73" s="27"/>
      <c r="BP73" s="206"/>
      <c r="BQ73" s="206"/>
      <c r="BR73" s="207"/>
      <c r="BS73" s="206"/>
      <c r="BT73" s="206"/>
      <c r="BU73" s="206"/>
      <c r="BX73">
        <v>7</v>
      </c>
      <c r="BY73" s="207"/>
      <c r="BZ73" s="206"/>
      <c r="CA73" s="206"/>
      <c r="CB73" s="210" t="b">
        <f>IF(CG84=17,4)</f>
        <v>0</v>
      </c>
      <c r="CC73" s="211"/>
      <c r="CD73" s="211"/>
      <c r="CE73" s="211"/>
      <c r="CF73" s="211"/>
      <c r="CG73" s="211"/>
      <c r="CH73" s="211"/>
      <c r="CI73" s="211"/>
      <c r="CJ73" s="211"/>
      <c r="CK73" s="205"/>
      <c r="CL73" s="212" t="b">
        <f>IF(CG84=17,12)</f>
        <v>0</v>
      </c>
      <c r="CM73" s="198"/>
      <c r="CN73" s="184"/>
      <c r="CO73" s="185"/>
      <c r="CP73" s="185"/>
      <c r="CQ73" s="185"/>
      <c r="CR73" s="185"/>
      <c r="CS73" s="185"/>
      <c r="CT73" s="185"/>
      <c r="CU73" s="185"/>
      <c r="CV73" s="185"/>
    </row>
    <row r="74" spans="2:137" ht="22.2" hidden="1" thickTop="1" thickBot="1" x14ac:dyDescent="0.45">
      <c r="B74" s="1473"/>
      <c r="C74" s="1473"/>
      <c r="D74" s="1481"/>
      <c r="E74" s="1474"/>
      <c r="F74" s="85"/>
      <c r="G74" s="85"/>
      <c r="H74" s="243"/>
      <c r="I74" s="243"/>
      <c r="J74" s="243"/>
      <c r="K74" s="243"/>
      <c r="L74" s="243"/>
      <c r="M74" s="243"/>
      <c r="N74" s="243"/>
      <c r="O74" s="243"/>
      <c r="P74" s="243"/>
      <c r="Q74" s="243"/>
      <c r="R74" s="243"/>
      <c r="S74" s="243"/>
      <c r="T74" s="243"/>
      <c r="U74" s="86"/>
      <c r="V74" s="243"/>
      <c r="W74" s="243"/>
      <c r="X74" s="243"/>
      <c r="Y74" s="243"/>
      <c r="Z74" s="243"/>
      <c r="AA74" s="243"/>
      <c r="AB74" s="86"/>
      <c r="AC74" s="86"/>
      <c r="AD74" s="86"/>
      <c r="AE74" s="86"/>
      <c r="AF74" s="243"/>
      <c r="AG74" s="243"/>
      <c r="AH74" s="243"/>
      <c r="AI74" s="243"/>
      <c r="AJ74" s="243"/>
      <c r="AK74" s="243"/>
      <c r="AL74" s="243"/>
      <c r="AM74" s="243"/>
      <c r="AN74" s="243"/>
      <c r="AO74" s="243"/>
      <c r="AP74" s="243"/>
      <c r="AQ74" s="243"/>
      <c r="AR74" s="243"/>
      <c r="AS74" s="243"/>
      <c r="AT74" s="243"/>
      <c r="AU74" s="243"/>
      <c r="AV74" s="243"/>
      <c r="AW74" s="243"/>
      <c r="AX74" s="243"/>
      <c r="AY74" s="243"/>
      <c r="AZ74" s="243"/>
      <c r="BA74" s="243"/>
      <c r="BB74" s="243"/>
      <c r="BC74" s="14"/>
      <c r="BF74" s="41"/>
      <c r="BG74" s="40"/>
      <c r="BH74" s="40"/>
      <c r="BI74" s="59"/>
      <c r="BJ74" s="59"/>
      <c r="BK74" s="59"/>
      <c r="BL74" s="59"/>
      <c r="BM74" s="59"/>
      <c r="BN74" s="4"/>
      <c r="BO74" s="27"/>
      <c r="BP74" s="206"/>
      <c r="BQ74" s="206"/>
      <c r="BR74" s="207"/>
      <c r="BS74" s="206"/>
      <c r="BT74" s="206"/>
      <c r="BU74" s="206"/>
      <c r="BX74">
        <v>6</v>
      </c>
      <c r="BY74" s="207"/>
      <c r="BZ74" s="210" t="b">
        <f>IF(CF84=16,2)</f>
        <v>0</v>
      </c>
      <c r="CA74" s="211"/>
      <c r="CB74" s="211"/>
      <c r="CC74" s="211"/>
      <c r="CD74" s="211"/>
      <c r="CE74" s="211"/>
      <c r="CF74" s="211"/>
      <c r="CG74" s="211"/>
      <c r="CH74" s="211"/>
      <c r="CI74" s="211"/>
      <c r="CJ74" s="211"/>
      <c r="CK74" s="211"/>
      <c r="CL74" s="212" t="b">
        <f>IF(CF84=16,12)</f>
        <v>0</v>
      </c>
      <c r="CM74" s="198"/>
      <c r="CN74" s="184"/>
      <c r="CO74" s="185"/>
      <c r="CP74" s="185"/>
      <c r="CQ74" s="185"/>
      <c r="CR74" s="185"/>
      <c r="CS74" s="185"/>
      <c r="CT74" s="185"/>
      <c r="CU74" s="185"/>
      <c r="CV74" s="185"/>
    </row>
    <row r="75" spans="2:137" ht="22.2" hidden="1" thickTop="1" thickBot="1" x14ac:dyDescent="0.45">
      <c r="B75" s="1473"/>
      <c r="C75" s="1473"/>
      <c r="D75" s="1481"/>
      <c r="E75" s="1474"/>
      <c r="F75" s="85"/>
      <c r="G75" s="85"/>
      <c r="H75" s="243"/>
      <c r="I75" s="243"/>
      <c r="J75" s="243"/>
      <c r="K75" s="243"/>
      <c r="L75" s="243"/>
      <c r="M75" s="243"/>
      <c r="N75" s="243"/>
      <c r="O75" s="243"/>
      <c r="P75" s="243"/>
      <c r="Q75" s="243"/>
      <c r="R75" s="243"/>
      <c r="S75" s="243"/>
      <c r="T75" s="243"/>
      <c r="U75" s="86"/>
      <c r="V75" s="243"/>
      <c r="W75" s="243"/>
      <c r="X75" s="243"/>
      <c r="Y75" s="243"/>
      <c r="Z75" s="243"/>
      <c r="AA75" s="243"/>
      <c r="AB75" s="86"/>
      <c r="AC75" s="86"/>
      <c r="AD75" s="86"/>
      <c r="AE75" s="86"/>
      <c r="AF75" s="243"/>
      <c r="AG75" s="243"/>
      <c r="AH75" s="243"/>
      <c r="AI75" s="243"/>
      <c r="AJ75" s="243"/>
      <c r="AK75" s="243"/>
      <c r="AL75" s="243"/>
      <c r="AM75" s="243"/>
      <c r="AN75" s="243"/>
      <c r="AO75" s="243"/>
      <c r="AP75" s="243"/>
      <c r="AQ75" s="243"/>
      <c r="AR75" s="243"/>
      <c r="AS75" s="243"/>
      <c r="AT75" s="243"/>
      <c r="AU75" s="243"/>
      <c r="AV75" s="243"/>
      <c r="AW75" s="243"/>
      <c r="AX75" s="243"/>
      <c r="AY75" s="243"/>
      <c r="AZ75" s="243"/>
      <c r="BA75" s="243"/>
      <c r="BB75" s="243"/>
      <c r="BC75" s="14"/>
      <c r="BF75" s="40"/>
      <c r="BG75" s="40"/>
      <c r="BH75" s="40"/>
      <c r="BI75" s="59"/>
      <c r="BJ75" s="59"/>
      <c r="BK75" s="59"/>
      <c r="BL75" s="59"/>
      <c r="BM75" s="59"/>
      <c r="BN75" s="4"/>
      <c r="BO75" s="27"/>
      <c r="BP75" s="206"/>
      <c r="BQ75" s="206"/>
      <c r="BR75" s="207"/>
      <c r="BS75" s="206"/>
      <c r="BT75" s="206"/>
      <c r="BU75" s="206"/>
      <c r="BX75" s="17" t="s">
        <v>86</v>
      </c>
      <c r="BY75" s="210" t="b">
        <f>IF(CE84=15,1)</f>
        <v>0</v>
      </c>
      <c r="BZ75" s="211"/>
      <c r="CA75" s="211"/>
      <c r="CB75" s="211"/>
      <c r="CC75" s="211"/>
      <c r="CD75" s="211"/>
      <c r="CE75" s="211"/>
      <c r="CF75" s="211"/>
      <c r="CG75" s="211"/>
      <c r="CH75" s="211"/>
      <c r="CI75" s="211"/>
      <c r="CJ75" s="211"/>
      <c r="CK75" s="212" t="b">
        <f>IF(CE84=15,11)</f>
        <v>0</v>
      </c>
      <c r="CL75" s="207"/>
      <c r="CM75" s="198"/>
      <c r="CN75" s="184"/>
      <c r="CO75" s="185"/>
      <c r="CP75" s="185"/>
      <c r="CQ75" s="185"/>
      <c r="CR75" s="185"/>
      <c r="CS75" s="185"/>
      <c r="CT75" s="185"/>
      <c r="CU75" s="185"/>
      <c r="CV75" s="185"/>
    </row>
    <row r="76" spans="2:137" ht="22.2" hidden="1" thickTop="1" thickBot="1" x14ac:dyDescent="0.45">
      <c r="B76" s="1473"/>
      <c r="C76" s="1473"/>
      <c r="D76" s="1481"/>
      <c r="E76" s="1474"/>
      <c r="F76" s="85"/>
      <c r="G76" s="85"/>
      <c r="H76" s="243"/>
      <c r="I76" s="243"/>
      <c r="J76" s="243"/>
      <c r="K76" s="243"/>
      <c r="L76" s="243"/>
      <c r="M76" s="243"/>
      <c r="N76" s="243"/>
      <c r="O76" s="243"/>
      <c r="P76" s="243"/>
      <c r="Q76" s="243"/>
      <c r="R76" s="243"/>
      <c r="S76" s="243"/>
      <c r="T76" s="243"/>
      <c r="U76" s="86"/>
      <c r="V76" s="243"/>
      <c r="W76" s="243"/>
      <c r="X76" s="243"/>
      <c r="Y76" s="243"/>
      <c r="Z76" s="243"/>
      <c r="AA76" s="243"/>
      <c r="AB76" s="86"/>
      <c r="AC76" s="86"/>
      <c r="AD76" s="86"/>
      <c r="AE76" s="86"/>
      <c r="AF76" s="243"/>
      <c r="AG76" s="243"/>
      <c r="AH76" s="243"/>
      <c r="AI76" s="243"/>
      <c r="AJ76" s="243"/>
      <c r="AK76" s="243"/>
      <c r="AL76" s="243"/>
      <c r="AM76" s="243"/>
      <c r="AN76" s="243"/>
      <c r="AO76" s="243"/>
      <c r="AP76" s="243"/>
      <c r="AQ76" s="243"/>
      <c r="AR76" s="243"/>
      <c r="AS76" s="243"/>
      <c r="AT76" s="243"/>
      <c r="AU76" s="243"/>
      <c r="AV76" s="243"/>
      <c r="AW76" s="243"/>
      <c r="AX76" s="243"/>
      <c r="AY76" s="243"/>
      <c r="AZ76" s="243"/>
      <c r="BA76" s="243"/>
      <c r="BB76" s="243"/>
      <c r="BC76" s="14"/>
      <c r="BF76" s="40"/>
      <c r="BG76" s="40"/>
      <c r="BH76" s="40"/>
      <c r="BI76" s="59"/>
      <c r="BJ76" s="59"/>
      <c r="BK76" s="59"/>
      <c r="BL76" s="59"/>
      <c r="BM76" s="59"/>
      <c r="BN76" s="4"/>
      <c r="BO76" s="27"/>
      <c r="BP76" s="206"/>
      <c r="BQ76" s="206"/>
      <c r="BR76" s="207"/>
      <c r="BS76" s="206"/>
      <c r="BT76" s="206"/>
      <c r="BU76" s="206"/>
      <c r="BX76" s="17" t="s">
        <v>85</v>
      </c>
      <c r="BY76" s="208" t="b">
        <f>IF(CD84=14,1)</f>
        <v>0</v>
      </c>
      <c r="BZ76" s="205"/>
      <c r="CA76" s="205"/>
      <c r="CB76" s="205"/>
      <c r="CC76" s="205"/>
      <c r="CD76" s="205"/>
      <c r="CE76" s="205"/>
      <c r="CF76" s="205"/>
      <c r="CG76" s="205"/>
      <c r="CH76" s="205"/>
      <c r="CI76" s="209" t="b">
        <f>IF(CD84=14,9)</f>
        <v>0</v>
      </c>
      <c r="CJ76" s="206"/>
      <c r="CK76" s="206"/>
      <c r="CL76" s="207"/>
      <c r="CM76" s="198"/>
      <c r="CN76" s="184"/>
      <c r="CO76" s="185"/>
      <c r="CP76" s="185"/>
      <c r="CQ76" s="185"/>
      <c r="CR76" s="185"/>
      <c r="CS76" s="185"/>
      <c r="CT76" s="185"/>
      <c r="CU76" s="185"/>
      <c r="CV76" s="185"/>
    </row>
    <row r="77" spans="2:137" ht="22.2" hidden="1" thickTop="1" thickBot="1" x14ac:dyDescent="0.45">
      <c r="B77" s="1473"/>
      <c r="C77" s="1473"/>
      <c r="D77" s="1481"/>
      <c r="E77" s="1474"/>
      <c r="F77" s="85"/>
      <c r="G77" s="85"/>
      <c r="H77" s="243"/>
      <c r="I77" s="243"/>
      <c r="J77" s="243"/>
      <c r="K77" s="243"/>
      <c r="L77" s="243"/>
      <c r="M77" s="243"/>
      <c r="N77" s="243"/>
      <c r="O77" s="243"/>
      <c r="P77" s="243"/>
      <c r="Q77" s="243"/>
      <c r="R77" s="243"/>
      <c r="S77" s="243"/>
      <c r="T77" s="243"/>
      <c r="U77" s="86"/>
      <c r="V77" s="243"/>
      <c r="W77" s="243"/>
      <c r="X77" s="243"/>
      <c r="Y77" s="243"/>
      <c r="Z77" s="243"/>
      <c r="AA77" s="243"/>
      <c r="AB77" s="86"/>
      <c r="AC77" s="86"/>
      <c r="AD77" s="86"/>
      <c r="AE77" s="86"/>
      <c r="AF77" s="243"/>
      <c r="AG77" s="243"/>
      <c r="AH77" s="243"/>
      <c r="AI77" s="243"/>
      <c r="AJ77" s="243"/>
      <c r="AK77" s="243"/>
      <c r="AL77" s="243"/>
      <c r="AM77" s="243"/>
      <c r="AN77" s="243"/>
      <c r="AO77" s="243"/>
      <c r="AP77" s="243"/>
      <c r="AQ77" s="243"/>
      <c r="AR77" s="243"/>
      <c r="AS77" s="243"/>
      <c r="AT77" s="243"/>
      <c r="AU77" s="243"/>
      <c r="AV77" s="243"/>
      <c r="AW77" s="243"/>
      <c r="AX77" s="243"/>
      <c r="AY77" s="243"/>
      <c r="AZ77" s="243"/>
      <c r="BA77" s="243"/>
      <c r="BB77" s="243"/>
      <c r="BC77" s="14"/>
      <c r="BF77" s="40"/>
      <c r="BG77" s="40"/>
      <c r="BH77" s="40"/>
      <c r="BI77" s="59"/>
      <c r="BJ77" s="59"/>
      <c r="BK77" s="59"/>
      <c r="BL77" s="59"/>
      <c r="BM77" s="59"/>
      <c r="BN77" s="4"/>
      <c r="BO77" s="27"/>
      <c r="BP77" s="206"/>
      <c r="BQ77" s="206"/>
      <c r="BR77" s="207"/>
      <c r="BS77" s="206"/>
      <c r="BT77" s="206"/>
      <c r="BU77" s="206"/>
      <c r="BX77">
        <v>5</v>
      </c>
      <c r="BY77" s="210" t="b">
        <f>IF(CC84=13,1)</f>
        <v>0</v>
      </c>
      <c r="BZ77" s="211"/>
      <c r="CA77" s="211"/>
      <c r="CB77" s="224"/>
      <c r="CC77" s="211"/>
      <c r="CD77" s="224"/>
      <c r="CE77" s="211"/>
      <c r="CF77" s="211"/>
      <c r="CG77" s="212" t="b">
        <f>IF(CC84=13,7)</f>
        <v>0</v>
      </c>
      <c r="CH77" s="206"/>
      <c r="CI77" s="206"/>
      <c r="CJ77" s="206"/>
      <c r="CK77" s="206"/>
      <c r="CL77" s="207"/>
      <c r="CM77" s="198"/>
      <c r="CN77" s="184"/>
      <c r="CO77" s="185"/>
      <c r="CP77" s="185"/>
      <c r="CQ77" s="185"/>
      <c r="CR77" s="185"/>
      <c r="CS77" s="185"/>
      <c r="CT77" s="185"/>
      <c r="CU77" s="185"/>
      <c r="CV77" s="185"/>
    </row>
    <row r="78" spans="2:137" ht="22.2" hidden="1" thickTop="1" thickBot="1" x14ac:dyDescent="0.45">
      <c r="B78" s="1473"/>
      <c r="C78" s="1473"/>
      <c r="D78" s="1481"/>
      <c r="E78" s="1474"/>
      <c r="F78" s="85"/>
      <c r="G78" s="85"/>
      <c r="H78" s="243"/>
      <c r="I78" s="243"/>
      <c r="J78" s="243"/>
      <c r="K78" s="243"/>
      <c r="L78" s="243"/>
      <c r="M78" s="243"/>
      <c r="N78" s="243"/>
      <c r="O78" s="243"/>
      <c r="P78" s="243"/>
      <c r="Q78" s="243"/>
      <c r="R78" s="243"/>
      <c r="S78" s="243"/>
      <c r="T78" s="243"/>
      <c r="U78" s="86"/>
      <c r="V78" s="243"/>
      <c r="W78" s="243"/>
      <c r="X78" s="243"/>
      <c r="Y78" s="243"/>
      <c r="Z78" s="243"/>
      <c r="AA78" s="243"/>
      <c r="AB78" s="86"/>
      <c r="AC78" s="86"/>
      <c r="AD78" s="86"/>
      <c r="AE78" s="86"/>
      <c r="AF78" s="243"/>
      <c r="AG78" s="243"/>
      <c r="AH78" s="243"/>
      <c r="AI78" s="243"/>
      <c r="AJ78" s="243"/>
      <c r="AK78" s="243"/>
      <c r="AL78" s="243"/>
      <c r="AM78" s="243"/>
      <c r="AN78" s="243"/>
      <c r="AO78" s="243"/>
      <c r="AP78" s="243"/>
      <c r="AQ78" s="243"/>
      <c r="AR78" s="243"/>
      <c r="AS78" s="243"/>
      <c r="AT78" s="243"/>
      <c r="AU78" s="243"/>
      <c r="AV78" s="243"/>
      <c r="AW78" s="243"/>
      <c r="AX78" s="243"/>
      <c r="AY78" s="243"/>
      <c r="AZ78" s="243"/>
      <c r="BA78" s="243"/>
      <c r="BB78" s="243"/>
      <c r="BC78" s="14"/>
      <c r="BF78" s="40"/>
      <c r="BG78" s="40"/>
      <c r="BH78" s="40"/>
      <c r="BI78" s="59"/>
      <c r="BJ78" s="59"/>
      <c r="BK78" s="59"/>
      <c r="BL78" s="59"/>
      <c r="BM78" s="59"/>
      <c r="BN78" s="4"/>
      <c r="BO78" s="27"/>
      <c r="BP78" s="206"/>
      <c r="BQ78" s="206"/>
      <c r="BR78" s="207"/>
      <c r="BS78" s="206"/>
      <c r="BT78" s="206"/>
      <c r="BU78" s="206"/>
      <c r="BX78">
        <v>4</v>
      </c>
      <c r="BY78" s="207"/>
      <c r="CA78" s="208" t="b">
        <f>IF(CB84=12,3)</f>
        <v>0</v>
      </c>
      <c r="CB78" s="205"/>
      <c r="CC78" s="209" t="b">
        <f>IF(CB84=12,5)</f>
        <v>0</v>
      </c>
      <c r="CE78" s="206"/>
      <c r="CF78" s="206"/>
      <c r="CG78" s="206"/>
      <c r="CH78" s="206"/>
      <c r="CI78" s="206"/>
      <c r="CJ78" s="206"/>
      <c r="CK78" s="206"/>
      <c r="CL78" s="207"/>
      <c r="CM78" s="198"/>
      <c r="CN78" s="184"/>
      <c r="CO78" s="185"/>
      <c r="CP78" s="185"/>
      <c r="CQ78" s="185"/>
      <c r="CR78" s="185"/>
      <c r="CS78" s="185"/>
      <c r="CT78" s="185"/>
      <c r="CU78" s="185"/>
      <c r="CV78" s="185"/>
    </row>
    <row r="79" spans="2:137" ht="22.2" hidden="1" thickTop="1" thickBot="1" x14ac:dyDescent="0.45">
      <c r="B79" s="1473"/>
      <c r="C79" s="1473"/>
      <c r="D79" s="1481"/>
      <c r="E79" s="1474"/>
      <c r="F79" s="85"/>
      <c r="G79" s="85"/>
      <c r="H79" s="243"/>
      <c r="I79" s="243"/>
      <c r="J79" s="243"/>
      <c r="K79" s="243"/>
      <c r="L79" s="243"/>
      <c r="M79" s="243"/>
      <c r="N79" s="243"/>
      <c r="O79" s="243"/>
      <c r="P79" s="243"/>
      <c r="Q79" s="243"/>
      <c r="R79" s="243"/>
      <c r="S79" s="243"/>
      <c r="T79" s="243"/>
      <c r="U79" s="86"/>
      <c r="V79" s="243"/>
      <c r="W79" s="243"/>
      <c r="X79" s="243"/>
      <c r="Y79" s="243"/>
      <c r="Z79" s="243"/>
      <c r="AA79" s="243"/>
      <c r="AB79" s="86"/>
      <c r="AC79" s="86"/>
      <c r="AD79" s="86"/>
      <c r="AE79" s="86"/>
      <c r="AF79" s="243"/>
      <c r="AG79" s="243"/>
      <c r="AH79" s="243"/>
      <c r="AI79" s="243"/>
      <c r="AJ79" s="243"/>
      <c r="AK79" s="243"/>
      <c r="AL79" s="243"/>
      <c r="AM79" s="243"/>
      <c r="AN79" s="243"/>
      <c r="AO79" s="243"/>
      <c r="AP79" s="243"/>
      <c r="AQ79" s="243"/>
      <c r="AR79" s="243"/>
      <c r="AS79" s="243"/>
      <c r="AT79" s="243"/>
      <c r="AU79" s="243"/>
      <c r="AV79" s="243"/>
      <c r="AW79" s="243"/>
      <c r="AX79" s="243"/>
      <c r="AY79" s="243"/>
      <c r="AZ79" s="243"/>
      <c r="BA79" s="243"/>
      <c r="BB79" s="243"/>
      <c r="BC79" s="14"/>
      <c r="BF79" s="40"/>
      <c r="BG79" s="40"/>
      <c r="BH79" s="40"/>
      <c r="BI79" s="59"/>
      <c r="BJ79" s="59"/>
      <c r="BK79" s="59"/>
      <c r="BL79" s="59"/>
      <c r="BM79" s="59"/>
      <c r="BN79" s="4"/>
      <c r="BO79" s="27"/>
      <c r="BP79" s="206"/>
      <c r="BQ79" s="206"/>
      <c r="BR79" s="207"/>
      <c r="BS79" s="206"/>
      <c r="BT79" s="206"/>
      <c r="BU79" s="206"/>
      <c r="BX79">
        <v>3</v>
      </c>
      <c r="BY79" s="210">
        <f>IF(CA84=11,1)</f>
        <v>1</v>
      </c>
      <c r="BZ79" s="211"/>
      <c r="CA79" s="211"/>
      <c r="CB79" s="211"/>
      <c r="CC79" s="212">
        <f>IF(CA84=11,5)</f>
        <v>5</v>
      </c>
      <c r="CD79" s="206"/>
      <c r="CE79" s="206"/>
      <c r="CF79" s="206"/>
      <c r="CG79" s="206"/>
      <c r="CH79" s="206"/>
      <c r="CI79" s="206"/>
      <c r="CJ79" s="206"/>
      <c r="CK79" s="206"/>
      <c r="CL79" s="207"/>
      <c r="CM79" s="198"/>
      <c r="CN79" s="184"/>
      <c r="CO79" s="185"/>
      <c r="CP79" s="185"/>
      <c r="CQ79" s="185"/>
      <c r="CR79" s="185"/>
      <c r="CS79" s="185"/>
      <c r="CT79" s="185"/>
      <c r="CU79" s="185"/>
      <c r="CV79" s="185"/>
      <c r="CZ79" s="1994"/>
      <c r="DA79" s="1994"/>
      <c r="DB79" s="182"/>
      <c r="DC79" s="182"/>
      <c r="DD79" s="183"/>
      <c r="DE79" s="184"/>
      <c r="DF79" s="184"/>
      <c r="DG79" s="184"/>
      <c r="DH79" s="184"/>
      <c r="DI79" s="184"/>
      <c r="DJ79" s="184"/>
      <c r="DK79" s="184"/>
      <c r="DL79" s="184"/>
      <c r="DM79" s="184"/>
      <c r="DN79" s="184"/>
      <c r="DO79" s="184"/>
      <c r="DP79" s="184"/>
      <c r="DQ79" s="184"/>
      <c r="DR79" s="184"/>
      <c r="DS79" s="184"/>
      <c r="DT79" s="184"/>
      <c r="DU79" s="184"/>
      <c r="DV79" s="184"/>
      <c r="DW79" s="184"/>
      <c r="DX79" s="185"/>
      <c r="DY79" s="185"/>
      <c r="DZ79" s="185"/>
      <c r="EA79" s="185"/>
      <c r="EB79" s="185"/>
      <c r="EC79" s="185"/>
      <c r="ED79" s="185"/>
      <c r="EE79" s="185"/>
      <c r="EF79" s="143"/>
      <c r="EG79" s="143"/>
    </row>
    <row r="80" spans="2:137" ht="22.2" hidden="1" thickTop="1" thickBot="1" x14ac:dyDescent="0.45">
      <c r="B80" s="1373" t="b">
        <f>AND(B86&gt;=10,D86&gt;=10,BA107&gt;=10,BB107&gt;=10)</f>
        <v>1</v>
      </c>
      <c r="C80" s="1473"/>
      <c r="D80" s="1482"/>
      <c r="E80" s="1373" t="b">
        <f>AND(B86&gt;=10,D86&gt;=10,E86&gt;=10,BA107&gt;=10,BB107&gt;=10)</f>
        <v>1</v>
      </c>
      <c r="G80" s="85"/>
      <c r="H80" s="243"/>
      <c r="I80" s="243"/>
      <c r="J80" s="243"/>
      <c r="K80" s="243"/>
      <c r="L80" s="243"/>
      <c r="M80" s="243"/>
      <c r="N80" s="243"/>
      <c r="O80" s="243"/>
      <c r="P80" s="243"/>
      <c r="Q80" s="243"/>
      <c r="R80" s="243"/>
      <c r="S80" s="243"/>
      <c r="T80" s="243"/>
      <c r="U80" s="86"/>
      <c r="V80" s="243"/>
      <c r="W80" s="243"/>
      <c r="X80" s="243"/>
      <c r="Y80" s="243"/>
      <c r="Z80" s="243"/>
      <c r="AA80" s="243"/>
      <c r="AB80" s="86"/>
      <c r="AC80" s="86"/>
      <c r="AD80" s="86"/>
      <c r="AE80" s="86"/>
      <c r="AF80" s="243"/>
      <c r="AG80" s="243"/>
      <c r="AH80" s="243"/>
      <c r="AI80" s="243"/>
      <c r="AJ80" s="243"/>
      <c r="AK80" s="243"/>
      <c r="AL80" s="243"/>
      <c r="AM80" s="243"/>
      <c r="AN80" s="243"/>
      <c r="AO80" s="243"/>
      <c r="AP80" s="243"/>
      <c r="AQ80" s="243"/>
      <c r="AR80" s="243"/>
      <c r="AS80" s="243"/>
      <c r="AT80" s="243"/>
      <c r="AU80" s="243"/>
      <c r="AV80" s="243"/>
      <c r="AW80" s="243"/>
      <c r="AX80" s="243"/>
      <c r="AY80" s="243"/>
      <c r="AZ80" s="243"/>
      <c r="BA80" s="243"/>
      <c r="BB80" s="243"/>
      <c r="BC80" s="14"/>
      <c r="BF80" s="40"/>
      <c r="BG80" s="40"/>
      <c r="BH80" s="40"/>
      <c r="BI80" s="59"/>
      <c r="BJ80" s="59"/>
      <c r="BK80" s="59"/>
      <c r="BL80" s="59"/>
      <c r="BM80" s="59"/>
      <c r="BN80" s="4"/>
      <c r="BO80" s="27"/>
      <c r="BP80" s="206"/>
      <c r="BQ80" s="206"/>
      <c r="BR80" s="207"/>
      <c r="BS80" s="206"/>
      <c r="BT80" s="206"/>
      <c r="BU80" s="206"/>
      <c r="BX80">
        <v>2</v>
      </c>
      <c r="BY80" s="208" t="b">
        <f>IF(BZ84=10,1)</f>
        <v>0</v>
      </c>
      <c r="BZ80" s="205"/>
      <c r="CA80" s="209" t="b">
        <f>IF(BZ84=10,3)</f>
        <v>0</v>
      </c>
      <c r="CB80" s="206"/>
      <c r="CC80" s="206"/>
      <c r="CD80" s="206"/>
      <c r="CE80" s="206"/>
      <c r="CF80" s="206"/>
      <c r="CG80" s="206"/>
      <c r="CH80" s="206"/>
      <c r="CI80" s="206"/>
      <c r="CJ80" s="206"/>
      <c r="CK80" s="206"/>
      <c r="CL80" s="207"/>
      <c r="CM80" s="198"/>
      <c r="CN80" s="184"/>
      <c r="CO80" s="185"/>
      <c r="CP80" s="185"/>
      <c r="CQ80" s="185"/>
      <c r="CR80" s="185"/>
      <c r="CS80" s="185"/>
      <c r="CT80" s="185"/>
      <c r="CU80" s="185"/>
      <c r="CV80" s="185"/>
      <c r="ED80" s="185"/>
      <c r="EE80" s="185"/>
    </row>
    <row r="81" spans="2:135" ht="32.25" customHeight="1" thickTop="1" thickBot="1" x14ac:dyDescent="0.55000000000000004">
      <c r="B81" s="1358" t="str">
        <f>IF(B80=TRUE,"O K","OVERLOAD")</f>
        <v>O K</v>
      </c>
      <c r="C81" s="1473"/>
      <c r="D81" s="1483"/>
      <c r="E81" s="1361" t="str">
        <f>IF(E80=TRUE,"O K ","OVERLOAD")</f>
        <v xml:space="preserve">O K </v>
      </c>
      <c r="H81" s="243"/>
      <c r="I81" s="243"/>
      <c r="J81" s="243"/>
      <c r="K81" s="243"/>
      <c r="L81" s="243"/>
      <c r="M81" s="243"/>
      <c r="N81" s="243"/>
      <c r="O81" s="243"/>
      <c r="P81" s="243"/>
      <c r="Q81" s="243"/>
      <c r="R81" s="243"/>
      <c r="S81" s="243"/>
      <c r="T81" s="243"/>
      <c r="U81" s="86"/>
      <c r="V81" s="243"/>
      <c r="W81" s="243"/>
      <c r="X81" s="243"/>
      <c r="Y81" s="243"/>
      <c r="Z81" s="243"/>
      <c r="AA81" s="243"/>
      <c r="AB81" s="86"/>
      <c r="AC81" s="86"/>
      <c r="AD81" s="86"/>
      <c r="AE81" s="86"/>
      <c r="AF81" s="243"/>
      <c r="AG81" s="243"/>
      <c r="AH81" s="243"/>
      <c r="AI81" s="243"/>
      <c r="AJ81" s="243"/>
      <c r="AK81" s="243"/>
      <c r="AL81" s="243"/>
      <c r="AM81" s="243"/>
      <c r="AN81" s="243"/>
      <c r="AO81" s="243"/>
      <c r="AP81" s="243"/>
      <c r="AQ81" s="243"/>
      <c r="AR81" s="243"/>
      <c r="AS81" s="243"/>
      <c r="AT81" s="243"/>
      <c r="AU81" s="243"/>
      <c r="AV81" s="243"/>
      <c r="AW81" s="243"/>
      <c r="AX81" s="243"/>
      <c r="AY81" s="243"/>
      <c r="AZ81" s="243"/>
      <c r="BA81" s="243"/>
      <c r="BB81" s="243"/>
      <c r="BC81" s="14"/>
      <c r="BF81" s="40"/>
      <c r="BG81" s="40"/>
      <c r="BH81" s="40"/>
      <c r="BI81" s="59"/>
      <c r="BJ81" s="59"/>
      <c r="BK81" s="59"/>
      <c r="BL81" s="59"/>
      <c r="BM81" s="59"/>
      <c r="BN81" s="4"/>
      <c r="BO81" s="27"/>
      <c r="BP81" s="206"/>
      <c r="BQ81" s="206"/>
      <c r="BR81" s="207"/>
      <c r="BS81" s="206"/>
      <c r="BT81" s="206"/>
      <c r="BU81" s="206"/>
      <c r="BV81" s="182"/>
      <c r="BW81" s="206"/>
      <c r="BX81" s="206"/>
      <c r="BY81" s="206"/>
      <c r="BZ81" s="206"/>
      <c r="CA81" s="206"/>
      <c r="CB81" s="206"/>
      <c r="CC81" s="206"/>
      <c r="CD81" s="206"/>
      <c r="CE81" s="206"/>
      <c r="CF81" s="206"/>
      <c r="CG81" s="206"/>
      <c r="CH81" s="206"/>
      <c r="CI81" s="207"/>
      <c r="CJ81" s="198"/>
      <c r="CK81" s="198"/>
      <c r="CL81" s="198"/>
      <c r="CM81" s="198"/>
      <c r="CN81" s="184"/>
      <c r="CO81" s="185"/>
      <c r="CP81" s="185"/>
      <c r="CQ81" s="185"/>
      <c r="CR81" s="185"/>
      <c r="CS81" s="185"/>
      <c r="CT81" s="185"/>
      <c r="CU81" s="185"/>
      <c r="CV81" s="185"/>
      <c r="ED81" s="185"/>
      <c r="EE81" s="185"/>
    </row>
    <row r="82" spans="2:135" ht="43.2" thickTop="1" thickBot="1" x14ac:dyDescent="0.45">
      <c r="B82" s="2048" t="s">
        <v>77</v>
      </c>
      <c r="C82" s="2048"/>
      <c r="D82" s="2048"/>
      <c r="E82" s="2048"/>
      <c r="H82" s="243"/>
      <c r="I82" s="243"/>
      <c r="J82" s="243"/>
      <c r="K82" s="243"/>
      <c r="L82" s="243"/>
      <c r="M82" s="243"/>
      <c r="N82" s="243"/>
      <c r="O82" s="243"/>
      <c r="P82" s="243"/>
      <c r="Q82" s="243"/>
      <c r="R82" s="243"/>
      <c r="S82" s="243"/>
      <c r="T82" s="243"/>
      <c r="U82" s="86"/>
      <c r="V82" s="243"/>
      <c r="W82" s="243"/>
      <c r="X82" s="243"/>
      <c r="Y82" s="243"/>
      <c r="Z82" s="243"/>
      <c r="AA82" s="243"/>
      <c r="AB82" s="86"/>
      <c r="AC82" s="86"/>
      <c r="AD82" s="86"/>
      <c r="AE82" s="86"/>
      <c r="AF82" s="243"/>
      <c r="AG82" s="243"/>
      <c r="AH82" s="243"/>
      <c r="AI82" s="243"/>
      <c r="AJ82" s="243"/>
      <c r="AK82" s="243"/>
      <c r="AL82" s="243"/>
      <c r="AM82" s="243"/>
      <c r="AN82" s="243"/>
      <c r="AO82" s="243"/>
      <c r="AP82" s="243"/>
      <c r="AQ82" s="243"/>
      <c r="AR82" s="243"/>
      <c r="AS82" s="243"/>
      <c r="AT82" s="243"/>
      <c r="AU82" s="243"/>
      <c r="AV82" s="243"/>
      <c r="AW82" s="243"/>
      <c r="AX82" s="243"/>
      <c r="AY82" s="243"/>
      <c r="AZ82" s="243"/>
      <c r="BA82" s="243"/>
      <c r="BB82" s="243"/>
      <c r="BC82" s="14"/>
      <c r="BF82" s="40"/>
      <c r="BG82" s="40"/>
      <c r="BH82" s="40"/>
      <c r="BI82" s="59"/>
      <c r="BJ82" s="59"/>
      <c r="BK82" s="59"/>
      <c r="BL82" s="59"/>
      <c r="BM82" s="59"/>
      <c r="BN82" s="4"/>
      <c r="BO82" s="27"/>
      <c r="BP82" s="213" t="s">
        <v>82</v>
      </c>
      <c r="BQ82" s="1984"/>
      <c r="BR82" s="1985"/>
      <c r="BS82" s="1985"/>
      <c r="BT82" s="1985"/>
      <c r="BU82" s="1985"/>
      <c r="BV82" s="1985"/>
      <c r="BW82" s="1985"/>
      <c r="BX82" s="1986"/>
      <c r="BY82" s="765">
        <f t="shared" ref="BY82:CI82" si="1">SUM(BY69:BY81)</f>
        <v>1</v>
      </c>
      <c r="BZ82" s="766">
        <f t="shared" si="1"/>
        <v>0</v>
      </c>
      <c r="CA82" s="766">
        <f t="shared" si="1"/>
        <v>0</v>
      </c>
      <c r="CB82" s="766">
        <f t="shared" si="1"/>
        <v>0</v>
      </c>
      <c r="CC82" s="766">
        <f t="shared" si="1"/>
        <v>5</v>
      </c>
      <c r="CD82" s="766">
        <f t="shared" si="1"/>
        <v>0</v>
      </c>
      <c r="CE82" s="766">
        <f t="shared" si="1"/>
        <v>0</v>
      </c>
      <c r="CF82" s="766">
        <f t="shared" si="1"/>
        <v>0</v>
      </c>
      <c r="CG82" s="766">
        <f t="shared" si="1"/>
        <v>0</v>
      </c>
      <c r="CH82" s="766">
        <f t="shared" si="1"/>
        <v>0</v>
      </c>
      <c r="CI82" s="766">
        <f t="shared" si="1"/>
        <v>0</v>
      </c>
      <c r="CJ82" s="766">
        <f>SUM(CJ69:CJ81)</f>
        <v>0</v>
      </c>
      <c r="CK82" s="766">
        <f>SUM(CK69:CK81)</f>
        <v>0</v>
      </c>
      <c r="CL82" s="767">
        <f>SUM(CL69:CL81)</f>
        <v>0</v>
      </c>
      <c r="CM82" s="1984"/>
      <c r="CN82" s="1985"/>
      <c r="CO82" s="1985"/>
      <c r="CP82" s="1985"/>
      <c r="CQ82" s="1985"/>
      <c r="CR82" s="1985"/>
      <c r="CS82" s="1985"/>
      <c r="CT82" s="1986"/>
      <c r="CU82" s="185"/>
      <c r="CV82" s="185"/>
      <c r="ED82" s="185"/>
      <c r="EE82" s="185"/>
    </row>
    <row r="83" spans="2:135" ht="22.2" thickTop="1" thickBot="1" x14ac:dyDescent="0.45">
      <c r="B83" s="1476" t="s">
        <v>25</v>
      </c>
      <c r="C83" s="1477"/>
      <c r="D83" s="1476" t="s">
        <v>26</v>
      </c>
      <c r="E83" s="1476" t="s">
        <v>168</v>
      </c>
      <c r="G83" s="85"/>
      <c r="H83" s="243"/>
      <c r="I83" s="243"/>
      <c r="J83" s="243"/>
      <c r="K83" s="243"/>
      <c r="L83" s="243"/>
      <c r="M83" s="243"/>
      <c r="N83" s="243"/>
      <c r="O83" s="243"/>
      <c r="P83" s="243"/>
      <c r="Q83" s="243"/>
      <c r="R83" s="243"/>
      <c r="S83" s="243"/>
      <c r="T83" s="243"/>
      <c r="U83" s="86"/>
      <c r="V83" s="243"/>
      <c r="W83" s="243"/>
      <c r="X83" s="243"/>
      <c r="Y83" s="243"/>
      <c r="Z83" s="243"/>
      <c r="AA83" s="243"/>
      <c r="AB83" s="86"/>
      <c r="AC83" s="86"/>
      <c r="AD83" s="86"/>
      <c r="AE83" s="86"/>
      <c r="AF83" s="243"/>
      <c r="AG83" s="243"/>
      <c r="AH83" s="243"/>
      <c r="AI83" s="243"/>
      <c r="AJ83" s="243"/>
      <c r="AK83" s="243"/>
      <c r="AL83" s="243"/>
      <c r="AM83" s="243"/>
      <c r="AN83" s="243"/>
      <c r="AO83" s="243"/>
      <c r="AP83" s="243"/>
      <c r="AQ83" s="243"/>
      <c r="AR83" s="243"/>
      <c r="AS83" s="243"/>
      <c r="AT83" s="243"/>
      <c r="AU83" s="243"/>
      <c r="AV83" s="243"/>
      <c r="AW83" s="243"/>
      <c r="AX83" s="243"/>
      <c r="AY83" s="243"/>
      <c r="AZ83" s="243"/>
      <c r="BA83" s="243"/>
      <c r="BB83" s="243"/>
      <c r="BC83" s="14"/>
      <c r="BF83" s="40"/>
      <c r="BG83" s="40"/>
      <c r="BH83" s="40"/>
      <c r="BI83" s="59"/>
      <c r="BJ83" s="59"/>
      <c r="BK83" s="59"/>
      <c r="BL83" s="59"/>
      <c r="BM83" s="59"/>
      <c r="BN83" s="4"/>
      <c r="BO83" s="27"/>
      <c r="BP83" s="214"/>
      <c r="BQ83" s="198"/>
      <c r="BR83" s="199"/>
      <c r="BS83" s="198"/>
      <c r="BT83" s="198"/>
      <c r="BU83" s="198"/>
      <c r="BV83" s="199"/>
      <c r="BW83" s="198"/>
      <c r="BX83" s="198"/>
      <c r="BY83" s="198"/>
      <c r="BZ83" s="198"/>
      <c r="CA83" s="198"/>
      <c r="CB83" s="198"/>
      <c r="CC83" s="198"/>
      <c r="CD83" s="198"/>
      <c r="CE83" s="198"/>
      <c r="CF83" s="198"/>
      <c r="CG83" s="198"/>
      <c r="CH83" s="198"/>
      <c r="CI83" s="198"/>
      <c r="CJ83" s="198"/>
      <c r="CK83" s="198"/>
      <c r="CL83" s="198"/>
      <c r="CM83" s="198"/>
      <c r="CN83" s="184"/>
      <c r="CO83" s="185"/>
      <c r="CP83" s="185"/>
      <c r="CQ83" s="185"/>
      <c r="CR83" s="185"/>
      <c r="CS83" s="185"/>
      <c r="CT83" s="185"/>
      <c r="CU83" s="185"/>
      <c r="CV83" s="185"/>
      <c r="ED83" s="185"/>
      <c r="EE83" s="185"/>
    </row>
    <row r="84" spans="2:135" ht="22.2" hidden="1" thickTop="1" thickBot="1" x14ac:dyDescent="0.45">
      <c r="B84" s="1473"/>
      <c r="C84" s="1473"/>
      <c r="D84" s="1475"/>
      <c r="E84" s="1475"/>
      <c r="G84" s="85"/>
      <c r="H84" s="243"/>
      <c r="I84" s="243"/>
      <c r="J84" s="243"/>
      <c r="K84" s="243"/>
      <c r="L84" s="243"/>
      <c r="M84" s="243"/>
      <c r="N84" s="243"/>
      <c r="O84" s="243"/>
      <c r="P84" s="243"/>
      <c r="Q84" s="243"/>
      <c r="R84" s="243"/>
      <c r="S84" s="243"/>
      <c r="T84" s="243"/>
      <c r="U84" s="86"/>
      <c r="V84" s="243"/>
      <c r="W84" s="243"/>
      <c r="X84" s="243"/>
      <c r="Y84" s="243"/>
      <c r="Z84" s="243"/>
      <c r="AA84" s="243"/>
      <c r="AB84" s="86"/>
      <c r="AC84" s="86"/>
      <c r="AD84" s="86"/>
      <c r="AE84" s="86"/>
      <c r="AF84" s="243"/>
      <c r="AG84" s="243"/>
      <c r="AH84" s="243"/>
      <c r="AI84" s="243"/>
      <c r="AJ84" s="243"/>
      <c r="AK84" s="243"/>
      <c r="AL84" s="243"/>
      <c r="AM84" s="243"/>
      <c r="AN84" s="243"/>
      <c r="AO84" s="243"/>
      <c r="AP84" s="243"/>
      <c r="AQ84" s="243"/>
      <c r="AR84" s="243"/>
      <c r="AS84" s="243"/>
      <c r="AT84" s="243"/>
      <c r="AU84" s="243"/>
      <c r="AV84" s="243"/>
      <c r="AW84" s="243"/>
      <c r="AX84" s="243"/>
      <c r="AY84" s="243"/>
      <c r="AZ84" s="243"/>
      <c r="BA84" s="243"/>
      <c r="BB84" s="243"/>
      <c r="BC84" s="14"/>
      <c r="BF84" s="40"/>
      <c r="BG84" s="40"/>
      <c r="BH84" s="40"/>
      <c r="BI84" s="59"/>
      <c r="BJ84" s="59"/>
      <c r="BK84" s="59"/>
      <c r="BL84" s="59"/>
      <c r="BM84" s="59"/>
      <c r="BN84" s="4"/>
      <c r="BO84" s="27"/>
      <c r="BP84" s="182"/>
      <c r="BQ84" s="225" t="b">
        <f>+BO108</f>
        <v>0</v>
      </c>
      <c r="BR84" s="225" t="b">
        <f>+BO109</f>
        <v>0</v>
      </c>
      <c r="BS84" s="225" t="b">
        <f>+BO110</f>
        <v>0</v>
      </c>
      <c r="BT84" s="225" t="b">
        <f>+BO111</f>
        <v>0</v>
      </c>
      <c r="BU84" s="225" t="b">
        <f>+BO112</f>
        <v>0</v>
      </c>
      <c r="BV84" s="225" t="b">
        <f>+BO113</f>
        <v>0</v>
      </c>
      <c r="BW84" s="225" t="b">
        <f>+BO114</f>
        <v>0</v>
      </c>
      <c r="BX84" s="225" t="b">
        <f>+BO115</f>
        <v>0</v>
      </c>
      <c r="BY84" s="225" t="b">
        <f>+BO116</f>
        <v>0</v>
      </c>
      <c r="BZ84" s="225" t="b">
        <f>+BO117</f>
        <v>0</v>
      </c>
      <c r="CA84" s="225">
        <f>+BO118</f>
        <v>11</v>
      </c>
      <c r="CB84" s="225" t="b">
        <f>+BO119</f>
        <v>0</v>
      </c>
      <c r="CC84" s="225" t="b">
        <f>+BO120</f>
        <v>0</v>
      </c>
      <c r="CD84" s="225" t="b">
        <f>+BO121</f>
        <v>0</v>
      </c>
      <c r="CE84" s="225" t="b">
        <f>+BO122</f>
        <v>0</v>
      </c>
      <c r="CF84" s="225" t="b">
        <f>+BO123</f>
        <v>0</v>
      </c>
      <c r="CG84" s="225" t="b">
        <f>+BO124</f>
        <v>0</v>
      </c>
      <c r="CH84" s="225" t="b">
        <f>+BO125</f>
        <v>0</v>
      </c>
      <c r="CI84" s="225" t="b">
        <f>+BO126</f>
        <v>0</v>
      </c>
      <c r="CJ84" s="225" t="b">
        <f>+BO127</f>
        <v>0</v>
      </c>
      <c r="CK84" s="225" t="b">
        <f>+BO128</f>
        <v>0</v>
      </c>
      <c r="CL84" s="225" t="b">
        <f>+BO129</f>
        <v>0</v>
      </c>
      <c r="CM84" s="225" t="b">
        <f>+BO130</f>
        <v>0</v>
      </c>
      <c r="CN84" s="225" t="b">
        <f>+BO131</f>
        <v>0</v>
      </c>
      <c r="CO84" s="225" t="b">
        <f>+BO132</f>
        <v>0</v>
      </c>
      <c r="CP84" s="225" t="b">
        <f>+BO133</f>
        <v>0</v>
      </c>
      <c r="CQ84" s="225" t="b">
        <f>+BO134</f>
        <v>0</v>
      </c>
      <c r="CR84" s="225" t="b">
        <f>+BO135</f>
        <v>0</v>
      </c>
      <c r="CS84" s="225" t="b">
        <f>+BO136</f>
        <v>0</v>
      </c>
      <c r="CT84" s="225" t="b">
        <f>+BO137</f>
        <v>0</v>
      </c>
      <c r="CU84" s="185"/>
      <c r="CV84" s="185"/>
      <c r="CZ84" s="198"/>
      <c r="DA84" s="198"/>
      <c r="DB84" s="198"/>
      <c r="DC84" s="198"/>
      <c r="DD84" s="198"/>
      <c r="DE84" s="199"/>
      <c r="DF84" s="198"/>
      <c r="DG84" s="198"/>
      <c r="DH84" s="198"/>
      <c r="DI84" s="198"/>
      <c r="DJ84" s="198"/>
      <c r="DK84" s="198"/>
      <c r="DL84" s="198"/>
      <c r="DM84" s="198"/>
      <c r="DN84" s="198"/>
      <c r="DO84" s="198"/>
      <c r="DP84" s="198"/>
      <c r="DQ84" s="198"/>
      <c r="DR84" s="198"/>
      <c r="DS84" s="198"/>
      <c r="DT84" s="198"/>
      <c r="DU84" s="198"/>
      <c r="DV84" s="198"/>
      <c r="DW84" s="199"/>
      <c r="DX84" s="185"/>
      <c r="DY84" s="185"/>
      <c r="DZ84" s="185"/>
      <c r="EA84" s="185"/>
      <c r="EB84" s="185"/>
      <c r="EC84" s="185"/>
      <c r="ED84" s="185"/>
      <c r="EE84" s="185"/>
    </row>
    <row r="85" spans="2:135" ht="22.2" hidden="1" thickTop="1" thickBot="1" x14ac:dyDescent="0.45">
      <c r="B85" s="1478">
        <f>+C20/BN67</f>
        <v>38.571552936196063</v>
      </c>
      <c r="C85" s="1473"/>
      <c r="D85" s="1479">
        <f>+D20/CV67</f>
        <v>70.553892508261271</v>
      </c>
      <c r="E85" s="1364">
        <f>+E20/BQ26</f>
        <v>34.438226431338784</v>
      </c>
      <c r="F85" s="85"/>
      <c r="G85" s="85"/>
      <c r="H85" s="243"/>
      <c r="I85" s="243"/>
      <c r="J85" s="243"/>
      <c r="K85" s="243"/>
      <c r="L85" s="243"/>
      <c r="M85" s="243"/>
      <c r="N85" s="243"/>
      <c r="O85" s="243"/>
      <c r="P85" s="243"/>
      <c r="Q85" s="243"/>
      <c r="R85" s="243"/>
      <c r="S85" s="243"/>
      <c r="T85" s="243"/>
      <c r="U85" s="86"/>
      <c r="V85" s="243"/>
      <c r="W85" s="243"/>
      <c r="X85" s="243"/>
      <c r="Y85" s="243"/>
      <c r="Z85" s="243"/>
      <c r="AA85" s="243"/>
      <c r="AB85" s="86"/>
      <c r="AC85" s="86"/>
      <c r="AD85" s="86"/>
      <c r="AE85" s="86"/>
      <c r="AF85" s="243"/>
      <c r="AG85" s="243"/>
      <c r="AH85" s="243"/>
      <c r="AI85" s="243"/>
      <c r="AJ85" s="243"/>
      <c r="AK85" s="243"/>
      <c r="AL85" s="243"/>
      <c r="AM85" s="243"/>
      <c r="AN85" s="243"/>
      <c r="AO85" s="243"/>
      <c r="AP85" s="243"/>
      <c r="AQ85" s="243"/>
      <c r="AR85" s="243"/>
      <c r="AS85" s="243"/>
      <c r="AT85" s="243"/>
      <c r="AU85" s="243"/>
      <c r="AV85" s="243"/>
      <c r="AW85" s="243"/>
      <c r="AX85" s="243"/>
      <c r="AY85" s="243"/>
      <c r="AZ85" s="243"/>
      <c r="BA85" s="243"/>
      <c r="BB85" s="243"/>
      <c r="BC85" s="14"/>
      <c r="BF85" s="40"/>
      <c r="BG85" s="40"/>
      <c r="BH85" s="40"/>
      <c r="BI85" s="59"/>
      <c r="BJ85" s="59"/>
      <c r="BK85" s="59"/>
      <c r="BL85" s="59"/>
      <c r="BM85" s="59"/>
      <c r="BN85" s="4"/>
      <c r="BO85" s="27"/>
      <c r="BP85" s="184" t="s">
        <v>27</v>
      </c>
      <c r="BQ85" s="225" t="b">
        <f>+BQ84</f>
        <v>0</v>
      </c>
      <c r="BR85" s="225" t="b">
        <f t="shared" ref="BR85:CI85" si="2">+BR84</f>
        <v>0</v>
      </c>
      <c r="BS85" s="225" t="b">
        <f t="shared" si="2"/>
        <v>0</v>
      </c>
      <c r="BT85" s="225" t="b">
        <f t="shared" si="2"/>
        <v>0</v>
      </c>
      <c r="BU85" s="225" t="b">
        <f t="shared" si="2"/>
        <v>0</v>
      </c>
      <c r="BV85" s="225" t="b">
        <f t="shared" si="2"/>
        <v>0</v>
      </c>
      <c r="BW85" s="225" t="b">
        <f>+BW84</f>
        <v>0</v>
      </c>
      <c r="BX85" s="225" t="b">
        <f t="shared" si="2"/>
        <v>0</v>
      </c>
      <c r="BY85" s="225" t="b">
        <f t="shared" si="2"/>
        <v>0</v>
      </c>
      <c r="BZ85" s="225" t="b">
        <f t="shared" si="2"/>
        <v>0</v>
      </c>
      <c r="CA85" s="225">
        <f t="shared" si="2"/>
        <v>11</v>
      </c>
      <c r="CB85" s="225" t="b">
        <f>+CB84</f>
        <v>0</v>
      </c>
      <c r="CC85" s="225" t="b">
        <f>+CC84</f>
        <v>0</v>
      </c>
      <c r="CD85" s="225" t="b">
        <f>+CD84</f>
        <v>0</v>
      </c>
      <c r="CE85" s="225" t="b">
        <f>+CE84</f>
        <v>0</v>
      </c>
      <c r="CF85" s="225" t="b">
        <f>+CF84</f>
        <v>0</v>
      </c>
      <c r="CG85" s="225" t="b">
        <f t="shared" si="2"/>
        <v>0</v>
      </c>
      <c r="CH85" s="225" t="b">
        <f t="shared" si="2"/>
        <v>0</v>
      </c>
      <c r="CI85" s="225" t="b">
        <f t="shared" si="2"/>
        <v>0</v>
      </c>
      <c r="CJ85" s="225" t="b">
        <f>+CJ84</f>
        <v>0</v>
      </c>
      <c r="CK85" s="225" t="b">
        <f>+CK84</f>
        <v>0</v>
      </c>
      <c r="CL85" s="225" t="b">
        <f>+CL84</f>
        <v>0</v>
      </c>
      <c r="CM85" s="225" t="b">
        <f>+CM84</f>
        <v>0</v>
      </c>
      <c r="CN85" s="225" t="b">
        <f>+CN84</f>
        <v>0</v>
      </c>
      <c r="CO85" s="225" t="b">
        <f t="shared" ref="CO85:CT85" si="3">+CO84</f>
        <v>0</v>
      </c>
      <c r="CP85" s="225" t="b">
        <f t="shared" si="3"/>
        <v>0</v>
      </c>
      <c r="CQ85" s="225" t="b">
        <f t="shared" si="3"/>
        <v>0</v>
      </c>
      <c r="CR85" s="225" t="b">
        <f t="shared" si="3"/>
        <v>0</v>
      </c>
      <c r="CS85" s="225" t="b">
        <f t="shared" si="3"/>
        <v>0</v>
      </c>
      <c r="CT85" s="225" t="b">
        <f t="shared" si="3"/>
        <v>0</v>
      </c>
      <c r="CU85" s="185"/>
      <c r="CV85" s="185"/>
      <c r="CZ85" s="198"/>
      <c r="DA85" s="198"/>
      <c r="DB85" s="198"/>
      <c r="DC85" s="198"/>
      <c r="DD85" s="198"/>
      <c r="DE85" s="199"/>
      <c r="DF85" s="198"/>
      <c r="DG85" s="198"/>
      <c r="DH85" s="198"/>
      <c r="DI85" s="198"/>
      <c r="DJ85" s="198"/>
      <c r="DK85" s="198"/>
      <c r="DL85" s="198"/>
      <c r="DM85" s="198"/>
      <c r="DN85" s="198"/>
      <c r="DO85" s="198"/>
      <c r="DP85" s="198"/>
      <c r="DQ85" s="198"/>
      <c r="DR85" s="198"/>
      <c r="DS85" s="198"/>
      <c r="DT85" s="198"/>
      <c r="DU85" s="198"/>
      <c r="DV85" s="198"/>
      <c r="DW85" s="199"/>
      <c r="DX85" s="185"/>
      <c r="DY85" s="185"/>
      <c r="DZ85" s="185"/>
      <c r="EA85" s="185"/>
      <c r="EB85" s="185"/>
      <c r="EC85" s="185"/>
      <c r="ED85" s="185"/>
      <c r="EE85" s="185"/>
    </row>
    <row r="86" spans="2:135" ht="35.25" customHeight="1" thickTop="1" thickBot="1" x14ac:dyDescent="0.45">
      <c r="B86" s="1365">
        <f>ABS(B85)</f>
        <v>38.571552936196063</v>
      </c>
      <c r="C86" s="1885"/>
      <c r="D86" s="1365">
        <f>+IF(B85&lt;&gt;TRUE,ABS(D85))</f>
        <v>70.553892508261271</v>
      </c>
      <c r="E86" s="1367">
        <f>+IF(AND(D85&lt;&gt;TRUE,B85&lt;&gt;TRUE),E85)</f>
        <v>34.438226431338784</v>
      </c>
      <c r="F86" s="85"/>
      <c r="G86" s="85"/>
      <c r="H86" s="243"/>
      <c r="I86" s="243"/>
      <c r="J86" s="243"/>
      <c r="K86" s="243"/>
      <c r="L86" s="243"/>
      <c r="M86" s="243"/>
      <c r="N86" s="243"/>
      <c r="O86" s="243"/>
      <c r="P86" s="243"/>
      <c r="Q86" s="243"/>
      <c r="R86" s="243"/>
      <c r="S86" s="243"/>
      <c r="T86" s="243"/>
      <c r="U86" s="86"/>
      <c r="V86" s="243"/>
      <c r="W86" s="243"/>
      <c r="X86" s="243"/>
      <c r="Y86" s="243"/>
      <c r="Z86" s="243"/>
      <c r="AA86" s="243"/>
      <c r="AB86" s="86"/>
      <c r="AC86" s="86"/>
      <c r="AD86" s="86"/>
      <c r="AE86" s="86"/>
      <c r="AF86" s="243"/>
      <c r="AG86" s="243"/>
      <c r="AH86" s="243"/>
      <c r="AI86" s="243"/>
      <c r="AJ86" s="243"/>
      <c r="AK86" s="243"/>
      <c r="AL86" s="243"/>
      <c r="AM86" s="243"/>
      <c r="AN86" s="243"/>
      <c r="AO86" s="243"/>
      <c r="AP86" s="243"/>
      <c r="AQ86" s="243"/>
      <c r="AR86" s="243"/>
      <c r="AS86" s="243"/>
      <c r="AT86" s="243"/>
      <c r="AU86" s="243"/>
      <c r="AV86" s="243"/>
      <c r="AW86" s="243"/>
      <c r="AX86" s="243"/>
      <c r="AY86" s="243"/>
      <c r="AZ86" s="243"/>
      <c r="BA86" s="243"/>
      <c r="BB86" s="243"/>
      <c r="BC86" s="14"/>
      <c r="BF86" s="40"/>
      <c r="BG86" s="40"/>
      <c r="BI86" s="59"/>
      <c r="BJ86" s="59"/>
      <c r="BK86" s="59"/>
      <c r="BL86" s="59"/>
      <c r="BM86" s="59"/>
      <c r="BN86" s="4"/>
      <c r="BO86" s="27"/>
      <c r="BP86" s="210" t="s">
        <v>27</v>
      </c>
      <c r="BQ86" s="768" t="str">
        <f>IF(BQ85=1,"A ","")</f>
        <v/>
      </c>
      <c r="BR86" s="769" t="str">
        <f>IF(BR85=2,"B ","")</f>
        <v/>
      </c>
      <c r="BS86" s="769" t="str">
        <f>IF(BS85=3,"C ","")</f>
        <v/>
      </c>
      <c r="BT86" s="769" t="str">
        <f>IF(BT85=4,"D ","")</f>
        <v/>
      </c>
      <c r="BU86" s="769" t="str">
        <f>IF(BU85=5,"E ","")</f>
        <v/>
      </c>
      <c r="BV86" s="769" t="str">
        <f>IF(BV85=6,"F ","")</f>
        <v/>
      </c>
      <c r="BW86" s="769" t="str">
        <f>IF(BW85=7,"G ","")</f>
        <v/>
      </c>
      <c r="BX86" s="769" t="str">
        <f>IF(BX85=8,"H ","")</f>
        <v/>
      </c>
      <c r="BY86" s="769" t="str">
        <f>IF(BY85=9,"1 ","")</f>
        <v/>
      </c>
      <c r="BZ86" s="769" t="str">
        <f>IF(BZ85=10,"2 ","")</f>
        <v/>
      </c>
      <c r="CA86" s="769" t="str">
        <f>IF(CA85=11,"3 ","")</f>
        <v xml:space="preserve">3 </v>
      </c>
      <c r="CB86" s="769" t="str">
        <f>IF(CB85=12,"4 ","")</f>
        <v/>
      </c>
      <c r="CC86" s="769" t="str">
        <f>IF(CC85=13,"5 ","")</f>
        <v/>
      </c>
      <c r="CD86" s="769" t="str">
        <f>IF(CD85=14,"i ","")</f>
        <v/>
      </c>
      <c r="CE86" s="769" t="str">
        <f>IF(CE85=15,"J ","")</f>
        <v/>
      </c>
      <c r="CF86" s="769" t="str">
        <f>IF(CF85=16,"6 ","")</f>
        <v/>
      </c>
      <c r="CG86" s="769" t="str">
        <f>IF(CG85=17,"7 ","")</f>
        <v/>
      </c>
      <c r="CH86" s="769" t="str">
        <f>IF(CH85=18,"8 ","")</f>
        <v/>
      </c>
      <c r="CI86" s="769" t="str">
        <f>IF(CI85=19,"9 ","")</f>
        <v/>
      </c>
      <c r="CJ86" s="769" t="str">
        <f>IF(CJ85=20,"10 ","")</f>
        <v/>
      </c>
      <c r="CK86" s="769" t="str">
        <f>IF(CK85=21,"11 ","")</f>
        <v/>
      </c>
      <c r="CL86" s="769" t="str">
        <f>IF(CL85=22,"12 ","")</f>
        <v/>
      </c>
      <c r="CM86" s="769" t="str">
        <f>IF(CM85=23,"K ","")</f>
        <v/>
      </c>
      <c r="CN86" s="769" t="str">
        <f>IF(CN85=24,"L ","")</f>
        <v/>
      </c>
      <c r="CO86" s="769" t="str">
        <f>IF(CO85=25,"M ","")</f>
        <v/>
      </c>
      <c r="CP86" s="769" t="str">
        <f>IF(CP85=26,"N ","")</f>
        <v/>
      </c>
      <c r="CQ86" s="769" t="str">
        <f>IF(CQ85=27,"O ","")</f>
        <v/>
      </c>
      <c r="CR86" s="769" t="str">
        <f>IF(CR85=28,"P ","")</f>
        <v/>
      </c>
      <c r="CS86" s="769" t="str">
        <f>IF(CS85=29,"Q ","")</f>
        <v/>
      </c>
      <c r="CT86" s="770" t="str">
        <f>IF(CT85=30,"R ","")</f>
        <v/>
      </c>
      <c r="CU86" s="185"/>
      <c r="CV86" s="185"/>
      <c r="ED86" s="185"/>
      <c r="EE86" s="185"/>
    </row>
    <row r="87" spans="2:135" ht="21.6" hidden="1" thickTop="1" x14ac:dyDescent="0.4">
      <c r="B87" s="84"/>
      <c r="C87" s="84"/>
      <c r="F87" s="85"/>
      <c r="G87" s="85"/>
      <c r="H87" s="243"/>
      <c r="I87" s="243"/>
      <c r="J87" s="243"/>
      <c r="K87" s="243"/>
      <c r="L87" s="243"/>
      <c r="M87" s="243"/>
      <c r="N87" s="243"/>
      <c r="O87" s="243"/>
      <c r="P87" s="243"/>
      <c r="Q87" s="243"/>
      <c r="R87" s="243"/>
      <c r="S87" s="243"/>
      <c r="T87" s="243"/>
      <c r="U87" s="86"/>
      <c r="V87" s="243"/>
      <c r="W87" s="243"/>
      <c r="X87" s="243"/>
      <c r="Y87" s="243"/>
      <c r="Z87" s="243"/>
      <c r="AA87" s="243"/>
      <c r="AB87" s="86"/>
      <c r="AC87" s="86"/>
      <c r="AD87" s="86"/>
      <c r="AE87" s="86"/>
      <c r="AF87" s="243"/>
      <c r="AG87" s="243"/>
      <c r="AH87" s="243"/>
      <c r="AI87" s="243"/>
      <c r="AJ87" s="243"/>
      <c r="AK87" s="243"/>
      <c r="AL87" s="243"/>
      <c r="AM87" s="243"/>
      <c r="AN87" s="243"/>
      <c r="AO87" s="243"/>
      <c r="AP87" s="243"/>
      <c r="AQ87" s="243"/>
      <c r="AR87" s="243"/>
      <c r="AS87" s="243"/>
      <c r="AT87" s="243"/>
      <c r="AU87" s="243"/>
      <c r="AV87" s="243"/>
      <c r="AW87" s="243"/>
      <c r="AX87" s="243"/>
      <c r="AY87" s="243"/>
      <c r="AZ87" s="243"/>
      <c r="BA87" s="243"/>
      <c r="BB87" s="243"/>
      <c r="BC87" s="14"/>
      <c r="BF87" s="40"/>
      <c r="BG87" s="40"/>
      <c r="BI87" s="59"/>
      <c r="BJ87" s="59"/>
      <c r="BK87" s="59"/>
      <c r="BL87" s="59"/>
      <c r="BM87" s="59"/>
      <c r="BN87" s="4"/>
      <c r="BO87" s="27"/>
      <c r="BP87" s="185"/>
      <c r="BQ87" s="216">
        <v>1</v>
      </c>
      <c r="BR87" s="216">
        <v>2</v>
      </c>
      <c r="BS87" s="216">
        <v>3</v>
      </c>
      <c r="BT87" s="216">
        <v>4</v>
      </c>
      <c r="BU87" s="216">
        <v>5</v>
      </c>
      <c r="BV87" s="216">
        <v>6</v>
      </c>
      <c r="BW87" s="216">
        <v>7</v>
      </c>
      <c r="BX87" s="216">
        <v>8</v>
      </c>
      <c r="BY87" s="216">
        <v>9</v>
      </c>
      <c r="BZ87" s="216">
        <v>10</v>
      </c>
      <c r="CA87" s="216">
        <v>11</v>
      </c>
      <c r="CB87" s="216">
        <v>12</v>
      </c>
      <c r="CC87" s="216">
        <v>13</v>
      </c>
      <c r="CD87" s="216">
        <v>14</v>
      </c>
      <c r="CE87" s="216">
        <v>15</v>
      </c>
      <c r="CF87" s="216">
        <v>16</v>
      </c>
      <c r="CG87" s="216">
        <v>17</v>
      </c>
      <c r="CH87" s="216">
        <v>18</v>
      </c>
      <c r="CI87" s="216">
        <v>19</v>
      </c>
      <c r="CJ87" s="216">
        <v>20</v>
      </c>
      <c r="CK87" s="216">
        <v>21</v>
      </c>
      <c r="CL87" s="216">
        <v>22</v>
      </c>
      <c r="CM87" s="216">
        <v>23</v>
      </c>
      <c r="CN87" s="216">
        <v>24</v>
      </c>
      <c r="CO87" s="216">
        <v>25</v>
      </c>
      <c r="CP87" s="216">
        <v>26</v>
      </c>
      <c r="CQ87" s="216">
        <v>27</v>
      </c>
      <c r="CR87" s="216">
        <v>28</v>
      </c>
      <c r="CS87" s="216">
        <v>29</v>
      </c>
      <c r="CT87" s="216">
        <v>30</v>
      </c>
      <c r="CU87" s="185"/>
      <c r="CV87" s="185"/>
      <c r="ED87" s="185"/>
      <c r="EE87" s="185"/>
    </row>
    <row r="88" spans="2:135" ht="21" hidden="1" x14ac:dyDescent="0.4">
      <c r="B88" s="84"/>
      <c r="C88" s="84"/>
      <c r="G88" s="85"/>
      <c r="H88" s="243"/>
      <c r="I88" s="243"/>
      <c r="J88" s="243"/>
      <c r="K88" s="243"/>
      <c r="L88" s="243"/>
      <c r="M88" s="243"/>
      <c r="N88" s="243"/>
      <c r="O88" s="243"/>
      <c r="P88" s="243"/>
      <c r="Q88" s="243"/>
      <c r="R88" s="243"/>
      <c r="S88" s="243"/>
      <c r="T88" s="243"/>
      <c r="U88" s="86"/>
      <c r="V88" s="243"/>
      <c r="W88" s="243"/>
      <c r="X88" s="243"/>
      <c r="Y88" s="243"/>
      <c r="Z88" s="243"/>
      <c r="AA88" s="243"/>
      <c r="AB88" s="86"/>
      <c r="AC88" s="86"/>
      <c r="AD88" s="86"/>
      <c r="AE88" s="86"/>
      <c r="AF88" s="243"/>
      <c r="AG88" s="243"/>
      <c r="AH88" s="243"/>
      <c r="AI88" s="243"/>
      <c r="AJ88" s="243"/>
      <c r="AK88" s="243"/>
      <c r="AL88" s="243"/>
      <c r="AM88" s="243"/>
      <c r="AN88" s="243"/>
      <c r="AO88" s="243"/>
      <c r="AP88" s="243"/>
      <c r="AQ88" s="243"/>
      <c r="AR88" s="243"/>
      <c r="AS88" s="243"/>
      <c r="AT88" s="243"/>
      <c r="AU88" s="243"/>
      <c r="AV88" s="243"/>
      <c r="AW88" s="243"/>
      <c r="AX88" s="243"/>
      <c r="AY88" s="243"/>
      <c r="AZ88" s="243"/>
      <c r="BA88" s="243"/>
      <c r="BB88" s="243"/>
      <c r="BC88" s="14"/>
      <c r="BF88" s="40"/>
      <c r="BG88" s="40"/>
      <c r="BI88" s="59"/>
      <c r="BJ88" s="59"/>
      <c r="BK88" s="59"/>
      <c r="BL88" s="59"/>
      <c r="BM88" s="59"/>
      <c r="BN88" s="4"/>
      <c r="BQ88" s="216" t="s">
        <v>33</v>
      </c>
      <c r="BR88" s="216" t="s">
        <v>34</v>
      </c>
      <c r="BS88" s="216" t="s">
        <v>35</v>
      </c>
      <c r="BT88" s="216" t="s">
        <v>36</v>
      </c>
      <c r="BU88" s="216" t="s">
        <v>37</v>
      </c>
      <c r="BV88" s="216" t="s">
        <v>83</v>
      </c>
      <c r="BW88" s="216" t="s">
        <v>16</v>
      </c>
      <c r="BX88" s="216" t="s">
        <v>84</v>
      </c>
      <c r="BY88" s="216">
        <v>1</v>
      </c>
      <c r="BZ88" s="216">
        <v>2</v>
      </c>
      <c r="CA88" s="216">
        <v>3</v>
      </c>
      <c r="CB88" s="223">
        <v>4</v>
      </c>
      <c r="CC88" s="216">
        <v>5</v>
      </c>
      <c r="CD88" s="216" t="s">
        <v>85</v>
      </c>
      <c r="CE88" s="216" t="s">
        <v>86</v>
      </c>
      <c r="CF88" s="216">
        <v>6</v>
      </c>
      <c r="CG88" s="216">
        <v>7</v>
      </c>
      <c r="CH88" s="216">
        <v>8</v>
      </c>
      <c r="CI88" s="216">
        <v>9</v>
      </c>
      <c r="CJ88" s="216">
        <v>10</v>
      </c>
      <c r="CK88" s="216">
        <v>11</v>
      </c>
      <c r="CL88" s="216">
        <v>12</v>
      </c>
      <c r="CM88" s="216" t="s">
        <v>87</v>
      </c>
      <c r="CN88" s="216" t="s">
        <v>15</v>
      </c>
      <c r="CO88" s="216" t="s">
        <v>88</v>
      </c>
      <c r="CP88" s="216" t="s">
        <v>89</v>
      </c>
      <c r="CQ88" s="216" t="s">
        <v>90</v>
      </c>
      <c r="CR88" s="216" t="s">
        <v>91</v>
      </c>
      <c r="CS88" s="216" t="s">
        <v>92</v>
      </c>
      <c r="CT88" s="216" t="s">
        <v>93</v>
      </c>
      <c r="ED88" s="185"/>
      <c r="EE88" s="185"/>
    </row>
    <row r="89" spans="2:135" ht="21" hidden="1" x14ac:dyDescent="0.4">
      <c r="C89" s="666"/>
      <c r="G89" s="85"/>
      <c r="H89" s="243"/>
      <c r="I89" s="243"/>
      <c r="J89" s="243"/>
      <c r="K89" s="243"/>
      <c r="L89" s="243"/>
      <c r="M89" s="243"/>
      <c r="N89" s="243"/>
      <c r="O89" s="243"/>
      <c r="P89" s="243"/>
      <c r="Q89" s="243"/>
      <c r="R89" s="243"/>
      <c r="S89" s="243"/>
      <c r="T89" s="243"/>
      <c r="U89" s="86"/>
      <c r="V89" s="243"/>
      <c r="W89" s="243"/>
      <c r="X89" s="243"/>
      <c r="Y89" s="243"/>
      <c r="Z89" s="243"/>
      <c r="AA89" s="243"/>
      <c r="AB89" s="86"/>
      <c r="AC89" s="86"/>
      <c r="AD89" s="86"/>
      <c r="AE89" s="86"/>
      <c r="AF89" s="243"/>
      <c r="AG89" s="243"/>
      <c r="AH89" s="243"/>
      <c r="AI89" s="243"/>
      <c r="AJ89" s="243"/>
      <c r="AK89" s="243"/>
      <c r="AL89" s="243"/>
      <c r="AM89" s="243"/>
      <c r="AN89" s="243"/>
      <c r="AO89" s="243"/>
      <c r="AP89" s="243"/>
      <c r="AQ89" s="243"/>
      <c r="AR89" s="243"/>
      <c r="AS89" s="243"/>
      <c r="AT89" s="243"/>
      <c r="AU89" s="243"/>
      <c r="AV89" s="243"/>
      <c r="AW89" s="243"/>
      <c r="AX89" s="243"/>
      <c r="AY89" s="243"/>
      <c r="AZ89" s="243"/>
      <c r="BA89" s="243"/>
      <c r="BB89" s="243"/>
      <c r="BC89" s="14"/>
      <c r="BF89" s="40"/>
      <c r="BG89" s="40"/>
      <c r="BI89" s="59"/>
      <c r="BJ89" s="59"/>
      <c r="BK89" s="59"/>
      <c r="BL89" s="59"/>
      <c r="BM89" s="59"/>
      <c r="BN89" s="4"/>
      <c r="BQ89" s="182"/>
      <c r="BR89" s="182"/>
      <c r="BS89" s="182"/>
      <c r="BT89" s="182"/>
      <c r="BU89" s="182"/>
      <c r="BV89" s="215"/>
      <c r="BW89" s="215"/>
      <c r="BX89" s="215"/>
      <c r="BY89" s="215"/>
      <c r="BZ89" s="215"/>
      <c r="CA89" s="215"/>
      <c r="CB89" s="215"/>
      <c r="CC89" s="215"/>
      <c r="CD89" s="215"/>
      <c r="CE89" s="215"/>
      <c r="CF89" s="215"/>
      <c r="CG89" s="215"/>
      <c r="CH89" s="215"/>
      <c r="CI89" s="215"/>
      <c r="CJ89" s="184"/>
      <c r="CK89" s="185"/>
      <c r="CL89" s="185"/>
      <c r="CM89" s="185"/>
      <c r="CN89" s="185"/>
      <c r="CO89" s="185"/>
      <c r="CP89" s="185"/>
      <c r="CQ89" s="185"/>
      <c r="CR89" s="185"/>
      <c r="CS89" s="185"/>
      <c r="CT89" s="185"/>
      <c r="CU89" s="185"/>
      <c r="CV89" s="185"/>
      <c r="ED89" s="185"/>
      <c r="EE89" s="185"/>
    </row>
    <row r="90" spans="2:135" ht="20.399999999999999" hidden="1" x14ac:dyDescent="0.35">
      <c r="G90" s="85"/>
      <c r="H90" s="243"/>
      <c r="I90" s="243"/>
      <c r="J90" s="243"/>
      <c r="K90" s="243"/>
      <c r="L90" s="243"/>
      <c r="M90" s="243"/>
      <c r="N90" s="243"/>
      <c r="O90" s="243"/>
      <c r="P90" s="243"/>
      <c r="Q90" s="243"/>
      <c r="R90" s="243"/>
      <c r="S90" s="243"/>
      <c r="T90" s="243"/>
      <c r="U90" s="86"/>
      <c r="V90" s="243"/>
      <c r="W90" s="243"/>
      <c r="X90" s="243"/>
      <c r="Y90" s="243"/>
      <c r="Z90" s="243"/>
      <c r="AA90" s="243"/>
      <c r="AB90" s="86"/>
      <c r="AC90" s="86"/>
      <c r="AD90" s="86"/>
      <c r="AE90" s="86"/>
      <c r="AF90" s="243"/>
      <c r="AG90" s="243"/>
      <c r="AH90" s="243"/>
      <c r="AI90" s="243"/>
      <c r="AJ90" s="243"/>
      <c r="AK90" s="243"/>
      <c r="AL90" s="243"/>
      <c r="AM90" s="243"/>
      <c r="AN90" s="243"/>
      <c r="AO90" s="243"/>
      <c r="AP90" s="243"/>
      <c r="AQ90" s="243"/>
      <c r="AR90" s="243"/>
      <c r="AS90" s="243"/>
      <c r="AT90" s="243"/>
      <c r="AU90" s="243"/>
      <c r="AV90" s="243"/>
      <c r="AW90" s="243"/>
      <c r="AX90" s="243"/>
      <c r="AY90" s="243"/>
      <c r="AZ90" s="243"/>
      <c r="BA90" s="243"/>
      <c r="BB90" s="243"/>
      <c r="BC90" s="14"/>
      <c r="BF90" s="40"/>
      <c r="BG90" s="40"/>
      <c r="BI90" s="59"/>
      <c r="BJ90" s="59"/>
      <c r="BK90" s="59"/>
      <c r="BL90" s="59"/>
      <c r="BM90" s="59"/>
      <c r="BN90" s="4"/>
      <c r="BO90" s="27"/>
      <c r="BP90" s="10"/>
      <c r="BQ90" s="10"/>
      <c r="BR90" s="10"/>
      <c r="BS90" s="10"/>
      <c r="BT90" s="10"/>
      <c r="BU90" s="10"/>
      <c r="BV90" s="49"/>
      <c r="BW90" s="49"/>
      <c r="BX90" s="49"/>
      <c r="BY90" s="49"/>
      <c r="BZ90" s="49"/>
      <c r="CA90" s="49"/>
      <c r="CB90" s="49"/>
      <c r="CC90" s="49"/>
      <c r="CD90" s="49"/>
      <c r="CE90" s="49"/>
      <c r="CF90" s="49"/>
      <c r="CG90" s="49"/>
      <c r="CH90" s="49"/>
      <c r="CI90" s="49"/>
      <c r="CJ90" s="7"/>
      <c r="ED90" s="185"/>
      <c r="EE90" s="185"/>
    </row>
    <row r="91" spans="2:135" ht="20.399999999999999" hidden="1" x14ac:dyDescent="0.35">
      <c r="B91" s="55"/>
      <c r="C91" s="55"/>
      <c r="D91" s="56"/>
      <c r="E91" s="56"/>
      <c r="F91" s="56"/>
      <c r="G91" s="56"/>
      <c r="BG91" s="4"/>
      <c r="BH91" s="4"/>
      <c r="BI91" s="4"/>
      <c r="BJ91" s="4"/>
      <c r="BK91" s="4"/>
      <c r="BL91" s="4"/>
      <c r="BM91" s="4"/>
      <c r="BN91" s="4"/>
      <c r="BP91" s="218" t="s">
        <v>95</v>
      </c>
      <c r="BS91" s="10"/>
      <c r="BT91" s="10"/>
      <c r="BU91" s="10"/>
      <c r="BV91" s="49"/>
      <c r="BW91" s="49"/>
      <c r="BX91" s="49"/>
      <c r="BY91" s="49"/>
      <c r="BZ91" s="49"/>
      <c r="CA91" s="49"/>
      <c r="CB91" s="49"/>
      <c r="CC91" s="49"/>
      <c r="CD91" s="49"/>
      <c r="CE91" s="49"/>
      <c r="CF91" s="49"/>
      <c r="CG91" s="49"/>
      <c r="CH91" s="49"/>
      <c r="CI91" s="49"/>
      <c r="CJ91" s="7"/>
      <c r="CR91" s="62"/>
      <c r="CV91" s="218" t="s">
        <v>94</v>
      </c>
      <c r="CW91" s="4"/>
      <c r="CX91" s="4"/>
      <c r="ED91" s="185"/>
      <c r="EE91" s="185"/>
    </row>
    <row r="92" spans="2:135" ht="20.399999999999999" hidden="1" x14ac:dyDescent="0.35">
      <c r="BG92" s="27"/>
      <c r="BH92" s="27"/>
      <c r="BI92" s="27"/>
      <c r="BJ92" s="27"/>
      <c r="BK92" s="27"/>
      <c r="BL92" s="27"/>
      <c r="BM92" s="27"/>
      <c r="BN92" s="27"/>
      <c r="BP92" s="218">
        <f>-+BL108</f>
        <v>512.51796984371447</v>
      </c>
      <c r="BS92" s="10"/>
      <c r="BT92" s="10"/>
      <c r="BU92" s="10"/>
      <c r="BV92" s="49"/>
      <c r="BW92" s="49"/>
      <c r="BX92" s="49"/>
      <c r="BY92" s="49"/>
      <c r="BZ92" s="49"/>
      <c r="CA92" s="49"/>
      <c r="CB92" s="49"/>
      <c r="CC92" s="49"/>
      <c r="CD92" s="49"/>
      <c r="CE92" s="49"/>
      <c r="CF92" s="49"/>
      <c r="CG92" s="49"/>
      <c r="CH92" s="49"/>
      <c r="CI92" s="49"/>
      <c r="CJ92" s="7"/>
      <c r="CP92" s="63"/>
      <c r="CR92" s="62"/>
      <c r="CV92" s="218">
        <f>+-BL137</f>
        <v>-937.48203015628553</v>
      </c>
      <c r="CW92" s="4"/>
      <c r="CX92" s="4"/>
      <c r="ED92" s="185"/>
      <c r="EE92" s="185"/>
    </row>
    <row r="93" spans="2:135" ht="20.399999999999999" hidden="1" x14ac:dyDescent="0.35">
      <c r="B93" s="14"/>
      <c r="BG93" s="27"/>
      <c r="BH93" s="27"/>
      <c r="BI93" s="27"/>
      <c r="BJ93" s="27"/>
      <c r="BK93" s="27"/>
      <c r="BL93" s="27"/>
      <c r="BM93" s="27"/>
      <c r="BN93" s="27"/>
      <c r="BP93" s="10"/>
      <c r="BQ93" s="10"/>
      <c r="BR93" s="10"/>
      <c r="BS93" s="10"/>
      <c r="BT93" s="10"/>
      <c r="BU93" s="10"/>
      <c r="BV93" s="49"/>
      <c r="BW93" s="49"/>
      <c r="BX93" s="49"/>
      <c r="BY93" s="49"/>
      <c r="BZ93" s="49"/>
      <c r="CA93" s="49"/>
      <c r="CB93" s="49"/>
      <c r="CC93" s="49"/>
      <c r="CD93" s="49"/>
      <c r="CE93" s="49"/>
      <c r="CF93" s="49"/>
      <c r="CG93" s="49"/>
      <c r="CH93" s="49"/>
      <c r="CI93" s="49"/>
      <c r="CJ93" s="7"/>
      <c r="CR93" s="4"/>
      <c r="CS93" s="4"/>
      <c r="CT93" s="4"/>
      <c r="CU93" s="4"/>
      <c r="CV93" s="4"/>
      <c r="CW93" s="4"/>
      <c r="CX93" s="4"/>
      <c r="ED93" s="185"/>
      <c r="EE93" s="185"/>
    </row>
    <row r="94" spans="2:135" ht="20.399999999999999" hidden="1" x14ac:dyDescent="0.35">
      <c r="B94" s="55"/>
      <c r="C94" s="55"/>
      <c r="D94" s="56"/>
      <c r="E94" s="56"/>
      <c r="F94" s="56"/>
      <c r="G94" s="56"/>
      <c r="BG94" s="27"/>
      <c r="BH94" s="27"/>
      <c r="BI94" s="27"/>
      <c r="BJ94" s="27"/>
      <c r="BK94" s="27"/>
      <c r="BL94" s="27"/>
      <c r="BM94" s="27"/>
      <c r="BT94" s="10"/>
      <c r="BU94" s="10"/>
      <c r="BV94" s="49"/>
      <c r="BW94" s="49"/>
      <c r="BX94" s="49"/>
      <c r="BY94" s="49"/>
      <c r="BZ94" s="49"/>
      <c r="CA94" s="49"/>
      <c r="CB94" s="49"/>
      <c r="CC94" s="49"/>
      <c r="CD94" s="49"/>
      <c r="CE94" s="49"/>
      <c r="CF94" s="49"/>
      <c r="CG94" s="49"/>
      <c r="CH94" s="49"/>
      <c r="CI94" s="49"/>
      <c r="CJ94" s="7"/>
      <c r="CR94" s="4"/>
      <c r="CS94" s="4"/>
      <c r="CT94" s="4"/>
      <c r="CU94" s="4"/>
      <c r="CV94" s="4"/>
      <c r="CW94" s="4"/>
      <c r="CX94" s="4"/>
      <c r="ED94" s="185"/>
      <c r="EE94" s="185"/>
    </row>
    <row r="95" spans="2:135" ht="20.399999999999999" hidden="1" x14ac:dyDescent="0.35">
      <c r="B95" s="55"/>
      <c r="C95" s="55"/>
      <c r="D95" s="56"/>
      <c r="E95" s="56"/>
      <c r="F95" s="56"/>
      <c r="G95" s="56"/>
      <c r="H95" s="244"/>
      <c r="I95" s="244"/>
      <c r="J95" s="244"/>
      <c r="K95" s="244"/>
      <c r="L95" s="244"/>
      <c r="M95" s="244"/>
      <c r="N95" s="244"/>
      <c r="O95" s="244"/>
      <c r="P95" s="244"/>
      <c r="Q95" s="244"/>
      <c r="R95" s="244"/>
      <c r="AB95" s="244"/>
      <c r="AC95" s="244"/>
      <c r="AD95" s="244"/>
      <c r="AE95" s="244"/>
      <c r="AF95" s="244"/>
      <c r="AG95" s="244"/>
      <c r="AH95" s="244"/>
      <c r="AI95" s="244"/>
      <c r="AJ95" s="244"/>
      <c r="AK95" s="244"/>
      <c r="AL95" s="244"/>
      <c r="AM95" s="244"/>
      <c r="AN95" s="244"/>
      <c r="AO95" s="244"/>
      <c r="AP95" s="244"/>
      <c r="AQ95" s="244"/>
      <c r="AR95" s="244"/>
      <c r="AS95" s="244"/>
      <c r="AT95" s="244"/>
      <c r="AU95" s="244"/>
      <c r="AV95" s="244"/>
      <c r="AW95" s="244"/>
      <c r="AX95" s="244"/>
      <c r="AY95" s="244"/>
      <c r="AZ95" s="244"/>
      <c r="BA95" s="244"/>
      <c r="BB95" s="244"/>
      <c r="BC95" s="7"/>
      <c r="BG95" s="27"/>
      <c r="BT95" s="10"/>
      <c r="BU95" s="10"/>
      <c r="BV95" s="49"/>
      <c r="BW95" s="49"/>
      <c r="BX95" s="49"/>
      <c r="BY95" s="49"/>
      <c r="BZ95" s="49"/>
      <c r="CA95" s="49"/>
      <c r="CB95" s="49"/>
      <c r="CC95" s="49"/>
      <c r="CD95" s="49"/>
      <c r="CE95" s="49"/>
      <c r="CF95" s="49"/>
      <c r="CG95" s="49"/>
      <c r="CH95" s="49"/>
      <c r="CI95" s="49"/>
      <c r="CJ95" s="7"/>
      <c r="CR95" s="4"/>
      <c r="CS95" s="4"/>
      <c r="CT95" s="4"/>
      <c r="CU95" s="4"/>
      <c r="CV95" s="4"/>
      <c r="CW95" s="4"/>
      <c r="CX95" s="4"/>
      <c r="ED95" s="185"/>
      <c r="EE95" s="185"/>
    </row>
    <row r="96" spans="2:135" ht="20.399999999999999" hidden="1" x14ac:dyDescent="0.35">
      <c r="B96" s="24"/>
      <c r="C96" s="24"/>
      <c r="D96" s="15"/>
      <c r="E96" s="15"/>
      <c r="F96" s="15"/>
      <c r="G96" s="15"/>
      <c r="H96" s="244"/>
      <c r="I96" s="244"/>
      <c r="J96" s="244"/>
      <c r="K96" s="244"/>
      <c r="L96" s="244"/>
      <c r="M96" s="244"/>
      <c r="N96" s="244"/>
      <c r="O96" s="244"/>
      <c r="P96" s="244"/>
      <c r="Q96" s="244"/>
      <c r="R96" s="244"/>
      <c r="AF96" s="244"/>
      <c r="AG96" s="244"/>
      <c r="AH96" s="244"/>
      <c r="AI96" s="244"/>
      <c r="AJ96" s="244"/>
      <c r="AK96" s="244"/>
      <c r="AL96" s="244"/>
      <c r="AM96" s="244"/>
      <c r="AN96" s="244"/>
      <c r="AO96" s="244"/>
      <c r="AP96" s="244"/>
      <c r="AQ96" s="244"/>
      <c r="AR96" s="244"/>
      <c r="AS96" s="244"/>
      <c r="AT96" s="244"/>
      <c r="AU96" s="244"/>
      <c r="AV96" s="244"/>
      <c r="AW96" s="244"/>
      <c r="AX96" s="244"/>
      <c r="AY96" s="244"/>
      <c r="AZ96" s="244"/>
      <c r="BA96" s="244"/>
      <c r="BB96" s="244"/>
      <c r="BC96" s="7"/>
      <c r="BG96" s="27"/>
      <c r="BT96" s="10"/>
      <c r="BU96" s="10"/>
      <c r="BV96" s="49"/>
      <c r="BW96" s="49"/>
      <c r="BX96" s="49"/>
      <c r="BY96" s="49"/>
      <c r="BZ96" s="49"/>
      <c r="CA96" s="49"/>
      <c r="CB96" s="49"/>
      <c r="CC96" s="49"/>
      <c r="CD96" s="49"/>
      <c r="CE96" s="49"/>
      <c r="CF96" s="49"/>
      <c r="CG96" s="49"/>
      <c r="CH96" s="49"/>
      <c r="CI96" s="49"/>
      <c r="CJ96" s="7"/>
      <c r="CR96" s="27"/>
      <c r="CS96" s="27"/>
      <c r="CT96" s="27"/>
      <c r="CU96" s="27"/>
      <c r="CV96" s="27"/>
      <c r="CW96" s="27"/>
      <c r="CX96" s="27"/>
      <c r="ED96" s="185"/>
      <c r="EE96" s="185"/>
    </row>
    <row r="97" spans="2:135" ht="21.6" thickTop="1" thickBot="1" x14ac:dyDescent="0.4">
      <c r="B97" s="25"/>
      <c r="C97" s="25"/>
      <c r="D97" s="15"/>
      <c r="E97" s="15"/>
      <c r="F97" s="15"/>
      <c r="G97" s="15"/>
      <c r="H97" s="244"/>
      <c r="I97" s="244"/>
      <c r="J97" s="244"/>
      <c r="K97" s="244"/>
      <c r="L97" s="244"/>
      <c r="M97" s="244"/>
      <c r="N97" s="244"/>
      <c r="O97" s="244"/>
      <c r="P97" s="244"/>
      <c r="Q97" s="244"/>
      <c r="R97" s="244"/>
      <c r="U97" s="149"/>
      <c r="V97" s="149"/>
      <c r="W97" s="149"/>
      <c r="X97" s="149"/>
      <c r="Y97" s="149"/>
      <c r="Z97" s="149"/>
      <c r="AA97" s="149"/>
      <c r="AF97" s="149"/>
      <c r="AG97" s="149"/>
      <c r="AH97" s="149"/>
      <c r="AI97" s="149"/>
      <c r="AJ97" s="149"/>
      <c r="AK97" s="149"/>
      <c r="AL97" s="149"/>
      <c r="AM97" s="149"/>
      <c r="AN97" s="149"/>
      <c r="AO97" s="149"/>
      <c r="AP97" s="149"/>
      <c r="AQ97" s="149"/>
      <c r="AR97" s="149"/>
      <c r="AS97" s="149"/>
      <c r="AT97" s="149"/>
      <c r="AU97" s="149"/>
      <c r="AV97" s="149"/>
      <c r="AW97" s="149"/>
      <c r="AX97" s="149"/>
      <c r="AY97" s="149"/>
      <c r="AZ97" s="149"/>
      <c r="BA97" s="149"/>
      <c r="BB97" s="149"/>
      <c r="BC97" s="10"/>
      <c r="BG97" s="27"/>
      <c r="CI97" s="60"/>
      <c r="CJ97" s="60"/>
      <c r="CK97" s="60"/>
      <c r="CL97" s="60"/>
      <c r="CM97" s="60"/>
      <c r="CN97" s="60"/>
      <c r="CR97" s="27"/>
      <c r="CS97" s="27"/>
      <c r="CT97" s="27"/>
      <c r="CU97" s="27"/>
      <c r="CV97" s="27"/>
      <c r="CW97" s="27"/>
      <c r="CX97" s="27"/>
      <c r="ED97" s="185"/>
      <c r="EE97" s="185"/>
    </row>
    <row r="98" spans="2:135" ht="48.75" customHeight="1" thickBot="1" x14ac:dyDescent="0.4">
      <c r="B98" s="25"/>
      <c r="D98" s="416" t="str">
        <f>IF(BP92&gt;0," ","change the angle of frame or of cabinets")</f>
        <v xml:space="preserve"> </v>
      </c>
      <c r="E98" s="114"/>
      <c r="F98" s="114"/>
      <c r="G98" s="114"/>
      <c r="H98" s="244"/>
      <c r="I98" s="244"/>
      <c r="J98" s="244"/>
      <c r="K98" s="244"/>
      <c r="L98" s="244"/>
      <c r="M98" s="244"/>
      <c r="N98" s="244"/>
      <c r="O98" s="244"/>
      <c r="P98" s="244"/>
      <c r="Q98" s="244"/>
      <c r="R98" s="244"/>
      <c r="S98" s="244"/>
      <c r="T98" s="244"/>
      <c r="V98" s="244"/>
      <c r="W98" s="244"/>
      <c r="X98" s="244"/>
      <c r="Y98" s="244"/>
      <c r="Z98" s="244"/>
      <c r="AA98" s="244"/>
      <c r="AF98" s="244"/>
      <c r="AG98" s="244"/>
      <c r="AH98" s="244"/>
      <c r="AI98" s="244"/>
      <c r="AJ98" s="244"/>
      <c r="AK98" s="244"/>
      <c r="AL98" s="244"/>
      <c r="AM98" s="244"/>
      <c r="AN98" s="244"/>
      <c r="AO98" s="244"/>
      <c r="AP98" s="244"/>
      <c r="AQ98" s="244"/>
      <c r="AR98" s="244"/>
      <c r="AS98" s="244"/>
      <c r="AT98" s="244"/>
      <c r="AU98" s="244"/>
      <c r="AV98" s="244"/>
      <c r="AW98" s="244"/>
      <c r="AX98" s="244"/>
      <c r="AY98" s="244"/>
      <c r="AZ98" s="244"/>
      <c r="BA98" s="244"/>
      <c r="BB98" s="244"/>
      <c r="BC98" s="7"/>
      <c r="BG98" s="27"/>
      <c r="CR98" s="27"/>
      <c r="CS98" s="27"/>
      <c r="CT98" s="27"/>
      <c r="CU98" s="27"/>
      <c r="CV98" s="27"/>
      <c r="CW98" s="27"/>
      <c r="CX98" s="27"/>
      <c r="ED98" s="185"/>
      <c r="EE98" s="185"/>
    </row>
    <row r="99" spans="2:135" ht="48.75" customHeight="1" thickBot="1" x14ac:dyDescent="0.4">
      <c r="B99" s="2043" t="s">
        <v>70</v>
      </c>
      <c r="D99" s="416" t="str">
        <f>IF(CV92&lt;0," ","change the angle of frame or of cabinets")</f>
        <v xml:space="preserve"> </v>
      </c>
      <c r="E99" s="114"/>
      <c r="F99" s="114"/>
      <c r="G99" s="114"/>
      <c r="H99" s="244"/>
      <c r="I99" s="244"/>
      <c r="J99" s="244"/>
      <c r="K99" s="244"/>
      <c r="L99" s="244"/>
      <c r="M99" s="244"/>
      <c r="N99" s="244"/>
      <c r="O99" s="244"/>
      <c r="P99" s="244"/>
      <c r="Q99" s="244"/>
      <c r="R99" s="244"/>
      <c r="S99" s="244"/>
      <c r="T99" s="244"/>
      <c r="V99" s="313"/>
      <c r="W99" s="313"/>
      <c r="X99" s="313"/>
      <c r="Y99" s="313"/>
      <c r="Z99" s="313"/>
      <c r="AA99" s="313"/>
      <c r="AF99" s="266"/>
      <c r="AG99" s="266"/>
      <c r="AH99" s="266"/>
      <c r="AI99" s="266"/>
      <c r="AJ99" s="266"/>
      <c r="AK99" s="266"/>
      <c r="AL99" s="266"/>
      <c r="AM99" s="266"/>
      <c r="AN99" s="266"/>
      <c r="AO99" s="266"/>
      <c r="AP99" s="266"/>
      <c r="AQ99" s="266"/>
      <c r="AR99" s="266"/>
      <c r="AS99" s="266"/>
      <c r="AT99" s="266"/>
      <c r="AU99" s="266"/>
      <c r="AV99" s="266"/>
      <c r="AW99" s="266"/>
      <c r="AX99" s="266"/>
      <c r="AY99" s="266"/>
      <c r="AZ99" s="266"/>
      <c r="BA99" s="266"/>
      <c r="BB99" s="266"/>
      <c r="BC99" s="32"/>
      <c r="BG99" s="27"/>
      <c r="CR99" s="27"/>
      <c r="CS99" s="27"/>
      <c r="CT99" s="27"/>
      <c r="CU99" s="27"/>
      <c r="CV99" s="27"/>
      <c r="CW99" s="27"/>
      <c r="CX99" s="27"/>
      <c r="ED99" s="185"/>
      <c r="EE99" s="185"/>
    </row>
    <row r="100" spans="2:135" ht="48.75" customHeight="1" thickBot="1" x14ac:dyDescent="0.4">
      <c r="B100" s="2044"/>
      <c r="C100" s="749"/>
      <c r="D100" s="416" t="str">
        <f>IF(BP92&gt;(+COS(($B$101*-1)*3.14159265358979/180)*375)," ","USE EXBAR VR AT THE FRONT")</f>
        <v xml:space="preserve"> </v>
      </c>
      <c r="E100" s="114"/>
      <c r="F100" s="114"/>
      <c r="G100" s="114"/>
      <c r="H100" s="244"/>
      <c r="I100" s="244"/>
      <c r="J100" s="244"/>
      <c r="K100" s="244"/>
      <c r="L100" s="244"/>
      <c r="M100" s="244"/>
      <c r="N100" s="244"/>
      <c r="O100" s="244"/>
      <c r="P100" s="244"/>
      <c r="Q100" s="244"/>
      <c r="R100" s="244"/>
      <c r="S100" s="244"/>
      <c r="T100" s="244"/>
      <c r="AF100" s="244"/>
      <c r="AG100" s="244"/>
      <c r="AH100" s="244"/>
      <c r="AI100" s="244"/>
      <c r="AJ100" s="244"/>
      <c r="AK100" s="244"/>
      <c r="AL100" s="244"/>
      <c r="AM100" s="244"/>
      <c r="AN100" s="244"/>
      <c r="AO100" s="244"/>
      <c r="AP100" s="244"/>
      <c r="AQ100" s="244"/>
      <c r="AR100" s="244"/>
      <c r="AS100" s="244"/>
      <c r="AT100" s="244"/>
      <c r="AU100" s="244"/>
      <c r="AV100" s="244"/>
      <c r="AW100" s="244"/>
      <c r="AX100" s="244"/>
      <c r="AY100" s="244"/>
      <c r="AZ100" s="244"/>
      <c r="BA100" s="244"/>
      <c r="BB100" s="244"/>
      <c r="BC100" s="7"/>
      <c r="BG100" s="27"/>
      <c r="CR100" s="27"/>
      <c r="CS100" s="27"/>
      <c r="CT100" s="27"/>
      <c r="CU100" s="27"/>
      <c r="CV100" s="27"/>
      <c r="CW100" s="27"/>
      <c r="CX100" s="27"/>
      <c r="ED100" s="185"/>
      <c r="EE100" s="185"/>
    </row>
    <row r="101" spans="2:135" ht="48.75" customHeight="1" thickBot="1" x14ac:dyDescent="0.4">
      <c r="B101" s="741">
        <v>0</v>
      </c>
      <c r="C101" s="749"/>
      <c r="D101" s="757" t="str">
        <f>IF(CV92&lt;-(+COS(($B$101*-1)*3.14159265358979/180)*375)," ","USE EXBAR VR AT THE BACK")</f>
        <v xml:space="preserve"> </v>
      </c>
      <c r="E101" s="114"/>
      <c r="F101" s="114"/>
      <c r="G101" s="114"/>
      <c r="AF101" s="244"/>
      <c r="AG101" s="244"/>
      <c r="AH101" s="244"/>
      <c r="AI101" s="244"/>
      <c r="AJ101" s="244"/>
      <c r="AK101" s="244"/>
      <c r="AL101" s="244"/>
      <c r="AM101" s="244"/>
      <c r="AN101" s="244"/>
      <c r="AO101" s="244"/>
      <c r="AP101" s="244"/>
      <c r="AQ101" s="244"/>
      <c r="AR101" s="244"/>
      <c r="AS101" s="244"/>
      <c r="AT101" s="244"/>
      <c r="AU101" s="244"/>
      <c r="AV101" s="244"/>
      <c r="AW101" s="244"/>
      <c r="AX101" s="244"/>
      <c r="AY101" s="244"/>
      <c r="AZ101" s="244"/>
      <c r="BA101" s="244"/>
      <c r="BB101" s="244"/>
      <c r="BC101" s="7"/>
      <c r="BG101" s="27"/>
      <c r="CR101" s="27"/>
      <c r="CS101" s="27"/>
      <c r="CT101" s="27"/>
      <c r="CU101" s="27"/>
      <c r="CV101" s="27"/>
      <c r="CW101" s="27"/>
      <c r="CX101" s="27"/>
      <c r="ED101" s="185"/>
      <c r="EE101" s="185"/>
    </row>
    <row r="102" spans="2:135" ht="21" thickBot="1" x14ac:dyDescent="0.4">
      <c r="AF102" s="244"/>
      <c r="AG102" s="244"/>
      <c r="AH102" s="244"/>
      <c r="AI102" s="244"/>
      <c r="AJ102" s="244"/>
      <c r="AK102" s="244"/>
      <c r="AL102" s="244"/>
      <c r="AM102" s="244"/>
      <c r="AN102" s="244"/>
      <c r="AO102" s="244"/>
      <c r="AP102" s="244"/>
      <c r="AQ102" s="244"/>
      <c r="AR102" s="244"/>
      <c r="AS102" s="244"/>
      <c r="AT102" s="244"/>
      <c r="AU102" s="244"/>
      <c r="AV102" s="244"/>
      <c r="AW102" s="244"/>
      <c r="AX102" s="244"/>
      <c r="AY102" s="244"/>
      <c r="AZ102" s="244"/>
      <c r="BA102" s="244"/>
      <c r="BB102" s="244"/>
      <c r="BC102" s="7"/>
      <c r="BG102" s="27"/>
      <c r="CR102" s="27"/>
      <c r="CS102" s="27"/>
      <c r="CT102" s="27"/>
      <c r="CU102" s="27"/>
      <c r="CV102" s="27"/>
      <c r="CW102" s="27"/>
      <c r="CX102" s="27"/>
      <c r="ED102" s="185"/>
      <c r="EE102" s="185"/>
    </row>
    <row r="103" spans="2:135" ht="85.2" thickTop="1" thickBot="1" x14ac:dyDescent="0.45">
      <c r="B103" s="695" t="s">
        <v>42</v>
      </c>
      <c r="C103" s="707"/>
      <c r="D103" s="708"/>
      <c r="E103" s="74"/>
      <c r="F103" s="74"/>
      <c r="G103" s="74"/>
      <c r="H103" s="248"/>
      <c r="I103" s="248"/>
      <c r="J103" s="248"/>
      <c r="K103" s="248"/>
      <c r="L103" s="248"/>
      <c r="M103" s="248"/>
      <c r="N103" s="248"/>
      <c r="O103" s="248"/>
      <c r="P103" s="248"/>
      <c r="Q103" s="248"/>
      <c r="R103" s="248"/>
      <c r="S103" s="255" t="s">
        <v>105</v>
      </c>
      <c r="T103" s="255">
        <f>SUM(V107:V130)/B104</f>
        <v>146.5</v>
      </c>
      <c r="U103" s="295"/>
      <c r="V103" s="245"/>
      <c r="AB103" s="245"/>
      <c r="AC103" s="245"/>
      <c r="AD103" s="245"/>
      <c r="AE103" s="245"/>
      <c r="AF103" s="245"/>
      <c r="AG103" s="245"/>
      <c r="AH103" s="245"/>
      <c r="AI103" s="245"/>
      <c r="AJ103" s="245"/>
      <c r="AK103" s="245"/>
      <c r="AL103" s="245"/>
      <c r="AM103" s="245"/>
      <c r="AN103" s="245"/>
      <c r="AO103" s="245"/>
      <c r="AP103" s="245"/>
      <c r="AQ103" s="245"/>
      <c r="AR103" s="245"/>
      <c r="AS103" s="245"/>
      <c r="AT103" s="245"/>
      <c r="AU103" s="245"/>
      <c r="AV103" s="245"/>
      <c r="AW103" s="245"/>
      <c r="AX103" s="245"/>
      <c r="AY103" s="245"/>
      <c r="AZ103" s="245"/>
      <c r="BA103" s="245"/>
      <c r="BB103" s="245"/>
      <c r="BC103" s="4"/>
      <c r="BD103" s="36"/>
      <c r="BE103" s="36"/>
      <c r="BF103" s="36"/>
      <c r="BG103" s="27"/>
      <c r="BO103" s="27"/>
      <c r="CR103" s="27"/>
      <c r="CS103" s="27"/>
      <c r="CT103" s="27"/>
      <c r="CU103" s="27"/>
      <c r="CV103" s="27"/>
      <c r="CW103" s="27"/>
    </row>
    <row r="104" spans="2:135" ht="25.8" thickTop="1" thickBot="1" x14ac:dyDescent="0.45">
      <c r="B104" s="743">
        <v>1</v>
      </c>
      <c r="C104" s="671"/>
      <c r="D104" s="704" t="s">
        <v>71</v>
      </c>
      <c r="E104" s="445"/>
      <c r="F104" s="445"/>
      <c r="G104" s="445"/>
      <c r="H104" s="246"/>
      <c r="I104" s="247"/>
      <c r="J104" s="247"/>
      <c r="K104" s="247"/>
      <c r="L104" s="247"/>
      <c r="M104" s="247"/>
      <c r="N104" s="247"/>
      <c r="O104" s="247"/>
      <c r="P104" s="247"/>
      <c r="Q104" s="247"/>
      <c r="R104" s="247"/>
      <c r="S104" s="303"/>
      <c r="T104" s="304"/>
      <c r="U104" s="266"/>
      <c r="V104" s="296"/>
      <c r="W104" s="2047" t="s">
        <v>178</v>
      </c>
      <c r="X104" s="2047"/>
      <c r="Y104" s="2047"/>
      <c r="Z104" s="2047"/>
      <c r="AA104" s="2047"/>
      <c r="AB104" s="296"/>
      <c r="AC104" s="296"/>
      <c r="AD104" s="296"/>
      <c r="AE104" s="296"/>
      <c r="AF104" s="296"/>
      <c r="AG104" s="296"/>
      <c r="AH104" s="296"/>
      <c r="AI104" s="296"/>
      <c r="AJ104" s="296"/>
      <c r="AK104" s="296"/>
      <c r="AL104" s="296"/>
      <c r="AM104" s="296"/>
      <c r="AN104" s="296"/>
      <c r="AO104" s="296"/>
      <c r="AP104" s="296"/>
      <c r="AQ104" s="296"/>
      <c r="AR104" s="296"/>
      <c r="AS104" s="296"/>
      <c r="AT104" s="296"/>
      <c r="AU104" s="296"/>
      <c r="AV104" s="296"/>
      <c r="AW104" s="296"/>
      <c r="AX104" s="296"/>
      <c r="AY104" s="296"/>
      <c r="AZ104" s="296"/>
      <c r="BA104" s="2045" t="s">
        <v>68</v>
      </c>
      <c r="BB104" s="2046"/>
      <c r="BC104" s="5"/>
      <c r="BD104" s="33"/>
      <c r="BE104" s="33"/>
      <c r="BF104" s="33"/>
      <c r="BG104" s="27"/>
      <c r="BH104" s="27"/>
      <c r="BI104" s="27"/>
      <c r="BJ104" s="27"/>
      <c r="BK104" s="27"/>
      <c r="BL104" s="27"/>
      <c r="BM104" s="27"/>
      <c r="BN104" s="27"/>
      <c r="BO104" s="27"/>
      <c r="CR104" s="27"/>
      <c r="CS104" s="27"/>
      <c r="CT104" s="27"/>
      <c r="CU104" s="27"/>
      <c r="CV104" s="27"/>
      <c r="CW104" s="27"/>
    </row>
    <row r="105" spans="2:135" ht="18.600000000000001" hidden="1" thickTop="1" thickBot="1" x14ac:dyDescent="0.35">
      <c r="B105" s="358"/>
      <c r="C105" s="76"/>
      <c r="D105" s="698" t="s">
        <v>13</v>
      </c>
      <c r="E105" s="15"/>
      <c r="F105" s="15"/>
      <c r="G105" s="15"/>
      <c r="H105" s="297" t="s">
        <v>4</v>
      </c>
      <c r="I105" s="297" t="s">
        <v>1</v>
      </c>
      <c r="J105" s="248" t="s">
        <v>0</v>
      </c>
      <c r="K105" s="248" t="s">
        <v>2</v>
      </c>
      <c r="L105" s="248" t="s">
        <v>3</v>
      </c>
      <c r="M105" s="248" t="s">
        <v>8</v>
      </c>
      <c r="N105" s="248" t="s">
        <v>5</v>
      </c>
      <c r="O105" s="248" t="s">
        <v>6</v>
      </c>
      <c r="P105" s="248" t="s">
        <v>7</v>
      </c>
      <c r="Q105" s="248" t="s">
        <v>9</v>
      </c>
      <c r="R105" s="316" t="s">
        <v>10</v>
      </c>
      <c r="S105" s="248" t="s">
        <v>11</v>
      </c>
      <c r="T105" s="249" t="s">
        <v>12</v>
      </c>
      <c r="U105" s="265"/>
      <c r="V105" s="273"/>
      <c r="W105" s="309" t="s">
        <v>185</v>
      </c>
      <c r="X105" s="447" t="s">
        <v>179</v>
      </c>
      <c r="Y105" s="309" t="s">
        <v>187</v>
      </c>
      <c r="Z105" s="448" t="s">
        <v>186</v>
      </c>
      <c r="AA105" s="448" t="s">
        <v>181</v>
      </c>
      <c r="AB105" s="273"/>
      <c r="AC105" s="255" t="s">
        <v>184</v>
      </c>
      <c r="AD105" s="255"/>
      <c r="AE105" s="255"/>
      <c r="AF105" s="273"/>
      <c r="AG105" s="273"/>
      <c r="AH105" s="273"/>
      <c r="AI105" s="273"/>
      <c r="AJ105" s="273"/>
      <c r="AK105" s="273"/>
      <c r="AL105" s="273"/>
      <c r="AM105" s="273"/>
      <c r="AN105" s="273"/>
      <c r="AO105" s="273"/>
      <c r="AP105" s="273"/>
      <c r="AQ105" s="273"/>
      <c r="AR105" s="273"/>
      <c r="AS105" s="273"/>
      <c r="AT105" s="273"/>
      <c r="AU105" s="273" t="s">
        <v>108</v>
      </c>
      <c r="AV105" s="273"/>
      <c r="AW105" s="273"/>
      <c r="AX105" s="273"/>
      <c r="AY105" s="272"/>
      <c r="AZ105" s="273"/>
      <c r="BA105" s="273"/>
      <c r="BB105" s="273"/>
      <c r="BC105" s="6"/>
      <c r="BD105" s="16"/>
      <c r="BE105" s="7"/>
      <c r="BF105" s="7"/>
      <c r="BG105" s="27"/>
      <c r="BH105" s="27"/>
      <c r="BI105" s="27"/>
      <c r="BJ105" s="27"/>
      <c r="BK105" s="27"/>
      <c r="BL105" s="27"/>
      <c r="BM105" s="27"/>
      <c r="BN105" s="27"/>
      <c r="BO105" s="27"/>
      <c r="CR105" s="27"/>
      <c r="CS105" s="27"/>
      <c r="CT105" s="27"/>
      <c r="CU105" s="27"/>
      <c r="CV105" s="27"/>
      <c r="CW105" s="27"/>
    </row>
    <row r="106" spans="2:135" ht="46.5" customHeight="1" thickTop="1" thickBot="1" x14ac:dyDescent="0.45">
      <c r="B106" s="384"/>
      <c r="C106" s="29"/>
      <c r="D106" s="709" t="s">
        <v>24</v>
      </c>
      <c r="E106" s="445"/>
      <c r="F106" s="385" t="s">
        <v>58</v>
      </c>
      <c r="G106" s="50"/>
      <c r="H106" s="298"/>
      <c r="I106" s="317"/>
      <c r="J106" s="244"/>
      <c r="K106" s="244"/>
      <c r="L106" s="244"/>
      <c r="M106" s="244"/>
      <c r="N106" s="244"/>
      <c r="O106" s="244"/>
      <c r="P106" s="244"/>
      <c r="Q106" s="244"/>
      <c r="R106" s="316"/>
      <c r="S106" s="244"/>
      <c r="T106" s="250"/>
      <c r="U106" s="265"/>
      <c r="V106" s="273"/>
      <c r="W106" s="273"/>
      <c r="X106" s="273"/>
      <c r="Y106" s="273"/>
      <c r="Z106" s="273"/>
      <c r="AA106" s="273"/>
      <c r="AB106" s="273"/>
      <c r="AC106" s="456">
        <f>SUM(AC107:AC130)</f>
        <v>146.5</v>
      </c>
      <c r="AD106" s="162"/>
      <c r="AE106" s="162"/>
      <c r="AF106" s="273" t="s">
        <v>51</v>
      </c>
      <c r="AG106" s="273"/>
      <c r="AH106" s="274" t="s">
        <v>44</v>
      </c>
      <c r="AI106" s="386"/>
      <c r="AJ106" s="387" t="s">
        <v>96</v>
      </c>
      <c r="AK106" s="275" t="s">
        <v>45</v>
      </c>
      <c r="AL106" s="388" t="s">
        <v>46</v>
      </c>
      <c r="AM106" s="389" t="s">
        <v>97</v>
      </c>
      <c r="AN106" s="276" t="s">
        <v>47</v>
      </c>
      <c r="AO106" s="388" t="s">
        <v>48</v>
      </c>
      <c r="AP106" s="277" t="s">
        <v>61</v>
      </c>
      <c r="AQ106" s="390" t="s">
        <v>49</v>
      </c>
      <c r="AR106" s="277" t="s">
        <v>115</v>
      </c>
      <c r="AS106" s="278" t="s">
        <v>50</v>
      </c>
      <c r="AT106" s="278" t="s">
        <v>52</v>
      </c>
      <c r="AU106" s="277" t="s">
        <v>117</v>
      </c>
      <c r="AV106" s="278"/>
      <c r="AW106" s="279" t="s">
        <v>54</v>
      </c>
      <c r="AX106" s="279" t="s">
        <v>55</v>
      </c>
      <c r="AY106" s="280" t="s">
        <v>25</v>
      </c>
      <c r="AZ106" s="280" t="s">
        <v>26</v>
      </c>
      <c r="BA106" s="391" t="s">
        <v>25</v>
      </c>
      <c r="BB106" s="391" t="s">
        <v>26</v>
      </c>
      <c r="BC106" s="7"/>
      <c r="BD106" s="16"/>
      <c r="BE106" s="7"/>
      <c r="BF106" s="7"/>
      <c r="BG106" s="27"/>
      <c r="BH106" s="27"/>
      <c r="BI106" s="27"/>
      <c r="BJ106" s="27"/>
      <c r="BK106" s="27"/>
      <c r="BL106" s="27"/>
      <c r="BM106" s="27"/>
      <c r="BN106" s="27"/>
      <c r="BO106" s="27"/>
      <c r="BP106" s="14"/>
      <c r="CR106" s="27"/>
      <c r="CS106" s="27"/>
      <c r="CT106" s="27"/>
      <c r="CU106" s="27"/>
      <c r="CV106" s="27"/>
      <c r="CW106" s="27"/>
    </row>
    <row r="107" spans="2:135" ht="21" customHeight="1" thickBot="1" x14ac:dyDescent="0.35">
      <c r="B107" s="87">
        <v>1</v>
      </c>
      <c r="C107" s="668">
        <f>+(B101*-1)+D107</f>
        <v>0</v>
      </c>
      <c r="D107" s="738">
        <v>0</v>
      </c>
      <c r="E107" s="333" t="s">
        <v>73</v>
      </c>
      <c r="F107" s="81">
        <f>+G107</f>
        <v>0</v>
      </c>
      <c r="G107" s="81">
        <f>+D107</f>
        <v>0</v>
      </c>
      <c r="H107" s="392">
        <v>190.76</v>
      </c>
      <c r="I107" s="393">
        <v>79.651040199999997</v>
      </c>
      <c r="J107" s="394">
        <f>+I107-C107</f>
        <v>79.651040199999997</v>
      </c>
      <c r="K107" s="394">
        <f>+J107/2</f>
        <v>39.825520099999999</v>
      </c>
      <c r="L107" s="394">
        <f t="shared" ref="L107:L130" si="4">SIN(K107*3.14159265358979/180)</f>
        <v>0.64045183696587837</v>
      </c>
      <c r="M107" s="394">
        <f t="shared" ref="M107:M130" si="5">+L107*H107</f>
        <v>122.17259241961095</v>
      </c>
      <c r="N107" s="394">
        <f t="shared" ref="N107:N130" si="6">+M107*2</f>
        <v>244.3451848392219</v>
      </c>
      <c r="O107" s="394">
        <f>+C107/2</f>
        <v>0</v>
      </c>
      <c r="P107" s="394">
        <f t="shared" ref="P107:P130" si="7">SIN(O107*3.14159265358979/180)</f>
        <v>0</v>
      </c>
      <c r="Q107" s="394">
        <f t="shared" ref="Q107:Q130" si="8">+P107*N107</f>
        <v>0</v>
      </c>
      <c r="R107" s="395">
        <v>146.5</v>
      </c>
      <c r="S107" s="394">
        <f>+R107+Q107</f>
        <v>146.5</v>
      </c>
      <c r="T107" s="396">
        <f t="shared" ref="T107:T130" si="9">+S107</f>
        <v>146.5</v>
      </c>
      <c r="U107" s="248"/>
      <c r="V107" s="397">
        <f t="shared" ref="V107:V130" si="10">IF(B107&lt;($B$104+1),T107,0)</f>
        <v>146.5</v>
      </c>
      <c r="W107" s="458">
        <v>39.825520099999999</v>
      </c>
      <c r="X107" s="397">
        <f>+W107+AI132</f>
        <v>39.825520099999999</v>
      </c>
      <c r="Y107" s="458">
        <v>190.75559999999999</v>
      </c>
      <c r="Z107" s="448">
        <f>+COS(X107*3.14159265358979/180)*Y107</f>
        <v>146.49998343586765</v>
      </c>
      <c r="AA107" s="459">
        <f>+AC106-Z107</f>
        <v>1.6564132351959415E-5</v>
      </c>
      <c r="AB107" s="300" t="str">
        <f t="shared" ref="AB107:AB114" si="11">IF(AZ107&lt;0,"pin in groundstacking hole"," ")</f>
        <v xml:space="preserve"> </v>
      </c>
      <c r="AC107" s="457">
        <f>IF(AD107=1,AF107)</f>
        <v>146.5</v>
      </c>
      <c r="AD107" s="457">
        <f>MAX(AE$107:AE$130)</f>
        <v>1</v>
      </c>
      <c r="AE107" s="457">
        <f>IF(V107=0,0,1)</f>
        <v>1</v>
      </c>
      <c r="AF107" s="397">
        <f>SUM(V107:V130)/($B$104)</f>
        <v>146.5</v>
      </c>
      <c r="AG107" s="397"/>
      <c r="AH107" s="398">
        <f>C107</f>
        <v>0</v>
      </c>
      <c r="AI107" s="399">
        <f>IF(B107&lt;($B$104+1),AH107)</f>
        <v>0</v>
      </c>
      <c r="AJ107" s="400">
        <f>69.3447148-AH107</f>
        <v>69.344714800000006</v>
      </c>
      <c r="AK107" s="401">
        <f t="shared" ref="AK107:AK130" si="12">SIN(AJ107*3.14159265358979/180)</f>
        <v>0.93571960494171247</v>
      </c>
      <c r="AL107" s="402">
        <f>+AK107*192.42</f>
        <v>180.0511663828843</v>
      </c>
      <c r="AM107" s="400">
        <f>50.1744799+AH107</f>
        <v>50.174479900000001</v>
      </c>
      <c r="AN107" s="403">
        <f>SIN(AM107*3.14159265358979/180)</f>
        <v>0.76799833627881664</v>
      </c>
      <c r="AO107" s="402">
        <f>+AN107*190.76</f>
        <v>146.50336262854705</v>
      </c>
      <c r="AP107" s="404">
        <f>+((AF107*AQ107)+($AG$140*$AQ$140)+($AQ$161*$AG$161))/AR107</f>
        <v>161.01782840453484</v>
      </c>
      <c r="AQ107" s="402">
        <f>25.5*B104</f>
        <v>25.5</v>
      </c>
      <c r="AR107" s="404">
        <f>+AQ107+$AQ$161+$AQ$140+30+30</f>
        <v>168</v>
      </c>
      <c r="AS107" s="405">
        <f>+AO107+AL107</f>
        <v>326.55452901143133</v>
      </c>
      <c r="AT107" s="406">
        <f>+V107-AO107</f>
        <v>-3.3626285470518269E-3</v>
      </c>
      <c r="AU107" s="407">
        <f>+AP107-AT107</f>
        <v>161.02119103308189</v>
      </c>
      <c r="AV107" s="406"/>
      <c r="AW107" s="408">
        <f>+((AS107-AU107)/AS107)*AR107</f>
        <v>85.160664788664448</v>
      </c>
      <c r="AX107" s="408">
        <f>+(AU107/AS107)*AR107</f>
        <v>82.839335211335552</v>
      </c>
      <c r="AY107" s="292">
        <f t="shared" ref="AY107:AY130" si="13">2*$C$18/AW107</f>
        <v>136.21312173626961</v>
      </c>
      <c r="AZ107" s="292">
        <f t="shared" ref="AZ107:AZ130" si="14">$D$18/AX107</f>
        <v>120.71559935251173</v>
      </c>
      <c r="BA107" s="294">
        <f>ABS(AY107)</f>
        <v>136.21312173626961</v>
      </c>
      <c r="BB107" s="294">
        <f>ABS(AZ107)</f>
        <v>120.71559935251173</v>
      </c>
      <c r="BC107" s="2" t="s">
        <v>56</v>
      </c>
      <c r="BD107" s="11"/>
      <c r="BG107" s="27"/>
      <c r="BH107" s="27"/>
      <c r="BI107" s="27"/>
      <c r="BJ107" s="27"/>
      <c r="BK107" s="747" t="s">
        <v>205</v>
      </c>
      <c r="BL107" s="27"/>
      <c r="BM107" s="27"/>
      <c r="BN107" s="27"/>
      <c r="BO107" s="27"/>
      <c r="BP107" s="14"/>
      <c r="CR107" s="27"/>
      <c r="CS107" s="27"/>
      <c r="CT107" s="27"/>
      <c r="CU107" s="27"/>
      <c r="CV107" s="27"/>
      <c r="CW107" s="27"/>
    </row>
    <row r="108" spans="2:135" ht="21" customHeight="1" thickBot="1" x14ac:dyDescent="0.5">
      <c r="B108" s="88">
        <v>2</v>
      </c>
      <c r="C108" s="20"/>
      <c r="D108" s="738">
        <v>0</v>
      </c>
      <c r="E108" s="333" t="s">
        <v>72</v>
      </c>
      <c r="F108" s="81" t="e">
        <f t="shared" ref="F108:F130" si="15">+G108</f>
        <v>#DIV/0!</v>
      </c>
      <c r="G108" s="81" t="e">
        <f>+D108+BC108</f>
        <v>#DIV/0!</v>
      </c>
      <c r="H108" s="299">
        <v>190.76</v>
      </c>
      <c r="I108" s="318">
        <v>79.651040199999997</v>
      </c>
      <c r="J108" s="251">
        <f t="shared" ref="J108:J130" si="16">+I108-D108</f>
        <v>79.651040199999997</v>
      </c>
      <c r="K108" s="251">
        <f t="shared" ref="K108:K130" si="17">+J108/2</f>
        <v>39.825520099999999</v>
      </c>
      <c r="L108" s="251">
        <f t="shared" si="4"/>
        <v>0.64045183696587837</v>
      </c>
      <c r="M108" s="251">
        <f t="shared" si="5"/>
        <v>122.17259241961095</v>
      </c>
      <c r="N108" s="251">
        <f t="shared" si="6"/>
        <v>244.3451848392219</v>
      </c>
      <c r="O108" s="251">
        <f>+C107+(D108/2)</f>
        <v>0</v>
      </c>
      <c r="P108" s="251">
        <f t="shared" si="7"/>
        <v>0</v>
      </c>
      <c r="Q108" s="251">
        <f t="shared" si="8"/>
        <v>0</v>
      </c>
      <c r="R108" s="251">
        <f t="shared" ref="R108:R130" si="18">+T107</f>
        <v>146.5</v>
      </c>
      <c r="S108" s="251">
        <f>+R108+Q108</f>
        <v>146.5</v>
      </c>
      <c r="T108" s="252">
        <f t="shared" si="9"/>
        <v>146.5</v>
      </c>
      <c r="U108" s="244"/>
      <c r="V108" s="282">
        <f t="shared" si="10"/>
        <v>0</v>
      </c>
      <c r="W108" s="282"/>
      <c r="X108" s="282"/>
      <c r="Y108" s="282"/>
      <c r="Z108" s="282"/>
      <c r="AA108" s="282"/>
      <c r="AB108" s="300" t="e">
        <f t="shared" si="11"/>
        <v>#DIV/0!</v>
      </c>
      <c r="AC108" s="457" t="b">
        <f>IF(AD108=2,AF108)</f>
        <v>0</v>
      </c>
      <c r="AD108" s="457">
        <f t="shared" ref="AD108:AD130" si="19">MAX(AE$107:AE$130)</f>
        <v>1</v>
      </c>
      <c r="AE108" s="457">
        <f>IF(V108=0,0,2)</f>
        <v>0</v>
      </c>
      <c r="AF108" s="282" t="e">
        <f>SUM(V108:V130)/($B$104-B107)</f>
        <v>#DIV/0!</v>
      </c>
      <c r="AG108" s="282"/>
      <c r="AH108" s="301">
        <f>SUM(D108)+$C$107</f>
        <v>0</v>
      </c>
      <c r="AI108" s="399" t="b">
        <f t="shared" ref="AI108:AI130" si="20">IF(B108&lt;($B$104+1),AH108)</f>
        <v>0</v>
      </c>
      <c r="AJ108" s="173">
        <f t="shared" ref="AJ108:AJ130" si="21">69.3447148-AH108</f>
        <v>69.344714800000006</v>
      </c>
      <c r="AK108" s="284">
        <f t="shared" si="12"/>
        <v>0.93571960494171247</v>
      </c>
      <c r="AL108" s="174">
        <f t="shared" ref="AL108:AL130" si="22">+AK108*192.42</f>
        <v>180.0511663828843</v>
      </c>
      <c r="AM108" s="173">
        <f t="shared" ref="AM108:AM130" si="23">50.1744799+AH108</f>
        <v>50.174479900000001</v>
      </c>
      <c r="AN108" s="285">
        <f t="shared" ref="AN108:AN130" si="24">SIN(AM108*3.14159265358979/180)</f>
        <v>0.76799833627881664</v>
      </c>
      <c r="AO108" s="174">
        <f t="shared" ref="AO108:AO130" si="25">+AN108*190.76</f>
        <v>146.50336262854705</v>
      </c>
      <c r="AP108" s="404" t="e">
        <f t="shared" ref="AP108:AP130" si="26">+((AF108*AQ108)+($AG$140*$AQ$140)+($AQ$161*$AG$161))/AR108</f>
        <v>#DIV/0!</v>
      </c>
      <c r="AQ108" s="174">
        <f t="shared" ref="AQ108:AQ130" si="27">25.5*($B$104-B107)</f>
        <v>0</v>
      </c>
      <c r="AR108" s="287">
        <f t="shared" ref="AR108:AR130" si="28">+AQ108+$AQ$161+$AQ$140+30+30</f>
        <v>142.5</v>
      </c>
      <c r="AS108" s="288">
        <f t="shared" ref="AS108:AS130" si="29">+AO108+AL108</f>
        <v>326.55452901143133</v>
      </c>
      <c r="AT108" s="289">
        <f>+V108-AO108</f>
        <v>-146.50336262854705</v>
      </c>
      <c r="AU108" s="290" t="e">
        <f t="shared" ref="AU108:AU130" si="30">+AP108-AT108</f>
        <v>#DIV/0!</v>
      </c>
      <c r="AV108" s="289"/>
      <c r="AW108" s="291" t="e">
        <f t="shared" ref="AW108:AW130" si="31">+((AS108-AU108)/AS108)*AR108</f>
        <v>#DIV/0!</v>
      </c>
      <c r="AX108" s="291" t="e">
        <f t="shared" ref="AX108:AX130" si="32">+(AU108/AS108)*AR108</f>
        <v>#DIV/0!</v>
      </c>
      <c r="AY108" s="292" t="e">
        <f t="shared" si="13"/>
        <v>#DIV/0!</v>
      </c>
      <c r="AZ108" s="292" t="e">
        <f t="shared" si="14"/>
        <v>#DIV/0!</v>
      </c>
      <c r="BA108" s="294" t="e">
        <f t="shared" ref="BA108:BA130" si="33">ABS(AY108)</f>
        <v>#DIV/0!</v>
      </c>
      <c r="BB108" s="294" t="e">
        <f t="shared" ref="BB108:BB130" si="34">ABS(AZ108)</f>
        <v>#DIV/0!</v>
      </c>
      <c r="BC108" t="e">
        <f t="shared" ref="BC108:BC130" si="35">IF(AZ108&lt;0,0.3,0)</f>
        <v>#DIV/0!</v>
      </c>
      <c r="BG108" s="27"/>
      <c r="BH108" s="27"/>
      <c r="BI108" s="219">
        <v>1</v>
      </c>
      <c r="BJ108" s="748">
        <v>-400</v>
      </c>
      <c r="BK108" s="746">
        <f>+COS(($B$101*-1)*3.14159265358979/180)*BJ108</f>
        <v>-400</v>
      </c>
      <c r="BL108" s="752">
        <f>+BK108-D$3</f>
        <v>-512.51796984371447</v>
      </c>
      <c r="BM108" s="180">
        <f t="shared" ref="BM108:BM137" si="36">ABS(BL108)</f>
        <v>512.51796984371447</v>
      </c>
      <c r="BN108" s="180">
        <f>MIN(BM108:BM137)</f>
        <v>12.517969843714454</v>
      </c>
      <c r="BO108" s="180" t="b">
        <f>IF(BN108=BM108,BI108)</f>
        <v>0</v>
      </c>
      <c r="BP108" s="14"/>
      <c r="CR108" s="27"/>
      <c r="CS108" s="27"/>
      <c r="CT108" s="27"/>
      <c r="CU108" s="27"/>
      <c r="CV108" s="27"/>
      <c r="CW108" s="27"/>
    </row>
    <row r="109" spans="2:135" ht="21" customHeight="1" thickBot="1" x14ac:dyDescent="0.5">
      <c r="B109" s="88">
        <v>3</v>
      </c>
      <c r="C109" s="20"/>
      <c r="D109" s="738">
        <v>0</v>
      </c>
      <c r="E109" s="333" t="s">
        <v>72</v>
      </c>
      <c r="F109" s="81">
        <f t="shared" si="15"/>
        <v>0</v>
      </c>
      <c r="G109" s="81">
        <f>+D109+BC109</f>
        <v>0</v>
      </c>
      <c r="H109" s="299">
        <v>190.76</v>
      </c>
      <c r="I109" s="318">
        <v>79.651040199999997</v>
      </c>
      <c r="J109" s="251">
        <f t="shared" si="16"/>
        <v>79.651040199999997</v>
      </c>
      <c r="K109" s="251">
        <f t="shared" si="17"/>
        <v>39.825520099999999</v>
      </c>
      <c r="L109" s="251">
        <f t="shared" si="4"/>
        <v>0.64045183696587837</v>
      </c>
      <c r="M109" s="251">
        <f t="shared" si="5"/>
        <v>122.17259241961095</v>
      </c>
      <c r="N109" s="251">
        <f t="shared" si="6"/>
        <v>244.3451848392219</v>
      </c>
      <c r="O109" s="251">
        <f>+C107+D108+(D109/2)</f>
        <v>0</v>
      </c>
      <c r="P109" s="251">
        <f t="shared" si="7"/>
        <v>0</v>
      </c>
      <c r="Q109" s="251">
        <f t="shared" si="8"/>
        <v>0</v>
      </c>
      <c r="R109" s="251">
        <f t="shared" si="18"/>
        <v>146.5</v>
      </c>
      <c r="S109" s="251">
        <f t="shared" ref="S109:S130" si="37">+S108+Q109</f>
        <v>146.5</v>
      </c>
      <c r="T109" s="252">
        <f t="shared" si="9"/>
        <v>146.5</v>
      </c>
      <c r="U109" s="244"/>
      <c r="V109" s="282">
        <f t="shared" si="10"/>
        <v>0</v>
      </c>
      <c r="W109" s="282"/>
      <c r="X109" s="282"/>
      <c r="Y109" s="282"/>
      <c r="Z109" s="282"/>
      <c r="AA109" s="282"/>
      <c r="AB109" s="300" t="str">
        <f t="shared" si="11"/>
        <v xml:space="preserve"> </v>
      </c>
      <c r="AC109" s="457" t="b">
        <f>IF(AD109=3,AF109)</f>
        <v>0</v>
      </c>
      <c r="AD109" s="457">
        <f t="shared" si="19"/>
        <v>1</v>
      </c>
      <c r="AE109" s="457">
        <f>IF(V109=0,0,3)</f>
        <v>0</v>
      </c>
      <c r="AF109" s="282">
        <f>SUM(V109:V130)/($B$104-B108)</f>
        <v>0</v>
      </c>
      <c r="AG109" s="282"/>
      <c r="AH109" s="301">
        <f>SUM(D108:D109)+$C$107</f>
        <v>0</v>
      </c>
      <c r="AI109" s="399" t="b">
        <f t="shared" si="20"/>
        <v>0</v>
      </c>
      <c r="AJ109" s="173">
        <f t="shared" si="21"/>
        <v>69.344714800000006</v>
      </c>
      <c r="AK109" s="284">
        <f t="shared" si="12"/>
        <v>0.93571960494171247</v>
      </c>
      <c r="AL109" s="174">
        <f t="shared" si="22"/>
        <v>180.0511663828843</v>
      </c>
      <c r="AM109" s="173">
        <f t="shared" si="23"/>
        <v>50.174479900000001</v>
      </c>
      <c r="AN109" s="285">
        <f t="shared" si="24"/>
        <v>0.76799833627881664</v>
      </c>
      <c r="AO109" s="174">
        <f t="shared" si="25"/>
        <v>146.50336262854705</v>
      </c>
      <c r="AP109" s="404">
        <f t="shared" si="26"/>
        <v>199.27559976035772</v>
      </c>
      <c r="AQ109" s="174">
        <f t="shared" si="27"/>
        <v>-25.5</v>
      </c>
      <c r="AR109" s="287">
        <f t="shared" si="28"/>
        <v>117</v>
      </c>
      <c r="AS109" s="288">
        <f t="shared" si="29"/>
        <v>326.55452901143133</v>
      </c>
      <c r="AT109" s="289">
        <f>+V109-AO109</f>
        <v>-146.50336262854705</v>
      </c>
      <c r="AU109" s="290">
        <f t="shared" si="30"/>
        <v>345.7789623889048</v>
      </c>
      <c r="AV109" s="289"/>
      <c r="AW109" s="291">
        <f t="shared" si="31"/>
        <v>-6.8878502833003399</v>
      </c>
      <c r="AX109" s="291">
        <f t="shared" si="32"/>
        <v>123.88785028330035</v>
      </c>
      <c r="AY109" s="292">
        <f t="shared" si="13"/>
        <v>-1684.1248753801042</v>
      </c>
      <c r="AZ109" s="292">
        <f t="shared" si="14"/>
        <v>80.71816547895952</v>
      </c>
      <c r="BA109" s="294">
        <f t="shared" si="33"/>
        <v>1684.1248753801042</v>
      </c>
      <c r="BB109" s="294">
        <f t="shared" si="34"/>
        <v>80.71816547895952</v>
      </c>
      <c r="BC109">
        <f t="shared" si="35"/>
        <v>0</v>
      </c>
      <c r="BG109" s="27"/>
      <c r="BH109" s="27"/>
      <c r="BI109" s="219">
        <v>2</v>
      </c>
      <c r="BJ109" s="748">
        <f>+BJ108+50</f>
        <v>-350</v>
      </c>
      <c r="BK109" s="746">
        <f>+BK108+$E$2</f>
        <v>-350</v>
      </c>
      <c r="BL109" s="752">
        <f t="shared" ref="BL109:BL137" si="38">+BK109-D$3</f>
        <v>-462.51796984371447</v>
      </c>
      <c r="BM109" s="180">
        <f t="shared" si="36"/>
        <v>462.51796984371447</v>
      </c>
      <c r="BN109" s="180">
        <f>+BN108</f>
        <v>12.517969843714454</v>
      </c>
      <c r="BO109" s="180" t="b">
        <f t="shared" ref="BO109:BO137" si="39">IF(BN109=BM109,BI109)</f>
        <v>0</v>
      </c>
      <c r="BP109" s="14"/>
      <c r="CR109" s="27"/>
      <c r="CS109" s="27"/>
      <c r="CT109" s="27"/>
      <c r="CU109" s="27"/>
      <c r="CV109" s="27"/>
      <c r="CW109" s="27"/>
    </row>
    <row r="110" spans="2:135" ht="21" customHeight="1" thickBot="1" x14ac:dyDescent="0.5">
      <c r="B110" s="88">
        <v>4</v>
      </c>
      <c r="C110" s="20"/>
      <c r="D110" s="738">
        <v>0</v>
      </c>
      <c r="E110" s="333" t="s">
        <v>72</v>
      </c>
      <c r="F110" s="81">
        <f t="shared" si="15"/>
        <v>0</v>
      </c>
      <c r="G110" s="81">
        <f>+D110+BC110</f>
        <v>0</v>
      </c>
      <c r="H110" s="299">
        <v>190.76</v>
      </c>
      <c r="I110" s="318">
        <v>79.651040199999997</v>
      </c>
      <c r="J110" s="251">
        <f t="shared" si="16"/>
        <v>79.651040199999997</v>
      </c>
      <c r="K110" s="251">
        <f t="shared" si="17"/>
        <v>39.825520099999999</v>
      </c>
      <c r="L110" s="251">
        <f t="shared" si="4"/>
        <v>0.64045183696587837</v>
      </c>
      <c r="M110" s="251">
        <f t="shared" si="5"/>
        <v>122.17259241961095</v>
      </c>
      <c r="N110" s="251">
        <f t="shared" si="6"/>
        <v>244.3451848392219</v>
      </c>
      <c r="O110" s="251">
        <f>+C107+D108+D109+(D110/2)</f>
        <v>0</v>
      </c>
      <c r="P110" s="251">
        <f t="shared" si="7"/>
        <v>0</v>
      </c>
      <c r="Q110" s="251">
        <f t="shared" si="8"/>
        <v>0</v>
      </c>
      <c r="R110" s="251">
        <f t="shared" si="18"/>
        <v>146.5</v>
      </c>
      <c r="S110" s="251">
        <f t="shared" si="37"/>
        <v>146.5</v>
      </c>
      <c r="T110" s="252">
        <f t="shared" si="9"/>
        <v>146.5</v>
      </c>
      <c r="U110" s="244"/>
      <c r="V110" s="282">
        <f t="shared" si="10"/>
        <v>0</v>
      </c>
      <c r="W110" s="282"/>
      <c r="X110" s="282"/>
      <c r="Y110" s="282"/>
      <c r="Z110" s="282"/>
      <c r="AA110" s="282"/>
      <c r="AB110" s="300" t="str">
        <f t="shared" si="11"/>
        <v xml:space="preserve"> </v>
      </c>
      <c r="AC110" s="457" t="b">
        <f>IF(AD110=4,AF110)</f>
        <v>0</v>
      </c>
      <c r="AD110" s="457">
        <f t="shared" si="19"/>
        <v>1</v>
      </c>
      <c r="AE110" s="457">
        <f>IF(V110=0,0,4)</f>
        <v>0</v>
      </c>
      <c r="AF110" s="282">
        <f>SUM(V110:V130)/($B$104-B109)</f>
        <v>0</v>
      </c>
      <c r="AG110" s="282"/>
      <c r="AH110" s="301">
        <f>SUM(D108:D110)+$C$107</f>
        <v>0</v>
      </c>
      <c r="AI110" s="399" t="b">
        <f t="shared" si="20"/>
        <v>0</v>
      </c>
      <c r="AJ110" s="173">
        <f t="shared" si="21"/>
        <v>69.344714800000006</v>
      </c>
      <c r="AK110" s="284">
        <f t="shared" si="12"/>
        <v>0.93571960494171247</v>
      </c>
      <c r="AL110" s="174">
        <f t="shared" si="22"/>
        <v>180.0511663828843</v>
      </c>
      <c r="AM110" s="173">
        <f t="shared" si="23"/>
        <v>50.174479900000001</v>
      </c>
      <c r="AN110" s="285">
        <f t="shared" si="24"/>
        <v>0.76799833627881664</v>
      </c>
      <c r="AO110" s="174">
        <f t="shared" si="25"/>
        <v>146.50336262854705</v>
      </c>
      <c r="AP110" s="404">
        <f t="shared" si="26"/>
        <v>254.81142264439185</v>
      </c>
      <c r="AQ110" s="174">
        <f t="shared" si="27"/>
        <v>-51</v>
      </c>
      <c r="AR110" s="287">
        <f t="shared" si="28"/>
        <v>91.5</v>
      </c>
      <c r="AS110" s="288">
        <f t="shared" si="29"/>
        <v>326.55452901143133</v>
      </c>
      <c r="AT110" s="289">
        <f>+V110-AO110</f>
        <v>-146.50336262854705</v>
      </c>
      <c r="AU110" s="290">
        <f t="shared" si="30"/>
        <v>401.31478527293893</v>
      </c>
      <c r="AV110" s="289"/>
      <c r="AW110" s="291">
        <f t="shared" si="31"/>
        <v>-20.94769124359162</v>
      </c>
      <c r="AX110" s="291">
        <f t="shared" si="32"/>
        <v>112.44769124359162</v>
      </c>
      <c r="AY110" s="292">
        <f t="shared" si="13"/>
        <v>-553.76031015106287</v>
      </c>
      <c r="AZ110" s="292">
        <f t="shared" si="14"/>
        <v>88.930238490511456</v>
      </c>
      <c r="BA110" s="294">
        <f t="shared" si="33"/>
        <v>553.76031015106287</v>
      </c>
      <c r="BB110" s="294">
        <f t="shared" si="34"/>
        <v>88.930238490511456</v>
      </c>
      <c r="BC110">
        <f t="shared" si="35"/>
        <v>0</v>
      </c>
      <c r="BG110" s="27"/>
      <c r="BH110" s="27"/>
      <c r="BI110" s="219">
        <v>3</v>
      </c>
      <c r="BJ110" s="748">
        <f t="shared" ref="BJ110:BJ137" si="40">+BJ109+50</f>
        <v>-300</v>
      </c>
      <c r="BK110" s="746">
        <f t="shared" ref="BK110:BK137" si="41">+BK109+$E$2</f>
        <v>-300</v>
      </c>
      <c r="BL110" s="752">
        <f t="shared" si="38"/>
        <v>-412.51796984371447</v>
      </c>
      <c r="BM110" s="180">
        <f t="shared" si="36"/>
        <v>412.51796984371447</v>
      </c>
      <c r="BN110" s="180">
        <f t="shared" ref="BN110:BN137" si="42">+BN109</f>
        <v>12.517969843714454</v>
      </c>
      <c r="BO110" s="180" t="b">
        <f t="shared" si="39"/>
        <v>0</v>
      </c>
      <c r="BP110" s="14"/>
      <c r="CR110" s="27"/>
      <c r="CS110" s="27"/>
      <c r="CT110" s="27"/>
      <c r="CU110" s="27"/>
      <c r="CV110" s="27"/>
      <c r="CW110" s="27"/>
    </row>
    <row r="111" spans="2:135" ht="21" customHeight="1" thickBot="1" x14ac:dyDescent="0.5">
      <c r="B111" s="88">
        <v>5</v>
      </c>
      <c r="C111" s="20"/>
      <c r="D111" s="738">
        <v>0</v>
      </c>
      <c r="E111" s="333" t="s">
        <v>72</v>
      </c>
      <c r="F111" s="81">
        <f t="shared" si="15"/>
        <v>0</v>
      </c>
      <c r="G111" s="81">
        <f>+D111+BC111</f>
        <v>0</v>
      </c>
      <c r="H111" s="299">
        <v>190.76</v>
      </c>
      <c r="I111" s="318">
        <v>79.651040199999997</v>
      </c>
      <c r="J111" s="251">
        <f t="shared" si="16"/>
        <v>79.651040199999997</v>
      </c>
      <c r="K111" s="251">
        <f t="shared" si="17"/>
        <v>39.825520099999999</v>
      </c>
      <c r="L111" s="251">
        <f t="shared" si="4"/>
        <v>0.64045183696587837</v>
      </c>
      <c r="M111" s="251">
        <f t="shared" si="5"/>
        <v>122.17259241961095</v>
      </c>
      <c r="N111" s="251">
        <f t="shared" si="6"/>
        <v>244.3451848392219</v>
      </c>
      <c r="O111" s="251">
        <f>+C107+D108+D109+D110+(D111/2)</f>
        <v>0</v>
      </c>
      <c r="P111" s="251">
        <f t="shared" si="7"/>
        <v>0</v>
      </c>
      <c r="Q111" s="251">
        <f t="shared" si="8"/>
        <v>0</v>
      </c>
      <c r="R111" s="251">
        <f t="shared" si="18"/>
        <v>146.5</v>
      </c>
      <c r="S111" s="251">
        <f t="shared" si="37"/>
        <v>146.5</v>
      </c>
      <c r="T111" s="252">
        <f t="shared" si="9"/>
        <v>146.5</v>
      </c>
      <c r="U111" s="244"/>
      <c r="V111" s="282">
        <f t="shared" si="10"/>
        <v>0</v>
      </c>
      <c r="W111" s="282"/>
      <c r="X111" s="282"/>
      <c r="Y111" s="282"/>
      <c r="Z111" s="282"/>
      <c r="AA111" s="282"/>
      <c r="AB111" s="300" t="str">
        <f t="shared" si="11"/>
        <v xml:space="preserve"> </v>
      </c>
      <c r="AC111" s="457" t="b">
        <f>IF(AD111=5,AF111)</f>
        <v>0</v>
      </c>
      <c r="AD111" s="457">
        <f t="shared" si="19"/>
        <v>1</v>
      </c>
      <c r="AE111" s="457">
        <f>IF(V111=0,0,5)</f>
        <v>0</v>
      </c>
      <c r="AF111" s="282">
        <f>SUM(V111:V130)/($B$104-B110)</f>
        <v>0</v>
      </c>
      <c r="AG111" s="282"/>
      <c r="AH111" s="301">
        <f>SUM(D108:D111)+$C$107</f>
        <v>0</v>
      </c>
      <c r="AI111" s="399" t="b">
        <f t="shared" si="20"/>
        <v>0</v>
      </c>
      <c r="AJ111" s="173">
        <f t="shared" si="21"/>
        <v>69.344714800000006</v>
      </c>
      <c r="AK111" s="284">
        <f t="shared" si="12"/>
        <v>0.93571960494171247</v>
      </c>
      <c r="AL111" s="174">
        <f t="shared" si="22"/>
        <v>180.0511663828843</v>
      </c>
      <c r="AM111" s="173">
        <f t="shared" si="23"/>
        <v>50.174479900000001</v>
      </c>
      <c r="AN111" s="285">
        <f t="shared" si="24"/>
        <v>0.76799833627881664</v>
      </c>
      <c r="AO111" s="174">
        <f t="shared" si="25"/>
        <v>146.50336262854705</v>
      </c>
      <c r="AP111" s="404">
        <f t="shared" si="26"/>
        <v>353.26129048427055</v>
      </c>
      <c r="AQ111" s="174">
        <f t="shared" si="27"/>
        <v>-76.5</v>
      </c>
      <c r="AR111" s="287">
        <f t="shared" si="28"/>
        <v>66</v>
      </c>
      <c r="AS111" s="288">
        <f t="shared" si="29"/>
        <v>326.55452901143133</v>
      </c>
      <c r="AT111" s="289">
        <f t="shared" ref="AT111:AT130" si="43">+V111-AO111</f>
        <v>-146.50336262854705</v>
      </c>
      <c r="AU111" s="290">
        <f t="shared" si="30"/>
        <v>499.7646531128176</v>
      </c>
      <c r="AV111" s="289"/>
      <c r="AW111" s="291">
        <f t="shared" si="31"/>
        <v>-35.007532203882896</v>
      </c>
      <c r="AX111" s="291">
        <f t="shared" si="32"/>
        <v>101.0075322038829</v>
      </c>
      <c r="AY111" s="292">
        <f t="shared" si="13"/>
        <v>-331.35726141568398</v>
      </c>
      <c r="AZ111" s="292">
        <f t="shared" si="14"/>
        <v>99.002517751003751</v>
      </c>
      <c r="BA111" s="294">
        <f t="shared" si="33"/>
        <v>331.35726141568398</v>
      </c>
      <c r="BB111" s="294">
        <f t="shared" si="34"/>
        <v>99.002517751003751</v>
      </c>
      <c r="BC111">
        <f t="shared" si="35"/>
        <v>0</v>
      </c>
      <c r="BD111" s="10"/>
      <c r="BE111" s="10"/>
      <c r="BF111" s="10"/>
      <c r="BG111" s="27"/>
      <c r="BH111" s="27"/>
      <c r="BI111" s="219">
        <v>4</v>
      </c>
      <c r="BJ111" s="748">
        <f t="shared" si="40"/>
        <v>-250</v>
      </c>
      <c r="BK111" s="746">
        <f t="shared" si="41"/>
        <v>-250</v>
      </c>
      <c r="BL111" s="752">
        <f t="shared" si="38"/>
        <v>-362.51796984371447</v>
      </c>
      <c r="BM111" s="180">
        <f t="shared" si="36"/>
        <v>362.51796984371447</v>
      </c>
      <c r="BN111" s="180">
        <f t="shared" si="42"/>
        <v>12.517969843714454</v>
      </c>
      <c r="BO111" s="180" t="b">
        <f t="shared" si="39"/>
        <v>0</v>
      </c>
      <c r="BP111" s="14"/>
      <c r="CR111" s="27"/>
      <c r="CS111" s="27"/>
      <c r="CT111" s="27"/>
      <c r="CU111" s="27"/>
      <c r="CV111" s="27"/>
      <c r="CW111" s="27"/>
    </row>
    <row r="112" spans="2:135" ht="21" customHeight="1" thickBot="1" x14ac:dyDescent="0.5">
      <c r="B112" s="88">
        <v>6</v>
      </c>
      <c r="C112" s="20"/>
      <c r="D112" s="738">
        <v>0</v>
      </c>
      <c r="E112" s="333" t="s">
        <v>72</v>
      </c>
      <c r="F112" s="81">
        <f t="shared" si="15"/>
        <v>0</v>
      </c>
      <c r="G112" s="81">
        <f t="shared" ref="G112:G130" si="44">+D112+BC112</f>
        <v>0</v>
      </c>
      <c r="H112" s="299">
        <v>190.76</v>
      </c>
      <c r="I112" s="318">
        <v>79.651040199999997</v>
      </c>
      <c r="J112" s="251">
        <f t="shared" si="16"/>
        <v>79.651040199999997</v>
      </c>
      <c r="K112" s="251">
        <f t="shared" si="17"/>
        <v>39.825520099999999</v>
      </c>
      <c r="L112" s="251">
        <f t="shared" si="4"/>
        <v>0.64045183696587837</v>
      </c>
      <c r="M112" s="251">
        <f t="shared" si="5"/>
        <v>122.17259241961095</v>
      </c>
      <c r="N112" s="251">
        <f t="shared" si="6"/>
        <v>244.3451848392219</v>
      </c>
      <c r="O112" s="251">
        <f>+C107+D108+D109+D110+D111+(D112/2)</f>
        <v>0</v>
      </c>
      <c r="P112" s="251">
        <f t="shared" si="7"/>
        <v>0</v>
      </c>
      <c r="Q112" s="251">
        <f t="shared" si="8"/>
        <v>0</v>
      </c>
      <c r="R112" s="251">
        <f t="shared" si="18"/>
        <v>146.5</v>
      </c>
      <c r="S112" s="251">
        <f t="shared" si="37"/>
        <v>146.5</v>
      </c>
      <c r="T112" s="252">
        <f t="shared" si="9"/>
        <v>146.5</v>
      </c>
      <c r="U112" s="244"/>
      <c r="V112" s="282">
        <f t="shared" si="10"/>
        <v>0</v>
      </c>
      <c r="W112" s="282"/>
      <c r="X112" s="282"/>
      <c r="Y112" s="282"/>
      <c r="Z112" s="282"/>
      <c r="AA112" s="282"/>
      <c r="AB112" s="300" t="str">
        <f t="shared" si="11"/>
        <v xml:space="preserve"> </v>
      </c>
      <c r="AC112" s="457" t="b">
        <f>IF(AD112=6,AF112)</f>
        <v>0</v>
      </c>
      <c r="AD112" s="457">
        <f t="shared" si="19"/>
        <v>1</v>
      </c>
      <c r="AE112" s="457">
        <f>IF(V112=0,0,6)</f>
        <v>0</v>
      </c>
      <c r="AF112" s="282">
        <f>SUM(V112:V130)/($B$104-B111)</f>
        <v>0</v>
      </c>
      <c r="AG112" s="282"/>
      <c r="AH112" s="301">
        <f>SUM(D108:D112)+$C$107</f>
        <v>0</v>
      </c>
      <c r="AI112" s="399" t="b">
        <f t="shared" si="20"/>
        <v>0</v>
      </c>
      <c r="AJ112" s="173">
        <f t="shared" si="21"/>
        <v>69.344714800000006</v>
      </c>
      <c r="AK112" s="284">
        <f t="shared" si="12"/>
        <v>0.93571960494171247</v>
      </c>
      <c r="AL112" s="174">
        <f t="shared" si="22"/>
        <v>180.0511663828843</v>
      </c>
      <c r="AM112" s="173">
        <f t="shared" si="23"/>
        <v>50.174479900000001</v>
      </c>
      <c r="AN112" s="285">
        <f t="shared" si="24"/>
        <v>0.76799833627881664</v>
      </c>
      <c r="AO112" s="174">
        <f t="shared" si="25"/>
        <v>146.50336262854705</v>
      </c>
      <c r="AP112" s="404">
        <f t="shared" si="26"/>
        <v>575.68506597436681</v>
      </c>
      <c r="AQ112" s="174">
        <f t="shared" si="27"/>
        <v>-102</v>
      </c>
      <c r="AR112" s="287">
        <f t="shared" si="28"/>
        <v>40.5</v>
      </c>
      <c r="AS112" s="288">
        <f t="shared" si="29"/>
        <v>326.55452901143133</v>
      </c>
      <c r="AT112" s="289">
        <f t="shared" si="43"/>
        <v>-146.50336262854705</v>
      </c>
      <c r="AU112" s="290">
        <f t="shared" si="30"/>
        <v>722.18842860291386</v>
      </c>
      <c r="AV112" s="289"/>
      <c r="AW112" s="291">
        <f t="shared" si="31"/>
        <v>-49.067373164174178</v>
      </c>
      <c r="AX112" s="291">
        <f t="shared" si="32"/>
        <v>89.567373164174171</v>
      </c>
      <c r="AY112" s="292">
        <f t="shared" si="13"/>
        <v>-236.40963948054937</v>
      </c>
      <c r="AZ112" s="292">
        <f t="shared" si="14"/>
        <v>111.64779815156928</v>
      </c>
      <c r="BA112" s="294">
        <f t="shared" si="33"/>
        <v>236.40963948054937</v>
      </c>
      <c r="BB112" s="294">
        <f t="shared" si="34"/>
        <v>111.64779815156928</v>
      </c>
      <c r="BC112">
        <f t="shared" si="35"/>
        <v>0</v>
      </c>
      <c r="BD112" s="10"/>
      <c r="BE112" s="10"/>
      <c r="BF112" s="10"/>
      <c r="BG112" s="27"/>
      <c r="BH112" s="27"/>
      <c r="BI112" s="219">
        <v>5</v>
      </c>
      <c r="BJ112" s="748">
        <f t="shared" si="40"/>
        <v>-200</v>
      </c>
      <c r="BK112" s="746">
        <f t="shared" si="41"/>
        <v>-200</v>
      </c>
      <c r="BL112" s="752">
        <f t="shared" si="38"/>
        <v>-312.51796984371447</v>
      </c>
      <c r="BM112" s="180">
        <f t="shared" si="36"/>
        <v>312.51796984371447</v>
      </c>
      <c r="BN112" s="180">
        <f t="shared" si="42"/>
        <v>12.517969843714454</v>
      </c>
      <c r="BO112" s="180" t="b">
        <f t="shared" si="39"/>
        <v>0</v>
      </c>
      <c r="BP112" s="14"/>
      <c r="CR112" s="27"/>
      <c r="CS112" s="27"/>
      <c r="CT112" s="27"/>
      <c r="CU112" s="27"/>
      <c r="CV112" s="27"/>
      <c r="CW112" s="27"/>
    </row>
    <row r="113" spans="1:127" ht="21" customHeight="1" thickBot="1" x14ac:dyDescent="0.5">
      <c r="B113" s="88">
        <v>7</v>
      </c>
      <c r="C113" s="20"/>
      <c r="D113" s="738">
        <v>0</v>
      </c>
      <c r="E113" s="333" t="s">
        <v>72</v>
      </c>
      <c r="F113" s="81">
        <f t="shared" si="15"/>
        <v>0</v>
      </c>
      <c r="G113" s="81">
        <f t="shared" si="44"/>
        <v>0</v>
      </c>
      <c r="H113" s="299">
        <v>190.76</v>
      </c>
      <c r="I113" s="318">
        <v>79.651040199999997</v>
      </c>
      <c r="J113" s="251">
        <f t="shared" si="16"/>
        <v>79.651040199999997</v>
      </c>
      <c r="K113" s="251">
        <f t="shared" si="17"/>
        <v>39.825520099999999</v>
      </c>
      <c r="L113" s="251">
        <f t="shared" si="4"/>
        <v>0.64045183696587837</v>
      </c>
      <c r="M113" s="251">
        <f t="shared" si="5"/>
        <v>122.17259241961095</v>
      </c>
      <c r="N113" s="251">
        <f t="shared" si="6"/>
        <v>244.3451848392219</v>
      </c>
      <c r="O113" s="251">
        <f>+C107+D108+D109+D110+D111+D112+(D113/2)</f>
        <v>0</v>
      </c>
      <c r="P113" s="251">
        <f t="shared" si="7"/>
        <v>0</v>
      </c>
      <c r="Q113" s="251">
        <f t="shared" si="8"/>
        <v>0</v>
      </c>
      <c r="R113" s="251">
        <f t="shared" si="18"/>
        <v>146.5</v>
      </c>
      <c r="S113" s="251">
        <f t="shared" si="37"/>
        <v>146.5</v>
      </c>
      <c r="T113" s="252">
        <f t="shared" si="9"/>
        <v>146.5</v>
      </c>
      <c r="U113" s="244"/>
      <c r="V113" s="282">
        <f t="shared" si="10"/>
        <v>0</v>
      </c>
      <c r="W113" s="282"/>
      <c r="X113" s="282"/>
      <c r="Y113" s="282"/>
      <c r="Z113" s="282"/>
      <c r="AA113" s="282"/>
      <c r="AB113" s="300" t="str">
        <f t="shared" si="11"/>
        <v xml:space="preserve"> </v>
      </c>
      <c r="AC113" s="457" t="b">
        <f>IF(AD113=7,AF113)</f>
        <v>0</v>
      </c>
      <c r="AD113" s="457">
        <f t="shared" si="19"/>
        <v>1</v>
      </c>
      <c r="AE113" s="457">
        <f>IF(V113=0,0,7)</f>
        <v>0</v>
      </c>
      <c r="AF113" s="282">
        <f>SUM(V113:V130)/($B$104-B112)</f>
        <v>0</v>
      </c>
      <c r="AG113" s="282"/>
      <c r="AH113" s="301">
        <f>SUM(D108:D113)+$C$107</f>
        <v>0</v>
      </c>
      <c r="AI113" s="399" t="b">
        <f t="shared" si="20"/>
        <v>0</v>
      </c>
      <c r="AJ113" s="173">
        <f t="shared" si="21"/>
        <v>69.344714800000006</v>
      </c>
      <c r="AK113" s="284">
        <f t="shared" si="12"/>
        <v>0.93571960494171247</v>
      </c>
      <c r="AL113" s="174">
        <f t="shared" si="22"/>
        <v>180.0511663828843</v>
      </c>
      <c r="AM113" s="173">
        <f t="shared" si="23"/>
        <v>50.174479900000001</v>
      </c>
      <c r="AN113" s="285">
        <f t="shared" si="24"/>
        <v>0.76799833627881664</v>
      </c>
      <c r="AO113" s="174">
        <f t="shared" si="25"/>
        <v>146.50336262854705</v>
      </c>
      <c r="AP113" s="404">
        <f t="shared" si="26"/>
        <v>1554.3496781307904</v>
      </c>
      <c r="AQ113" s="174">
        <f t="shared" si="27"/>
        <v>-127.5</v>
      </c>
      <c r="AR113" s="287">
        <f t="shared" si="28"/>
        <v>15</v>
      </c>
      <c r="AS113" s="288">
        <f t="shared" si="29"/>
        <v>326.55452901143133</v>
      </c>
      <c r="AT113" s="289">
        <f t="shared" si="43"/>
        <v>-146.50336262854705</v>
      </c>
      <c r="AU113" s="290">
        <f t="shared" si="30"/>
        <v>1700.8530407593375</v>
      </c>
      <c r="AV113" s="289"/>
      <c r="AW113" s="291">
        <f t="shared" si="31"/>
        <v>-63.127214124465461</v>
      </c>
      <c r="AX113" s="291">
        <f t="shared" si="32"/>
        <v>78.127214124465468</v>
      </c>
      <c r="AY113" s="292">
        <f t="shared" si="13"/>
        <v>-183.75593095441744</v>
      </c>
      <c r="AZ113" s="292">
        <f t="shared" si="14"/>
        <v>127.99637248128253</v>
      </c>
      <c r="BA113" s="294">
        <f t="shared" si="33"/>
        <v>183.75593095441744</v>
      </c>
      <c r="BB113" s="294">
        <f t="shared" si="34"/>
        <v>127.99637248128253</v>
      </c>
      <c r="BC113">
        <f t="shared" si="35"/>
        <v>0</v>
      </c>
      <c r="BG113" s="27"/>
      <c r="BH113" s="27"/>
      <c r="BI113" s="219">
        <v>6</v>
      </c>
      <c r="BJ113" s="748">
        <f t="shared" si="40"/>
        <v>-150</v>
      </c>
      <c r="BK113" s="746">
        <f t="shared" si="41"/>
        <v>-150</v>
      </c>
      <c r="BL113" s="752">
        <f t="shared" si="38"/>
        <v>-262.51796984371447</v>
      </c>
      <c r="BM113" s="180">
        <f t="shared" si="36"/>
        <v>262.51796984371447</v>
      </c>
      <c r="BN113" s="180">
        <f t="shared" si="42"/>
        <v>12.517969843714454</v>
      </c>
      <c r="BO113" s="180" t="b">
        <f t="shared" si="39"/>
        <v>0</v>
      </c>
      <c r="BP113" s="14"/>
      <c r="CR113" s="27"/>
      <c r="CS113" s="27"/>
      <c r="CT113" s="27"/>
      <c r="CU113" s="27"/>
      <c r="CV113" s="27"/>
      <c r="CW113" s="27"/>
    </row>
    <row r="114" spans="1:127" ht="21" customHeight="1" thickBot="1" x14ac:dyDescent="0.5">
      <c r="B114" s="88">
        <v>8</v>
      </c>
      <c r="C114" s="20"/>
      <c r="D114" s="738">
        <v>0</v>
      </c>
      <c r="E114" s="333" t="s">
        <v>72</v>
      </c>
      <c r="F114" s="81">
        <f t="shared" si="15"/>
        <v>0</v>
      </c>
      <c r="G114" s="81">
        <f t="shared" si="44"/>
        <v>0</v>
      </c>
      <c r="H114" s="299">
        <v>190.76</v>
      </c>
      <c r="I114" s="318">
        <v>79.651040199999997</v>
      </c>
      <c r="J114" s="251">
        <f t="shared" si="16"/>
        <v>79.651040199999997</v>
      </c>
      <c r="K114" s="251">
        <f t="shared" si="17"/>
        <v>39.825520099999999</v>
      </c>
      <c r="L114" s="251">
        <f t="shared" si="4"/>
        <v>0.64045183696587837</v>
      </c>
      <c r="M114" s="251">
        <f t="shared" si="5"/>
        <v>122.17259241961095</v>
      </c>
      <c r="N114" s="251">
        <f t="shared" si="6"/>
        <v>244.3451848392219</v>
      </c>
      <c r="O114" s="251">
        <f>+C107+D108+D109+D110+D111+D112+D113+(D114/2)</f>
        <v>0</v>
      </c>
      <c r="P114" s="251">
        <f t="shared" si="7"/>
        <v>0</v>
      </c>
      <c r="Q114" s="251">
        <f t="shared" si="8"/>
        <v>0</v>
      </c>
      <c r="R114" s="251">
        <f t="shared" si="18"/>
        <v>146.5</v>
      </c>
      <c r="S114" s="251">
        <f t="shared" si="37"/>
        <v>146.5</v>
      </c>
      <c r="T114" s="252">
        <f t="shared" si="9"/>
        <v>146.5</v>
      </c>
      <c r="U114" s="244"/>
      <c r="V114" s="282">
        <f t="shared" si="10"/>
        <v>0</v>
      </c>
      <c r="W114" s="282"/>
      <c r="X114" s="282"/>
      <c r="Y114" s="282"/>
      <c r="Z114" s="282"/>
      <c r="AA114" s="282"/>
      <c r="AB114" s="300" t="str">
        <f t="shared" si="11"/>
        <v xml:space="preserve"> </v>
      </c>
      <c r="AC114" s="457" t="b">
        <f>IF(AD114=8,AF114)</f>
        <v>0</v>
      </c>
      <c r="AD114" s="457">
        <f t="shared" si="19"/>
        <v>1</v>
      </c>
      <c r="AE114" s="457">
        <f>IF(V114=0,0,8)</f>
        <v>0</v>
      </c>
      <c r="AF114" s="282">
        <f>SUM(V114:V130)/($B$104-B113)</f>
        <v>0</v>
      </c>
      <c r="AG114" s="282"/>
      <c r="AH114" s="301">
        <f>SUM(D108:D114)+$C$107</f>
        <v>0</v>
      </c>
      <c r="AI114" s="399" t="b">
        <f t="shared" si="20"/>
        <v>0</v>
      </c>
      <c r="AJ114" s="173">
        <f t="shared" si="21"/>
        <v>69.344714800000006</v>
      </c>
      <c r="AK114" s="284">
        <f t="shared" si="12"/>
        <v>0.93571960494171247</v>
      </c>
      <c r="AL114" s="174">
        <f t="shared" si="22"/>
        <v>180.0511663828843</v>
      </c>
      <c r="AM114" s="173">
        <f t="shared" si="23"/>
        <v>50.174479900000001</v>
      </c>
      <c r="AN114" s="285">
        <f t="shared" si="24"/>
        <v>0.76799833627881664</v>
      </c>
      <c r="AO114" s="174">
        <f t="shared" si="25"/>
        <v>146.50336262854705</v>
      </c>
      <c r="AP114" s="404">
        <f t="shared" si="26"/>
        <v>-2220.4995401868432</v>
      </c>
      <c r="AQ114" s="174">
        <f t="shared" si="27"/>
        <v>-153</v>
      </c>
      <c r="AR114" s="287">
        <f t="shared" si="28"/>
        <v>-10.5</v>
      </c>
      <c r="AS114" s="288">
        <f t="shared" si="29"/>
        <v>326.55452901143133</v>
      </c>
      <c r="AT114" s="289">
        <f t="shared" si="43"/>
        <v>-146.50336262854705</v>
      </c>
      <c r="AU114" s="290">
        <f t="shared" si="30"/>
        <v>-2073.996177558296</v>
      </c>
      <c r="AV114" s="289"/>
      <c r="AW114" s="291">
        <f t="shared" si="31"/>
        <v>-77.187055084756722</v>
      </c>
      <c r="AX114" s="291">
        <f t="shared" si="32"/>
        <v>66.687055084756722</v>
      </c>
      <c r="AY114" s="292">
        <f t="shared" si="13"/>
        <v>-150.28426706087436</v>
      </c>
      <c r="AZ114" s="292">
        <f t="shared" si="14"/>
        <v>149.95414008446434</v>
      </c>
      <c r="BA114" s="294">
        <f t="shared" si="33"/>
        <v>150.28426706087436</v>
      </c>
      <c r="BB114" s="294">
        <f t="shared" si="34"/>
        <v>149.95414008446434</v>
      </c>
      <c r="BC114">
        <f t="shared" si="35"/>
        <v>0</v>
      </c>
      <c r="BG114" s="27"/>
      <c r="BH114" s="27"/>
      <c r="BI114" s="219">
        <v>7</v>
      </c>
      <c r="BJ114" s="748">
        <f t="shared" si="40"/>
        <v>-100</v>
      </c>
      <c r="BK114" s="746">
        <f t="shared" si="41"/>
        <v>-100</v>
      </c>
      <c r="BL114" s="752">
        <f t="shared" si="38"/>
        <v>-212.51796984371447</v>
      </c>
      <c r="BM114" s="180">
        <f t="shared" si="36"/>
        <v>212.51796984371447</v>
      </c>
      <c r="BN114" s="180">
        <f t="shared" si="42"/>
        <v>12.517969843714454</v>
      </c>
      <c r="BO114" s="180" t="b">
        <f t="shared" si="39"/>
        <v>0</v>
      </c>
      <c r="BP114" s="14"/>
      <c r="CR114" s="27"/>
      <c r="CS114" s="27"/>
      <c r="CT114" s="27"/>
      <c r="CU114" s="27"/>
      <c r="CV114" s="27"/>
      <c r="CW114" s="27"/>
    </row>
    <row r="115" spans="1:127" ht="21" customHeight="1" thickBot="1" x14ac:dyDescent="0.5">
      <c r="B115" s="88">
        <v>9</v>
      </c>
      <c r="C115" s="20"/>
      <c r="D115" s="738">
        <v>0</v>
      </c>
      <c r="E115" s="333" t="s">
        <v>72</v>
      </c>
      <c r="F115" s="81">
        <f t="shared" si="15"/>
        <v>0</v>
      </c>
      <c r="G115" s="81">
        <f t="shared" si="44"/>
        <v>0</v>
      </c>
      <c r="H115" s="299">
        <v>190.76</v>
      </c>
      <c r="I115" s="318">
        <v>79.651040199999997</v>
      </c>
      <c r="J115" s="251">
        <f t="shared" si="16"/>
        <v>79.651040199999997</v>
      </c>
      <c r="K115" s="251">
        <f t="shared" si="17"/>
        <v>39.825520099999999</v>
      </c>
      <c r="L115" s="251">
        <f t="shared" si="4"/>
        <v>0.64045183696587837</v>
      </c>
      <c r="M115" s="251">
        <f t="shared" si="5"/>
        <v>122.17259241961095</v>
      </c>
      <c r="N115" s="251">
        <f t="shared" si="6"/>
        <v>244.3451848392219</v>
      </c>
      <c r="O115" s="251">
        <f>+C107+D108+D109+D110+D111+D112+D113+D114+(D115/2)</f>
        <v>0</v>
      </c>
      <c r="P115" s="251">
        <f t="shared" si="7"/>
        <v>0</v>
      </c>
      <c r="Q115" s="251">
        <f t="shared" si="8"/>
        <v>0</v>
      </c>
      <c r="R115" s="251">
        <f t="shared" si="18"/>
        <v>146.5</v>
      </c>
      <c r="S115" s="251">
        <f t="shared" si="37"/>
        <v>146.5</v>
      </c>
      <c r="T115" s="252">
        <f t="shared" si="9"/>
        <v>146.5</v>
      </c>
      <c r="U115" s="244"/>
      <c r="V115" s="282">
        <f t="shared" si="10"/>
        <v>0</v>
      </c>
      <c r="W115" s="282"/>
      <c r="X115" s="282"/>
      <c r="Y115" s="282"/>
      <c r="Z115" s="282"/>
      <c r="AA115" s="282"/>
      <c r="AB115" s="300" t="str">
        <f t="shared" ref="AB115:AB130" si="45">IF(AZ115&lt;0,"pin in groundstacking hole"," ")</f>
        <v xml:space="preserve"> </v>
      </c>
      <c r="AC115" s="457" t="b">
        <f>IF(AD115=9,AF115)</f>
        <v>0</v>
      </c>
      <c r="AD115" s="457">
        <f t="shared" si="19"/>
        <v>1</v>
      </c>
      <c r="AE115" s="457">
        <f>IF(V115=0,0,9)</f>
        <v>0</v>
      </c>
      <c r="AF115" s="282">
        <f>SUM(V115:V130)/($B$104-B114)</f>
        <v>0</v>
      </c>
      <c r="AG115" s="282"/>
      <c r="AH115" s="301">
        <f>SUM(D108:D115)+$C$107</f>
        <v>0</v>
      </c>
      <c r="AI115" s="399" t="b">
        <f t="shared" si="20"/>
        <v>0</v>
      </c>
      <c r="AJ115" s="173">
        <f t="shared" si="21"/>
        <v>69.344714800000006</v>
      </c>
      <c r="AK115" s="284">
        <f t="shared" si="12"/>
        <v>0.93571960494171247</v>
      </c>
      <c r="AL115" s="174">
        <f t="shared" si="22"/>
        <v>180.0511663828843</v>
      </c>
      <c r="AM115" s="173">
        <f t="shared" si="23"/>
        <v>50.174479900000001</v>
      </c>
      <c r="AN115" s="285">
        <f t="shared" si="24"/>
        <v>0.76799833627881664</v>
      </c>
      <c r="AO115" s="174">
        <f t="shared" si="25"/>
        <v>146.50336262854705</v>
      </c>
      <c r="AP115" s="404">
        <f t="shared" si="26"/>
        <v>-647.64569922116266</v>
      </c>
      <c r="AQ115" s="174">
        <f t="shared" si="27"/>
        <v>-178.5</v>
      </c>
      <c r="AR115" s="287">
        <f t="shared" si="28"/>
        <v>-36</v>
      </c>
      <c r="AS115" s="288">
        <f t="shared" si="29"/>
        <v>326.55452901143133</v>
      </c>
      <c r="AT115" s="289">
        <f t="shared" si="43"/>
        <v>-146.50336262854705</v>
      </c>
      <c r="AU115" s="290">
        <f t="shared" si="30"/>
        <v>-501.14233659261561</v>
      </c>
      <c r="AV115" s="289"/>
      <c r="AW115" s="291">
        <f t="shared" si="31"/>
        <v>-91.246896045048004</v>
      </c>
      <c r="AX115" s="291">
        <f t="shared" si="32"/>
        <v>55.246896045048011</v>
      </c>
      <c r="AY115" s="292">
        <f t="shared" si="13"/>
        <v>-127.12761203705115</v>
      </c>
      <c r="AZ115" s="292">
        <f t="shared" si="14"/>
        <v>181.0056440428084</v>
      </c>
      <c r="BA115" s="294">
        <f t="shared" si="33"/>
        <v>127.12761203705115</v>
      </c>
      <c r="BB115" s="294">
        <f t="shared" si="34"/>
        <v>181.0056440428084</v>
      </c>
      <c r="BC115">
        <f t="shared" si="35"/>
        <v>0</v>
      </c>
      <c r="BG115" s="27"/>
      <c r="BH115" s="27"/>
      <c r="BI115" s="219">
        <v>8</v>
      </c>
      <c r="BJ115" s="748">
        <f t="shared" si="40"/>
        <v>-50</v>
      </c>
      <c r="BK115" s="746">
        <f t="shared" si="41"/>
        <v>-50</v>
      </c>
      <c r="BL115" s="752">
        <f t="shared" si="38"/>
        <v>-162.51796984371447</v>
      </c>
      <c r="BM115" s="180">
        <f t="shared" si="36"/>
        <v>162.51796984371447</v>
      </c>
      <c r="BN115" s="180">
        <f t="shared" si="42"/>
        <v>12.517969843714454</v>
      </c>
      <c r="BO115" s="180" t="b">
        <f t="shared" si="39"/>
        <v>0</v>
      </c>
      <c r="BP115" s="14"/>
      <c r="CR115" s="27"/>
      <c r="CS115" s="27"/>
      <c r="CT115" s="27"/>
      <c r="CU115" s="27"/>
      <c r="CV115" s="27"/>
      <c r="CW115" s="27"/>
    </row>
    <row r="116" spans="1:127" ht="21" customHeight="1" thickBot="1" x14ac:dyDescent="0.5">
      <c r="B116" s="88">
        <v>10</v>
      </c>
      <c r="C116" s="20"/>
      <c r="D116" s="738">
        <v>0</v>
      </c>
      <c r="E116" s="333" t="s">
        <v>72</v>
      </c>
      <c r="F116" s="81">
        <f t="shared" si="15"/>
        <v>0</v>
      </c>
      <c r="G116" s="81">
        <f t="shared" si="44"/>
        <v>0</v>
      </c>
      <c r="H116" s="299">
        <v>190.76</v>
      </c>
      <c r="I116" s="318">
        <v>79.651040199999997</v>
      </c>
      <c r="J116" s="251">
        <f t="shared" si="16"/>
        <v>79.651040199999997</v>
      </c>
      <c r="K116" s="251">
        <f t="shared" si="17"/>
        <v>39.825520099999999</v>
      </c>
      <c r="L116" s="251">
        <f t="shared" si="4"/>
        <v>0.64045183696587837</v>
      </c>
      <c r="M116" s="251">
        <f t="shared" si="5"/>
        <v>122.17259241961095</v>
      </c>
      <c r="N116" s="251">
        <f t="shared" si="6"/>
        <v>244.3451848392219</v>
      </c>
      <c r="O116" s="251">
        <f>+C107+D108+D109+D110+D111+D112+D113+D114+D115+(D116/2)</f>
        <v>0</v>
      </c>
      <c r="P116" s="251">
        <f t="shared" si="7"/>
        <v>0</v>
      </c>
      <c r="Q116" s="251">
        <f t="shared" si="8"/>
        <v>0</v>
      </c>
      <c r="R116" s="251">
        <f t="shared" si="18"/>
        <v>146.5</v>
      </c>
      <c r="S116" s="251">
        <f t="shared" si="37"/>
        <v>146.5</v>
      </c>
      <c r="T116" s="252">
        <f t="shared" si="9"/>
        <v>146.5</v>
      </c>
      <c r="U116" s="244"/>
      <c r="V116" s="282">
        <f t="shared" si="10"/>
        <v>0</v>
      </c>
      <c r="W116" s="282"/>
      <c r="X116" s="282"/>
      <c r="Y116" s="282"/>
      <c r="Z116" s="282"/>
      <c r="AA116" s="282"/>
      <c r="AB116" s="300" t="str">
        <f t="shared" si="45"/>
        <v xml:space="preserve"> </v>
      </c>
      <c r="AC116" s="457" t="b">
        <f>IF(AD116=10,AF116)</f>
        <v>0</v>
      </c>
      <c r="AD116" s="457">
        <f t="shared" si="19"/>
        <v>1</v>
      </c>
      <c r="AE116" s="457">
        <f>IF(V116=0,0,10)</f>
        <v>0</v>
      </c>
      <c r="AF116" s="282">
        <f>SUM(V116:V130)/($B$104-B115)</f>
        <v>0</v>
      </c>
      <c r="AG116" s="282"/>
      <c r="AH116" s="301">
        <f>SUM(D108:D116)+$C$107</f>
        <v>0</v>
      </c>
      <c r="AI116" s="399" t="b">
        <f t="shared" si="20"/>
        <v>0</v>
      </c>
      <c r="AJ116" s="173">
        <f t="shared" si="21"/>
        <v>69.344714800000006</v>
      </c>
      <c r="AK116" s="284">
        <f t="shared" si="12"/>
        <v>0.93571960494171247</v>
      </c>
      <c r="AL116" s="174">
        <f t="shared" si="22"/>
        <v>180.0511663828843</v>
      </c>
      <c r="AM116" s="173">
        <f t="shared" si="23"/>
        <v>50.174479900000001</v>
      </c>
      <c r="AN116" s="285">
        <f t="shared" si="24"/>
        <v>0.76799833627881664</v>
      </c>
      <c r="AO116" s="174">
        <f t="shared" si="25"/>
        <v>146.50336262854705</v>
      </c>
      <c r="AP116" s="404">
        <f t="shared" si="26"/>
        <v>-379.1096775928757</v>
      </c>
      <c r="AQ116" s="174">
        <f t="shared" si="27"/>
        <v>-204</v>
      </c>
      <c r="AR116" s="287">
        <f t="shared" si="28"/>
        <v>-61.5</v>
      </c>
      <c r="AS116" s="288">
        <f t="shared" si="29"/>
        <v>326.55452901143133</v>
      </c>
      <c r="AT116" s="289">
        <f t="shared" si="43"/>
        <v>-146.50336262854705</v>
      </c>
      <c r="AU116" s="290">
        <f t="shared" si="30"/>
        <v>-232.60631496432865</v>
      </c>
      <c r="AV116" s="289"/>
      <c r="AW116" s="291">
        <f t="shared" si="31"/>
        <v>-105.30673700533929</v>
      </c>
      <c r="AX116" s="291">
        <f t="shared" si="32"/>
        <v>43.806737005339286</v>
      </c>
      <c r="AY116" s="292">
        <f t="shared" si="13"/>
        <v>-110.15439590927458</v>
      </c>
      <c r="AZ116" s="292">
        <f t="shared" si="14"/>
        <v>228.27539058161699</v>
      </c>
      <c r="BA116" s="294">
        <f t="shared" si="33"/>
        <v>110.15439590927458</v>
      </c>
      <c r="BB116" s="294">
        <f t="shared" si="34"/>
        <v>228.27539058161699</v>
      </c>
      <c r="BC116">
        <f t="shared" si="35"/>
        <v>0</v>
      </c>
      <c r="BG116" s="27"/>
      <c r="BH116" s="27"/>
      <c r="BI116" s="219">
        <v>9</v>
      </c>
      <c r="BJ116" s="748">
        <f t="shared" si="40"/>
        <v>0</v>
      </c>
      <c r="BK116" s="746">
        <f t="shared" si="41"/>
        <v>0</v>
      </c>
      <c r="BL116" s="752">
        <f t="shared" si="38"/>
        <v>-112.51796984371445</v>
      </c>
      <c r="BM116" s="180">
        <f t="shared" si="36"/>
        <v>112.51796984371445</v>
      </c>
      <c r="BN116" s="180">
        <f t="shared" si="42"/>
        <v>12.517969843714454</v>
      </c>
      <c r="BO116" s="180" t="b">
        <f t="shared" si="39"/>
        <v>0</v>
      </c>
      <c r="BP116" s="14"/>
      <c r="CR116" s="27"/>
      <c r="CS116" s="27"/>
      <c r="CT116" s="27"/>
      <c r="CU116" s="27"/>
      <c r="CV116" s="27"/>
      <c r="CW116" s="27"/>
    </row>
    <row r="117" spans="1:127" ht="21" customHeight="1" thickBot="1" x14ac:dyDescent="0.5">
      <c r="A117" s="9"/>
      <c r="B117" s="88">
        <v>11</v>
      </c>
      <c r="C117" s="20"/>
      <c r="D117" s="738">
        <v>0</v>
      </c>
      <c r="E117" s="333" t="s">
        <v>72</v>
      </c>
      <c r="F117" s="81">
        <f t="shared" si="15"/>
        <v>0</v>
      </c>
      <c r="G117" s="81">
        <f t="shared" si="44"/>
        <v>0</v>
      </c>
      <c r="H117" s="299">
        <v>190.76</v>
      </c>
      <c r="I117" s="318">
        <v>79.651040199999997</v>
      </c>
      <c r="J117" s="251">
        <f t="shared" si="16"/>
        <v>79.651040199999997</v>
      </c>
      <c r="K117" s="251">
        <f t="shared" si="17"/>
        <v>39.825520099999999</v>
      </c>
      <c r="L117" s="251">
        <f t="shared" si="4"/>
        <v>0.64045183696587837</v>
      </c>
      <c r="M117" s="251">
        <f t="shared" si="5"/>
        <v>122.17259241961095</v>
      </c>
      <c r="N117" s="251">
        <f t="shared" si="6"/>
        <v>244.3451848392219</v>
      </c>
      <c r="O117" s="251">
        <f>+C107+D108+D109+D110+D111+D112+D113+D114+D115+D116+(D117/2)</f>
        <v>0</v>
      </c>
      <c r="P117" s="251">
        <f t="shared" si="7"/>
        <v>0</v>
      </c>
      <c r="Q117" s="251">
        <f t="shared" si="8"/>
        <v>0</v>
      </c>
      <c r="R117" s="251">
        <f t="shared" si="18"/>
        <v>146.5</v>
      </c>
      <c r="S117" s="251">
        <f t="shared" si="37"/>
        <v>146.5</v>
      </c>
      <c r="T117" s="252">
        <f t="shared" si="9"/>
        <v>146.5</v>
      </c>
      <c r="U117" s="244"/>
      <c r="V117" s="282">
        <f t="shared" si="10"/>
        <v>0</v>
      </c>
      <c r="W117" s="282"/>
      <c r="X117" s="282"/>
      <c r="Y117" s="282"/>
      <c r="Z117" s="282"/>
      <c r="AA117" s="282"/>
      <c r="AB117" s="300" t="str">
        <f t="shared" si="45"/>
        <v xml:space="preserve"> </v>
      </c>
      <c r="AC117" s="457" t="b">
        <f>IF(AD117=11,AF117)</f>
        <v>0</v>
      </c>
      <c r="AD117" s="457">
        <f t="shared" si="19"/>
        <v>1</v>
      </c>
      <c r="AE117" s="457">
        <f>IF(V117=0,0,11)</f>
        <v>0</v>
      </c>
      <c r="AF117" s="282">
        <f>SUM(V117:V130)/($B$104-B116)</f>
        <v>0</v>
      </c>
      <c r="AG117" s="282"/>
      <c r="AH117" s="301">
        <f>SUM(D108:D117)+$C$107</f>
        <v>0</v>
      </c>
      <c r="AI117" s="399" t="b">
        <f t="shared" si="20"/>
        <v>0</v>
      </c>
      <c r="AJ117" s="173">
        <f t="shared" si="21"/>
        <v>69.344714800000006</v>
      </c>
      <c r="AK117" s="284">
        <f t="shared" si="12"/>
        <v>0.93571960494171247</v>
      </c>
      <c r="AL117" s="174">
        <f t="shared" si="22"/>
        <v>180.0511663828843</v>
      </c>
      <c r="AM117" s="173">
        <f t="shared" si="23"/>
        <v>50.174479900000001</v>
      </c>
      <c r="AN117" s="285">
        <f t="shared" si="24"/>
        <v>0.76799833627881664</v>
      </c>
      <c r="AO117" s="174">
        <f t="shared" si="25"/>
        <v>146.50336262854705</v>
      </c>
      <c r="AP117" s="404">
        <f t="shared" si="26"/>
        <v>-267.99132381565352</v>
      </c>
      <c r="AQ117" s="174">
        <f t="shared" si="27"/>
        <v>-229.5</v>
      </c>
      <c r="AR117" s="287">
        <f t="shared" si="28"/>
        <v>-87</v>
      </c>
      <c r="AS117" s="288">
        <f t="shared" si="29"/>
        <v>326.55452901143133</v>
      </c>
      <c r="AT117" s="289">
        <f t="shared" si="43"/>
        <v>-146.50336262854705</v>
      </c>
      <c r="AU117" s="290">
        <f t="shared" si="30"/>
        <v>-121.48796118710646</v>
      </c>
      <c r="AV117" s="289"/>
      <c r="AW117" s="291">
        <f t="shared" si="31"/>
        <v>-119.36657796563057</v>
      </c>
      <c r="AX117" s="291">
        <f t="shared" si="32"/>
        <v>32.366577965630569</v>
      </c>
      <c r="AY117" s="292">
        <f t="shared" si="13"/>
        <v>-97.179630996374954</v>
      </c>
      <c r="AZ117" s="292">
        <f t="shared" si="14"/>
        <v>308.96068192994647</v>
      </c>
      <c r="BA117" s="294">
        <f t="shared" si="33"/>
        <v>97.179630996374954</v>
      </c>
      <c r="BB117" s="294">
        <f t="shared" si="34"/>
        <v>308.96068192994647</v>
      </c>
      <c r="BC117">
        <f t="shared" si="35"/>
        <v>0</v>
      </c>
      <c r="BG117" s="27"/>
      <c r="BH117" s="27"/>
      <c r="BI117" s="219">
        <v>10</v>
      </c>
      <c r="BJ117" s="748">
        <f t="shared" si="40"/>
        <v>50</v>
      </c>
      <c r="BK117" s="746">
        <f t="shared" si="41"/>
        <v>50</v>
      </c>
      <c r="BL117" s="752">
        <f t="shared" si="38"/>
        <v>-62.517969843714454</v>
      </c>
      <c r="BM117" s="180">
        <f t="shared" si="36"/>
        <v>62.517969843714454</v>
      </c>
      <c r="BN117" s="180">
        <f t="shared" si="42"/>
        <v>12.517969843714454</v>
      </c>
      <c r="BO117" s="180" t="b">
        <f t="shared" si="39"/>
        <v>0</v>
      </c>
      <c r="BP117" s="14"/>
      <c r="CR117" s="27"/>
      <c r="CS117" s="27"/>
      <c r="CT117" s="27"/>
      <c r="CU117" s="27"/>
      <c r="CV117" s="27"/>
      <c r="CW117" s="27"/>
    </row>
    <row r="118" spans="1:127" ht="21" customHeight="1" thickBot="1" x14ac:dyDescent="0.5">
      <c r="A118" s="9"/>
      <c r="B118" s="88">
        <v>12</v>
      </c>
      <c r="C118" s="20"/>
      <c r="D118" s="738">
        <v>0</v>
      </c>
      <c r="E118" s="333" t="s">
        <v>72</v>
      </c>
      <c r="F118" s="81">
        <f t="shared" si="15"/>
        <v>0</v>
      </c>
      <c r="G118" s="81">
        <f t="shared" si="44"/>
        <v>0</v>
      </c>
      <c r="H118" s="299">
        <v>190.76</v>
      </c>
      <c r="I118" s="318">
        <v>79.651040199999997</v>
      </c>
      <c r="J118" s="251">
        <f t="shared" si="16"/>
        <v>79.651040199999997</v>
      </c>
      <c r="K118" s="251">
        <f t="shared" si="17"/>
        <v>39.825520099999999</v>
      </c>
      <c r="L118" s="251">
        <f t="shared" si="4"/>
        <v>0.64045183696587837</v>
      </c>
      <c r="M118" s="251">
        <f t="shared" si="5"/>
        <v>122.17259241961095</v>
      </c>
      <c r="N118" s="251">
        <f t="shared" si="6"/>
        <v>244.3451848392219</v>
      </c>
      <c r="O118" s="251">
        <f>+C107+D108+D109+D110+D111+D112+D113+D114+D115+D116+D117+(D118/2)</f>
        <v>0</v>
      </c>
      <c r="P118" s="251">
        <f t="shared" si="7"/>
        <v>0</v>
      </c>
      <c r="Q118" s="251">
        <f t="shared" si="8"/>
        <v>0</v>
      </c>
      <c r="R118" s="251">
        <f t="shared" si="18"/>
        <v>146.5</v>
      </c>
      <c r="S118" s="251">
        <f t="shared" si="37"/>
        <v>146.5</v>
      </c>
      <c r="T118" s="252">
        <f t="shared" si="9"/>
        <v>146.5</v>
      </c>
      <c r="U118" s="244"/>
      <c r="V118" s="282">
        <f t="shared" si="10"/>
        <v>0</v>
      </c>
      <c r="W118" s="282"/>
      <c r="X118" s="282"/>
      <c r="Y118" s="282"/>
      <c r="Z118" s="282"/>
      <c r="AA118" s="282"/>
      <c r="AB118" s="300" t="str">
        <f t="shared" si="45"/>
        <v xml:space="preserve"> </v>
      </c>
      <c r="AC118" s="457" t="b">
        <f>IF(AD118=12,AF118)</f>
        <v>0</v>
      </c>
      <c r="AD118" s="457">
        <f t="shared" si="19"/>
        <v>1</v>
      </c>
      <c r="AE118" s="457">
        <f>IF(V118=0,0,12)</f>
        <v>0</v>
      </c>
      <c r="AF118" s="282">
        <f>SUM(V118:V130)/($B$104-B117)</f>
        <v>0</v>
      </c>
      <c r="AG118" s="282"/>
      <c r="AH118" s="301">
        <f>SUM(D108:D118)+$C$107</f>
        <v>0</v>
      </c>
      <c r="AI118" s="399" t="b">
        <f t="shared" si="20"/>
        <v>0</v>
      </c>
      <c r="AJ118" s="173">
        <f t="shared" si="21"/>
        <v>69.344714800000006</v>
      </c>
      <c r="AK118" s="284">
        <f t="shared" si="12"/>
        <v>0.93571960494171247</v>
      </c>
      <c r="AL118" s="174">
        <f t="shared" si="22"/>
        <v>180.0511663828843</v>
      </c>
      <c r="AM118" s="173">
        <f t="shared" si="23"/>
        <v>50.174479900000001</v>
      </c>
      <c r="AN118" s="285">
        <f t="shared" si="24"/>
        <v>0.76799833627881664</v>
      </c>
      <c r="AO118" s="174">
        <f t="shared" si="25"/>
        <v>146.50336262854705</v>
      </c>
      <c r="AP118" s="404">
        <f t="shared" si="26"/>
        <v>-207.24662375077205</v>
      </c>
      <c r="AQ118" s="174">
        <f t="shared" si="27"/>
        <v>-255</v>
      </c>
      <c r="AR118" s="287">
        <f t="shared" si="28"/>
        <v>-112.5</v>
      </c>
      <c r="AS118" s="288">
        <f t="shared" si="29"/>
        <v>326.55452901143133</v>
      </c>
      <c r="AT118" s="289">
        <f t="shared" si="43"/>
        <v>-146.50336262854705</v>
      </c>
      <c r="AU118" s="290">
        <f t="shared" si="30"/>
        <v>-60.743261122224993</v>
      </c>
      <c r="AV118" s="289"/>
      <c r="AW118" s="291">
        <f t="shared" si="31"/>
        <v>-133.42641892592187</v>
      </c>
      <c r="AX118" s="291">
        <f t="shared" si="32"/>
        <v>20.926418925921848</v>
      </c>
      <c r="AY118" s="292">
        <f t="shared" si="13"/>
        <v>-86.939304025241825</v>
      </c>
      <c r="AZ118" s="292">
        <f t="shared" si="14"/>
        <v>477.86484803727501</v>
      </c>
      <c r="BA118" s="294">
        <f t="shared" si="33"/>
        <v>86.939304025241825</v>
      </c>
      <c r="BB118" s="294">
        <f t="shared" si="34"/>
        <v>477.86484803727501</v>
      </c>
      <c r="BC118">
        <f t="shared" si="35"/>
        <v>0</v>
      </c>
      <c r="BG118" s="27"/>
      <c r="BH118" s="27"/>
      <c r="BI118" s="219">
        <v>11</v>
      </c>
      <c r="BJ118" s="748">
        <f t="shared" si="40"/>
        <v>100</v>
      </c>
      <c r="BK118" s="746">
        <f t="shared" si="41"/>
        <v>100</v>
      </c>
      <c r="BL118" s="752">
        <f t="shared" si="38"/>
        <v>-12.517969843714454</v>
      </c>
      <c r="BM118" s="180">
        <f t="shared" si="36"/>
        <v>12.517969843714454</v>
      </c>
      <c r="BN118" s="180">
        <f t="shared" si="42"/>
        <v>12.517969843714454</v>
      </c>
      <c r="BO118" s="180">
        <f t="shared" si="39"/>
        <v>11</v>
      </c>
      <c r="BP118" s="14"/>
      <c r="CR118" s="27"/>
      <c r="CS118" s="27"/>
      <c r="CT118" s="27"/>
      <c r="CU118" s="27"/>
      <c r="CV118" s="27"/>
      <c r="CW118" s="27"/>
    </row>
    <row r="119" spans="1:127" ht="21" customHeight="1" thickBot="1" x14ac:dyDescent="0.5">
      <c r="B119" s="88">
        <v>13</v>
      </c>
      <c r="C119" s="20"/>
      <c r="D119" s="738">
        <v>0</v>
      </c>
      <c r="E119" s="333" t="s">
        <v>72</v>
      </c>
      <c r="F119" s="81">
        <f t="shared" si="15"/>
        <v>0</v>
      </c>
      <c r="G119" s="81">
        <f t="shared" si="44"/>
        <v>0</v>
      </c>
      <c r="H119" s="299">
        <v>190.76</v>
      </c>
      <c r="I119" s="318">
        <v>79.651040199999997</v>
      </c>
      <c r="J119" s="251">
        <f t="shared" si="16"/>
        <v>79.651040199999997</v>
      </c>
      <c r="K119" s="251">
        <f t="shared" si="17"/>
        <v>39.825520099999999</v>
      </c>
      <c r="L119" s="251">
        <f t="shared" si="4"/>
        <v>0.64045183696587837</v>
      </c>
      <c r="M119" s="251">
        <f t="shared" si="5"/>
        <v>122.17259241961095</v>
      </c>
      <c r="N119" s="251">
        <f t="shared" si="6"/>
        <v>244.3451848392219</v>
      </c>
      <c r="O119" s="251">
        <f>+C107+D108+D109+D110+D111+D112+D113+D114+D115+D116+D117+D118+(D119/2)</f>
        <v>0</v>
      </c>
      <c r="P119" s="251">
        <f t="shared" si="7"/>
        <v>0</v>
      </c>
      <c r="Q119" s="251">
        <f t="shared" si="8"/>
        <v>0</v>
      </c>
      <c r="R119" s="251">
        <f t="shared" si="18"/>
        <v>146.5</v>
      </c>
      <c r="S119" s="251">
        <f t="shared" si="37"/>
        <v>146.5</v>
      </c>
      <c r="T119" s="252">
        <f t="shared" si="9"/>
        <v>146.5</v>
      </c>
      <c r="U119" s="244"/>
      <c r="V119" s="282">
        <f t="shared" si="10"/>
        <v>0</v>
      </c>
      <c r="W119" s="282"/>
      <c r="X119" s="282"/>
      <c r="Y119" s="282"/>
      <c r="Z119" s="282"/>
      <c r="AA119" s="282"/>
      <c r="AB119" s="300" t="str">
        <f t="shared" si="45"/>
        <v xml:space="preserve"> </v>
      </c>
      <c r="AC119" s="457" t="b">
        <f>IF(AD119=13,AF119)</f>
        <v>0</v>
      </c>
      <c r="AD119" s="457">
        <f t="shared" si="19"/>
        <v>1</v>
      </c>
      <c r="AE119" s="457">
        <f>IF(V119=0,0,13)</f>
        <v>0</v>
      </c>
      <c r="AF119" s="282">
        <f>SUM(V119:V130)/($B$104-B118)</f>
        <v>0</v>
      </c>
      <c r="AG119" s="282"/>
      <c r="AH119" s="301">
        <f>SUM(D108:D119)+$C$107</f>
        <v>0</v>
      </c>
      <c r="AI119" s="399" t="b">
        <f t="shared" si="20"/>
        <v>0</v>
      </c>
      <c r="AJ119" s="173">
        <f t="shared" si="21"/>
        <v>69.344714800000006</v>
      </c>
      <c r="AK119" s="284">
        <f t="shared" si="12"/>
        <v>0.93571960494171247</v>
      </c>
      <c r="AL119" s="174">
        <f t="shared" si="22"/>
        <v>180.0511663828843</v>
      </c>
      <c r="AM119" s="173">
        <f t="shared" si="23"/>
        <v>50.174479900000001</v>
      </c>
      <c r="AN119" s="285">
        <f t="shared" si="24"/>
        <v>0.76799833627881664</v>
      </c>
      <c r="AO119" s="174">
        <f t="shared" si="25"/>
        <v>146.50336262854705</v>
      </c>
      <c r="AP119" s="404">
        <f t="shared" si="26"/>
        <v>-168.95105197073809</v>
      </c>
      <c r="AQ119" s="174">
        <f t="shared" si="27"/>
        <v>-280.5</v>
      </c>
      <c r="AR119" s="287">
        <f t="shared" si="28"/>
        <v>-138</v>
      </c>
      <c r="AS119" s="288">
        <f t="shared" si="29"/>
        <v>326.55452901143133</v>
      </c>
      <c r="AT119" s="289">
        <f t="shared" si="43"/>
        <v>-146.50336262854705</v>
      </c>
      <c r="AU119" s="290">
        <f t="shared" si="30"/>
        <v>-22.44768934219104</v>
      </c>
      <c r="AV119" s="289"/>
      <c r="AW119" s="291">
        <f t="shared" si="31"/>
        <v>-147.48625988621313</v>
      </c>
      <c r="AX119" s="291">
        <f t="shared" si="32"/>
        <v>9.4862598862131318</v>
      </c>
      <c r="AY119" s="292">
        <f t="shared" si="13"/>
        <v>-78.651394434637481</v>
      </c>
      <c r="AZ119" s="292">
        <f t="shared" si="14"/>
        <v>1054.1562343799492</v>
      </c>
      <c r="BA119" s="294">
        <f t="shared" si="33"/>
        <v>78.651394434637481</v>
      </c>
      <c r="BB119" s="294">
        <f t="shared" si="34"/>
        <v>1054.1562343799492</v>
      </c>
      <c r="BC119">
        <f t="shared" si="35"/>
        <v>0</v>
      </c>
      <c r="BG119" s="27"/>
      <c r="BH119" s="27"/>
      <c r="BI119" s="219">
        <v>12</v>
      </c>
      <c r="BJ119" s="748">
        <f t="shared" si="40"/>
        <v>150</v>
      </c>
      <c r="BK119" s="746">
        <f t="shared" si="41"/>
        <v>150</v>
      </c>
      <c r="BL119" s="752">
        <f t="shared" si="38"/>
        <v>37.482030156285546</v>
      </c>
      <c r="BM119" s="180">
        <f t="shared" si="36"/>
        <v>37.482030156285546</v>
      </c>
      <c r="BN119" s="180">
        <f t="shared" si="42"/>
        <v>12.517969843714454</v>
      </c>
      <c r="BO119" s="180" t="b">
        <f t="shared" si="39"/>
        <v>0</v>
      </c>
      <c r="BP119" s="14"/>
      <c r="CR119" s="27"/>
      <c r="CS119" s="27"/>
      <c r="CT119" s="27"/>
      <c r="CU119" s="27"/>
      <c r="CV119" s="27"/>
      <c r="CW119" s="27"/>
    </row>
    <row r="120" spans="1:127" ht="21" customHeight="1" thickBot="1" x14ac:dyDescent="0.5">
      <c r="B120" s="88">
        <v>14</v>
      </c>
      <c r="C120" s="20"/>
      <c r="D120" s="738">
        <v>0</v>
      </c>
      <c r="E120" s="333" t="s">
        <v>72</v>
      </c>
      <c r="F120" s="81">
        <f t="shared" si="15"/>
        <v>0.3</v>
      </c>
      <c r="G120" s="81">
        <f t="shared" si="44"/>
        <v>0.3</v>
      </c>
      <c r="H120" s="299">
        <v>190.76</v>
      </c>
      <c r="I120" s="318">
        <v>79.651040199999997</v>
      </c>
      <c r="J120" s="251">
        <f t="shared" si="16"/>
        <v>79.651040199999997</v>
      </c>
      <c r="K120" s="251">
        <f t="shared" si="17"/>
        <v>39.825520099999999</v>
      </c>
      <c r="L120" s="251">
        <f t="shared" si="4"/>
        <v>0.64045183696587837</v>
      </c>
      <c r="M120" s="251">
        <f t="shared" si="5"/>
        <v>122.17259241961095</v>
      </c>
      <c r="N120" s="251">
        <f t="shared" si="6"/>
        <v>244.3451848392219</v>
      </c>
      <c r="O120" s="251">
        <f>+C107+D108+D109+D110+D111+D112+D113+D114+D115+D116+D117+D118+D119+(D120/2)</f>
        <v>0</v>
      </c>
      <c r="P120" s="251">
        <f t="shared" si="7"/>
        <v>0</v>
      </c>
      <c r="Q120" s="251">
        <f t="shared" si="8"/>
        <v>0</v>
      </c>
      <c r="R120" s="251">
        <f t="shared" si="18"/>
        <v>146.5</v>
      </c>
      <c r="S120" s="251">
        <f t="shared" si="37"/>
        <v>146.5</v>
      </c>
      <c r="T120" s="252">
        <f t="shared" si="9"/>
        <v>146.5</v>
      </c>
      <c r="U120" s="244"/>
      <c r="V120" s="282">
        <f t="shared" si="10"/>
        <v>0</v>
      </c>
      <c r="W120" s="282"/>
      <c r="X120" s="282"/>
      <c r="Y120" s="282"/>
      <c r="Z120" s="282"/>
      <c r="AA120" s="282"/>
      <c r="AB120" s="300" t="str">
        <f t="shared" si="45"/>
        <v>pin in groundstacking hole</v>
      </c>
      <c r="AC120" s="457" t="b">
        <f>IF(AD120=14,AF120)</f>
        <v>0</v>
      </c>
      <c r="AD120" s="457">
        <f t="shared" si="19"/>
        <v>1</v>
      </c>
      <c r="AE120" s="457">
        <f>IF(V120=0,0,14)</f>
        <v>0</v>
      </c>
      <c r="AF120" s="282">
        <f>SUM(V120:V130)/($B$104-B119)</f>
        <v>0</v>
      </c>
      <c r="AG120" s="282"/>
      <c r="AH120" s="301">
        <f>SUM(D108:D120)+$C$107</f>
        <v>0</v>
      </c>
      <c r="AI120" s="399" t="b">
        <f t="shared" si="20"/>
        <v>0</v>
      </c>
      <c r="AJ120" s="173">
        <f t="shared" si="21"/>
        <v>69.344714800000006</v>
      </c>
      <c r="AK120" s="284">
        <f t="shared" si="12"/>
        <v>0.93571960494171247</v>
      </c>
      <c r="AL120" s="174">
        <f t="shared" si="22"/>
        <v>180.0511663828843</v>
      </c>
      <c r="AM120" s="173">
        <f t="shared" si="23"/>
        <v>50.174479900000001</v>
      </c>
      <c r="AN120" s="285">
        <f t="shared" si="24"/>
        <v>0.76799833627881664</v>
      </c>
      <c r="AO120" s="174">
        <f t="shared" si="25"/>
        <v>146.50336262854705</v>
      </c>
      <c r="AP120" s="404">
        <f t="shared" si="26"/>
        <v>-142.60088790190736</v>
      </c>
      <c r="AQ120" s="174">
        <f t="shared" si="27"/>
        <v>-306</v>
      </c>
      <c r="AR120" s="287">
        <f t="shared" si="28"/>
        <v>-163.5</v>
      </c>
      <c r="AS120" s="288">
        <f t="shared" si="29"/>
        <v>326.55452901143133</v>
      </c>
      <c r="AT120" s="289">
        <f t="shared" si="43"/>
        <v>-146.50336262854705</v>
      </c>
      <c r="AU120" s="290">
        <f t="shared" si="30"/>
        <v>3.9024747266396957</v>
      </c>
      <c r="AV120" s="289"/>
      <c r="AW120" s="291">
        <f t="shared" si="31"/>
        <v>-161.5461008465044</v>
      </c>
      <c r="AX120" s="291">
        <f t="shared" si="32"/>
        <v>-1.9538991534956007</v>
      </c>
      <c r="AY120" s="292">
        <f t="shared" si="13"/>
        <v>-71.806128029186695</v>
      </c>
      <c r="AZ120" s="292">
        <f t="shared" si="14"/>
        <v>-5117.9714071269318</v>
      </c>
      <c r="BA120" s="294">
        <f t="shared" si="33"/>
        <v>71.806128029186695</v>
      </c>
      <c r="BB120" s="294">
        <f t="shared" si="34"/>
        <v>5117.9714071269318</v>
      </c>
      <c r="BC120">
        <f t="shared" si="35"/>
        <v>0.3</v>
      </c>
      <c r="BG120" s="27"/>
      <c r="BH120" s="27"/>
      <c r="BI120" s="219">
        <v>13</v>
      </c>
      <c r="BJ120" s="748">
        <f t="shared" si="40"/>
        <v>200</v>
      </c>
      <c r="BK120" s="746">
        <f t="shared" si="41"/>
        <v>200</v>
      </c>
      <c r="BL120" s="752">
        <f t="shared" si="38"/>
        <v>87.482030156285546</v>
      </c>
      <c r="BM120" s="180">
        <f t="shared" si="36"/>
        <v>87.482030156285546</v>
      </c>
      <c r="BN120" s="180">
        <f t="shared" si="42"/>
        <v>12.517969843714454</v>
      </c>
      <c r="BO120" s="180" t="b">
        <f t="shared" si="39"/>
        <v>0</v>
      </c>
      <c r="BP120" s="14"/>
      <c r="CR120" s="27"/>
      <c r="CS120" s="27"/>
      <c r="CT120" s="27"/>
      <c r="CU120" s="27"/>
      <c r="CV120" s="27"/>
      <c r="CW120" s="27"/>
    </row>
    <row r="121" spans="1:127" ht="21" customHeight="1" thickBot="1" x14ac:dyDescent="0.5">
      <c r="B121" s="88">
        <v>15</v>
      </c>
      <c r="C121" s="20"/>
      <c r="D121" s="738">
        <v>0</v>
      </c>
      <c r="E121" s="333" t="s">
        <v>72</v>
      </c>
      <c r="F121" s="81">
        <f t="shared" si="15"/>
        <v>0.3</v>
      </c>
      <c r="G121" s="81">
        <f t="shared" si="44"/>
        <v>0.3</v>
      </c>
      <c r="H121" s="299">
        <v>190.76</v>
      </c>
      <c r="I121" s="318">
        <v>79.651040199999997</v>
      </c>
      <c r="J121" s="251">
        <f t="shared" si="16"/>
        <v>79.651040199999997</v>
      </c>
      <c r="K121" s="251">
        <f t="shared" si="17"/>
        <v>39.825520099999999</v>
      </c>
      <c r="L121" s="251">
        <f t="shared" si="4"/>
        <v>0.64045183696587837</v>
      </c>
      <c r="M121" s="251">
        <f t="shared" si="5"/>
        <v>122.17259241961095</v>
      </c>
      <c r="N121" s="251">
        <f t="shared" si="6"/>
        <v>244.3451848392219</v>
      </c>
      <c r="O121" s="251">
        <f>+C107+D108+D109+D110+D111+D112+D113+D114+D115+D116+D117+D118+D119+D120+(D121/2)</f>
        <v>0</v>
      </c>
      <c r="P121" s="251">
        <f t="shared" si="7"/>
        <v>0</v>
      </c>
      <c r="Q121" s="251">
        <f t="shared" si="8"/>
        <v>0</v>
      </c>
      <c r="R121" s="251">
        <f t="shared" si="18"/>
        <v>146.5</v>
      </c>
      <c r="S121" s="251">
        <f t="shared" si="37"/>
        <v>146.5</v>
      </c>
      <c r="T121" s="252">
        <f t="shared" si="9"/>
        <v>146.5</v>
      </c>
      <c r="U121" s="244"/>
      <c r="V121" s="282">
        <f t="shared" si="10"/>
        <v>0</v>
      </c>
      <c r="W121" s="282"/>
      <c r="X121" s="282"/>
      <c r="Y121" s="282"/>
      <c r="Z121" s="282"/>
      <c r="AA121" s="282"/>
      <c r="AB121" s="300" t="str">
        <f t="shared" si="45"/>
        <v>pin in groundstacking hole</v>
      </c>
      <c r="AC121" s="457" t="b">
        <f>IF(AD121=15,AF121)</f>
        <v>0</v>
      </c>
      <c r="AD121" s="457">
        <f t="shared" si="19"/>
        <v>1</v>
      </c>
      <c r="AE121" s="457">
        <f>IF(V121=0,0,15)</f>
        <v>0</v>
      </c>
      <c r="AF121" s="282">
        <f>SUM(V121:V130)/($B$104-B120)</f>
        <v>0</v>
      </c>
      <c r="AG121" s="282"/>
      <c r="AH121" s="301">
        <f>SUM(D108:D121)+$C$107</f>
        <v>0</v>
      </c>
      <c r="AI121" s="399" t="b">
        <f t="shared" si="20"/>
        <v>0</v>
      </c>
      <c r="AJ121" s="173">
        <f t="shared" si="21"/>
        <v>69.344714800000006</v>
      </c>
      <c r="AK121" s="284">
        <f t="shared" si="12"/>
        <v>0.93571960494171247</v>
      </c>
      <c r="AL121" s="174">
        <f t="shared" si="22"/>
        <v>180.0511663828843</v>
      </c>
      <c r="AM121" s="173">
        <f t="shared" si="23"/>
        <v>50.174479900000001</v>
      </c>
      <c r="AN121" s="285">
        <f t="shared" si="24"/>
        <v>0.76799833627881664</v>
      </c>
      <c r="AO121" s="174">
        <f t="shared" si="25"/>
        <v>146.50336262854705</v>
      </c>
      <c r="AP121" s="404">
        <f t="shared" si="26"/>
        <v>-123.36108556593574</v>
      </c>
      <c r="AQ121" s="174">
        <f t="shared" si="27"/>
        <v>-331.5</v>
      </c>
      <c r="AR121" s="287">
        <f t="shared" si="28"/>
        <v>-189</v>
      </c>
      <c r="AS121" s="288">
        <f t="shared" si="29"/>
        <v>326.55452901143133</v>
      </c>
      <c r="AT121" s="289">
        <f t="shared" si="43"/>
        <v>-146.50336262854705</v>
      </c>
      <c r="AU121" s="290">
        <f t="shared" si="30"/>
        <v>23.142277062611313</v>
      </c>
      <c r="AV121" s="289"/>
      <c r="AW121" s="291">
        <f t="shared" si="31"/>
        <v>-175.6059418067957</v>
      </c>
      <c r="AX121" s="291">
        <f t="shared" si="32"/>
        <v>-13.394058193204316</v>
      </c>
      <c r="AY121" s="292">
        <f t="shared" si="13"/>
        <v>-66.056990331013367</v>
      </c>
      <c r="AZ121" s="292">
        <f t="shared" si="14"/>
        <v>-746.59971277963064</v>
      </c>
      <c r="BA121" s="294">
        <f t="shared" si="33"/>
        <v>66.056990331013367</v>
      </c>
      <c r="BB121" s="294">
        <f t="shared" si="34"/>
        <v>746.59971277963064</v>
      </c>
      <c r="BC121">
        <f t="shared" si="35"/>
        <v>0.3</v>
      </c>
      <c r="BG121" s="27"/>
      <c r="BH121" s="27"/>
      <c r="BI121" s="219">
        <v>14</v>
      </c>
      <c r="BJ121" s="748">
        <f t="shared" si="40"/>
        <v>250</v>
      </c>
      <c r="BK121" s="746">
        <f t="shared" si="41"/>
        <v>250</v>
      </c>
      <c r="BL121" s="752">
        <f t="shared" si="38"/>
        <v>137.48203015628553</v>
      </c>
      <c r="BM121" s="180">
        <f t="shared" si="36"/>
        <v>137.48203015628553</v>
      </c>
      <c r="BN121" s="180">
        <f t="shared" si="42"/>
        <v>12.517969843714454</v>
      </c>
      <c r="BO121" s="180" t="b">
        <f t="shared" si="39"/>
        <v>0</v>
      </c>
      <c r="BP121" s="14"/>
      <c r="CR121" s="27"/>
      <c r="CS121" s="27"/>
      <c r="CT121" s="27"/>
      <c r="CU121" s="27"/>
      <c r="CV121" s="27"/>
    </row>
    <row r="122" spans="1:127" ht="21" customHeight="1" thickBot="1" x14ac:dyDescent="0.5">
      <c r="B122" s="88">
        <v>16</v>
      </c>
      <c r="C122" s="20"/>
      <c r="D122" s="738">
        <v>0</v>
      </c>
      <c r="E122" s="333" t="s">
        <v>72</v>
      </c>
      <c r="F122" s="81">
        <f t="shared" si="15"/>
        <v>0.3</v>
      </c>
      <c r="G122" s="81">
        <f t="shared" si="44"/>
        <v>0.3</v>
      </c>
      <c r="H122" s="299">
        <v>190.76</v>
      </c>
      <c r="I122" s="318">
        <v>79.651040199999997</v>
      </c>
      <c r="J122" s="251">
        <f t="shared" si="16"/>
        <v>79.651040199999997</v>
      </c>
      <c r="K122" s="251">
        <f t="shared" si="17"/>
        <v>39.825520099999999</v>
      </c>
      <c r="L122" s="251">
        <f t="shared" si="4"/>
        <v>0.64045183696587837</v>
      </c>
      <c r="M122" s="251">
        <f t="shared" si="5"/>
        <v>122.17259241961095</v>
      </c>
      <c r="N122" s="251">
        <f t="shared" si="6"/>
        <v>244.3451848392219</v>
      </c>
      <c r="O122" s="251">
        <f>+C107+D108+D109+D110+D111+D112+D113+D114+D115+D116+D117+D118+D119+D120+D121+(D122/2)</f>
        <v>0</v>
      </c>
      <c r="P122" s="251">
        <f t="shared" si="7"/>
        <v>0</v>
      </c>
      <c r="Q122" s="251">
        <f t="shared" si="8"/>
        <v>0</v>
      </c>
      <c r="R122" s="251">
        <f t="shared" si="18"/>
        <v>146.5</v>
      </c>
      <c r="S122" s="251">
        <f t="shared" si="37"/>
        <v>146.5</v>
      </c>
      <c r="T122" s="252">
        <f t="shared" si="9"/>
        <v>146.5</v>
      </c>
      <c r="U122" s="244"/>
      <c r="V122" s="282">
        <f t="shared" si="10"/>
        <v>0</v>
      </c>
      <c r="W122" s="282"/>
      <c r="X122" s="282"/>
      <c r="Y122" s="282"/>
      <c r="Z122" s="282"/>
      <c r="AA122" s="282"/>
      <c r="AB122" s="300" t="str">
        <f t="shared" si="45"/>
        <v>pin in groundstacking hole</v>
      </c>
      <c r="AC122" s="457" t="b">
        <f>IF(AD122=16,AF122)</f>
        <v>0</v>
      </c>
      <c r="AD122" s="457">
        <f t="shared" si="19"/>
        <v>1</v>
      </c>
      <c r="AE122" s="457">
        <f>IF(V122=0,0,16)</f>
        <v>0</v>
      </c>
      <c r="AF122" s="282">
        <f>SUM(V122:V130)/($B$104-B121)</f>
        <v>0</v>
      </c>
      <c r="AG122" s="282"/>
      <c r="AH122" s="301">
        <f>SUM(D108:D122)+$C$107</f>
        <v>0</v>
      </c>
      <c r="AI122" s="399" t="b">
        <f t="shared" si="20"/>
        <v>0</v>
      </c>
      <c r="AJ122" s="173">
        <f t="shared" si="21"/>
        <v>69.344714800000006</v>
      </c>
      <c r="AK122" s="284">
        <f t="shared" si="12"/>
        <v>0.93571960494171247</v>
      </c>
      <c r="AL122" s="174">
        <f t="shared" si="22"/>
        <v>180.0511663828843</v>
      </c>
      <c r="AM122" s="173">
        <f t="shared" si="23"/>
        <v>50.174479900000001</v>
      </c>
      <c r="AN122" s="285">
        <f t="shared" si="24"/>
        <v>0.76799833627881664</v>
      </c>
      <c r="AO122" s="174">
        <f t="shared" si="25"/>
        <v>146.50336262854705</v>
      </c>
      <c r="AP122" s="404">
        <f t="shared" si="26"/>
        <v>-108.69578168746786</v>
      </c>
      <c r="AQ122" s="174">
        <f t="shared" si="27"/>
        <v>-357</v>
      </c>
      <c r="AR122" s="287">
        <f t="shared" si="28"/>
        <v>-214.5</v>
      </c>
      <c r="AS122" s="288">
        <f t="shared" si="29"/>
        <v>326.55452901143133</v>
      </c>
      <c r="AT122" s="289">
        <f t="shared" si="43"/>
        <v>-146.50336262854705</v>
      </c>
      <c r="AU122" s="290">
        <f t="shared" si="30"/>
        <v>37.807580941079195</v>
      </c>
      <c r="AV122" s="289"/>
      <c r="AW122" s="291">
        <f t="shared" si="31"/>
        <v>-189.66578276708694</v>
      </c>
      <c r="AX122" s="291">
        <f t="shared" si="32"/>
        <v>-24.834217232913034</v>
      </c>
      <c r="AY122" s="292">
        <f t="shared" si="13"/>
        <v>-61.160214724893279</v>
      </c>
      <c r="AZ122" s="292">
        <f t="shared" si="14"/>
        <v>-402.67023140745107</v>
      </c>
      <c r="BA122" s="294">
        <f t="shared" si="33"/>
        <v>61.160214724893279</v>
      </c>
      <c r="BB122" s="294">
        <f t="shared" si="34"/>
        <v>402.67023140745107</v>
      </c>
      <c r="BC122">
        <f t="shared" si="35"/>
        <v>0.3</v>
      </c>
      <c r="BG122" s="27"/>
      <c r="BH122" s="27"/>
      <c r="BI122" s="219">
        <v>15</v>
      </c>
      <c r="BJ122" s="748">
        <f t="shared" si="40"/>
        <v>300</v>
      </c>
      <c r="BK122" s="746">
        <f t="shared" si="41"/>
        <v>300</v>
      </c>
      <c r="BL122" s="752">
        <f t="shared" si="38"/>
        <v>187.48203015628553</v>
      </c>
      <c r="BM122" s="180">
        <f t="shared" si="36"/>
        <v>187.48203015628553</v>
      </c>
      <c r="BN122" s="180">
        <f t="shared" si="42"/>
        <v>12.517969843714454</v>
      </c>
      <c r="BO122" s="180" t="b">
        <f t="shared" si="39"/>
        <v>0</v>
      </c>
      <c r="BP122" s="14"/>
      <c r="CR122" s="27"/>
      <c r="CS122" s="27"/>
      <c r="CT122" s="27"/>
      <c r="CU122" s="27"/>
      <c r="CV122" s="27"/>
      <c r="CW122" s="63"/>
    </row>
    <row r="123" spans="1:127" ht="21" customHeight="1" thickBot="1" x14ac:dyDescent="0.5">
      <c r="B123" s="88">
        <v>17</v>
      </c>
      <c r="C123" s="20"/>
      <c r="D123" s="738">
        <v>0</v>
      </c>
      <c r="E123" s="333" t="s">
        <v>72</v>
      </c>
      <c r="F123" s="81">
        <f t="shared" si="15"/>
        <v>0.3</v>
      </c>
      <c r="G123" s="81">
        <f t="shared" si="44"/>
        <v>0.3</v>
      </c>
      <c r="H123" s="299">
        <v>190.76</v>
      </c>
      <c r="I123" s="318">
        <v>79.651040199999997</v>
      </c>
      <c r="J123" s="251">
        <f t="shared" si="16"/>
        <v>79.651040199999997</v>
      </c>
      <c r="K123" s="251">
        <f t="shared" si="17"/>
        <v>39.825520099999999</v>
      </c>
      <c r="L123" s="251">
        <f t="shared" si="4"/>
        <v>0.64045183696587837</v>
      </c>
      <c r="M123" s="251">
        <f t="shared" si="5"/>
        <v>122.17259241961095</v>
      </c>
      <c r="N123" s="251">
        <f t="shared" si="6"/>
        <v>244.3451848392219</v>
      </c>
      <c r="O123" s="251">
        <f>+C107+D108+D109+D110+D111+D112+D113+D114+D115+D116+D117+D118+D119+D120+D121+D122+(D123/2)</f>
        <v>0</v>
      </c>
      <c r="P123" s="251">
        <f t="shared" si="7"/>
        <v>0</v>
      </c>
      <c r="Q123" s="251">
        <f t="shared" si="8"/>
        <v>0</v>
      </c>
      <c r="R123" s="251">
        <f t="shared" si="18"/>
        <v>146.5</v>
      </c>
      <c r="S123" s="251">
        <f t="shared" si="37"/>
        <v>146.5</v>
      </c>
      <c r="T123" s="252">
        <f t="shared" si="9"/>
        <v>146.5</v>
      </c>
      <c r="U123" s="244"/>
      <c r="V123" s="282">
        <f t="shared" si="10"/>
        <v>0</v>
      </c>
      <c r="W123" s="282"/>
      <c r="X123" s="282"/>
      <c r="Y123" s="282"/>
      <c r="Z123" s="282"/>
      <c r="AA123" s="282"/>
      <c r="AB123" s="300" t="str">
        <f t="shared" si="45"/>
        <v>pin in groundstacking hole</v>
      </c>
      <c r="AC123" s="457" t="b">
        <f>IF(AD123=17,AF123)</f>
        <v>0</v>
      </c>
      <c r="AD123" s="457">
        <f t="shared" si="19"/>
        <v>1</v>
      </c>
      <c r="AE123" s="457">
        <f>IF(V123=0,0,17)</f>
        <v>0</v>
      </c>
      <c r="AF123" s="282">
        <f>SUM(V123:V130)/($B$104-B122)</f>
        <v>0</v>
      </c>
      <c r="AG123" s="282"/>
      <c r="AH123" s="301">
        <f>SUM(D108:D123)+$C$107</f>
        <v>0</v>
      </c>
      <c r="AI123" s="399" t="b">
        <f t="shared" si="20"/>
        <v>0</v>
      </c>
      <c r="AJ123" s="173">
        <f t="shared" si="21"/>
        <v>69.344714800000006</v>
      </c>
      <c r="AK123" s="284">
        <f t="shared" si="12"/>
        <v>0.93571960494171247</v>
      </c>
      <c r="AL123" s="174">
        <f t="shared" si="22"/>
        <v>180.0511663828843</v>
      </c>
      <c r="AM123" s="173">
        <f t="shared" si="23"/>
        <v>50.174479900000001</v>
      </c>
      <c r="AN123" s="285">
        <f t="shared" si="24"/>
        <v>0.76799833627881664</v>
      </c>
      <c r="AO123" s="174">
        <f t="shared" si="25"/>
        <v>146.50336262854705</v>
      </c>
      <c r="AP123" s="404">
        <f t="shared" si="26"/>
        <v>-97.146854883174399</v>
      </c>
      <c r="AQ123" s="174">
        <f t="shared" si="27"/>
        <v>-382.5</v>
      </c>
      <c r="AR123" s="287">
        <f t="shared" si="28"/>
        <v>-240</v>
      </c>
      <c r="AS123" s="288">
        <f t="shared" si="29"/>
        <v>326.55452901143133</v>
      </c>
      <c r="AT123" s="289">
        <f t="shared" si="43"/>
        <v>-146.50336262854705</v>
      </c>
      <c r="AU123" s="290">
        <f t="shared" si="30"/>
        <v>49.356507745372653</v>
      </c>
      <c r="AV123" s="289"/>
      <c r="AW123" s="291">
        <f t="shared" si="31"/>
        <v>-203.72562372737826</v>
      </c>
      <c r="AX123" s="291">
        <f t="shared" si="32"/>
        <v>-36.274376272621758</v>
      </c>
      <c r="AY123" s="292">
        <f t="shared" si="13"/>
        <v>-56.939327453098869</v>
      </c>
      <c r="AZ123" s="292">
        <f t="shared" si="14"/>
        <v>-275.67669047827411</v>
      </c>
      <c r="BA123" s="294">
        <f t="shared" si="33"/>
        <v>56.939327453098869</v>
      </c>
      <c r="BB123" s="294">
        <f t="shared" si="34"/>
        <v>275.67669047827411</v>
      </c>
      <c r="BC123">
        <f t="shared" si="35"/>
        <v>0.3</v>
      </c>
      <c r="BG123" s="27"/>
      <c r="BH123" s="27"/>
      <c r="BI123" s="219">
        <v>16</v>
      </c>
      <c r="BJ123" s="748">
        <f t="shared" si="40"/>
        <v>350</v>
      </c>
      <c r="BK123" s="746">
        <f t="shared" si="41"/>
        <v>350</v>
      </c>
      <c r="BL123" s="752">
        <f t="shared" si="38"/>
        <v>237.48203015628553</v>
      </c>
      <c r="BM123" s="180">
        <f t="shared" si="36"/>
        <v>237.48203015628553</v>
      </c>
      <c r="BN123" s="180">
        <f t="shared" si="42"/>
        <v>12.517969843714454</v>
      </c>
      <c r="BO123" s="180" t="b">
        <f t="shared" si="39"/>
        <v>0</v>
      </c>
      <c r="BP123" s="14"/>
      <c r="CR123" s="27"/>
      <c r="CS123" s="27"/>
      <c r="CT123" s="27"/>
      <c r="CU123" s="27"/>
      <c r="CV123" s="27"/>
      <c r="CW123" s="27"/>
      <c r="CX123" s="27"/>
      <c r="CY123" s="10"/>
      <c r="CZ123" s="10"/>
      <c r="DA123" s="10"/>
      <c r="DB123" s="10"/>
      <c r="DC123" s="10"/>
      <c r="DD123" s="10"/>
      <c r="DE123" s="49"/>
      <c r="DF123" s="49"/>
      <c r="DG123" s="49"/>
      <c r="DH123" s="49"/>
      <c r="DI123" s="49"/>
      <c r="DJ123" s="49"/>
      <c r="DK123" s="49"/>
      <c r="DL123" s="49"/>
      <c r="DM123" s="49"/>
      <c r="DN123" s="49"/>
      <c r="DO123" s="49"/>
      <c r="DP123" s="49"/>
      <c r="DQ123" s="49"/>
      <c r="DR123" s="49"/>
      <c r="DS123" s="7"/>
    </row>
    <row r="124" spans="1:127" ht="21" customHeight="1" thickBot="1" x14ac:dyDescent="0.5">
      <c r="B124" s="88">
        <v>18</v>
      </c>
      <c r="C124" s="20"/>
      <c r="D124" s="738">
        <v>0</v>
      </c>
      <c r="E124" s="333" t="s">
        <v>72</v>
      </c>
      <c r="F124" s="81">
        <f t="shared" si="15"/>
        <v>0.3</v>
      </c>
      <c r="G124" s="81">
        <f t="shared" si="44"/>
        <v>0.3</v>
      </c>
      <c r="H124" s="299">
        <v>190.76</v>
      </c>
      <c r="I124" s="318">
        <v>79.651040199999997</v>
      </c>
      <c r="J124" s="251">
        <f t="shared" si="16"/>
        <v>79.651040199999997</v>
      </c>
      <c r="K124" s="251">
        <f t="shared" si="17"/>
        <v>39.825520099999999</v>
      </c>
      <c r="L124" s="251">
        <f t="shared" si="4"/>
        <v>0.64045183696587837</v>
      </c>
      <c r="M124" s="251">
        <f t="shared" si="5"/>
        <v>122.17259241961095</v>
      </c>
      <c r="N124" s="251">
        <f t="shared" si="6"/>
        <v>244.3451848392219</v>
      </c>
      <c r="O124" s="251">
        <f>+C107+D108+D109+D110+D111+D112+D113+D114+D115+D116+D117+D118+D119+D120+D121+D122+D123+(D124/2)</f>
        <v>0</v>
      </c>
      <c r="P124" s="251">
        <f t="shared" si="7"/>
        <v>0</v>
      </c>
      <c r="Q124" s="251">
        <f t="shared" si="8"/>
        <v>0</v>
      </c>
      <c r="R124" s="251">
        <f t="shared" si="18"/>
        <v>146.5</v>
      </c>
      <c r="S124" s="251">
        <f t="shared" si="37"/>
        <v>146.5</v>
      </c>
      <c r="T124" s="252">
        <f t="shared" si="9"/>
        <v>146.5</v>
      </c>
      <c r="U124" s="244"/>
      <c r="V124" s="282">
        <f t="shared" si="10"/>
        <v>0</v>
      </c>
      <c r="W124" s="282"/>
      <c r="X124" s="282"/>
      <c r="Y124" s="282"/>
      <c r="Z124" s="282"/>
      <c r="AA124" s="282"/>
      <c r="AB124" s="300" t="str">
        <f t="shared" si="45"/>
        <v>pin in groundstacking hole</v>
      </c>
      <c r="AC124" s="457" t="b">
        <f>IF(AD124=18,AF124)</f>
        <v>0</v>
      </c>
      <c r="AD124" s="457">
        <f t="shared" si="19"/>
        <v>1</v>
      </c>
      <c r="AE124" s="457">
        <f>IF(V124=0,0,18)</f>
        <v>0</v>
      </c>
      <c r="AF124" s="282">
        <f>SUM(V124:V130)/($B$104-B123)</f>
        <v>0</v>
      </c>
      <c r="AG124" s="282"/>
      <c r="AH124" s="301">
        <f>SUM(D108:D124)+$C$107</f>
        <v>0</v>
      </c>
      <c r="AI124" s="399" t="b">
        <f t="shared" si="20"/>
        <v>0</v>
      </c>
      <c r="AJ124" s="173">
        <f t="shared" si="21"/>
        <v>69.344714800000006</v>
      </c>
      <c r="AK124" s="284">
        <f t="shared" si="12"/>
        <v>0.93571960494171247</v>
      </c>
      <c r="AL124" s="174">
        <f t="shared" si="22"/>
        <v>180.0511663828843</v>
      </c>
      <c r="AM124" s="173">
        <f t="shared" si="23"/>
        <v>50.174479900000001</v>
      </c>
      <c r="AN124" s="285">
        <f t="shared" si="24"/>
        <v>0.76799833627881664</v>
      </c>
      <c r="AO124" s="174">
        <f t="shared" si="25"/>
        <v>146.50336262854705</v>
      </c>
      <c r="AP124" s="404">
        <f t="shared" si="26"/>
        <v>-87.816365996089843</v>
      </c>
      <c r="AQ124" s="174">
        <f t="shared" si="27"/>
        <v>-408</v>
      </c>
      <c r="AR124" s="287">
        <f t="shared" si="28"/>
        <v>-265.5</v>
      </c>
      <c r="AS124" s="288">
        <f t="shared" si="29"/>
        <v>326.55452901143133</v>
      </c>
      <c r="AT124" s="289">
        <f t="shared" si="43"/>
        <v>-146.50336262854705</v>
      </c>
      <c r="AU124" s="290">
        <f t="shared" si="30"/>
        <v>58.686996632457209</v>
      </c>
      <c r="AV124" s="289"/>
      <c r="AW124" s="291">
        <f t="shared" si="31"/>
        <v>-217.78546468766956</v>
      </c>
      <c r="AX124" s="291">
        <f t="shared" si="32"/>
        <v>-47.714535312330476</v>
      </c>
      <c r="AY124" s="292">
        <f t="shared" si="13"/>
        <v>-53.263426081422786</v>
      </c>
      <c r="AZ124" s="292">
        <f t="shared" si="14"/>
        <v>-209.57974199144684</v>
      </c>
      <c r="BA124" s="294">
        <f t="shared" si="33"/>
        <v>53.263426081422786</v>
      </c>
      <c r="BB124" s="294">
        <f t="shared" si="34"/>
        <v>209.57974199144684</v>
      </c>
      <c r="BC124">
        <f t="shared" si="35"/>
        <v>0.3</v>
      </c>
      <c r="BG124" s="27"/>
      <c r="BH124" s="27"/>
      <c r="BI124" s="219">
        <v>17</v>
      </c>
      <c r="BJ124" s="748">
        <f t="shared" si="40"/>
        <v>400</v>
      </c>
      <c r="BK124" s="746">
        <f t="shared" si="41"/>
        <v>400</v>
      </c>
      <c r="BL124" s="752">
        <f t="shared" si="38"/>
        <v>287.48203015628553</v>
      </c>
      <c r="BM124" s="180">
        <f t="shared" si="36"/>
        <v>287.48203015628553</v>
      </c>
      <c r="BN124" s="180">
        <f t="shared" si="42"/>
        <v>12.517969843714454</v>
      </c>
      <c r="BO124" s="180" t="b">
        <f t="shared" si="39"/>
        <v>0</v>
      </c>
      <c r="BP124" s="14"/>
      <c r="CX124" s="35"/>
      <c r="CY124" s="10"/>
      <c r="CZ124" s="10"/>
      <c r="DA124" s="10"/>
      <c r="DB124" s="10"/>
      <c r="DC124" s="10"/>
      <c r="DD124" s="10"/>
      <c r="DE124" s="49"/>
      <c r="DF124" s="49"/>
      <c r="DG124" s="49"/>
      <c r="DH124" s="49"/>
      <c r="DI124" s="49"/>
      <c r="DJ124" s="49"/>
      <c r="DK124" s="49"/>
      <c r="DL124" s="49"/>
      <c r="DM124" s="49"/>
      <c r="DN124" s="49"/>
      <c r="DO124" s="49"/>
      <c r="DP124" s="49"/>
      <c r="DQ124" s="49"/>
      <c r="DR124" s="49"/>
      <c r="DS124" s="7"/>
    </row>
    <row r="125" spans="1:127" ht="21" customHeight="1" thickBot="1" x14ac:dyDescent="0.5">
      <c r="B125" s="710">
        <v>19</v>
      </c>
      <c r="C125" s="711"/>
      <c r="D125" s="744">
        <v>0</v>
      </c>
      <c r="E125" s="712" t="s">
        <v>72</v>
      </c>
      <c r="F125" s="713">
        <f t="shared" si="15"/>
        <v>0.3</v>
      </c>
      <c r="G125" s="713">
        <f t="shared" si="44"/>
        <v>0.3</v>
      </c>
      <c r="H125" s="714">
        <v>190.76</v>
      </c>
      <c r="I125" s="715">
        <v>79.651040199999997</v>
      </c>
      <c r="J125" s="716">
        <f t="shared" si="16"/>
        <v>79.651040199999997</v>
      </c>
      <c r="K125" s="716">
        <f t="shared" si="17"/>
        <v>39.825520099999999</v>
      </c>
      <c r="L125" s="716">
        <f t="shared" si="4"/>
        <v>0.64045183696587837</v>
      </c>
      <c r="M125" s="716">
        <f t="shared" si="5"/>
        <v>122.17259241961095</v>
      </c>
      <c r="N125" s="716">
        <f t="shared" si="6"/>
        <v>244.3451848392219</v>
      </c>
      <c r="O125" s="716">
        <f>+C107+D108+D109+D110+D111+D112+D113+D114+D115+D116+D117+D118+D119+D120+D121+D122+D123+D124+(D125/2)</f>
        <v>0</v>
      </c>
      <c r="P125" s="716">
        <f t="shared" si="7"/>
        <v>0</v>
      </c>
      <c r="Q125" s="716">
        <f t="shared" si="8"/>
        <v>0</v>
      </c>
      <c r="R125" s="716">
        <f t="shared" si="18"/>
        <v>146.5</v>
      </c>
      <c r="S125" s="716">
        <f t="shared" si="37"/>
        <v>146.5</v>
      </c>
      <c r="T125" s="717">
        <f t="shared" si="9"/>
        <v>146.5</v>
      </c>
      <c r="U125" s="718"/>
      <c r="V125" s="719">
        <f t="shared" si="10"/>
        <v>0</v>
      </c>
      <c r="W125" s="719"/>
      <c r="X125" s="719"/>
      <c r="Y125" s="719"/>
      <c r="Z125" s="719"/>
      <c r="AA125" s="719"/>
      <c r="AB125" s="1977" t="str">
        <f t="shared" si="45"/>
        <v>pin in groundstacking hole</v>
      </c>
      <c r="AC125" s="721" t="b">
        <f>IF(AD125=19,AF125)</f>
        <v>0</v>
      </c>
      <c r="AD125" s="721">
        <f t="shared" si="19"/>
        <v>1</v>
      </c>
      <c r="AE125" s="721">
        <f>IF(V125=0,0,19)</f>
        <v>0</v>
      </c>
      <c r="AF125" s="719">
        <f>SUM(V125:V130)/($B$104-B124)</f>
        <v>0</v>
      </c>
      <c r="AG125" s="719"/>
      <c r="AH125" s="722">
        <f>SUM(D107:D125)+$C$107</f>
        <v>0</v>
      </c>
      <c r="AI125" s="723" t="b">
        <f t="shared" si="20"/>
        <v>0</v>
      </c>
      <c r="AJ125" s="724">
        <f t="shared" si="21"/>
        <v>69.344714800000006</v>
      </c>
      <c r="AK125" s="725">
        <f t="shared" si="12"/>
        <v>0.93571960494171247</v>
      </c>
      <c r="AL125" s="724">
        <f t="shared" si="22"/>
        <v>180.0511663828843</v>
      </c>
      <c r="AM125" s="724">
        <f t="shared" si="23"/>
        <v>50.174479900000001</v>
      </c>
      <c r="AN125" s="726">
        <f t="shared" si="24"/>
        <v>0.76799833627881664</v>
      </c>
      <c r="AO125" s="724">
        <f t="shared" si="25"/>
        <v>146.50336262854705</v>
      </c>
      <c r="AP125" s="727">
        <f t="shared" si="26"/>
        <v>-80.121117429422185</v>
      </c>
      <c r="AQ125" s="724">
        <f t="shared" si="27"/>
        <v>-433.5</v>
      </c>
      <c r="AR125" s="728">
        <f t="shared" si="28"/>
        <v>-291</v>
      </c>
      <c r="AS125" s="729">
        <f t="shared" si="29"/>
        <v>326.55452901143133</v>
      </c>
      <c r="AT125" s="719">
        <f t="shared" si="43"/>
        <v>-146.50336262854705</v>
      </c>
      <c r="AU125" s="730">
        <f t="shared" si="30"/>
        <v>66.382245199124867</v>
      </c>
      <c r="AV125" s="719"/>
      <c r="AW125" s="731">
        <f t="shared" si="31"/>
        <v>-231.8453056479608</v>
      </c>
      <c r="AX125" s="731">
        <f t="shared" si="32"/>
        <v>-59.154694352039201</v>
      </c>
      <c r="AY125" s="732">
        <f t="shared" si="13"/>
        <v>-50.033361545019609</v>
      </c>
      <c r="AZ125" s="732">
        <f t="shared" si="14"/>
        <v>-169.04829125628433</v>
      </c>
      <c r="BA125" s="1968">
        <f t="shared" si="33"/>
        <v>50.033361545019609</v>
      </c>
      <c r="BB125" s="1968">
        <f t="shared" si="34"/>
        <v>169.04829125628433</v>
      </c>
      <c r="BC125">
        <f t="shared" si="35"/>
        <v>0.3</v>
      </c>
      <c r="BG125" s="27"/>
      <c r="BH125" s="27"/>
      <c r="BI125" s="219">
        <v>18</v>
      </c>
      <c r="BJ125" s="748">
        <f t="shared" si="40"/>
        <v>450</v>
      </c>
      <c r="BK125" s="746">
        <f t="shared" si="41"/>
        <v>450</v>
      </c>
      <c r="BL125" s="752">
        <f t="shared" si="38"/>
        <v>337.48203015628553</v>
      </c>
      <c r="BM125" s="180">
        <f t="shared" si="36"/>
        <v>337.48203015628553</v>
      </c>
      <c r="BN125" s="180">
        <f t="shared" si="42"/>
        <v>12.517969843714454</v>
      </c>
      <c r="BO125" s="180" t="b">
        <f t="shared" si="39"/>
        <v>0</v>
      </c>
      <c r="BP125" s="14"/>
      <c r="CX125" s="33"/>
      <c r="CY125" s="10"/>
      <c r="CZ125" s="10"/>
      <c r="DA125" s="10"/>
      <c r="DB125" s="10"/>
      <c r="DC125" s="10"/>
      <c r="DD125" s="10"/>
      <c r="DE125" s="49"/>
      <c r="DF125" s="49"/>
      <c r="DG125" s="49"/>
      <c r="DH125" s="49"/>
      <c r="DI125" s="49"/>
      <c r="DJ125" s="49"/>
      <c r="DK125" s="49"/>
      <c r="DL125" s="49"/>
      <c r="DM125" s="49"/>
      <c r="DN125" s="49"/>
      <c r="DO125" s="49"/>
      <c r="DP125" s="49"/>
      <c r="DQ125" s="49"/>
      <c r="DR125" s="49"/>
      <c r="DS125" s="7"/>
    </row>
    <row r="126" spans="1:127" ht="21" customHeight="1" thickBot="1" x14ac:dyDescent="0.5">
      <c r="B126" s="88">
        <v>20</v>
      </c>
      <c r="C126" s="20"/>
      <c r="D126" s="738">
        <v>0</v>
      </c>
      <c r="E126" s="333" t="s">
        <v>72</v>
      </c>
      <c r="F126" s="81">
        <f t="shared" si="15"/>
        <v>0.3</v>
      </c>
      <c r="G126" s="81">
        <f t="shared" si="44"/>
        <v>0.3</v>
      </c>
      <c r="H126" s="299">
        <v>190.76</v>
      </c>
      <c r="I126" s="318">
        <v>79.651040199999997</v>
      </c>
      <c r="J126" s="251">
        <f t="shared" si="16"/>
        <v>79.651040199999997</v>
      </c>
      <c r="K126" s="251">
        <f t="shared" si="17"/>
        <v>39.825520099999999</v>
      </c>
      <c r="L126" s="251">
        <f t="shared" si="4"/>
        <v>0.64045183696587837</v>
      </c>
      <c r="M126" s="251">
        <f t="shared" si="5"/>
        <v>122.17259241961095</v>
      </c>
      <c r="N126" s="251">
        <f t="shared" si="6"/>
        <v>244.3451848392219</v>
      </c>
      <c r="O126" s="251">
        <f>+C107+D108+D109+D110+D111+D112+D113+D114+D115+D116+D117+D118+D119+D120+D121+D122+D123+D124+D125+(D126/2)</f>
        <v>0</v>
      </c>
      <c r="P126" s="251">
        <f t="shared" si="7"/>
        <v>0</v>
      </c>
      <c r="Q126" s="251">
        <f t="shared" si="8"/>
        <v>0</v>
      </c>
      <c r="R126" s="251">
        <f t="shared" si="18"/>
        <v>146.5</v>
      </c>
      <c r="S126" s="251">
        <f t="shared" si="37"/>
        <v>146.5</v>
      </c>
      <c r="T126" s="252">
        <f t="shared" si="9"/>
        <v>146.5</v>
      </c>
      <c r="U126" s="244"/>
      <c r="V126" s="282">
        <f t="shared" si="10"/>
        <v>0</v>
      </c>
      <c r="W126" s="282"/>
      <c r="X126" s="282"/>
      <c r="Y126" s="282"/>
      <c r="Z126" s="282"/>
      <c r="AA126" s="282"/>
      <c r="AB126" s="300" t="str">
        <f t="shared" si="45"/>
        <v>pin in groundstacking hole</v>
      </c>
      <c r="AC126" s="457" t="b">
        <f>IF(AD126=20,AF126)</f>
        <v>0</v>
      </c>
      <c r="AD126" s="457">
        <f t="shared" si="19"/>
        <v>1</v>
      </c>
      <c r="AE126" s="457">
        <f>IF(V126=0,0,20)</f>
        <v>0</v>
      </c>
      <c r="AF126" s="282">
        <f>SUM(V126:V130)/($B$104-B125)</f>
        <v>0</v>
      </c>
      <c r="AG126" s="282"/>
      <c r="AH126" s="301">
        <f>SUM(D108:D126)+$C$107</f>
        <v>0</v>
      </c>
      <c r="AI126" s="399" t="b">
        <f t="shared" si="20"/>
        <v>0</v>
      </c>
      <c r="AJ126" s="173">
        <f t="shared" si="21"/>
        <v>69.344714800000006</v>
      </c>
      <c r="AK126" s="284">
        <f t="shared" si="12"/>
        <v>0.93571960494171247</v>
      </c>
      <c r="AL126" s="174">
        <f t="shared" si="22"/>
        <v>180.0511663828843</v>
      </c>
      <c r="AM126" s="173">
        <f t="shared" si="23"/>
        <v>50.174479900000001</v>
      </c>
      <c r="AN126" s="285">
        <f t="shared" si="24"/>
        <v>0.76799833627881664</v>
      </c>
      <c r="AO126" s="174">
        <f t="shared" si="25"/>
        <v>146.50336262854705</v>
      </c>
      <c r="AP126" s="404">
        <f t="shared" si="26"/>
        <v>-73.665861522786273</v>
      </c>
      <c r="AQ126" s="174">
        <f t="shared" si="27"/>
        <v>-459</v>
      </c>
      <c r="AR126" s="287">
        <f t="shared" si="28"/>
        <v>-316.5</v>
      </c>
      <c r="AS126" s="288">
        <f t="shared" si="29"/>
        <v>326.55452901143133</v>
      </c>
      <c r="AT126" s="289">
        <f t="shared" si="43"/>
        <v>-146.50336262854705</v>
      </c>
      <c r="AU126" s="290">
        <f t="shared" si="30"/>
        <v>72.837501105760779</v>
      </c>
      <c r="AV126" s="289"/>
      <c r="AW126" s="291">
        <f t="shared" si="31"/>
        <v>-245.90514660825204</v>
      </c>
      <c r="AX126" s="291">
        <f t="shared" si="32"/>
        <v>-70.594853391747918</v>
      </c>
      <c r="AY126" s="292">
        <f t="shared" si="13"/>
        <v>-47.172660515640992</v>
      </c>
      <c r="AZ126" s="292">
        <f t="shared" si="14"/>
        <v>-141.65338575756479</v>
      </c>
      <c r="BA126" s="294">
        <f t="shared" si="33"/>
        <v>47.172660515640992</v>
      </c>
      <c r="BB126" s="294">
        <f t="shared" si="34"/>
        <v>141.65338575756479</v>
      </c>
      <c r="BC126">
        <f t="shared" si="35"/>
        <v>0.3</v>
      </c>
      <c r="BG126" s="27"/>
      <c r="BH126" s="27"/>
      <c r="BI126" s="219">
        <v>19</v>
      </c>
      <c r="BJ126" s="748">
        <f t="shared" si="40"/>
        <v>500</v>
      </c>
      <c r="BK126" s="746">
        <f t="shared" si="41"/>
        <v>500</v>
      </c>
      <c r="BL126" s="752">
        <f t="shared" si="38"/>
        <v>387.48203015628553</v>
      </c>
      <c r="BM126" s="180">
        <f t="shared" si="36"/>
        <v>387.48203015628553</v>
      </c>
      <c r="BN126" s="180">
        <f t="shared" si="42"/>
        <v>12.517969843714454</v>
      </c>
      <c r="BO126" s="180" t="b">
        <f t="shared" si="39"/>
        <v>0</v>
      </c>
      <c r="BP126" s="14"/>
      <c r="CX126" s="33"/>
      <c r="CY126" s="10"/>
      <c r="CZ126" s="10"/>
      <c r="DA126" s="10"/>
      <c r="DB126" s="10"/>
      <c r="DC126" s="10"/>
      <c r="DD126" s="10"/>
      <c r="DE126" s="49"/>
      <c r="DF126" s="49"/>
      <c r="DG126" s="49"/>
      <c r="DH126" s="49"/>
      <c r="DI126" s="49"/>
      <c r="DJ126" s="49"/>
      <c r="DK126" s="49"/>
      <c r="DL126" s="49"/>
      <c r="DM126" s="49"/>
      <c r="DN126" s="49"/>
      <c r="DO126" s="49"/>
      <c r="DP126" s="49"/>
      <c r="DQ126" s="49"/>
      <c r="DR126" s="49"/>
      <c r="DS126" s="7"/>
    </row>
    <row r="127" spans="1:127" ht="21" customHeight="1" thickBot="1" x14ac:dyDescent="0.5">
      <c r="B127" s="88">
        <v>21</v>
      </c>
      <c r="C127" s="20"/>
      <c r="D127" s="738">
        <v>0</v>
      </c>
      <c r="E127" s="333" t="s">
        <v>72</v>
      </c>
      <c r="F127" s="81">
        <f t="shared" si="15"/>
        <v>0.3</v>
      </c>
      <c r="G127" s="81">
        <f t="shared" si="44"/>
        <v>0.3</v>
      </c>
      <c r="H127" s="299">
        <v>190.76</v>
      </c>
      <c r="I127" s="318">
        <v>79.651040199999997</v>
      </c>
      <c r="J127" s="251">
        <f t="shared" si="16"/>
        <v>79.651040199999997</v>
      </c>
      <c r="K127" s="251">
        <f t="shared" si="17"/>
        <v>39.825520099999999</v>
      </c>
      <c r="L127" s="251">
        <f t="shared" si="4"/>
        <v>0.64045183696587837</v>
      </c>
      <c r="M127" s="251">
        <f t="shared" si="5"/>
        <v>122.17259241961095</v>
      </c>
      <c r="N127" s="251">
        <f t="shared" si="6"/>
        <v>244.3451848392219</v>
      </c>
      <c r="O127" s="251">
        <f>+C107+D108+D109+D110+D111+D112+D113+D114+D115+D116+D117+D118+D119+D120+D121+D122+D123+D124+D125+D126+(D127/2)</f>
        <v>0</v>
      </c>
      <c r="P127" s="251">
        <f t="shared" si="7"/>
        <v>0</v>
      </c>
      <c r="Q127" s="251">
        <f t="shared" si="8"/>
        <v>0</v>
      </c>
      <c r="R127" s="251">
        <f t="shared" si="18"/>
        <v>146.5</v>
      </c>
      <c r="S127" s="251">
        <f t="shared" si="37"/>
        <v>146.5</v>
      </c>
      <c r="T127" s="252">
        <f t="shared" si="9"/>
        <v>146.5</v>
      </c>
      <c r="U127" s="244"/>
      <c r="V127" s="282">
        <f t="shared" si="10"/>
        <v>0</v>
      </c>
      <c r="W127" s="282"/>
      <c r="X127" s="282"/>
      <c r="Y127" s="282"/>
      <c r="Z127" s="282"/>
      <c r="AA127" s="282"/>
      <c r="AB127" s="300" t="str">
        <f>IF(AZ127&lt;0,"pin in groundstacking hole"," ")</f>
        <v>pin in groundstacking hole</v>
      </c>
      <c r="AC127" s="457" t="b">
        <f>IF(AD127=21,AF127)</f>
        <v>0</v>
      </c>
      <c r="AD127" s="457">
        <f t="shared" si="19"/>
        <v>1</v>
      </c>
      <c r="AE127" s="457">
        <f>IF(V127=0,0,21)</f>
        <v>0</v>
      </c>
      <c r="AF127" s="282">
        <f>SUM(V127:V130)/($B$104-B126)</f>
        <v>0</v>
      </c>
      <c r="AG127" s="282"/>
      <c r="AH127" s="301">
        <f>SUM(D108:D127)+$C$107</f>
        <v>0</v>
      </c>
      <c r="AI127" s="399" t="b">
        <f t="shared" si="20"/>
        <v>0</v>
      </c>
      <c r="AJ127" s="173">
        <f t="shared" si="21"/>
        <v>69.344714800000006</v>
      </c>
      <c r="AK127" s="284">
        <f t="shared" si="12"/>
        <v>0.93571960494171247</v>
      </c>
      <c r="AL127" s="174">
        <f t="shared" si="22"/>
        <v>180.0511663828843</v>
      </c>
      <c r="AM127" s="173">
        <f t="shared" si="23"/>
        <v>50.174479900000001</v>
      </c>
      <c r="AN127" s="285">
        <f t="shared" si="24"/>
        <v>0.76799833627881664</v>
      </c>
      <c r="AO127" s="174">
        <f t="shared" si="25"/>
        <v>146.50336262854705</v>
      </c>
      <c r="AP127" s="404">
        <f t="shared" si="26"/>
        <v>-68.17323149696449</v>
      </c>
      <c r="AQ127" s="174">
        <f t="shared" si="27"/>
        <v>-484.5</v>
      </c>
      <c r="AR127" s="287">
        <f t="shared" si="28"/>
        <v>-342</v>
      </c>
      <c r="AS127" s="288">
        <f t="shared" si="29"/>
        <v>326.55452901143133</v>
      </c>
      <c r="AT127" s="289">
        <f t="shared" si="43"/>
        <v>-146.50336262854705</v>
      </c>
      <c r="AU127" s="290">
        <f t="shared" si="30"/>
        <v>78.330131131582561</v>
      </c>
      <c r="AV127" s="289"/>
      <c r="AW127" s="291">
        <f t="shared" si="31"/>
        <v>-259.96498756854339</v>
      </c>
      <c r="AX127" s="291">
        <f t="shared" si="32"/>
        <v>-82.035012431456636</v>
      </c>
      <c r="AY127" s="292">
        <f t="shared" si="13"/>
        <v>-44.621393474925149</v>
      </c>
      <c r="AZ127" s="292">
        <f t="shared" si="14"/>
        <v>-121.89917089797943</v>
      </c>
      <c r="BA127" s="294">
        <f t="shared" si="33"/>
        <v>44.621393474925149</v>
      </c>
      <c r="BB127" s="294">
        <f t="shared" si="34"/>
        <v>121.89917089797943</v>
      </c>
      <c r="BC127">
        <f t="shared" si="35"/>
        <v>0.3</v>
      </c>
      <c r="BG127" s="27"/>
      <c r="BH127" s="27"/>
      <c r="BI127" s="219">
        <v>20</v>
      </c>
      <c r="BJ127" s="748">
        <f t="shared" si="40"/>
        <v>550</v>
      </c>
      <c r="BK127" s="746">
        <f t="shared" si="41"/>
        <v>550</v>
      </c>
      <c r="BL127" s="752">
        <f t="shared" si="38"/>
        <v>437.48203015628553</v>
      </c>
      <c r="BM127" s="180">
        <f t="shared" si="36"/>
        <v>437.48203015628553</v>
      </c>
      <c r="BN127" s="180">
        <f t="shared" si="42"/>
        <v>12.517969843714454</v>
      </c>
      <c r="BO127" s="180" t="b">
        <f t="shared" si="39"/>
        <v>0</v>
      </c>
      <c r="BP127" s="14"/>
      <c r="DR127" s="60"/>
      <c r="DS127" s="60"/>
      <c r="DT127" s="60"/>
      <c r="DU127" s="60"/>
      <c r="DV127" s="60"/>
      <c r="DW127" s="60"/>
    </row>
    <row r="128" spans="1:127" ht="21" customHeight="1" thickBot="1" x14ac:dyDescent="0.5">
      <c r="B128" s="88">
        <v>22</v>
      </c>
      <c r="C128" s="20"/>
      <c r="D128" s="738">
        <v>0</v>
      </c>
      <c r="E128" s="333" t="s">
        <v>72</v>
      </c>
      <c r="F128" s="81">
        <f t="shared" si="15"/>
        <v>0.3</v>
      </c>
      <c r="G128" s="81">
        <f t="shared" si="44"/>
        <v>0.3</v>
      </c>
      <c r="H128" s="299">
        <v>190.76</v>
      </c>
      <c r="I128" s="318">
        <v>79.651040199999997</v>
      </c>
      <c r="J128" s="251">
        <f t="shared" si="16"/>
        <v>79.651040199999997</v>
      </c>
      <c r="K128" s="251">
        <f t="shared" si="17"/>
        <v>39.825520099999999</v>
      </c>
      <c r="L128" s="251">
        <f t="shared" si="4"/>
        <v>0.64045183696587837</v>
      </c>
      <c r="M128" s="251">
        <f t="shared" si="5"/>
        <v>122.17259241961095</v>
      </c>
      <c r="N128" s="251">
        <f t="shared" si="6"/>
        <v>244.3451848392219</v>
      </c>
      <c r="O128" s="251">
        <f>+C107+D108+D109+D110+D111+D112+D113+D114+D115+D116+D117+D118+D119+D120+D121+D122+D123+D124+D125+D126+D127+(D128/2)</f>
        <v>0</v>
      </c>
      <c r="P128" s="251">
        <f t="shared" si="7"/>
        <v>0</v>
      </c>
      <c r="Q128" s="251">
        <f t="shared" si="8"/>
        <v>0</v>
      </c>
      <c r="R128" s="251">
        <f t="shared" si="18"/>
        <v>146.5</v>
      </c>
      <c r="S128" s="251">
        <f t="shared" si="37"/>
        <v>146.5</v>
      </c>
      <c r="T128" s="252">
        <f t="shared" si="9"/>
        <v>146.5</v>
      </c>
      <c r="U128" s="244"/>
      <c r="V128" s="282">
        <f t="shared" si="10"/>
        <v>0</v>
      </c>
      <c r="W128" s="282"/>
      <c r="X128" s="282"/>
      <c r="Y128" s="282"/>
      <c r="Z128" s="282"/>
      <c r="AA128" s="282"/>
      <c r="AB128" s="300" t="str">
        <f t="shared" si="45"/>
        <v>pin in groundstacking hole</v>
      </c>
      <c r="AC128" s="457" t="b">
        <f>IF(AD128=22,AF128)</f>
        <v>0</v>
      </c>
      <c r="AD128" s="457">
        <f t="shared" si="19"/>
        <v>1</v>
      </c>
      <c r="AE128" s="457">
        <f>IF(V128=0,0,22)</f>
        <v>0</v>
      </c>
      <c r="AF128" s="282">
        <f>SUM(V128:V130)/($B$104-B127)</f>
        <v>0</v>
      </c>
      <c r="AG128" s="282"/>
      <c r="AH128" s="301">
        <f>SUM(D108:D128)+$C$107</f>
        <v>0</v>
      </c>
      <c r="AI128" s="399" t="b">
        <f t="shared" si="20"/>
        <v>0</v>
      </c>
      <c r="AJ128" s="173">
        <f t="shared" si="21"/>
        <v>69.344714800000006</v>
      </c>
      <c r="AK128" s="284">
        <f t="shared" si="12"/>
        <v>0.93571960494171247</v>
      </c>
      <c r="AL128" s="174">
        <f t="shared" si="22"/>
        <v>180.0511663828843</v>
      </c>
      <c r="AM128" s="173">
        <f t="shared" si="23"/>
        <v>50.174479900000001</v>
      </c>
      <c r="AN128" s="285">
        <f t="shared" si="24"/>
        <v>0.76799833627881664</v>
      </c>
      <c r="AO128" s="174">
        <f t="shared" si="25"/>
        <v>146.50336262854705</v>
      </c>
      <c r="AP128" s="404">
        <f t="shared" si="26"/>
        <v>-63.44284400533838</v>
      </c>
      <c r="AQ128" s="174">
        <f t="shared" si="27"/>
        <v>-510</v>
      </c>
      <c r="AR128" s="287">
        <f t="shared" si="28"/>
        <v>-367.5</v>
      </c>
      <c r="AS128" s="288">
        <f t="shared" si="29"/>
        <v>326.55452901143133</v>
      </c>
      <c r="AT128" s="289">
        <f t="shared" si="43"/>
        <v>-146.50336262854705</v>
      </c>
      <c r="AU128" s="290">
        <f t="shared" si="30"/>
        <v>83.060518623208679</v>
      </c>
      <c r="AV128" s="289"/>
      <c r="AW128" s="291">
        <f t="shared" si="31"/>
        <v>-274.02482852883463</v>
      </c>
      <c r="AX128" s="291">
        <f t="shared" si="32"/>
        <v>-93.475171471165382</v>
      </c>
      <c r="AY128" s="292">
        <f t="shared" si="13"/>
        <v>-42.331930512564391</v>
      </c>
      <c r="AZ128" s="292">
        <f t="shared" si="14"/>
        <v>-106.98027981777744</v>
      </c>
      <c r="BA128" s="294">
        <f t="shared" si="33"/>
        <v>42.331930512564391</v>
      </c>
      <c r="BB128" s="294">
        <f t="shared" si="34"/>
        <v>106.98027981777744</v>
      </c>
      <c r="BC128">
        <f t="shared" si="35"/>
        <v>0.3</v>
      </c>
      <c r="BG128" s="27"/>
      <c r="BH128" s="27"/>
      <c r="BI128" s="219">
        <v>21</v>
      </c>
      <c r="BJ128" s="748">
        <f t="shared" si="40"/>
        <v>600</v>
      </c>
      <c r="BK128" s="746">
        <f t="shared" si="41"/>
        <v>600</v>
      </c>
      <c r="BL128" s="752">
        <f t="shared" si="38"/>
        <v>487.48203015628553</v>
      </c>
      <c r="BM128" s="180">
        <f t="shared" si="36"/>
        <v>487.48203015628553</v>
      </c>
      <c r="BN128" s="180">
        <f t="shared" si="42"/>
        <v>12.517969843714454</v>
      </c>
      <c r="BO128" s="180" t="b">
        <f t="shared" si="39"/>
        <v>0</v>
      </c>
      <c r="BP128" s="14"/>
    </row>
    <row r="129" spans="2:135" ht="21" customHeight="1" thickBot="1" x14ac:dyDescent="0.5">
      <c r="B129" s="88">
        <v>23</v>
      </c>
      <c r="C129" s="20"/>
      <c r="D129" s="738">
        <v>0</v>
      </c>
      <c r="E129" s="333" t="s">
        <v>72</v>
      </c>
      <c r="F129" s="81">
        <f t="shared" si="15"/>
        <v>0.3</v>
      </c>
      <c r="G129" s="81">
        <f t="shared" si="44"/>
        <v>0.3</v>
      </c>
      <c r="H129" s="299">
        <v>190.76</v>
      </c>
      <c r="I129" s="318">
        <v>79.651040199999997</v>
      </c>
      <c r="J129" s="251">
        <f t="shared" si="16"/>
        <v>79.651040199999997</v>
      </c>
      <c r="K129" s="251">
        <f t="shared" si="17"/>
        <v>39.825520099999999</v>
      </c>
      <c r="L129" s="251">
        <f t="shared" si="4"/>
        <v>0.64045183696587837</v>
      </c>
      <c r="M129" s="251">
        <f t="shared" si="5"/>
        <v>122.17259241961095</v>
      </c>
      <c r="N129" s="251">
        <f t="shared" si="6"/>
        <v>244.3451848392219</v>
      </c>
      <c r="O129" s="251">
        <f>+C107+D108+D109+D110+D111+D112+D113+D114+D115+D116+D117+D118+D119+D120+D121+D122+D123+D124+D125+D126+D127+D128+(D129/2)</f>
        <v>0</v>
      </c>
      <c r="P129" s="251">
        <f t="shared" si="7"/>
        <v>0</v>
      </c>
      <c r="Q129" s="251">
        <f t="shared" si="8"/>
        <v>0</v>
      </c>
      <c r="R129" s="251">
        <f t="shared" si="18"/>
        <v>146.5</v>
      </c>
      <c r="S129" s="251">
        <f t="shared" si="37"/>
        <v>146.5</v>
      </c>
      <c r="T129" s="252">
        <f t="shared" si="9"/>
        <v>146.5</v>
      </c>
      <c r="U129" s="244"/>
      <c r="V129" s="282">
        <f t="shared" si="10"/>
        <v>0</v>
      </c>
      <c r="W129" s="282"/>
      <c r="X129" s="282"/>
      <c r="Y129" s="282"/>
      <c r="Z129" s="282"/>
      <c r="AA129" s="282"/>
      <c r="AB129" s="300" t="str">
        <f t="shared" si="45"/>
        <v>pin in groundstacking hole</v>
      </c>
      <c r="AC129" s="457" t="b">
        <f>IF(AD129=23,AF129)</f>
        <v>0</v>
      </c>
      <c r="AD129" s="457">
        <f t="shared" si="19"/>
        <v>1</v>
      </c>
      <c r="AE129" s="457">
        <f>IF(V129=0,0,23)</f>
        <v>0</v>
      </c>
      <c r="AF129" s="282">
        <f>SUM(V129:V130)/($B$104-B128)</f>
        <v>0</v>
      </c>
      <c r="AG129" s="282"/>
      <c r="AH129" s="301">
        <f>SUM(D108:D129)+$C$107</f>
        <v>0</v>
      </c>
      <c r="AI129" s="399" t="b">
        <f t="shared" si="20"/>
        <v>0</v>
      </c>
      <c r="AJ129" s="173">
        <f t="shared" si="21"/>
        <v>69.344714800000006</v>
      </c>
      <c r="AK129" s="284">
        <f t="shared" si="12"/>
        <v>0.93571960494171247</v>
      </c>
      <c r="AL129" s="174">
        <f t="shared" si="22"/>
        <v>180.0511663828843</v>
      </c>
      <c r="AM129" s="173">
        <f t="shared" si="23"/>
        <v>50.174479900000001</v>
      </c>
      <c r="AN129" s="285">
        <f t="shared" si="24"/>
        <v>0.76799833627881664</v>
      </c>
      <c r="AO129" s="174">
        <f t="shared" si="25"/>
        <v>146.50336262854705</v>
      </c>
      <c r="AP129" s="404">
        <f t="shared" si="26"/>
        <v>-59.326323592778259</v>
      </c>
      <c r="AQ129" s="174">
        <f t="shared" si="27"/>
        <v>-535.5</v>
      </c>
      <c r="AR129" s="287">
        <f t="shared" si="28"/>
        <v>-393</v>
      </c>
      <c r="AS129" s="288">
        <f t="shared" si="29"/>
        <v>326.55452901143133</v>
      </c>
      <c r="AT129" s="289">
        <f t="shared" si="43"/>
        <v>-146.50336262854705</v>
      </c>
      <c r="AU129" s="290">
        <f t="shared" si="30"/>
        <v>87.177039035768786</v>
      </c>
      <c r="AV129" s="289"/>
      <c r="AW129" s="291">
        <f t="shared" si="31"/>
        <v>-288.08466948912593</v>
      </c>
      <c r="AX129" s="291">
        <f t="shared" si="32"/>
        <v>-104.91533051087407</v>
      </c>
      <c r="AY129" s="292">
        <f t="shared" si="13"/>
        <v>-40.265939942485744</v>
      </c>
      <c r="AZ129" s="292">
        <f t="shared" si="14"/>
        <v>-95.314954938482884</v>
      </c>
      <c r="BA129" s="294">
        <f t="shared" si="33"/>
        <v>40.265939942485744</v>
      </c>
      <c r="BB129" s="294">
        <f t="shared" si="34"/>
        <v>95.314954938482884</v>
      </c>
      <c r="BC129">
        <f t="shared" si="35"/>
        <v>0.3</v>
      </c>
      <c r="BG129" s="27"/>
      <c r="BH129" s="27"/>
      <c r="BI129" s="219">
        <v>22</v>
      </c>
      <c r="BJ129" s="748">
        <f t="shared" si="40"/>
        <v>650</v>
      </c>
      <c r="BK129" s="746">
        <f t="shared" si="41"/>
        <v>650</v>
      </c>
      <c r="BL129" s="752">
        <f t="shared" si="38"/>
        <v>537.48203015628553</v>
      </c>
      <c r="BM129" s="180">
        <f t="shared" si="36"/>
        <v>537.48203015628553</v>
      </c>
      <c r="BN129" s="180">
        <f t="shared" si="42"/>
        <v>12.517969843714454</v>
      </c>
      <c r="BO129" s="180" t="b">
        <f t="shared" si="39"/>
        <v>0</v>
      </c>
      <c r="BP129" s="14"/>
      <c r="CX129" s="42"/>
    </row>
    <row r="130" spans="2:135" ht="21" customHeight="1" thickBot="1" x14ac:dyDescent="0.5">
      <c r="B130" s="88">
        <v>24</v>
      </c>
      <c r="C130" s="20"/>
      <c r="D130" s="738">
        <v>0</v>
      </c>
      <c r="E130" s="333" t="s">
        <v>72</v>
      </c>
      <c r="F130" s="81">
        <f t="shared" si="15"/>
        <v>0.3</v>
      </c>
      <c r="G130" s="81">
        <f t="shared" si="44"/>
        <v>0.3</v>
      </c>
      <c r="H130" s="299">
        <v>190.76</v>
      </c>
      <c r="I130" s="318">
        <v>79.651040199999997</v>
      </c>
      <c r="J130" s="251">
        <f t="shared" si="16"/>
        <v>79.651040199999997</v>
      </c>
      <c r="K130" s="251">
        <f t="shared" si="17"/>
        <v>39.825520099999999</v>
      </c>
      <c r="L130" s="251">
        <f t="shared" si="4"/>
        <v>0.64045183696587837</v>
      </c>
      <c r="M130" s="251">
        <f t="shared" si="5"/>
        <v>122.17259241961095</v>
      </c>
      <c r="N130" s="251">
        <f t="shared" si="6"/>
        <v>244.3451848392219</v>
      </c>
      <c r="O130" s="251">
        <f>+SUM(D108:D129)+(D130/2)+C107</f>
        <v>0</v>
      </c>
      <c r="P130" s="251">
        <f t="shared" si="7"/>
        <v>0</v>
      </c>
      <c r="Q130" s="251">
        <f t="shared" si="8"/>
        <v>0</v>
      </c>
      <c r="R130" s="251">
        <f t="shared" si="18"/>
        <v>146.5</v>
      </c>
      <c r="S130" s="251">
        <f t="shared" si="37"/>
        <v>146.5</v>
      </c>
      <c r="T130" s="252">
        <f t="shared" si="9"/>
        <v>146.5</v>
      </c>
      <c r="U130" s="244"/>
      <c r="V130" s="282">
        <f t="shared" si="10"/>
        <v>0</v>
      </c>
      <c r="W130" s="282"/>
      <c r="X130" s="282"/>
      <c r="Y130" s="282"/>
      <c r="Z130" s="282"/>
      <c r="AA130" s="282"/>
      <c r="AB130" s="300" t="str">
        <f t="shared" si="45"/>
        <v>pin in groundstacking hole</v>
      </c>
      <c r="AC130" s="457" t="b">
        <f>IF(AD130=24,AF130)</f>
        <v>0</v>
      </c>
      <c r="AD130" s="457">
        <f t="shared" si="19"/>
        <v>1</v>
      </c>
      <c r="AE130" s="457">
        <f>IF(V130=0,0,24)</f>
        <v>0</v>
      </c>
      <c r="AF130" s="282">
        <f>SUM(V130)/($B$104-B129)</f>
        <v>0</v>
      </c>
      <c r="AG130" s="282"/>
      <c r="AH130" s="301">
        <f>SUM(D108:D130)+$C$107</f>
        <v>0</v>
      </c>
      <c r="AI130" s="399" t="b">
        <f t="shared" si="20"/>
        <v>0</v>
      </c>
      <c r="AJ130" s="173">
        <f t="shared" si="21"/>
        <v>69.344714800000006</v>
      </c>
      <c r="AK130" s="284">
        <f t="shared" si="12"/>
        <v>0.93571960494171247</v>
      </c>
      <c r="AL130" s="174">
        <f t="shared" si="22"/>
        <v>180.0511663828843</v>
      </c>
      <c r="AM130" s="173">
        <f t="shared" si="23"/>
        <v>50.174479900000001</v>
      </c>
      <c r="AN130" s="285">
        <f t="shared" si="24"/>
        <v>0.76799833627881664</v>
      </c>
      <c r="AO130" s="174">
        <f t="shared" si="25"/>
        <v>146.50336262854705</v>
      </c>
      <c r="AP130" s="404">
        <f t="shared" si="26"/>
        <v>-55.711457997519368</v>
      </c>
      <c r="AQ130" s="174">
        <f t="shared" si="27"/>
        <v>-561</v>
      </c>
      <c r="AR130" s="287">
        <f t="shared" si="28"/>
        <v>-418.5</v>
      </c>
      <c r="AS130" s="288">
        <f t="shared" si="29"/>
        <v>326.55452901143133</v>
      </c>
      <c r="AT130" s="289">
        <f t="shared" si="43"/>
        <v>-146.50336262854705</v>
      </c>
      <c r="AU130" s="290">
        <f t="shared" si="30"/>
        <v>90.791904631027677</v>
      </c>
      <c r="AV130" s="289"/>
      <c r="AW130" s="291">
        <f t="shared" si="31"/>
        <v>-302.14451044941717</v>
      </c>
      <c r="AX130" s="291">
        <f t="shared" si="32"/>
        <v>-116.35548955058279</v>
      </c>
      <c r="AY130" s="292">
        <f t="shared" si="13"/>
        <v>-38.392224908358834</v>
      </c>
      <c r="AZ130" s="292">
        <f t="shared" si="14"/>
        <v>-85.943517049556462</v>
      </c>
      <c r="BA130" s="294">
        <f t="shared" si="33"/>
        <v>38.392224908358834</v>
      </c>
      <c r="BB130" s="294">
        <f t="shared" si="34"/>
        <v>85.943517049556462</v>
      </c>
      <c r="BC130">
        <f t="shared" si="35"/>
        <v>0.3</v>
      </c>
      <c r="BG130" s="27"/>
      <c r="BH130" s="27"/>
      <c r="BI130" s="219">
        <v>23</v>
      </c>
      <c r="BJ130" s="748">
        <f t="shared" si="40"/>
        <v>700</v>
      </c>
      <c r="BK130" s="746">
        <f t="shared" si="41"/>
        <v>700</v>
      </c>
      <c r="BL130" s="752">
        <f t="shared" si="38"/>
        <v>587.48203015628553</v>
      </c>
      <c r="BM130" s="180">
        <f t="shared" si="36"/>
        <v>587.48203015628553</v>
      </c>
      <c r="BN130" s="180">
        <f t="shared" si="42"/>
        <v>12.517969843714454</v>
      </c>
      <c r="BO130" s="180" t="b">
        <f t="shared" si="39"/>
        <v>0</v>
      </c>
      <c r="BP130" s="14"/>
      <c r="CX130" s="42"/>
    </row>
    <row r="131" spans="2:135" s="15" customFormat="1" ht="21" customHeight="1" thickBot="1" x14ac:dyDescent="0.5">
      <c r="B131" s="358"/>
      <c r="C131" s="358"/>
      <c r="D131" s="359"/>
      <c r="E131" s="359"/>
      <c r="F131" s="359"/>
      <c r="G131" s="359"/>
      <c r="H131" s="265"/>
      <c r="I131" s="265"/>
      <c r="J131" s="265"/>
      <c r="K131" s="265"/>
      <c r="L131" s="265"/>
      <c r="M131" s="265"/>
      <c r="N131" s="265"/>
      <c r="O131" s="265"/>
      <c r="P131" s="265"/>
      <c r="Q131" s="265"/>
      <c r="R131" s="265"/>
      <c r="S131" s="265"/>
      <c r="T131" s="265"/>
      <c r="U131" s="265"/>
      <c r="V131" s="360"/>
      <c r="W131" s="360"/>
      <c r="X131" s="360"/>
      <c r="Y131" s="360"/>
      <c r="Z131" s="360"/>
      <c r="AA131" s="360"/>
      <c r="AB131" s="361"/>
      <c r="AC131" s="361"/>
      <c r="AD131" s="361"/>
      <c r="AE131" s="361"/>
      <c r="AF131" s="360"/>
      <c r="AG131" s="360"/>
      <c r="AH131" s="360"/>
      <c r="AI131" s="360"/>
      <c r="AJ131" s="359"/>
      <c r="AK131" s="362"/>
      <c r="AL131" s="363"/>
      <c r="AM131" s="359"/>
      <c r="AN131" s="362"/>
      <c r="AO131" s="363"/>
      <c r="AP131" s="364"/>
      <c r="AQ131" s="363"/>
      <c r="AR131" s="364"/>
      <c r="AS131" s="364"/>
      <c r="AT131" s="364"/>
      <c r="AU131" s="364"/>
      <c r="AV131" s="364"/>
      <c r="AW131" s="364"/>
      <c r="AX131" s="364"/>
      <c r="AY131" s="365"/>
      <c r="AZ131" s="365"/>
      <c r="BA131" s="365"/>
      <c r="BB131" s="365"/>
      <c r="BG131" s="357"/>
      <c r="BH131" s="357"/>
      <c r="BI131" s="219">
        <v>24</v>
      </c>
      <c r="BJ131" s="748">
        <f t="shared" si="40"/>
        <v>750</v>
      </c>
      <c r="BK131" s="746">
        <f t="shared" si="41"/>
        <v>750</v>
      </c>
      <c r="BL131" s="752">
        <f t="shared" si="38"/>
        <v>637.48203015628553</v>
      </c>
      <c r="BM131" s="180">
        <f t="shared" si="36"/>
        <v>637.48203015628553</v>
      </c>
      <c r="BN131" s="180">
        <f t="shared" si="42"/>
        <v>12.517969843714454</v>
      </c>
      <c r="BO131" s="180" t="b">
        <f t="shared" si="39"/>
        <v>0</v>
      </c>
      <c r="CX131" s="356"/>
    </row>
    <row r="132" spans="2:135" s="15" customFormat="1" ht="41.25" customHeight="1" thickBot="1" x14ac:dyDescent="0.5">
      <c r="B132" s="2043" t="s">
        <v>162</v>
      </c>
      <c r="C132" s="358"/>
      <c r="D132" s="359"/>
      <c r="E132" s="359"/>
      <c r="F132" s="359"/>
      <c r="G132" s="359"/>
      <c r="H132" s="265"/>
      <c r="I132" s="265"/>
      <c r="J132" s="265"/>
      <c r="K132" s="265"/>
      <c r="L132" s="265"/>
      <c r="M132" s="265"/>
      <c r="N132" s="265"/>
      <c r="O132" s="265"/>
      <c r="P132" s="265"/>
      <c r="Q132" s="265"/>
      <c r="R132" s="265"/>
      <c r="S132" s="265"/>
      <c r="T132" s="265"/>
      <c r="U132" s="265"/>
      <c r="V132" s="360"/>
      <c r="W132" s="360"/>
      <c r="X132" s="360"/>
      <c r="Y132" s="360"/>
      <c r="Z132" s="360"/>
      <c r="AA132" s="360"/>
      <c r="AB132" s="361"/>
      <c r="AC132" s="361"/>
      <c r="AD132" s="361"/>
      <c r="AE132" s="361"/>
      <c r="AF132" s="360"/>
      <c r="AG132" s="360"/>
      <c r="AH132" s="383" t="s">
        <v>125</v>
      </c>
      <c r="AI132" s="371">
        <f>MAX(AI107:AI130)</f>
        <v>0</v>
      </c>
      <c r="AJ132" s="359"/>
      <c r="AK132" s="362"/>
      <c r="AL132" s="363"/>
      <c r="AM132" s="359"/>
      <c r="AN132" s="362"/>
      <c r="AO132" s="363"/>
      <c r="AP132" s="364"/>
      <c r="AQ132" s="363"/>
      <c r="AR132" s="364"/>
      <c r="AS132" s="364"/>
      <c r="AT132" s="364"/>
      <c r="AU132" s="364"/>
      <c r="AV132" s="364"/>
      <c r="AW132" s="364"/>
      <c r="AX132" s="364"/>
      <c r="AY132" s="365"/>
      <c r="AZ132" s="365"/>
      <c r="BA132" s="365"/>
      <c r="BB132" s="365"/>
      <c r="BG132" s="357"/>
      <c r="BH132" s="357"/>
      <c r="BI132" s="219">
        <v>25</v>
      </c>
      <c r="BJ132" s="748">
        <f t="shared" si="40"/>
        <v>800</v>
      </c>
      <c r="BK132" s="746">
        <f t="shared" si="41"/>
        <v>800</v>
      </c>
      <c r="BL132" s="752">
        <f t="shared" si="38"/>
        <v>687.48203015628553</v>
      </c>
      <c r="BM132" s="180">
        <f t="shared" si="36"/>
        <v>687.48203015628553</v>
      </c>
      <c r="BN132" s="180">
        <f t="shared" si="42"/>
        <v>12.517969843714454</v>
      </c>
      <c r="BO132" s="180" t="b">
        <f t="shared" si="39"/>
        <v>0</v>
      </c>
      <c r="CX132" s="356"/>
    </row>
    <row r="133" spans="2:135" s="15" customFormat="1" ht="37.5" customHeight="1" thickBot="1" x14ac:dyDescent="0.5">
      <c r="B133" s="2044"/>
      <c r="D133" s="359"/>
      <c r="E133" s="359"/>
      <c r="F133" s="359"/>
      <c r="G133" s="359"/>
      <c r="H133" s="265"/>
      <c r="I133" s="265"/>
      <c r="J133" s="265"/>
      <c r="K133" s="265"/>
      <c r="L133" s="265"/>
      <c r="M133" s="265"/>
      <c r="N133" s="265"/>
      <c r="O133" s="265"/>
      <c r="P133" s="265"/>
      <c r="Q133" s="265"/>
      <c r="R133" s="265"/>
      <c r="S133" s="265"/>
      <c r="T133" s="265"/>
      <c r="U133" s="265"/>
      <c r="V133" s="360"/>
      <c r="W133" s="360"/>
      <c r="X133" s="360"/>
      <c r="Y133" s="360"/>
      <c r="Z133" s="360"/>
      <c r="AA133" s="360"/>
      <c r="AB133" s="361"/>
      <c r="AC133" s="361"/>
      <c r="AD133" s="361"/>
      <c r="AE133" s="361"/>
      <c r="AF133" s="360"/>
      <c r="AG133" s="360"/>
      <c r="AH133" s="360"/>
      <c r="AI133" s="360"/>
      <c r="AJ133" s="359"/>
      <c r="AK133" s="362"/>
      <c r="AL133" s="363"/>
      <c r="AM133" s="359"/>
      <c r="AN133" s="362"/>
      <c r="AO133" s="363"/>
      <c r="AP133" s="364"/>
      <c r="AQ133" s="363"/>
      <c r="AR133" s="364"/>
      <c r="AS133" s="364"/>
      <c r="AT133" s="364"/>
      <c r="AU133" s="364"/>
      <c r="AV133" s="364"/>
      <c r="AW133" s="364"/>
      <c r="AX133" s="364"/>
      <c r="AY133" s="365"/>
      <c r="AZ133" s="365"/>
      <c r="BA133" s="365"/>
      <c r="BB133" s="365"/>
      <c r="BG133" s="357"/>
      <c r="BH133" s="357"/>
      <c r="BI133" s="219">
        <v>26</v>
      </c>
      <c r="BJ133" s="748">
        <f t="shared" si="40"/>
        <v>850</v>
      </c>
      <c r="BK133" s="746">
        <f t="shared" si="41"/>
        <v>850</v>
      </c>
      <c r="BL133" s="752">
        <f t="shared" si="38"/>
        <v>737.48203015628553</v>
      </c>
      <c r="BM133" s="180">
        <f t="shared" si="36"/>
        <v>737.48203015628553</v>
      </c>
      <c r="BN133" s="180">
        <f t="shared" si="42"/>
        <v>12.517969843714454</v>
      </c>
      <c r="BO133" s="180" t="b">
        <f t="shared" si="39"/>
        <v>0</v>
      </c>
      <c r="CX133" s="356"/>
    </row>
    <row r="134" spans="2:135" s="15" customFormat="1" ht="37.5" customHeight="1" thickBot="1" x14ac:dyDescent="0.5">
      <c r="B134" s="741">
        <v>0</v>
      </c>
      <c r="C134" s="358"/>
      <c r="D134" s="359"/>
      <c r="E134" s="359"/>
      <c r="F134" s="359"/>
      <c r="G134" s="359"/>
      <c r="H134" s="265"/>
      <c r="I134" s="265"/>
      <c r="J134" s="265"/>
      <c r="K134" s="265"/>
      <c r="L134" s="265"/>
      <c r="M134" s="265"/>
      <c r="N134" s="265"/>
      <c r="O134" s="265"/>
      <c r="P134" s="265"/>
      <c r="Q134" s="265"/>
      <c r="R134" s="265"/>
      <c r="S134" s="265"/>
      <c r="T134" s="265"/>
      <c r="U134" s="265"/>
      <c r="V134" s="360"/>
      <c r="W134" s="360"/>
      <c r="X134" s="360"/>
      <c r="Y134" s="360"/>
      <c r="Z134" s="360"/>
      <c r="AA134" s="360"/>
      <c r="AB134" s="361"/>
      <c r="AC134" s="361"/>
      <c r="AD134" s="361"/>
      <c r="AE134" s="361"/>
      <c r="AF134" s="360"/>
      <c r="AG134" s="360"/>
      <c r="AH134" s="360"/>
      <c r="AI134" s="360"/>
      <c r="AJ134" s="359"/>
      <c r="AK134" s="362"/>
      <c r="AL134" s="363"/>
      <c r="AM134" s="359"/>
      <c r="AN134" s="362"/>
      <c r="AO134" s="363"/>
      <c r="AP134" s="364"/>
      <c r="AQ134" s="363"/>
      <c r="AR134" s="364"/>
      <c r="AS134" s="364"/>
      <c r="AT134" s="364"/>
      <c r="AU134" s="364"/>
      <c r="AV134" s="364"/>
      <c r="AW134" s="364"/>
      <c r="AX134" s="364"/>
      <c r="AY134" s="365"/>
      <c r="AZ134" s="365"/>
      <c r="BA134" s="365"/>
      <c r="BB134" s="365"/>
      <c r="BG134" s="357"/>
      <c r="BH134" s="357"/>
      <c r="BI134" s="219">
        <v>27</v>
      </c>
      <c r="BJ134" s="748">
        <f t="shared" si="40"/>
        <v>900</v>
      </c>
      <c r="BK134" s="746">
        <f t="shared" si="41"/>
        <v>900</v>
      </c>
      <c r="BL134" s="752">
        <f t="shared" si="38"/>
        <v>787.48203015628553</v>
      </c>
      <c r="BM134" s="180">
        <f t="shared" si="36"/>
        <v>787.48203015628553</v>
      </c>
      <c r="BN134" s="180">
        <f t="shared" si="42"/>
        <v>12.517969843714454</v>
      </c>
      <c r="BO134" s="180" t="b">
        <f t="shared" si="39"/>
        <v>0</v>
      </c>
      <c r="CX134" s="356"/>
    </row>
    <row r="135" spans="2:135" s="15" customFormat="1" ht="21" customHeight="1" thickBot="1" x14ac:dyDescent="0.5">
      <c r="B135" s="358"/>
      <c r="C135" s="358"/>
      <c r="D135" s="359"/>
      <c r="E135" s="359"/>
      <c r="F135" s="359"/>
      <c r="G135" s="359"/>
      <c r="H135" s="265"/>
      <c r="I135" s="265"/>
      <c r="J135" s="265"/>
      <c r="K135" s="265"/>
      <c r="L135" s="265"/>
      <c r="M135" s="265"/>
      <c r="N135" s="265"/>
      <c r="O135" s="265"/>
      <c r="P135" s="265"/>
      <c r="Q135" s="265"/>
      <c r="R135" s="265"/>
      <c r="S135" s="265"/>
      <c r="T135" s="265"/>
      <c r="U135" s="265"/>
      <c r="V135" s="360"/>
      <c r="W135" s="360"/>
      <c r="X135" s="360"/>
      <c r="Y135" s="360"/>
      <c r="Z135" s="360"/>
      <c r="AA135" s="360"/>
      <c r="AB135" s="361"/>
      <c r="AC135" s="361"/>
      <c r="AD135" s="361"/>
      <c r="AE135" s="361"/>
      <c r="AF135" s="360"/>
      <c r="AG135" s="360"/>
      <c r="AH135" s="360"/>
      <c r="AI135" s="360"/>
      <c r="AJ135" s="359"/>
      <c r="AK135" s="362"/>
      <c r="AL135" s="363"/>
      <c r="AM135" s="359"/>
      <c r="AN135" s="362"/>
      <c r="AO135" s="363"/>
      <c r="AP135" s="364"/>
      <c r="AQ135" s="363"/>
      <c r="AR135" s="364"/>
      <c r="AS135" s="364"/>
      <c r="AT135" s="364"/>
      <c r="AU135" s="364"/>
      <c r="AV135" s="364"/>
      <c r="AW135" s="364"/>
      <c r="AX135" s="364"/>
      <c r="AY135" s="365"/>
      <c r="AZ135" s="365"/>
      <c r="BA135" s="365"/>
      <c r="BB135" s="365"/>
      <c r="BG135" s="357"/>
      <c r="BH135" s="357"/>
      <c r="BI135" s="219">
        <v>28</v>
      </c>
      <c r="BJ135" s="748">
        <f t="shared" si="40"/>
        <v>950</v>
      </c>
      <c r="BK135" s="746">
        <f t="shared" si="41"/>
        <v>950</v>
      </c>
      <c r="BL135" s="752">
        <f t="shared" si="38"/>
        <v>837.48203015628553</v>
      </c>
      <c r="BM135" s="180">
        <f t="shared" si="36"/>
        <v>837.48203015628553</v>
      </c>
      <c r="BN135" s="180">
        <f t="shared" si="42"/>
        <v>12.517969843714454</v>
      </c>
      <c r="BO135" s="180" t="b">
        <f t="shared" si="39"/>
        <v>0</v>
      </c>
      <c r="CX135" s="356"/>
    </row>
    <row r="136" spans="2:135" ht="79.5" customHeight="1" thickTop="1" thickBot="1" x14ac:dyDescent="0.5">
      <c r="B136" s="695" t="s">
        <v>43</v>
      </c>
      <c r="C136" s="136"/>
      <c r="D136" s="19"/>
      <c r="E136" s="19"/>
      <c r="F136" s="19"/>
      <c r="G136" s="19"/>
      <c r="T136" s="245"/>
      <c r="U136" s="244"/>
      <c r="V136" s="244"/>
      <c r="W136" s="244"/>
      <c r="X136" s="244"/>
      <c r="Y136" s="244"/>
      <c r="Z136" s="244"/>
      <c r="AA136" s="244"/>
      <c r="AB136" s="244"/>
      <c r="AC136" s="244"/>
      <c r="AD136" s="244"/>
      <c r="AE136" s="244"/>
      <c r="AF136" s="244"/>
      <c r="AG136" s="244"/>
      <c r="AH136" s="244"/>
      <c r="AI136" s="244"/>
      <c r="AJ136" s="244"/>
      <c r="AK136" s="244"/>
      <c r="AL136" s="244"/>
      <c r="AM136" s="244"/>
      <c r="AN136" s="244"/>
      <c r="AO136" s="244"/>
      <c r="AP136" s="244"/>
      <c r="AQ136" s="244"/>
      <c r="AR136" s="244"/>
      <c r="AS136" s="244"/>
      <c r="AT136" s="244"/>
      <c r="AU136" s="244"/>
      <c r="AV136" s="244"/>
      <c r="AW136" s="244"/>
      <c r="AX136" s="244"/>
      <c r="AY136" s="244"/>
      <c r="AZ136" s="244"/>
      <c r="BA136" s="244"/>
      <c r="BB136" s="244"/>
      <c r="BC136" s="7"/>
      <c r="BD136" s="7"/>
      <c r="BI136" s="219">
        <v>29</v>
      </c>
      <c r="BJ136" s="748">
        <f t="shared" si="40"/>
        <v>1000</v>
      </c>
      <c r="BK136" s="746">
        <f t="shared" si="41"/>
        <v>1000</v>
      </c>
      <c r="BL136" s="752">
        <f t="shared" si="38"/>
        <v>887.48203015628553</v>
      </c>
      <c r="BM136" s="180">
        <f t="shared" si="36"/>
        <v>887.48203015628553</v>
      </c>
      <c r="BN136" s="180">
        <f t="shared" si="42"/>
        <v>12.517969843714454</v>
      </c>
      <c r="BO136" s="180" t="b">
        <f t="shared" si="39"/>
        <v>0</v>
      </c>
      <c r="CR136" s="27"/>
      <c r="CS136" s="27"/>
      <c r="CT136" s="27"/>
      <c r="CU136" s="27"/>
      <c r="CV136" s="27"/>
      <c r="CW136" s="27"/>
      <c r="CX136" s="27"/>
      <c r="ED136" s="185"/>
      <c r="EE136" s="185"/>
    </row>
    <row r="137" spans="2:135" ht="26.4" thickTop="1" thickBot="1" x14ac:dyDescent="0.5">
      <c r="B137" s="743">
        <v>1</v>
      </c>
      <c r="C137" s="671"/>
      <c r="D137" s="704" t="s">
        <v>104</v>
      </c>
      <c r="E137" s="445"/>
      <c r="F137" s="445"/>
      <c r="G137" s="445"/>
      <c r="H137" s="764" t="s">
        <v>172</v>
      </c>
      <c r="I137" s="764" t="s">
        <v>173</v>
      </c>
      <c r="J137" s="764" t="s">
        <v>174</v>
      </c>
      <c r="K137"/>
      <c r="L137"/>
      <c r="M137"/>
      <c r="N137"/>
      <c r="O137"/>
      <c r="P137" s="764" t="s">
        <v>175</v>
      </c>
      <c r="Q137" s="764" t="s">
        <v>176</v>
      </c>
      <c r="R137" s="445"/>
      <c r="S137" s="764" t="s">
        <v>177</v>
      </c>
      <c r="T137" s="307"/>
      <c r="W137" s="2047" t="s">
        <v>178</v>
      </c>
      <c r="X137" s="2047"/>
      <c r="Y137" s="2047"/>
      <c r="Z137" s="2047"/>
      <c r="AA137" s="2047"/>
      <c r="AF137" s="244"/>
      <c r="AG137" s="244"/>
      <c r="AH137" s="244"/>
      <c r="AI137" s="244"/>
      <c r="AJ137" s="244"/>
      <c r="AK137" s="244"/>
      <c r="AL137" s="244"/>
      <c r="AM137" s="244"/>
      <c r="AN137" s="244"/>
      <c r="AO137" s="244"/>
      <c r="AP137" s="244"/>
      <c r="AQ137" s="244"/>
      <c r="AR137" s="244"/>
      <c r="AS137" s="244"/>
      <c r="AT137" s="244"/>
      <c r="AU137" s="244"/>
      <c r="AV137" s="244"/>
      <c r="AW137" s="244"/>
      <c r="AX137" s="244"/>
      <c r="AY137" s="244"/>
      <c r="AZ137" s="272"/>
      <c r="BA137" s="2045" t="s">
        <v>68</v>
      </c>
      <c r="BB137" s="2046"/>
      <c r="BC137" s="7"/>
      <c r="BD137" s="7"/>
      <c r="BG137" s="27"/>
      <c r="BI137" s="219">
        <v>30</v>
      </c>
      <c r="BJ137" s="748">
        <f t="shared" si="40"/>
        <v>1050</v>
      </c>
      <c r="BK137" s="746">
        <f t="shared" si="41"/>
        <v>1050</v>
      </c>
      <c r="BL137" s="752">
        <f t="shared" si="38"/>
        <v>937.48203015628553</v>
      </c>
      <c r="BM137" s="180">
        <f t="shared" si="36"/>
        <v>937.48203015628553</v>
      </c>
      <c r="BN137" s="180">
        <f t="shared" si="42"/>
        <v>12.517969843714454</v>
      </c>
      <c r="BO137" s="180" t="b">
        <f t="shared" si="39"/>
        <v>0</v>
      </c>
      <c r="CR137" s="27"/>
      <c r="CS137" s="27"/>
      <c r="CT137" s="27"/>
      <c r="CU137" s="27"/>
      <c r="CV137" s="27"/>
      <c r="CW137" s="27"/>
      <c r="CX137" s="27"/>
      <c r="ED137" s="185"/>
      <c r="EE137" s="185"/>
    </row>
    <row r="138" spans="2:135" ht="21.6" hidden="1" thickTop="1" thickBot="1" x14ac:dyDescent="0.4">
      <c r="B138" s="358"/>
      <c r="C138" s="76"/>
      <c r="D138" s="734" t="s">
        <v>13</v>
      </c>
      <c r="E138" s="15"/>
      <c r="F138" s="15"/>
      <c r="G138" s="15"/>
      <c r="H138" s="309" t="s">
        <v>4</v>
      </c>
      <c r="I138" s="309" t="s">
        <v>1</v>
      </c>
      <c r="J138" s="334" t="s">
        <v>119</v>
      </c>
      <c r="K138" s="305" t="s">
        <v>2</v>
      </c>
      <c r="L138" s="305" t="s">
        <v>3</v>
      </c>
      <c r="M138" s="305" t="s">
        <v>8</v>
      </c>
      <c r="N138" s="305" t="s">
        <v>5</v>
      </c>
      <c r="O138" s="305" t="s">
        <v>6</v>
      </c>
      <c r="P138" s="305" t="s">
        <v>7</v>
      </c>
      <c r="Q138" s="305" t="s">
        <v>9</v>
      </c>
      <c r="R138" s="309" t="s">
        <v>10</v>
      </c>
      <c r="S138" s="305" t="s">
        <v>11</v>
      </c>
      <c r="T138" s="306" t="s">
        <v>12</v>
      </c>
      <c r="W138" s="309" t="s">
        <v>182</v>
      </c>
      <c r="X138" s="447" t="s">
        <v>179</v>
      </c>
      <c r="Y138" s="309" t="s">
        <v>183</v>
      </c>
      <c r="Z138" s="448" t="s">
        <v>180</v>
      </c>
      <c r="AA138" s="448" t="s">
        <v>181</v>
      </c>
      <c r="AC138" s="305" t="s">
        <v>184</v>
      </c>
      <c r="AD138" s="305"/>
      <c r="AE138" s="305"/>
      <c r="AF138" s="273"/>
      <c r="AG138" s="273"/>
      <c r="AH138" s="273"/>
      <c r="AI138" s="273"/>
      <c r="AJ138" s="273"/>
      <c r="AK138" s="273"/>
      <c r="AL138" s="273"/>
      <c r="AM138" s="273"/>
      <c r="AN138" s="273"/>
      <c r="AO138" s="273"/>
      <c r="AP138" s="273" t="s">
        <v>108</v>
      </c>
      <c r="AQ138" s="273"/>
      <c r="AR138" s="273" t="s">
        <v>108</v>
      </c>
      <c r="AS138" s="273"/>
      <c r="AT138" s="273"/>
      <c r="AU138" s="273" t="s">
        <v>108</v>
      </c>
      <c r="AV138" s="273"/>
      <c r="AW138" s="273"/>
      <c r="AX138" s="273"/>
      <c r="AY138" s="272" t="s">
        <v>65</v>
      </c>
      <c r="AZ138" s="272"/>
      <c r="BA138" s="273"/>
      <c r="BB138" s="273"/>
      <c r="BC138" s="6"/>
      <c r="CR138" s="27"/>
      <c r="CS138" s="27"/>
      <c r="CT138" s="27"/>
      <c r="CU138" s="27"/>
      <c r="CV138" s="27"/>
      <c r="CW138" s="27"/>
      <c r="CX138" s="27"/>
      <c r="ED138" s="185"/>
      <c r="EE138" s="185"/>
    </row>
    <row r="139" spans="2:135" ht="47.25" customHeight="1" thickTop="1" thickBot="1" x14ac:dyDescent="0.45">
      <c r="B139" s="90"/>
      <c r="C139" s="139"/>
      <c r="D139" s="735" t="s">
        <v>24</v>
      </c>
      <c r="E139" s="19"/>
      <c r="F139" s="445"/>
      <c r="G139" s="50"/>
      <c r="H139" s="309"/>
      <c r="I139" s="309"/>
      <c r="J139" s="334"/>
      <c r="K139" s="305"/>
      <c r="L139" s="305"/>
      <c r="M139" s="305"/>
      <c r="N139" s="305"/>
      <c r="O139" s="305"/>
      <c r="P139" s="305"/>
      <c r="Q139" s="305"/>
      <c r="R139" s="309"/>
      <c r="S139" s="305"/>
      <c r="T139" s="306"/>
      <c r="U139" s="265"/>
      <c r="V139" s="273"/>
      <c r="W139" s="273"/>
      <c r="X139" s="273"/>
      <c r="Y139" s="273"/>
      <c r="Z139" s="273"/>
      <c r="AA139" s="273"/>
      <c r="AB139" s="273"/>
      <c r="AC139" s="452">
        <f>SUM(AC140:AC151)</f>
        <v>343.49989132317432</v>
      </c>
      <c r="AD139" s="453"/>
      <c r="AE139" s="453"/>
      <c r="AF139" s="273" t="s">
        <v>51</v>
      </c>
      <c r="AG139" s="460" t="s">
        <v>188</v>
      </c>
      <c r="AH139" s="274" t="s">
        <v>44</v>
      </c>
      <c r="AI139" s="274"/>
      <c r="AJ139" s="310" t="s">
        <v>106</v>
      </c>
      <c r="AK139" s="275" t="s">
        <v>45</v>
      </c>
      <c r="AL139" s="310" t="s">
        <v>46</v>
      </c>
      <c r="AM139" s="175" t="s">
        <v>107</v>
      </c>
      <c r="AN139" s="276" t="s">
        <v>47</v>
      </c>
      <c r="AO139" s="310" t="s">
        <v>48</v>
      </c>
      <c r="AP139" s="277" t="s">
        <v>61</v>
      </c>
      <c r="AQ139" s="310" t="s">
        <v>60</v>
      </c>
      <c r="AR139" s="277" t="s">
        <v>62</v>
      </c>
      <c r="AS139" s="278" t="s">
        <v>59</v>
      </c>
      <c r="AT139" s="278" t="s">
        <v>118</v>
      </c>
      <c r="AU139" s="277" t="s">
        <v>116</v>
      </c>
      <c r="AV139" s="366"/>
      <c r="AW139" s="279" t="s">
        <v>54</v>
      </c>
      <c r="AX139" s="279" t="s">
        <v>55</v>
      </c>
      <c r="AY139" s="280" t="s">
        <v>25</v>
      </c>
      <c r="AZ139" s="280" t="s">
        <v>26</v>
      </c>
      <c r="BA139" s="281" t="s">
        <v>25</v>
      </c>
      <c r="BB139" s="281" t="s">
        <v>26</v>
      </c>
      <c r="BC139" s="7"/>
      <c r="BD139" s="12"/>
      <c r="CR139" s="27"/>
      <c r="CS139" s="27"/>
      <c r="CT139" s="27"/>
      <c r="CU139" s="27"/>
      <c r="CV139" s="27"/>
      <c r="CW139" s="27"/>
      <c r="CX139" s="27"/>
      <c r="ED139" s="185"/>
      <c r="EE139" s="185"/>
    </row>
    <row r="140" spans="2:135" ht="21" customHeight="1" thickBot="1" x14ac:dyDescent="0.4">
      <c r="B140" s="409">
        <v>1</v>
      </c>
      <c r="C140" s="20">
        <f>+B134+AI132+D140</f>
        <v>0</v>
      </c>
      <c r="D140" s="738">
        <v>0</v>
      </c>
      <c r="E140" s="333" t="s">
        <v>126</v>
      </c>
      <c r="F140" s="81"/>
      <c r="G140" s="81"/>
      <c r="H140" s="764">
        <v>421.92079999999999</v>
      </c>
      <c r="I140" s="764">
        <v>35.4982179</v>
      </c>
      <c r="J140" s="764">
        <f>+I140-C140</f>
        <v>35.4982179</v>
      </c>
      <c r="K140" s="117"/>
      <c r="L140" s="117"/>
      <c r="M140" s="117"/>
      <c r="N140" s="117"/>
      <c r="O140" s="117"/>
      <c r="P140" s="764">
        <f>COS(J140*3.14159265358979/180)</f>
        <v>0.81413357986421708</v>
      </c>
      <c r="Q140" s="764">
        <f>+P140*H140</f>
        <v>343.49989132317432</v>
      </c>
      <c r="R140" s="446">
        <v>343.5</v>
      </c>
      <c r="S140" s="764">
        <f>+Q140</f>
        <v>343.49989132317432</v>
      </c>
      <c r="T140" s="81">
        <f t="shared" ref="T140:T151" si="46">+S140</f>
        <v>343.49989132317432</v>
      </c>
      <c r="U140" s="81"/>
      <c r="V140" s="81">
        <f>IF(B140&lt;($B$137+1),T140,0)</f>
        <v>343.49989132317432</v>
      </c>
      <c r="W140" s="446">
        <v>35.4982179</v>
      </c>
      <c r="X140" s="448">
        <f>+W140+AI152</f>
        <v>35.4982179</v>
      </c>
      <c r="Y140" s="309">
        <v>421.92079999999999</v>
      </c>
      <c r="Z140" s="448">
        <f>+COS(X140*3.14159265358979/180)*Y140</f>
        <v>343.49989132317432</v>
      </c>
      <c r="AA140" s="461">
        <f>+AC139-Z140</f>
        <v>0</v>
      </c>
      <c r="AB140" s="81"/>
      <c r="AC140" s="457">
        <f>IF(AD140=1,AF140)</f>
        <v>343.49989132317432</v>
      </c>
      <c r="AD140" s="457">
        <f>MAX(AE$140:AE$151)</f>
        <v>1</v>
      </c>
      <c r="AE140" s="457">
        <f>IF(V140=0,0,1)</f>
        <v>1</v>
      </c>
      <c r="AF140" s="282">
        <f>SUM(V140:V151)/($B$137)</f>
        <v>343.49989132317432</v>
      </c>
      <c r="AG140" s="282">
        <f>+AF140+$AA$107</f>
        <v>343.49990788730668</v>
      </c>
      <c r="AH140" s="301">
        <f>+D140+C140</f>
        <v>0</v>
      </c>
      <c r="AI140" s="370">
        <f>IF(B140&lt;($B$137+1),AH140)</f>
        <v>0</v>
      </c>
      <c r="AJ140" s="345">
        <f>54.5017821+AH140</f>
        <v>54.5017821</v>
      </c>
      <c r="AK140" s="368">
        <f>SIN(AJ140*3.14159265358979/180)</f>
        <v>0.81413357986421619</v>
      </c>
      <c r="AL140" s="345">
        <f>+AK140*421.92</f>
        <v>343.49924001631013</v>
      </c>
      <c r="AM140" s="345">
        <f>58.7344156-AH140</f>
        <v>58.734415599999998</v>
      </c>
      <c r="AN140" s="285">
        <f>SIN(AM140*3.14159265358979/180)</f>
        <v>0.85477073319485097</v>
      </c>
      <c r="AO140" s="312">
        <f>+AN140*472.06</f>
        <v>403.50307231196138</v>
      </c>
      <c r="AP140" s="287">
        <f>+((AF140*AQ140)+($AQ$161*($AF$161+$AA$140)))/AR140</f>
        <v>207.24661160374168</v>
      </c>
      <c r="AQ140" s="312">
        <f>57*B137</f>
        <v>57</v>
      </c>
      <c r="AR140" s="287">
        <f>+AQ140+$AQ$161+30</f>
        <v>112.5</v>
      </c>
      <c r="AS140" s="288">
        <f>+AO140+AL140</f>
        <v>747.0023123282715</v>
      </c>
      <c r="AT140" s="364">
        <f>+V140-AL140</f>
        <v>6.5130686419934136E-4</v>
      </c>
      <c r="AU140" s="290">
        <f>+AP140-AT140</f>
        <v>207.24596029687748</v>
      </c>
      <c r="AV140" s="367"/>
      <c r="AW140" s="291">
        <f>+((AS140-AU140)/AS140)*AR140</f>
        <v>81.288355606651962</v>
      </c>
      <c r="AX140" s="291">
        <f>+(AU140/AS140)*AR140</f>
        <v>31.211644393348038</v>
      </c>
      <c r="AY140" s="292">
        <f t="shared" ref="AY140:AY151" si="47">2*$C$18/AW140</f>
        <v>142.70186564151328</v>
      </c>
      <c r="AZ140" s="292">
        <f t="shared" ref="AZ140:AZ151" si="48">2*$D$18/AX140</f>
        <v>640.78648814358803</v>
      </c>
      <c r="BA140" s="294">
        <f>ABS(AY140)</f>
        <v>142.70186564151328</v>
      </c>
      <c r="BB140" s="294">
        <f>ABS(AZ140)</f>
        <v>640.78648814358803</v>
      </c>
      <c r="BC140" s="2"/>
      <c r="BD140" s="12"/>
      <c r="CS140" s="27"/>
      <c r="CT140" s="27"/>
      <c r="CU140" s="27"/>
      <c r="CV140" s="27"/>
      <c r="CW140" s="27"/>
      <c r="CX140" s="27"/>
      <c r="ED140" s="185"/>
      <c r="EE140" s="185"/>
    </row>
    <row r="141" spans="2:135" ht="21" customHeight="1" thickBot="1" x14ac:dyDescent="0.4">
      <c r="B141" s="409">
        <v>2</v>
      </c>
      <c r="C141" s="20"/>
      <c r="D141" s="738">
        <v>0</v>
      </c>
      <c r="E141" s="333" t="s">
        <v>126</v>
      </c>
      <c r="F141" s="81"/>
      <c r="G141" s="81"/>
      <c r="H141" s="81">
        <v>472.06</v>
      </c>
      <c r="I141" s="81">
        <v>62.531168700000002</v>
      </c>
      <c r="J141" s="81">
        <f>+I141+D141</f>
        <v>62.531168700000002</v>
      </c>
      <c r="K141" s="81">
        <f t="shared" ref="K141:K151" si="49">+J141/2</f>
        <v>31.265584350000001</v>
      </c>
      <c r="L141" s="81">
        <f t="shared" ref="L141:L151" si="50">SIN(K141*3.14159265358979/180)</f>
        <v>0.51900577347391186</v>
      </c>
      <c r="M141" s="81">
        <f t="shared" ref="M141:M151" si="51">+L141*H141</f>
        <v>245.00186542609484</v>
      </c>
      <c r="N141" s="81">
        <f t="shared" ref="N141:N151" si="52">+M141*2</f>
        <v>490.00373085218968</v>
      </c>
      <c r="O141" s="81">
        <f>+C140+(D141/2)</f>
        <v>0</v>
      </c>
      <c r="P141" s="81">
        <f t="shared" ref="P141:P151" si="53">SIN(O141*3.14159265358979/180)</f>
        <v>0</v>
      </c>
      <c r="Q141" s="81">
        <f t="shared" ref="Q141:Q151" si="54">+P141*N141</f>
        <v>0</v>
      </c>
      <c r="R141" s="81">
        <f t="shared" ref="R141:R151" si="55">+T140</f>
        <v>343.49989132317432</v>
      </c>
      <c r="S141" s="81">
        <f>+R141+Q141</f>
        <v>343.49989132317432</v>
      </c>
      <c r="T141" s="81">
        <f t="shared" si="46"/>
        <v>343.49989132317432</v>
      </c>
      <c r="U141" s="81"/>
      <c r="V141" s="81">
        <f t="shared" ref="V141:V151" si="56">IF(B141&lt;($B$137+1),T141,0)</f>
        <v>0</v>
      </c>
      <c r="W141" s="81"/>
      <c r="X141" s="81"/>
      <c r="Y141" s="81"/>
      <c r="Z141" s="81"/>
      <c r="AA141" s="81"/>
      <c r="AB141" s="81"/>
      <c r="AC141" s="457" t="b">
        <f>IF(AD141=2,AF141)</f>
        <v>0</v>
      </c>
      <c r="AD141" s="457">
        <f t="shared" ref="AD141:AD151" si="57">MAX(AE$140:AE$151)</f>
        <v>1</v>
      </c>
      <c r="AE141" s="457">
        <f>IF(V141=0,0,2)</f>
        <v>0</v>
      </c>
      <c r="AF141" s="282" t="e">
        <f>SUM(V141:V151)/($B$137-B140)</f>
        <v>#DIV/0!</v>
      </c>
      <c r="AG141" s="282"/>
      <c r="AH141" s="301">
        <f>SUM(D141)+$C$140</f>
        <v>0</v>
      </c>
      <c r="AI141" s="370" t="b">
        <f t="shared" ref="AI141:AI151" si="58">IF(B141&lt;($B$137+1),AH141)</f>
        <v>0</v>
      </c>
      <c r="AJ141" s="345">
        <f t="shared" ref="AJ141:AJ151" si="59">54.5017821+AH141</f>
        <v>54.5017821</v>
      </c>
      <c r="AK141" s="368">
        <f>SIN(AJ141*3.14159265358979/180)</f>
        <v>0.81413357986421619</v>
      </c>
      <c r="AL141" s="345">
        <f t="shared" ref="AL141:AL151" si="60">+AK141*421.92</f>
        <v>343.49924001631013</v>
      </c>
      <c r="AM141" s="345">
        <f t="shared" ref="AM141:AM151" si="61">58.7344156-AH141</f>
        <v>58.734415599999998</v>
      </c>
      <c r="AN141" s="285">
        <f t="shared" ref="AN141:AN151" si="62">SIN(AM141*3.14159265358979/180)</f>
        <v>0.85477073319485097</v>
      </c>
      <c r="AO141" s="312">
        <f t="shared" ref="AO141:AO151" si="63">+AN141*472.06</f>
        <v>403.50307231196138</v>
      </c>
      <c r="AP141" s="287" t="e">
        <f t="shared" ref="AP141:AP151" si="64">+((AF141*AQ141)+($AQ$161*($AF$161+$AA$140)))/AR141</f>
        <v>#DIV/0!</v>
      </c>
      <c r="AQ141" s="312">
        <f t="shared" ref="AQ141:AQ151" si="65">57*($B$137-B140)</f>
        <v>0</v>
      </c>
      <c r="AR141" s="287">
        <f t="shared" ref="AR141:AR151" si="66">+AQ141+$AQ$161+30</f>
        <v>55.5</v>
      </c>
      <c r="AS141" s="288">
        <f t="shared" ref="AS141:AS151" si="67">+AO141+AL141</f>
        <v>747.0023123282715</v>
      </c>
      <c r="AT141" s="364">
        <f t="shared" ref="AT141:AT151" si="68">+V141-AL141</f>
        <v>-343.49924001631013</v>
      </c>
      <c r="AU141" s="290" t="e">
        <f t="shared" ref="AU141:AU151" si="69">+AP141-AT141</f>
        <v>#DIV/0!</v>
      </c>
      <c r="AV141" s="367"/>
      <c r="AW141" s="291" t="e">
        <f t="shared" ref="AW141:AW151" si="70">+((AS141-AU141)/AS141)*AR141</f>
        <v>#DIV/0!</v>
      </c>
      <c r="AX141" s="291" t="e">
        <f t="shared" ref="AX141:AX151" si="71">+(AU141/AS141)*AR141</f>
        <v>#DIV/0!</v>
      </c>
      <c r="AY141" s="292" t="e">
        <f t="shared" si="47"/>
        <v>#DIV/0!</v>
      </c>
      <c r="AZ141" s="292" t="e">
        <f t="shared" si="48"/>
        <v>#DIV/0!</v>
      </c>
      <c r="BA141" s="294" t="e">
        <f t="shared" ref="BA141:BB151" si="72">ABS(AY141)</f>
        <v>#DIV/0!</v>
      </c>
      <c r="BB141" s="294" t="e">
        <f t="shared" si="72"/>
        <v>#DIV/0!</v>
      </c>
      <c r="BD141" s="12"/>
      <c r="CR141" s="27"/>
      <c r="CS141" s="27"/>
      <c r="CT141" s="27"/>
      <c r="CU141" s="27"/>
      <c r="CV141" s="27"/>
      <c r="CW141" s="27"/>
      <c r="CX141" s="27"/>
      <c r="ED141" s="185"/>
      <c r="EE141" s="185"/>
    </row>
    <row r="142" spans="2:135" ht="21" customHeight="1" thickBot="1" x14ac:dyDescent="0.4">
      <c r="B142" s="409">
        <v>3</v>
      </c>
      <c r="C142" s="20"/>
      <c r="D142" s="738">
        <v>0</v>
      </c>
      <c r="E142" s="333" t="s">
        <v>126</v>
      </c>
      <c r="F142" s="81"/>
      <c r="G142" s="81"/>
      <c r="H142" s="81">
        <v>472.06</v>
      </c>
      <c r="I142" s="81">
        <v>62.531168700000002</v>
      </c>
      <c r="J142" s="81">
        <f t="shared" ref="J142:J151" si="73">+I142+D142</f>
        <v>62.531168700000002</v>
      </c>
      <c r="K142" s="81">
        <f t="shared" si="49"/>
        <v>31.265584350000001</v>
      </c>
      <c r="L142" s="81">
        <f t="shared" si="50"/>
        <v>0.51900577347391186</v>
      </c>
      <c r="M142" s="81">
        <f t="shared" si="51"/>
        <v>245.00186542609484</v>
      </c>
      <c r="N142" s="81">
        <f t="shared" si="52"/>
        <v>490.00373085218968</v>
      </c>
      <c r="O142" s="81">
        <f>+C140+D141+(D142/2)</f>
        <v>0</v>
      </c>
      <c r="P142" s="81">
        <f t="shared" si="53"/>
        <v>0</v>
      </c>
      <c r="Q142" s="81">
        <f t="shared" si="54"/>
        <v>0</v>
      </c>
      <c r="R142" s="81">
        <f t="shared" si="55"/>
        <v>343.49989132317432</v>
      </c>
      <c r="S142" s="81">
        <f t="shared" ref="S142:S151" si="74">+S141+Q142</f>
        <v>343.49989132317432</v>
      </c>
      <c r="T142" s="81">
        <f t="shared" si="46"/>
        <v>343.49989132317432</v>
      </c>
      <c r="U142" s="81"/>
      <c r="V142" s="81">
        <f t="shared" si="56"/>
        <v>0</v>
      </c>
      <c r="W142" s="81"/>
      <c r="X142" s="81"/>
      <c r="Y142" s="81"/>
      <c r="Z142" s="81"/>
      <c r="AA142" s="81"/>
      <c r="AB142" s="81"/>
      <c r="AC142" s="457" t="b">
        <f>IF(AD142=3,AF142)</f>
        <v>0</v>
      </c>
      <c r="AD142" s="457">
        <f t="shared" si="57"/>
        <v>1</v>
      </c>
      <c r="AE142" s="457">
        <f>IF(V142=0,0,3)</f>
        <v>0</v>
      </c>
      <c r="AF142" s="282">
        <f>SUM(V142:V151)/($B$137-B141)</f>
        <v>0</v>
      </c>
      <c r="AG142" s="282"/>
      <c r="AH142" s="301">
        <f>SUM(D141:D142)+$C$140</f>
        <v>0</v>
      </c>
      <c r="AI142" s="370" t="b">
        <f t="shared" si="58"/>
        <v>0</v>
      </c>
      <c r="AJ142" s="345">
        <f t="shared" si="59"/>
        <v>54.5017821</v>
      </c>
      <c r="AK142" s="368">
        <f t="shared" ref="AK142:AK151" si="75">SIN(AJ142*3.14159265358979/180)</f>
        <v>0.81413357986421619</v>
      </c>
      <c r="AL142" s="345">
        <f t="shared" si="60"/>
        <v>343.49924001631013</v>
      </c>
      <c r="AM142" s="345">
        <f t="shared" si="61"/>
        <v>58.734415599999998</v>
      </c>
      <c r="AN142" s="285">
        <f t="shared" si="62"/>
        <v>0.85477073319485097</v>
      </c>
      <c r="AO142" s="312">
        <f t="shared" si="63"/>
        <v>403.50307231196138</v>
      </c>
      <c r="AP142" s="287">
        <f t="shared" si="64"/>
        <v>-2490.5</v>
      </c>
      <c r="AQ142" s="312">
        <f t="shared" si="65"/>
        <v>-57</v>
      </c>
      <c r="AR142" s="287">
        <f t="shared" si="66"/>
        <v>-1.5</v>
      </c>
      <c r="AS142" s="288">
        <f t="shared" si="67"/>
        <v>747.0023123282715</v>
      </c>
      <c r="AT142" s="364">
        <f t="shared" si="68"/>
        <v>-343.49924001631013</v>
      </c>
      <c r="AU142" s="290">
        <f t="shared" si="69"/>
        <v>-2147.0007599836899</v>
      </c>
      <c r="AV142" s="367"/>
      <c r="AW142" s="291">
        <f t="shared" si="70"/>
        <v>-5.8112331606281291</v>
      </c>
      <c r="AX142" s="291">
        <f t="shared" si="71"/>
        <v>4.3112331606281291</v>
      </c>
      <c r="AY142" s="292">
        <f t="shared" si="47"/>
        <v>-1996.1339838489926</v>
      </c>
      <c r="AZ142" s="292">
        <f t="shared" si="48"/>
        <v>4639.0439242877974</v>
      </c>
      <c r="BA142" s="294">
        <f t="shared" si="72"/>
        <v>1996.1339838489926</v>
      </c>
      <c r="BB142" s="294">
        <f t="shared" si="72"/>
        <v>4639.0439242877974</v>
      </c>
      <c r="BD142" s="12"/>
      <c r="CS142" s="27"/>
      <c r="CT142" s="27"/>
      <c r="CU142" s="27"/>
      <c r="CV142" s="27"/>
      <c r="CW142" s="27"/>
      <c r="CX142" s="27"/>
      <c r="ED142" s="185"/>
      <c r="EE142" s="185"/>
    </row>
    <row r="143" spans="2:135" ht="21" customHeight="1" thickBot="1" x14ac:dyDescent="0.4">
      <c r="B143" s="409">
        <v>4</v>
      </c>
      <c r="C143" s="20"/>
      <c r="D143" s="738">
        <v>0</v>
      </c>
      <c r="E143" s="333" t="s">
        <v>126</v>
      </c>
      <c r="F143" s="81"/>
      <c r="G143" s="81"/>
      <c r="H143" s="81">
        <v>472.06</v>
      </c>
      <c r="I143" s="81">
        <v>62.531168700000002</v>
      </c>
      <c r="J143" s="81">
        <f t="shared" si="73"/>
        <v>62.531168700000002</v>
      </c>
      <c r="K143" s="81">
        <f t="shared" si="49"/>
        <v>31.265584350000001</v>
      </c>
      <c r="L143" s="81">
        <f t="shared" si="50"/>
        <v>0.51900577347391186</v>
      </c>
      <c r="M143" s="81">
        <f t="shared" si="51"/>
        <v>245.00186542609484</v>
      </c>
      <c r="N143" s="81">
        <f t="shared" si="52"/>
        <v>490.00373085218968</v>
      </c>
      <c r="O143" s="81">
        <f>+C140+D141+D142+(D143/2)</f>
        <v>0</v>
      </c>
      <c r="P143" s="81">
        <f t="shared" si="53"/>
        <v>0</v>
      </c>
      <c r="Q143" s="81">
        <f t="shared" si="54"/>
        <v>0</v>
      </c>
      <c r="R143" s="81">
        <f t="shared" si="55"/>
        <v>343.49989132317432</v>
      </c>
      <c r="S143" s="81">
        <f t="shared" si="74"/>
        <v>343.49989132317432</v>
      </c>
      <c r="T143" s="81">
        <f t="shared" si="46"/>
        <v>343.49989132317432</v>
      </c>
      <c r="U143" s="81"/>
      <c r="V143" s="81">
        <f t="shared" si="56"/>
        <v>0</v>
      </c>
      <c r="W143" s="81"/>
      <c r="X143" s="81"/>
      <c r="Y143" s="81"/>
      <c r="Z143" s="81"/>
      <c r="AA143" s="81"/>
      <c r="AB143" s="81"/>
      <c r="AC143" s="457" t="b">
        <f>IF(AD143=4,AF143)</f>
        <v>0</v>
      </c>
      <c r="AD143" s="457">
        <f t="shared" si="57"/>
        <v>1</v>
      </c>
      <c r="AE143" s="457">
        <f>IF(V143=0,0,4)</f>
        <v>0</v>
      </c>
      <c r="AF143" s="282">
        <f>SUM(V143:V151)/($B$137-B142)</f>
        <v>0</v>
      </c>
      <c r="AG143" s="282"/>
      <c r="AH143" s="301">
        <f>SUM(D141:D143)+$C$140</f>
        <v>0</v>
      </c>
      <c r="AI143" s="370" t="b">
        <f t="shared" si="58"/>
        <v>0</v>
      </c>
      <c r="AJ143" s="345">
        <f t="shared" si="59"/>
        <v>54.5017821</v>
      </c>
      <c r="AK143" s="368">
        <f t="shared" si="75"/>
        <v>0.81413357986421619</v>
      </c>
      <c r="AL143" s="345">
        <f t="shared" si="60"/>
        <v>343.49924001631013</v>
      </c>
      <c r="AM143" s="345">
        <f t="shared" si="61"/>
        <v>58.734415599999998</v>
      </c>
      <c r="AN143" s="285">
        <f t="shared" si="62"/>
        <v>0.85477073319485097</v>
      </c>
      <c r="AO143" s="312">
        <f t="shared" si="63"/>
        <v>403.50307231196138</v>
      </c>
      <c r="AP143" s="287">
        <f t="shared" si="64"/>
        <v>-63.858974358974358</v>
      </c>
      <c r="AQ143" s="312">
        <f t="shared" si="65"/>
        <v>-114</v>
      </c>
      <c r="AR143" s="287">
        <f t="shared" si="66"/>
        <v>-58.5</v>
      </c>
      <c r="AS143" s="288">
        <f t="shared" si="67"/>
        <v>747.0023123282715</v>
      </c>
      <c r="AT143" s="364">
        <f t="shared" si="68"/>
        <v>-343.49924001631013</v>
      </c>
      <c r="AU143" s="290">
        <f t="shared" si="69"/>
        <v>279.64026565733576</v>
      </c>
      <c r="AV143" s="367"/>
      <c r="AW143" s="291">
        <f t="shared" si="70"/>
        <v>-36.60052891273358</v>
      </c>
      <c r="AX143" s="291">
        <f t="shared" si="71"/>
        <v>-21.89947108726642</v>
      </c>
      <c r="AY143" s="292">
        <f t="shared" si="47"/>
        <v>-316.93531062509533</v>
      </c>
      <c r="AZ143" s="292">
        <f t="shared" si="48"/>
        <v>-913.26406561613817</v>
      </c>
      <c r="BA143" s="294">
        <f t="shared" si="72"/>
        <v>316.93531062509533</v>
      </c>
      <c r="BB143" s="294">
        <f t="shared" si="72"/>
        <v>913.26406561613817</v>
      </c>
      <c r="BD143" s="12"/>
      <c r="CS143" s="27"/>
      <c r="CT143" s="27"/>
      <c r="CU143" s="27"/>
      <c r="CV143" s="27"/>
      <c r="CW143" s="27"/>
      <c r="CX143" s="27"/>
      <c r="ED143" s="185"/>
      <c r="EE143" s="185"/>
    </row>
    <row r="144" spans="2:135" ht="21" customHeight="1" thickBot="1" x14ac:dyDescent="0.4">
      <c r="B144" s="409">
        <v>5</v>
      </c>
      <c r="C144" s="20"/>
      <c r="D144" s="738">
        <v>0</v>
      </c>
      <c r="E144" s="333" t="s">
        <v>126</v>
      </c>
      <c r="F144" s="81"/>
      <c r="G144" s="81"/>
      <c r="H144" s="81">
        <v>472.06</v>
      </c>
      <c r="I144" s="81">
        <v>62.531168700000002</v>
      </c>
      <c r="J144" s="81">
        <f t="shared" si="73"/>
        <v>62.531168700000002</v>
      </c>
      <c r="K144" s="81">
        <f t="shared" si="49"/>
        <v>31.265584350000001</v>
      </c>
      <c r="L144" s="81">
        <f t="shared" si="50"/>
        <v>0.51900577347391186</v>
      </c>
      <c r="M144" s="81">
        <f t="shared" si="51"/>
        <v>245.00186542609484</v>
      </c>
      <c r="N144" s="81">
        <f t="shared" si="52"/>
        <v>490.00373085218968</v>
      </c>
      <c r="O144" s="81">
        <f>+C140+D141+D142+D143+(D144/2)</f>
        <v>0</v>
      </c>
      <c r="P144" s="81">
        <f t="shared" si="53"/>
        <v>0</v>
      </c>
      <c r="Q144" s="81">
        <f t="shared" si="54"/>
        <v>0</v>
      </c>
      <c r="R144" s="81">
        <f t="shared" si="55"/>
        <v>343.49989132317432</v>
      </c>
      <c r="S144" s="81">
        <f t="shared" si="74"/>
        <v>343.49989132317432</v>
      </c>
      <c r="T144" s="81">
        <f t="shared" si="46"/>
        <v>343.49989132317432</v>
      </c>
      <c r="U144" s="81"/>
      <c r="V144" s="81">
        <f t="shared" si="56"/>
        <v>0</v>
      </c>
      <c r="W144" s="81"/>
      <c r="X144" s="81"/>
      <c r="Y144" s="81"/>
      <c r="Z144" s="81"/>
      <c r="AA144" s="81"/>
      <c r="AB144" s="81"/>
      <c r="AC144" s="457" t="b">
        <f>IF(AD144=5,AF144)</f>
        <v>0</v>
      </c>
      <c r="AD144" s="457">
        <f t="shared" si="57"/>
        <v>1</v>
      </c>
      <c r="AE144" s="457">
        <f>IF(V144=0,0,5)</f>
        <v>0</v>
      </c>
      <c r="AF144" s="282">
        <f>SUM(V144:V151)/($B$137-B143)</f>
        <v>0</v>
      </c>
      <c r="AG144" s="282"/>
      <c r="AH144" s="301">
        <f>SUM(D141:D144)+$C$140</f>
        <v>0</v>
      </c>
      <c r="AI144" s="370" t="b">
        <f t="shared" si="58"/>
        <v>0</v>
      </c>
      <c r="AJ144" s="345">
        <f t="shared" si="59"/>
        <v>54.5017821</v>
      </c>
      <c r="AK144" s="368">
        <f t="shared" si="75"/>
        <v>0.81413357986421619</v>
      </c>
      <c r="AL144" s="345">
        <f t="shared" si="60"/>
        <v>343.49924001631013</v>
      </c>
      <c r="AM144" s="345">
        <f t="shared" si="61"/>
        <v>58.734415599999998</v>
      </c>
      <c r="AN144" s="285">
        <f t="shared" si="62"/>
        <v>0.85477073319485097</v>
      </c>
      <c r="AO144" s="312">
        <f t="shared" si="63"/>
        <v>403.50307231196138</v>
      </c>
      <c r="AP144" s="287">
        <f t="shared" si="64"/>
        <v>-32.344155844155843</v>
      </c>
      <c r="AQ144" s="312">
        <f t="shared" si="65"/>
        <v>-171</v>
      </c>
      <c r="AR144" s="287">
        <f t="shared" si="66"/>
        <v>-115.5</v>
      </c>
      <c r="AS144" s="288">
        <f t="shared" si="67"/>
        <v>747.0023123282715</v>
      </c>
      <c r="AT144" s="364">
        <f t="shared" si="68"/>
        <v>-343.49924001631013</v>
      </c>
      <c r="AU144" s="290">
        <f t="shared" si="69"/>
        <v>311.15508417215426</v>
      </c>
      <c r="AV144" s="367"/>
      <c r="AW144" s="291">
        <f t="shared" si="70"/>
        <v>-67.38982466483904</v>
      </c>
      <c r="AX144" s="291">
        <f t="shared" si="71"/>
        <v>-48.110175335160967</v>
      </c>
      <c r="AY144" s="292">
        <f t="shared" si="47"/>
        <v>-172.13281170699284</v>
      </c>
      <c r="AZ144" s="292">
        <f t="shared" si="48"/>
        <v>-415.71247372659536</v>
      </c>
      <c r="BA144" s="294">
        <f t="shared" si="72"/>
        <v>172.13281170699284</v>
      </c>
      <c r="BB144" s="294">
        <f t="shared" si="72"/>
        <v>415.71247372659536</v>
      </c>
      <c r="BD144" s="12"/>
      <c r="CR144" s="27"/>
      <c r="CS144" s="27"/>
      <c r="CT144" s="27"/>
      <c r="CU144" s="27"/>
      <c r="CV144" s="27"/>
      <c r="CW144" s="27"/>
      <c r="CX144" s="27"/>
      <c r="ED144" s="185"/>
      <c r="EE144" s="185"/>
    </row>
    <row r="145" spans="2:135" ht="21" customHeight="1" thickBot="1" x14ac:dyDescent="0.4">
      <c r="B145" s="409">
        <v>6</v>
      </c>
      <c r="C145" s="20"/>
      <c r="D145" s="738">
        <v>0</v>
      </c>
      <c r="E145" s="333" t="s">
        <v>126</v>
      </c>
      <c r="F145" s="81"/>
      <c r="G145" s="81"/>
      <c r="H145" s="81">
        <v>472.06</v>
      </c>
      <c r="I145" s="81">
        <v>62.531168700000002</v>
      </c>
      <c r="J145" s="81">
        <f t="shared" si="73"/>
        <v>62.531168700000002</v>
      </c>
      <c r="K145" s="81">
        <f t="shared" si="49"/>
        <v>31.265584350000001</v>
      </c>
      <c r="L145" s="81">
        <f t="shared" si="50"/>
        <v>0.51900577347391186</v>
      </c>
      <c r="M145" s="81">
        <f t="shared" si="51"/>
        <v>245.00186542609484</v>
      </c>
      <c r="N145" s="81">
        <f t="shared" si="52"/>
        <v>490.00373085218968</v>
      </c>
      <c r="O145" s="81">
        <f>+C140+D141+D142+D143+D144+(D145/2)</f>
        <v>0</v>
      </c>
      <c r="P145" s="81">
        <f t="shared" si="53"/>
        <v>0</v>
      </c>
      <c r="Q145" s="81">
        <f t="shared" si="54"/>
        <v>0</v>
      </c>
      <c r="R145" s="81">
        <f t="shared" si="55"/>
        <v>343.49989132317432</v>
      </c>
      <c r="S145" s="81">
        <f t="shared" si="74"/>
        <v>343.49989132317432</v>
      </c>
      <c r="T145" s="81">
        <f t="shared" si="46"/>
        <v>343.49989132317432</v>
      </c>
      <c r="U145" s="81"/>
      <c r="V145" s="81">
        <f t="shared" si="56"/>
        <v>0</v>
      </c>
      <c r="W145" s="81"/>
      <c r="X145" s="81"/>
      <c r="Y145" s="81"/>
      <c r="Z145" s="81"/>
      <c r="AA145" s="81"/>
      <c r="AB145" s="81"/>
      <c r="AC145" s="457" t="b">
        <f>IF(AD145=6,AF145)</f>
        <v>0</v>
      </c>
      <c r="AD145" s="457">
        <f t="shared" si="57"/>
        <v>1</v>
      </c>
      <c r="AE145" s="457">
        <f>IF(V145=0,0,6)</f>
        <v>0</v>
      </c>
      <c r="AF145" s="282">
        <f>SUM(V145:V151)/($B$137-B144)</f>
        <v>0</v>
      </c>
      <c r="AG145" s="282"/>
      <c r="AH145" s="301">
        <f>SUM(D141:D145)+$C$140</f>
        <v>0</v>
      </c>
      <c r="AI145" s="370" t="b">
        <f t="shared" si="58"/>
        <v>0</v>
      </c>
      <c r="AJ145" s="345">
        <f t="shared" si="59"/>
        <v>54.5017821</v>
      </c>
      <c r="AK145" s="368">
        <f t="shared" si="75"/>
        <v>0.81413357986421619</v>
      </c>
      <c r="AL145" s="345">
        <f t="shared" si="60"/>
        <v>343.49924001631013</v>
      </c>
      <c r="AM145" s="345">
        <f t="shared" si="61"/>
        <v>58.734415599999998</v>
      </c>
      <c r="AN145" s="285">
        <f t="shared" si="62"/>
        <v>0.85477073319485097</v>
      </c>
      <c r="AO145" s="312">
        <f t="shared" si="63"/>
        <v>403.50307231196138</v>
      </c>
      <c r="AP145" s="287">
        <f t="shared" si="64"/>
        <v>-21.656521739130437</v>
      </c>
      <c r="AQ145" s="312">
        <f t="shared" si="65"/>
        <v>-228</v>
      </c>
      <c r="AR145" s="287">
        <f t="shared" si="66"/>
        <v>-172.5</v>
      </c>
      <c r="AS145" s="288">
        <f t="shared" si="67"/>
        <v>747.0023123282715</v>
      </c>
      <c r="AT145" s="364">
        <f t="shared" si="68"/>
        <v>-343.49924001631013</v>
      </c>
      <c r="AU145" s="290">
        <f t="shared" si="69"/>
        <v>321.8427182771797</v>
      </c>
      <c r="AV145" s="367"/>
      <c r="AW145" s="291">
        <f t="shared" si="70"/>
        <v>-98.179120416944485</v>
      </c>
      <c r="AX145" s="291">
        <f t="shared" si="71"/>
        <v>-74.320879583055529</v>
      </c>
      <c r="AY145" s="292">
        <f t="shared" si="47"/>
        <v>-118.15139462176303</v>
      </c>
      <c r="AZ145" s="292">
        <f t="shared" si="48"/>
        <v>-269.10338134049499</v>
      </c>
      <c r="BA145" s="294">
        <f t="shared" si="72"/>
        <v>118.15139462176303</v>
      </c>
      <c r="BB145" s="294">
        <f t="shared" si="72"/>
        <v>269.10338134049499</v>
      </c>
      <c r="BD145" s="12"/>
      <c r="CS145" s="27"/>
      <c r="CT145" s="27"/>
      <c r="CU145" s="27"/>
      <c r="CV145" s="27"/>
      <c r="CW145" s="27"/>
      <c r="CX145" s="27"/>
      <c r="ED145" s="185"/>
      <c r="EE145" s="185"/>
    </row>
    <row r="146" spans="2:135" ht="21" customHeight="1" thickBot="1" x14ac:dyDescent="0.4">
      <c r="B146" s="409">
        <v>7</v>
      </c>
      <c r="C146" s="20"/>
      <c r="D146" s="738">
        <v>0</v>
      </c>
      <c r="E146" s="333" t="s">
        <v>126</v>
      </c>
      <c r="F146" s="81"/>
      <c r="G146" s="81"/>
      <c r="H146" s="81">
        <v>472.06</v>
      </c>
      <c r="I146" s="81">
        <v>62.531168700000002</v>
      </c>
      <c r="J146" s="81">
        <f t="shared" si="73"/>
        <v>62.531168700000002</v>
      </c>
      <c r="K146" s="81">
        <f t="shared" si="49"/>
        <v>31.265584350000001</v>
      </c>
      <c r="L146" s="81">
        <f t="shared" si="50"/>
        <v>0.51900577347391186</v>
      </c>
      <c r="M146" s="81">
        <f t="shared" si="51"/>
        <v>245.00186542609484</v>
      </c>
      <c r="N146" s="81">
        <f t="shared" si="52"/>
        <v>490.00373085218968</v>
      </c>
      <c r="O146" s="81">
        <f>+C140+D141+D142+D143+D144+D145+(D146/2)</f>
        <v>0</v>
      </c>
      <c r="P146" s="81">
        <f t="shared" si="53"/>
        <v>0</v>
      </c>
      <c r="Q146" s="81">
        <f t="shared" si="54"/>
        <v>0</v>
      </c>
      <c r="R146" s="81">
        <f t="shared" si="55"/>
        <v>343.49989132317432</v>
      </c>
      <c r="S146" s="81">
        <f t="shared" si="74"/>
        <v>343.49989132317432</v>
      </c>
      <c r="T146" s="81">
        <f t="shared" si="46"/>
        <v>343.49989132317432</v>
      </c>
      <c r="U146" s="81"/>
      <c r="V146" s="81">
        <f t="shared" si="56"/>
        <v>0</v>
      </c>
      <c r="W146" s="81"/>
      <c r="X146" s="81"/>
      <c r="Y146" s="81"/>
      <c r="Z146" s="81"/>
      <c r="AA146" s="81"/>
      <c r="AB146" s="81"/>
      <c r="AC146" s="457" t="b">
        <f>IF(AD146=7,AF146)</f>
        <v>0</v>
      </c>
      <c r="AD146" s="457">
        <f t="shared" si="57"/>
        <v>1</v>
      </c>
      <c r="AE146" s="457">
        <f>IF(V146=0,0,7)</f>
        <v>0</v>
      </c>
      <c r="AF146" s="282">
        <f>SUM(V146:V151)/($B$137-B145)</f>
        <v>0</v>
      </c>
      <c r="AG146" s="282"/>
      <c r="AH146" s="301">
        <f>SUM(D141:D146)+$C$140</f>
        <v>0</v>
      </c>
      <c r="AI146" s="370" t="b">
        <f t="shared" si="58"/>
        <v>0</v>
      </c>
      <c r="AJ146" s="345">
        <f t="shared" si="59"/>
        <v>54.5017821</v>
      </c>
      <c r="AK146" s="368">
        <f t="shared" si="75"/>
        <v>0.81413357986421619</v>
      </c>
      <c r="AL146" s="345">
        <f t="shared" si="60"/>
        <v>343.49924001631013</v>
      </c>
      <c r="AM146" s="345">
        <f t="shared" si="61"/>
        <v>58.734415599999998</v>
      </c>
      <c r="AN146" s="285">
        <f t="shared" si="62"/>
        <v>0.85477073319485097</v>
      </c>
      <c r="AO146" s="312">
        <f t="shared" si="63"/>
        <v>403.50307231196138</v>
      </c>
      <c r="AP146" s="287">
        <f t="shared" si="64"/>
        <v>-16.277777777777779</v>
      </c>
      <c r="AQ146" s="312">
        <f t="shared" si="65"/>
        <v>-285</v>
      </c>
      <c r="AR146" s="287">
        <f t="shared" si="66"/>
        <v>-229.5</v>
      </c>
      <c r="AS146" s="288">
        <f t="shared" si="67"/>
        <v>747.0023123282715</v>
      </c>
      <c r="AT146" s="364">
        <f t="shared" si="68"/>
        <v>-343.49924001631013</v>
      </c>
      <c r="AU146" s="290">
        <f t="shared" si="69"/>
        <v>327.22146223853235</v>
      </c>
      <c r="AV146" s="367"/>
      <c r="AW146" s="291">
        <f t="shared" si="70"/>
        <v>-128.96841616904993</v>
      </c>
      <c r="AX146" s="291">
        <f t="shared" si="71"/>
        <v>-100.53158383095007</v>
      </c>
      <c r="AY146" s="292">
        <f t="shared" si="47"/>
        <v>-89.944502263212172</v>
      </c>
      <c r="AZ146" s="292">
        <f t="shared" si="48"/>
        <v>-198.94245408120904</v>
      </c>
      <c r="BA146" s="294">
        <f t="shared" si="72"/>
        <v>89.944502263212172</v>
      </c>
      <c r="BB146" s="294">
        <f t="shared" si="72"/>
        <v>198.94245408120904</v>
      </c>
      <c r="BD146" s="12"/>
      <c r="CR146" s="27"/>
      <c r="CS146" s="27"/>
      <c r="CT146" s="27"/>
      <c r="CU146" s="27"/>
      <c r="CV146" s="27"/>
      <c r="CW146" s="27"/>
      <c r="CX146" s="27"/>
      <c r="ED146" s="185"/>
      <c r="EE146" s="185"/>
    </row>
    <row r="147" spans="2:135" ht="21" customHeight="1" thickBot="1" x14ac:dyDescent="0.4">
      <c r="B147" s="409">
        <v>8</v>
      </c>
      <c r="C147" s="20"/>
      <c r="D147" s="738">
        <v>0</v>
      </c>
      <c r="E147" s="333" t="s">
        <v>126</v>
      </c>
      <c r="F147" s="81"/>
      <c r="G147" s="81"/>
      <c r="H147" s="81">
        <v>472.06</v>
      </c>
      <c r="I147" s="81">
        <v>62.531168700000002</v>
      </c>
      <c r="J147" s="81">
        <f t="shared" si="73"/>
        <v>62.531168700000002</v>
      </c>
      <c r="K147" s="81">
        <f t="shared" si="49"/>
        <v>31.265584350000001</v>
      </c>
      <c r="L147" s="81">
        <f t="shared" si="50"/>
        <v>0.51900577347391186</v>
      </c>
      <c r="M147" s="81">
        <f t="shared" si="51"/>
        <v>245.00186542609484</v>
      </c>
      <c r="N147" s="81">
        <f t="shared" si="52"/>
        <v>490.00373085218968</v>
      </c>
      <c r="O147" s="81">
        <f>+C140+D141+D142+D143+D144+D145+D146+(D147/2)</f>
        <v>0</v>
      </c>
      <c r="P147" s="81">
        <f t="shared" si="53"/>
        <v>0</v>
      </c>
      <c r="Q147" s="81">
        <f t="shared" si="54"/>
        <v>0</v>
      </c>
      <c r="R147" s="81">
        <f t="shared" si="55"/>
        <v>343.49989132317432</v>
      </c>
      <c r="S147" s="81">
        <f t="shared" si="74"/>
        <v>343.49989132317432</v>
      </c>
      <c r="T147" s="81">
        <f t="shared" si="46"/>
        <v>343.49989132317432</v>
      </c>
      <c r="U147" s="81"/>
      <c r="V147" s="81">
        <f t="shared" si="56"/>
        <v>0</v>
      </c>
      <c r="W147" s="81"/>
      <c r="X147" s="81"/>
      <c r="Y147" s="81"/>
      <c r="Z147" s="81"/>
      <c r="AA147" s="81"/>
      <c r="AB147" s="81"/>
      <c r="AC147" s="457" t="b">
        <f>IF(AD147=8,AF147)</f>
        <v>0</v>
      </c>
      <c r="AD147" s="457">
        <f t="shared" si="57"/>
        <v>1</v>
      </c>
      <c r="AE147" s="457">
        <f>IF(V147=0,0,8)</f>
        <v>0</v>
      </c>
      <c r="AF147" s="282">
        <f>SUM(V147:V151)/($B$137-B146)</f>
        <v>0</v>
      </c>
      <c r="AG147" s="282"/>
      <c r="AH147" s="301">
        <f>SUM(D141:D147)+$C$140</f>
        <v>0</v>
      </c>
      <c r="AI147" s="370" t="b">
        <f t="shared" si="58"/>
        <v>0</v>
      </c>
      <c r="AJ147" s="345">
        <f t="shared" si="59"/>
        <v>54.5017821</v>
      </c>
      <c r="AK147" s="368">
        <f t="shared" si="75"/>
        <v>0.81413357986421619</v>
      </c>
      <c r="AL147" s="345">
        <f t="shared" si="60"/>
        <v>343.49924001631013</v>
      </c>
      <c r="AM147" s="345">
        <f t="shared" si="61"/>
        <v>58.734415599999998</v>
      </c>
      <c r="AN147" s="285">
        <f t="shared" si="62"/>
        <v>0.85477073319485097</v>
      </c>
      <c r="AO147" s="312">
        <f t="shared" si="63"/>
        <v>403.50307231196138</v>
      </c>
      <c r="AP147" s="287">
        <f t="shared" si="64"/>
        <v>-13.039267015706807</v>
      </c>
      <c r="AQ147" s="312">
        <f t="shared" si="65"/>
        <v>-342</v>
      </c>
      <c r="AR147" s="287">
        <f t="shared" si="66"/>
        <v>-286.5</v>
      </c>
      <c r="AS147" s="288">
        <f t="shared" si="67"/>
        <v>747.0023123282715</v>
      </c>
      <c r="AT147" s="364">
        <f t="shared" si="68"/>
        <v>-343.49924001631013</v>
      </c>
      <c r="AU147" s="290">
        <f t="shared" si="69"/>
        <v>330.45997300060333</v>
      </c>
      <c r="AV147" s="367"/>
      <c r="AW147" s="291">
        <f t="shared" si="70"/>
        <v>-159.75771192115536</v>
      </c>
      <c r="AX147" s="291">
        <f t="shared" si="71"/>
        <v>-126.74228807884462</v>
      </c>
      <c r="AY147" s="292">
        <f t="shared" si="47"/>
        <v>-72.60995328804475</v>
      </c>
      <c r="AZ147" s="292">
        <f t="shared" si="48"/>
        <v>-157.80052816750694</v>
      </c>
      <c r="BA147" s="294">
        <f t="shared" si="72"/>
        <v>72.60995328804475</v>
      </c>
      <c r="BB147" s="294">
        <f t="shared" si="72"/>
        <v>157.80052816750694</v>
      </c>
      <c r="BD147" s="12"/>
      <c r="CR147" s="27"/>
      <c r="CS147" s="27"/>
      <c r="CT147" s="27"/>
      <c r="CU147" s="27"/>
      <c r="CV147" s="27"/>
      <c r="CW147" s="27"/>
      <c r="CX147" s="27"/>
      <c r="ED147" s="185"/>
      <c r="EE147" s="185"/>
    </row>
    <row r="148" spans="2:135" ht="21" customHeight="1" thickBot="1" x14ac:dyDescent="0.4">
      <c r="B148" s="409">
        <v>9</v>
      </c>
      <c r="C148" s="20"/>
      <c r="D148" s="738">
        <v>0</v>
      </c>
      <c r="E148" s="333" t="s">
        <v>126</v>
      </c>
      <c r="F148" s="81"/>
      <c r="G148" s="81"/>
      <c r="H148" s="81">
        <v>472.06</v>
      </c>
      <c r="I148" s="81">
        <v>62.531168700000002</v>
      </c>
      <c r="J148" s="81">
        <f t="shared" si="73"/>
        <v>62.531168700000002</v>
      </c>
      <c r="K148" s="81">
        <f t="shared" si="49"/>
        <v>31.265584350000001</v>
      </c>
      <c r="L148" s="81">
        <f t="shared" si="50"/>
        <v>0.51900577347391186</v>
      </c>
      <c r="M148" s="81">
        <f t="shared" si="51"/>
        <v>245.00186542609484</v>
      </c>
      <c r="N148" s="81">
        <f t="shared" si="52"/>
        <v>490.00373085218968</v>
      </c>
      <c r="O148" s="81">
        <f>+C140+D141+D142+D143+D144+D145+D146+D147+(D148/2)</f>
        <v>0</v>
      </c>
      <c r="P148" s="81">
        <f t="shared" si="53"/>
        <v>0</v>
      </c>
      <c r="Q148" s="81">
        <f t="shared" si="54"/>
        <v>0</v>
      </c>
      <c r="R148" s="81">
        <f t="shared" si="55"/>
        <v>343.49989132317432</v>
      </c>
      <c r="S148" s="81">
        <f t="shared" si="74"/>
        <v>343.49989132317432</v>
      </c>
      <c r="T148" s="81">
        <f t="shared" si="46"/>
        <v>343.49989132317432</v>
      </c>
      <c r="U148" s="81"/>
      <c r="V148" s="81">
        <f t="shared" si="56"/>
        <v>0</v>
      </c>
      <c r="W148" s="81"/>
      <c r="X148" s="81"/>
      <c r="Y148" s="81"/>
      <c r="Z148" s="81"/>
      <c r="AA148" s="81"/>
      <c r="AB148" s="81"/>
      <c r="AC148" s="457" t="b">
        <f>IF(AD148=9,AF148)</f>
        <v>0</v>
      </c>
      <c r="AD148" s="457">
        <f t="shared" si="57"/>
        <v>1</v>
      </c>
      <c r="AE148" s="457">
        <f>IF(V148=0,0,9)</f>
        <v>0</v>
      </c>
      <c r="AF148" s="282">
        <f>SUM(V148:V151)/($B$137-B147)</f>
        <v>0</v>
      </c>
      <c r="AG148" s="282"/>
      <c r="AH148" s="301">
        <f>SUM(D141:D148)+$C$140</f>
        <v>0</v>
      </c>
      <c r="AI148" s="370" t="b">
        <f t="shared" si="58"/>
        <v>0</v>
      </c>
      <c r="AJ148" s="345">
        <f t="shared" si="59"/>
        <v>54.5017821</v>
      </c>
      <c r="AK148" s="368">
        <f t="shared" si="75"/>
        <v>0.81413357986421619</v>
      </c>
      <c r="AL148" s="345">
        <f t="shared" si="60"/>
        <v>343.49924001631013</v>
      </c>
      <c r="AM148" s="345">
        <f t="shared" si="61"/>
        <v>58.734415599999998</v>
      </c>
      <c r="AN148" s="285">
        <f t="shared" si="62"/>
        <v>0.85477073319485097</v>
      </c>
      <c r="AO148" s="312">
        <f t="shared" si="63"/>
        <v>403.50307231196138</v>
      </c>
      <c r="AP148" s="287">
        <f t="shared" si="64"/>
        <v>-10.875545851528384</v>
      </c>
      <c r="AQ148" s="312">
        <f t="shared" si="65"/>
        <v>-399</v>
      </c>
      <c r="AR148" s="287">
        <f t="shared" si="66"/>
        <v>-343.5</v>
      </c>
      <c r="AS148" s="288">
        <f t="shared" si="67"/>
        <v>747.0023123282715</v>
      </c>
      <c r="AT148" s="364">
        <f t="shared" si="68"/>
        <v>-343.49924001631013</v>
      </c>
      <c r="AU148" s="290">
        <f t="shared" si="69"/>
        <v>332.62369416478174</v>
      </c>
      <c r="AV148" s="367"/>
      <c r="AW148" s="291">
        <f t="shared" si="70"/>
        <v>-190.54700767326082</v>
      </c>
      <c r="AX148" s="291">
        <f t="shared" si="71"/>
        <v>-152.95299232673918</v>
      </c>
      <c r="AY148" s="292">
        <f t="shared" si="47"/>
        <v>-60.877366386624246</v>
      </c>
      <c r="AZ148" s="292">
        <f t="shared" si="48"/>
        <v>-130.75912864310538</v>
      </c>
      <c r="BA148" s="294">
        <f t="shared" si="72"/>
        <v>60.877366386624246</v>
      </c>
      <c r="BB148" s="294">
        <f t="shared" si="72"/>
        <v>130.75912864310538</v>
      </c>
      <c r="BD148" s="12"/>
      <c r="CR148" s="27"/>
      <c r="CS148" s="27"/>
      <c r="CT148" s="27"/>
      <c r="CU148" s="27"/>
      <c r="CV148" s="27"/>
      <c r="CW148" s="27"/>
      <c r="CX148" s="27"/>
      <c r="ED148" s="185"/>
      <c r="EE148" s="185"/>
    </row>
    <row r="149" spans="2:135" ht="21" customHeight="1" thickBot="1" x14ac:dyDescent="0.4">
      <c r="B149" s="409">
        <v>10</v>
      </c>
      <c r="C149" s="20"/>
      <c r="D149" s="738">
        <v>0</v>
      </c>
      <c r="E149" s="333" t="s">
        <v>126</v>
      </c>
      <c r="F149" s="81"/>
      <c r="G149" s="81"/>
      <c r="H149" s="81">
        <v>472.06</v>
      </c>
      <c r="I149" s="81">
        <v>62.531168700000002</v>
      </c>
      <c r="J149" s="81">
        <f t="shared" si="73"/>
        <v>62.531168700000002</v>
      </c>
      <c r="K149" s="81">
        <f t="shared" si="49"/>
        <v>31.265584350000001</v>
      </c>
      <c r="L149" s="81">
        <f t="shared" si="50"/>
        <v>0.51900577347391186</v>
      </c>
      <c r="M149" s="81">
        <f>+L149*H149</f>
        <v>245.00186542609484</v>
      </c>
      <c r="N149" s="81">
        <f t="shared" si="52"/>
        <v>490.00373085218968</v>
      </c>
      <c r="O149" s="81">
        <f>+C140+D141+D142+D143+D144+D145+D146+D147+D148+(D149/2)</f>
        <v>0</v>
      </c>
      <c r="P149" s="81">
        <f t="shared" si="53"/>
        <v>0</v>
      </c>
      <c r="Q149" s="81">
        <f t="shared" si="54"/>
        <v>0</v>
      </c>
      <c r="R149" s="81">
        <f t="shared" si="55"/>
        <v>343.49989132317432</v>
      </c>
      <c r="S149" s="81">
        <f t="shared" si="74"/>
        <v>343.49989132317432</v>
      </c>
      <c r="T149" s="81">
        <f t="shared" si="46"/>
        <v>343.49989132317432</v>
      </c>
      <c r="U149" s="81"/>
      <c r="V149" s="81">
        <f t="shared" si="56"/>
        <v>0</v>
      </c>
      <c r="W149" s="81"/>
      <c r="X149" s="81"/>
      <c r="Y149" s="81"/>
      <c r="Z149" s="81"/>
      <c r="AA149" s="81"/>
      <c r="AB149" s="81"/>
      <c r="AC149" s="457" t="b">
        <f>IF(AD149=10,AF149)</f>
        <v>0</v>
      </c>
      <c r="AD149" s="457">
        <f t="shared" si="57"/>
        <v>1</v>
      </c>
      <c r="AE149" s="457">
        <f>IF(V149=0,0,10)</f>
        <v>0</v>
      </c>
      <c r="AF149" s="282">
        <f>SUM(V149:V151)/($B$137-B148)</f>
        <v>0</v>
      </c>
      <c r="AG149" s="282"/>
      <c r="AH149" s="301">
        <f>SUM(D141:D149)+$C$140</f>
        <v>0</v>
      </c>
      <c r="AI149" s="370" t="b">
        <f t="shared" si="58"/>
        <v>0</v>
      </c>
      <c r="AJ149" s="345">
        <f t="shared" si="59"/>
        <v>54.5017821</v>
      </c>
      <c r="AK149" s="368">
        <f t="shared" si="75"/>
        <v>0.81413357986421619</v>
      </c>
      <c r="AL149" s="345">
        <f t="shared" si="60"/>
        <v>343.49924001631013</v>
      </c>
      <c r="AM149" s="345">
        <f t="shared" si="61"/>
        <v>58.734415599999998</v>
      </c>
      <c r="AN149" s="285">
        <f t="shared" si="62"/>
        <v>0.85477073319485097</v>
      </c>
      <c r="AO149" s="312">
        <f t="shared" si="63"/>
        <v>403.50307231196138</v>
      </c>
      <c r="AP149" s="287">
        <f t="shared" si="64"/>
        <v>-9.3277153558052426</v>
      </c>
      <c r="AQ149" s="312">
        <f t="shared" si="65"/>
        <v>-456</v>
      </c>
      <c r="AR149" s="287">
        <f t="shared" si="66"/>
        <v>-400.5</v>
      </c>
      <c r="AS149" s="288">
        <f t="shared" si="67"/>
        <v>747.0023123282715</v>
      </c>
      <c r="AT149" s="364">
        <f t="shared" si="68"/>
        <v>-343.49924001631013</v>
      </c>
      <c r="AU149" s="290">
        <f t="shared" si="69"/>
        <v>334.17152466050487</v>
      </c>
      <c r="AV149" s="367"/>
      <c r="AW149" s="291">
        <f t="shared" si="70"/>
        <v>-221.33630342536628</v>
      </c>
      <c r="AX149" s="291">
        <f t="shared" si="71"/>
        <v>-179.16369657463372</v>
      </c>
      <c r="AY149" s="292">
        <f t="shared" si="47"/>
        <v>-52.408935273970876</v>
      </c>
      <c r="AZ149" s="292">
        <f t="shared" si="48"/>
        <v>-111.6297574920188</v>
      </c>
      <c r="BA149" s="294">
        <f t="shared" si="72"/>
        <v>52.408935273970876</v>
      </c>
      <c r="BB149" s="294">
        <f t="shared" si="72"/>
        <v>111.6297574920188</v>
      </c>
      <c r="BD149" s="12"/>
      <c r="CR149" s="27"/>
      <c r="CS149" s="27"/>
      <c r="CT149" s="27"/>
      <c r="CU149" s="27"/>
      <c r="CV149" s="27"/>
      <c r="CW149" s="27"/>
      <c r="CX149" s="27"/>
      <c r="ED149" s="185"/>
      <c r="EE149" s="185"/>
    </row>
    <row r="150" spans="2:135" ht="21" customHeight="1" thickBot="1" x14ac:dyDescent="0.4">
      <c r="B150" s="409">
        <v>11</v>
      </c>
      <c r="C150" s="20"/>
      <c r="D150" s="738">
        <v>0</v>
      </c>
      <c r="E150" s="333" t="s">
        <v>126</v>
      </c>
      <c r="F150" s="81"/>
      <c r="G150" s="81"/>
      <c r="H150" s="81">
        <v>472.06</v>
      </c>
      <c r="I150" s="81">
        <v>62.531168700000002</v>
      </c>
      <c r="J150" s="81">
        <f t="shared" si="73"/>
        <v>62.531168700000002</v>
      </c>
      <c r="K150" s="81">
        <f t="shared" si="49"/>
        <v>31.265584350000001</v>
      </c>
      <c r="L150" s="81">
        <f t="shared" si="50"/>
        <v>0.51900577347391186</v>
      </c>
      <c r="M150" s="81">
        <f t="shared" si="51"/>
        <v>245.00186542609484</v>
      </c>
      <c r="N150" s="81">
        <f t="shared" si="52"/>
        <v>490.00373085218968</v>
      </c>
      <c r="O150" s="81">
        <f>+C140+D141+D142+D143+D144+D145+D146+D147+D148+D149+(D150/2)</f>
        <v>0</v>
      </c>
      <c r="P150" s="81">
        <f t="shared" si="53"/>
        <v>0</v>
      </c>
      <c r="Q150" s="81">
        <f t="shared" si="54"/>
        <v>0</v>
      </c>
      <c r="R150" s="81">
        <f t="shared" si="55"/>
        <v>343.49989132317432</v>
      </c>
      <c r="S150" s="81">
        <f t="shared" si="74"/>
        <v>343.49989132317432</v>
      </c>
      <c r="T150" s="81">
        <f t="shared" si="46"/>
        <v>343.49989132317432</v>
      </c>
      <c r="U150" s="81"/>
      <c r="V150" s="81">
        <f t="shared" si="56"/>
        <v>0</v>
      </c>
      <c r="W150" s="81"/>
      <c r="X150" s="81"/>
      <c r="Y150" s="81"/>
      <c r="Z150" s="81"/>
      <c r="AA150" s="81"/>
      <c r="AB150" s="81"/>
      <c r="AC150" s="457" t="b">
        <f>IF(AD150=11,AF150)</f>
        <v>0</v>
      </c>
      <c r="AD150" s="457">
        <f t="shared" si="57"/>
        <v>1</v>
      </c>
      <c r="AE150" s="457">
        <f>IF(V150=0,0,11)</f>
        <v>0</v>
      </c>
      <c r="AF150" s="282">
        <f>SUM(V150:V151)/($B$137-B149)</f>
        <v>0</v>
      </c>
      <c r="AG150" s="282"/>
      <c r="AH150" s="301">
        <f>SUM(D141:D150)+$C$140</f>
        <v>0</v>
      </c>
      <c r="AI150" s="370" t="b">
        <f t="shared" si="58"/>
        <v>0</v>
      </c>
      <c r="AJ150" s="345">
        <f t="shared" si="59"/>
        <v>54.5017821</v>
      </c>
      <c r="AK150" s="368">
        <f t="shared" si="75"/>
        <v>0.81413357986421619</v>
      </c>
      <c r="AL150" s="345">
        <f t="shared" si="60"/>
        <v>343.49924001631013</v>
      </c>
      <c r="AM150" s="345">
        <f t="shared" si="61"/>
        <v>58.734415599999998</v>
      </c>
      <c r="AN150" s="285">
        <f t="shared" si="62"/>
        <v>0.85477073319485097</v>
      </c>
      <c r="AO150" s="312">
        <f t="shared" si="63"/>
        <v>403.50307231196138</v>
      </c>
      <c r="AP150" s="287">
        <f t="shared" si="64"/>
        <v>-8.1655737704918039</v>
      </c>
      <c r="AQ150" s="312">
        <f t="shared" si="65"/>
        <v>-513</v>
      </c>
      <c r="AR150" s="287">
        <f t="shared" si="66"/>
        <v>-457.5</v>
      </c>
      <c r="AS150" s="288">
        <f t="shared" si="67"/>
        <v>747.0023123282715</v>
      </c>
      <c r="AT150" s="364">
        <f t="shared" si="68"/>
        <v>-343.49924001631013</v>
      </c>
      <c r="AU150" s="290">
        <f t="shared" si="69"/>
        <v>335.33366624581834</v>
      </c>
      <c r="AV150" s="367"/>
      <c r="AW150" s="291">
        <f t="shared" si="70"/>
        <v>-252.12559917747171</v>
      </c>
      <c r="AX150" s="291">
        <f t="shared" si="71"/>
        <v>-205.37440082252829</v>
      </c>
      <c r="AY150" s="292">
        <f t="shared" si="47"/>
        <v>-46.008814804381437</v>
      </c>
      <c r="AZ150" s="292">
        <f t="shared" si="48"/>
        <v>-97.383120388420508</v>
      </c>
      <c r="BA150" s="294">
        <f t="shared" si="72"/>
        <v>46.008814804381437</v>
      </c>
      <c r="BB150" s="294">
        <f t="shared" si="72"/>
        <v>97.383120388420508</v>
      </c>
      <c r="BD150" s="12"/>
      <c r="CR150" s="27"/>
      <c r="CS150" s="27"/>
      <c r="CT150" s="27"/>
      <c r="CU150" s="27"/>
      <c r="CV150" s="27"/>
      <c r="CW150" s="27"/>
      <c r="CX150" s="27"/>
      <c r="ED150" s="185"/>
      <c r="EE150" s="185"/>
    </row>
    <row r="151" spans="2:135" ht="21" customHeight="1" thickBot="1" x14ac:dyDescent="0.4">
      <c r="B151" s="409">
        <v>12</v>
      </c>
      <c r="C151" s="20"/>
      <c r="D151" s="738">
        <v>0</v>
      </c>
      <c r="E151" s="333" t="s">
        <v>126</v>
      </c>
      <c r="F151" s="81"/>
      <c r="G151" s="81"/>
      <c r="H151" s="81">
        <v>472.06</v>
      </c>
      <c r="I151" s="81">
        <v>62.531168700000002</v>
      </c>
      <c r="J151" s="81">
        <f t="shared" si="73"/>
        <v>62.531168700000002</v>
      </c>
      <c r="K151" s="81">
        <f t="shared" si="49"/>
        <v>31.265584350000001</v>
      </c>
      <c r="L151" s="81">
        <f t="shared" si="50"/>
        <v>0.51900577347391186</v>
      </c>
      <c r="M151" s="81">
        <f t="shared" si="51"/>
        <v>245.00186542609484</v>
      </c>
      <c r="N151" s="81">
        <f t="shared" si="52"/>
        <v>490.00373085218968</v>
      </c>
      <c r="O151" s="81">
        <f>+C140+D141+D142+D143+D144+D145+D146+D147+D148+D149+D150+(D151/2)</f>
        <v>0</v>
      </c>
      <c r="P151" s="81">
        <f t="shared" si="53"/>
        <v>0</v>
      </c>
      <c r="Q151" s="81">
        <f t="shared" si="54"/>
        <v>0</v>
      </c>
      <c r="R151" s="81">
        <f t="shared" si="55"/>
        <v>343.49989132317432</v>
      </c>
      <c r="S151" s="81">
        <f t="shared" si="74"/>
        <v>343.49989132317432</v>
      </c>
      <c r="T151" s="81">
        <f t="shared" si="46"/>
        <v>343.49989132317432</v>
      </c>
      <c r="U151" s="81"/>
      <c r="V151" s="81">
        <f t="shared" si="56"/>
        <v>0</v>
      </c>
      <c r="W151" s="81"/>
      <c r="X151" s="81"/>
      <c r="Y151" s="81"/>
      <c r="Z151" s="81"/>
      <c r="AA151" s="81"/>
      <c r="AB151" s="81"/>
      <c r="AC151" s="457" t="b">
        <f>IF(AD151=12,AF151)</f>
        <v>0</v>
      </c>
      <c r="AD151" s="457">
        <f t="shared" si="57"/>
        <v>1</v>
      </c>
      <c r="AE151" s="457">
        <f>IF(V151=0,0,12)</f>
        <v>0</v>
      </c>
      <c r="AF151" s="282">
        <f>SUM(V151)/($B$137-B150)</f>
        <v>0</v>
      </c>
      <c r="AG151" s="282"/>
      <c r="AH151" s="301">
        <f>SUM(D141:D151)+$C$140</f>
        <v>0</v>
      </c>
      <c r="AI151" s="370" t="b">
        <f t="shared" si="58"/>
        <v>0</v>
      </c>
      <c r="AJ151" s="345">
        <f t="shared" si="59"/>
        <v>54.5017821</v>
      </c>
      <c r="AK151" s="368">
        <f t="shared" si="75"/>
        <v>0.81413357986421619</v>
      </c>
      <c r="AL151" s="345">
        <f t="shared" si="60"/>
        <v>343.49924001631013</v>
      </c>
      <c r="AM151" s="345">
        <f t="shared" si="61"/>
        <v>58.734415599999998</v>
      </c>
      <c r="AN151" s="285">
        <f t="shared" si="62"/>
        <v>0.85477073319485097</v>
      </c>
      <c r="AO151" s="312">
        <f t="shared" si="63"/>
        <v>403.50307231196138</v>
      </c>
      <c r="AP151" s="287">
        <f t="shared" si="64"/>
        <v>-7.2609329446064139</v>
      </c>
      <c r="AQ151" s="312">
        <f t="shared" si="65"/>
        <v>-570</v>
      </c>
      <c r="AR151" s="287">
        <f t="shared" si="66"/>
        <v>-514.5</v>
      </c>
      <c r="AS151" s="288">
        <f t="shared" si="67"/>
        <v>747.0023123282715</v>
      </c>
      <c r="AT151" s="364">
        <f t="shared" si="68"/>
        <v>-343.49924001631013</v>
      </c>
      <c r="AU151" s="290">
        <f t="shared" si="69"/>
        <v>336.23830707170373</v>
      </c>
      <c r="AV151" s="367"/>
      <c r="AW151" s="291">
        <f t="shared" si="70"/>
        <v>-282.9148949295772</v>
      </c>
      <c r="AX151" s="291">
        <f t="shared" si="71"/>
        <v>-231.58510507042283</v>
      </c>
      <c r="AY151" s="292">
        <f t="shared" si="47"/>
        <v>-41.0017295232457</v>
      </c>
      <c r="AZ151" s="292">
        <f t="shared" si="48"/>
        <v>-86.361340008970743</v>
      </c>
      <c r="BA151" s="294">
        <f t="shared" si="72"/>
        <v>41.0017295232457</v>
      </c>
      <c r="BB151" s="294">
        <f t="shared" si="72"/>
        <v>86.361340008970743</v>
      </c>
      <c r="BD151" s="12"/>
      <c r="CR151" s="27"/>
      <c r="CS151" s="27"/>
      <c r="CT151" s="27"/>
      <c r="CU151" s="27"/>
      <c r="CV151" s="27"/>
      <c r="CW151" s="27"/>
      <c r="CX151" s="27"/>
      <c r="ED151" s="185"/>
      <c r="EE151" s="185"/>
    </row>
    <row r="152" spans="2:135" ht="21.6" thickBot="1" x14ac:dyDescent="0.45">
      <c r="B152" s="24"/>
      <c r="C152" s="24"/>
      <c r="D152" s="15"/>
      <c r="E152" s="15"/>
      <c r="F152" s="15"/>
      <c r="G152" s="15"/>
      <c r="H152" s="244"/>
      <c r="I152" s="244"/>
      <c r="J152" s="244"/>
      <c r="K152" s="244"/>
      <c r="L152" s="244"/>
      <c r="M152" s="244"/>
      <c r="N152" s="244"/>
      <c r="O152" s="244"/>
      <c r="P152" s="244"/>
      <c r="Q152" s="244"/>
      <c r="R152" s="244"/>
      <c r="S152" s="244"/>
      <c r="T152" s="244"/>
      <c r="U152" s="12"/>
      <c r="V152" s="244"/>
      <c r="W152" s="244"/>
      <c r="X152" s="244"/>
      <c r="Y152" s="244"/>
      <c r="Z152" s="244"/>
      <c r="AA152" s="244"/>
      <c r="AB152" s="244"/>
      <c r="AC152" s="244"/>
      <c r="AD152" s="244"/>
      <c r="AE152" s="244"/>
      <c r="AF152" s="244"/>
      <c r="AG152" s="244"/>
      <c r="AH152" s="413" t="s">
        <v>125</v>
      </c>
      <c r="AI152" s="414">
        <f>MAX(AI140:AI151)</f>
        <v>0</v>
      </c>
      <c r="AJ152" s="244"/>
      <c r="AK152" s="244"/>
      <c r="AL152" s="244"/>
      <c r="AM152" s="244"/>
      <c r="AN152" s="244"/>
      <c r="AO152" s="244"/>
      <c r="AP152" s="244"/>
      <c r="AQ152" s="244"/>
      <c r="AR152" s="244"/>
      <c r="AS152" s="244"/>
      <c r="AT152" s="244"/>
      <c r="AU152" s="244"/>
      <c r="AV152" s="244"/>
      <c r="AW152" s="244"/>
      <c r="AX152" s="244"/>
      <c r="AY152" s="244"/>
      <c r="AZ152" s="244"/>
      <c r="BA152" s="244"/>
      <c r="BB152" s="244"/>
      <c r="BC152" s="7"/>
      <c r="BD152" s="12"/>
      <c r="CR152" s="27"/>
      <c r="CS152" s="27"/>
      <c r="CT152" s="27"/>
      <c r="CU152" s="27"/>
      <c r="CV152" s="27"/>
      <c r="CW152" s="27"/>
      <c r="CX152" s="27"/>
      <c r="ED152" s="185"/>
      <c r="EE152" s="185"/>
    </row>
    <row r="153" spans="2:135" ht="18.600000000000001" hidden="1" thickBot="1" x14ac:dyDescent="0.4">
      <c r="B153" s="125"/>
      <c r="C153" s="24"/>
      <c r="D153" s="15"/>
      <c r="E153" s="15"/>
      <c r="F153" s="15"/>
      <c r="G153" s="15"/>
      <c r="H153" s="244"/>
      <c r="I153" s="244"/>
      <c r="J153" s="244"/>
      <c r="K153" s="244"/>
      <c r="L153" s="244"/>
      <c r="M153" s="244"/>
      <c r="N153" s="244"/>
      <c r="O153" s="244"/>
      <c r="P153" s="244"/>
      <c r="Q153" s="244"/>
      <c r="R153" s="244"/>
      <c r="S153" s="244"/>
      <c r="T153" s="244"/>
      <c r="U153" s="12"/>
      <c r="V153" s="244"/>
      <c r="W153" s="244"/>
      <c r="X153" s="244"/>
      <c r="Y153" s="244"/>
      <c r="Z153" s="244"/>
      <c r="AA153" s="244"/>
      <c r="AB153" s="244"/>
      <c r="AC153" s="244"/>
      <c r="AD153" s="244"/>
      <c r="AE153" s="244"/>
      <c r="AF153" s="244"/>
      <c r="AG153" s="244"/>
      <c r="AH153" s="244"/>
      <c r="AI153" s="244"/>
      <c r="AJ153" s="244"/>
      <c r="AK153" s="244"/>
      <c r="AL153" s="244"/>
      <c r="AM153" s="244"/>
      <c r="AN153" s="244"/>
      <c r="AO153" s="244"/>
      <c r="AP153" s="244"/>
      <c r="AQ153" s="244"/>
      <c r="AR153" s="244"/>
      <c r="AS153" s="244"/>
      <c r="AT153" s="244"/>
      <c r="AU153" s="244"/>
      <c r="AV153" s="244"/>
      <c r="AW153" s="244"/>
      <c r="AX153" s="244"/>
      <c r="AY153" s="244"/>
      <c r="AZ153" s="244"/>
      <c r="BA153" s="244"/>
      <c r="BB153" s="244"/>
      <c r="BC153" s="7"/>
      <c r="BD153" s="12"/>
      <c r="CR153" s="27"/>
      <c r="CS153" s="27"/>
      <c r="CT153" s="27"/>
      <c r="CU153" s="27"/>
      <c r="CV153" s="27"/>
      <c r="CW153" s="27"/>
    </row>
    <row r="154" spans="2:135" ht="21.6" hidden="1" thickBot="1" x14ac:dyDescent="0.45">
      <c r="B154" s="125"/>
      <c r="AB154" s="272"/>
      <c r="AC154" s="272"/>
      <c r="AD154" s="272"/>
      <c r="AE154" s="272"/>
      <c r="AH154" s="372" t="s">
        <v>125</v>
      </c>
      <c r="AI154" s="371">
        <f>MAX(AI140:AI152)</f>
        <v>0</v>
      </c>
      <c r="BG154" s="27"/>
      <c r="CR154" s="27"/>
      <c r="CS154" s="27"/>
      <c r="CT154" s="27"/>
      <c r="CU154" s="27"/>
      <c r="CV154" s="27"/>
      <c r="CW154" s="27"/>
    </row>
    <row r="155" spans="2:135" hidden="1" x14ac:dyDescent="0.3">
      <c r="V155" s="245"/>
      <c r="W155" s="245"/>
      <c r="X155" s="245"/>
      <c r="Y155" s="245"/>
      <c r="Z155" s="245"/>
      <c r="AA155" s="245"/>
      <c r="AB155" s="245"/>
      <c r="AC155" s="245"/>
      <c r="AD155" s="245"/>
      <c r="AE155" s="245"/>
      <c r="AF155" s="245"/>
      <c r="AG155" s="245"/>
      <c r="AH155" s="245"/>
      <c r="AI155" s="245"/>
      <c r="AJ155" s="245"/>
      <c r="AK155" s="245"/>
      <c r="AL155" s="245"/>
      <c r="AM155" s="245"/>
      <c r="AN155" s="245"/>
      <c r="AO155" s="245"/>
      <c r="AP155" s="245"/>
      <c r="AQ155" s="245"/>
      <c r="AR155" s="245"/>
      <c r="AS155" s="245"/>
      <c r="AT155" s="245">
        <f>+AS140-AP140</f>
        <v>539.75570072452979</v>
      </c>
      <c r="AU155" s="245"/>
      <c r="AV155" s="245"/>
      <c r="AW155" s="245"/>
      <c r="AX155" s="245"/>
      <c r="AY155" s="245"/>
      <c r="AZ155" s="245"/>
      <c r="BA155" s="245"/>
      <c r="BB155" s="245"/>
      <c r="BC155" s="4"/>
      <c r="CR155" s="27"/>
      <c r="CS155" s="27"/>
      <c r="CT155" s="27"/>
      <c r="CU155" s="27"/>
      <c r="CV155" s="27"/>
      <c r="CW155" s="27"/>
    </row>
    <row r="156" spans="2:135" ht="18" hidden="1" thickBot="1" x14ac:dyDescent="0.35">
      <c r="U156" s="243"/>
      <c r="V156" s="245"/>
      <c r="W156" s="245"/>
      <c r="X156" s="245"/>
      <c r="Y156" s="245"/>
      <c r="Z156" s="245"/>
      <c r="AA156" s="245"/>
      <c r="AB156" s="245"/>
      <c r="AC156" s="245"/>
      <c r="AD156" s="245"/>
      <c r="AE156" s="245"/>
      <c r="AF156" s="245"/>
      <c r="AG156" s="245"/>
      <c r="AH156" s="245"/>
      <c r="AI156" s="245"/>
      <c r="AJ156" s="245"/>
      <c r="AK156" s="245"/>
      <c r="AL156" s="245"/>
      <c r="AM156" s="245"/>
      <c r="AN156" s="245"/>
      <c r="AO156" s="245"/>
      <c r="AP156" s="245"/>
      <c r="AQ156" s="245"/>
      <c r="AR156" s="245"/>
      <c r="AS156" s="245"/>
      <c r="AT156" s="245"/>
      <c r="AU156" s="245"/>
      <c r="AV156" s="245"/>
      <c r="AW156" s="245"/>
      <c r="AX156" s="245"/>
      <c r="AY156" s="245"/>
      <c r="AZ156" s="245"/>
      <c r="BA156" s="245"/>
      <c r="BB156" s="245"/>
      <c r="BC156" s="4"/>
      <c r="BD156" s="14"/>
      <c r="BG156" s="27"/>
      <c r="CR156" s="27"/>
      <c r="CS156" s="27"/>
      <c r="CT156" s="27"/>
      <c r="CU156" s="27"/>
      <c r="CV156" s="27"/>
      <c r="CW156" s="27"/>
    </row>
    <row r="157" spans="2:135" ht="64.2" thickTop="1" thickBot="1" x14ac:dyDescent="0.45">
      <c r="B157" s="695" t="s">
        <v>42</v>
      </c>
      <c r="C157" s="707"/>
      <c r="D157" s="708"/>
      <c r="E157" s="74"/>
      <c r="F157" s="74"/>
      <c r="G157" s="74"/>
      <c r="H157" s="248"/>
      <c r="I157" s="248"/>
      <c r="J157" s="248"/>
      <c r="K157" s="248"/>
      <c r="L157" s="248"/>
      <c r="M157" s="248"/>
      <c r="N157" s="248"/>
      <c r="O157" s="248"/>
      <c r="P157" s="248"/>
      <c r="Q157" s="248"/>
      <c r="R157" s="248"/>
      <c r="S157" s="255" t="s">
        <v>105</v>
      </c>
      <c r="T157" s="255">
        <f>SUM(V161:V184)/B158</f>
        <v>146.5</v>
      </c>
      <c r="U157" s="295"/>
      <c r="V157" s="245"/>
      <c r="W157" s="245"/>
      <c r="X157" s="245"/>
      <c r="Y157" s="245"/>
      <c r="Z157" s="245"/>
      <c r="AA157" s="245"/>
      <c r="AB157" s="245"/>
      <c r="AC157" s="245"/>
      <c r="AD157" s="245"/>
      <c r="AE157" s="245"/>
      <c r="AF157" s="245"/>
      <c r="AG157" s="245"/>
      <c r="AH157" s="245"/>
      <c r="AI157" s="245"/>
      <c r="AJ157" s="245"/>
      <c r="AK157" s="245"/>
      <c r="AL157" s="245"/>
      <c r="AM157" s="245"/>
      <c r="AN157" s="245"/>
      <c r="AO157" s="245"/>
      <c r="AP157" s="245"/>
      <c r="AQ157" s="245"/>
      <c r="AR157" s="245"/>
      <c r="AS157" s="245"/>
      <c r="AT157" s="245"/>
      <c r="AU157" s="245"/>
      <c r="AV157" s="245"/>
      <c r="AW157" s="245"/>
      <c r="AX157" s="245"/>
      <c r="AY157" s="245"/>
      <c r="AZ157" s="245"/>
      <c r="BA157" s="245"/>
      <c r="BB157" s="245"/>
      <c r="BC157" s="4"/>
      <c r="BD157" s="36"/>
      <c r="BE157" s="36"/>
      <c r="BF157" s="36"/>
      <c r="BG157" s="27"/>
      <c r="BO157" s="27"/>
      <c r="CR157" s="27"/>
      <c r="CS157" s="27"/>
      <c r="CT157" s="27"/>
      <c r="CU157" s="27"/>
      <c r="CV157" s="27"/>
      <c r="CW157" s="27"/>
    </row>
    <row r="158" spans="2:135" ht="25.8" thickTop="1" thickBot="1" x14ac:dyDescent="0.45">
      <c r="B158" s="743">
        <v>1</v>
      </c>
      <c r="C158" s="671"/>
      <c r="D158" s="704" t="s">
        <v>71</v>
      </c>
      <c r="E158" s="445"/>
      <c r="F158" s="445"/>
      <c r="G158" s="445"/>
      <c r="H158" s="246"/>
      <c r="I158" s="247"/>
      <c r="J158" s="247"/>
      <c r="K158" s="247"/>
      <c r="L158" s="247"/>
      <c r="M158" s="247"/>
      <c r="N158" s="247"/>
      <c r="O158" s="247"/>
      <c r="P158" s="247"/>
      <c r="Q158" s="247"/>
      <c r="R158" s="247"/>
      <c r="S158" s="303"/>
      <c r="T158" s="304"/>
      <c r="U158" s="266"/>
      <c r="V158" s="296"/>
      <c r="W158" s="296"/>
      <c r="X158" s="296"/>
      <c r="Y158" s="296"/>
      <c r="Z158" s="296"/>
      <c r="AA158" s="296"/>
      <c r="AB158" s="296"/>
      <c r="AC158" s="296"/>
      <c r="AD158" s="296"/>
      <c r="AE158" s="296"/>
      <c r="AF158" s="296"/>
      <c r="AG158" s="296"/>
      <c r="AH158" s="296"/>
      <c r="AI158" s="296"/>
      <c r="AJ158" s="296"/>
      <c r="AK158" s="296"/>
      <c r="AL158" s="296"/>
      <c r="AM158" s="296"/>
      <c r="AN158" s="296"/>
      <c r="AO158" s="296"/>
      <c r="AP158" s="296"/>
      <c r="AQ158" s="296"/>
      <c r="AR158" s="296"/>
      <c r="AS158" s="296"/>
      <c r="AT158" s="296"/>
      <c r="AU158" s="296"/>
      <c r="AV158" s="296"/>
      <c r="AW158" s="296"/>
      <c r="AX158" s="296"/>
      <c r="AY158" s="296"/>
      <c r="AZ158" s="296"/>
      <c r="BA158" s="2045" t="s">
        <v>68</v>
      </c>
      <c r="BB158" s="2046"/>
      <c r="BC158" s="5"/>
      <c r="BD158" s="33"/>
      <c r="BE158" s="33"/>
      <c r="BF158" s="33"/>
      <c r="BG158" s="27"/>
      <c r="BH158" s="27"/>
      <c r="BI158" s="27"/>
      <c r="BJ158" s="27"/>
      <c r="BK158" s="27"/>
      <c r="BL158" s="27"/>
      <c r="BM158" s="27"/>
      <c r="BN158" s="27"/>
      <c r="BO158" s="27"/>
      <c r="CR158" s="27"/>
      <c r="CS158" s="27"/>
      <c r="CT158" s="27"/>
      <c r="CU158" s="27"/>
      <c r="CV158" s="27"/>
      <c r="CW158" s="27"/>
    </row>
    <row r="159" spans="2:135" ht="18.600000000000001" hidden="1" thickTop="1" thickBot="1" x14ac:dyDescent="0.35">
      <c r="B159" s="358"/>
      <c r="C159" s="76"/>
      <c r="D159" s="698" t="s">
        <v>13</v>
      </c>
      <c r="E159" s="15"/>
      <c r="F159" s="15"/>
      <c r="G159" s="15"/>
      <c r="H159" s="297" t="s">
        <v>4</v>
      </c>
      <c r="I159" s="297" t="s">
        <v>1</v>
      </c>
      <c r="J159" s="248" t="s">
        <v>0</v>
      </c>
      <c r="K159" s="248" t="s">
        <v>2</v>
      </c>
      <c r="L159" s="248" t="s">
        <v>3</v>
      </c>
      <c r="M159" s="248" t="s">
        <v>8</v>
      </c>
      <c r="N159" s="248" t="s">
        <v>5</v>
      </c>
      <c r="O159" s="248" t="s">
        <v>6</v>
      </c>
      <c r="P159" s="248" t="s">
        <v>7</v>
      </c>
      <c r="Q159" s="248" t="s">
        <v>9</v>
      </c>
      <c r="R159" s="316" t="s">
        <v>10</v>
      </c>
      <c r="S159" s="248" t="s">
        <v>11</v>
      </c>
      <c r="T159" s="249" t="s">
        <v>12</v>
      </c>
      <c r="U159" s="265"/>
      <c r="V159" s="273"/>
      <c r="W159" s="273"/>
      <c r="X159" s="273"/>
      <c r="Y159" s="273"/>
      <c r="Z159" s="273"/>
      <c r="AA159" s="273"/>
      <c r="AB159" s="273"/>
      <c r="AC159" s="273"/>
      <c r="AD159" s="273"/>
      <c r="AE159" s="273"/>
      <c r="AF159" s="273"/>
      <c r="AG159" s="273"/>
      <c r="AH159" s="273"/>
      <c r="AI159" s="273"/>
      <c r="AJ159" s="273"/>
      <c r="AK159" s="273"/>
      <c r="AL159" s="273"/>
      <c r="AM159" s="273"/>
      <c r="AN159" s="273"/>
      <c r="AO159" s="273"/>
      <c r="AP159" s="273"/>
      <c r="AQ159" s="273"/>
      <c r="AR159" s="273"/>
      <c r="AS159" s="273"/>
      <c r="AT159" s="273"/>
      <c r="AU159" s="273"/>
      <c r="AV159" s="273"/>
      <c r="AW159" s="273"/>
      <c r="AX159" s="273"/>
      <c r="AY159" s="272"/>
      <c r="AZ159" s="273"/>
      <c r="BA159" s="273"/>
      <c r="BB159" s="273"/>
      <c r="BC159" s="6"/>
      <c r="BD159" s="16"/>
      <c r="BE159" s="7"/>
      <c r="BF159" s="7"/>
      <c r="BG159" s="27"/>
      <c r="BH159" s="27"/>
      <c r="BI159" s="27"/>
      <c r="BJ159" s="27"/>
      <c r="BK159" s="27"/>
      <c r="BL159" s="27"/>
      <c r="BM159" s="27"/>
      <c r="BN159" s="27"/>
      <c r="BO159" s="27"/>
      <c r="CR159" s="27"/>
      <c r="CS159" s="27"/>
      <c r="CT159" s="27"/>
      <c r="CU159" s="27"/>
      <c r="CV159" s="27"/>
      <c r="CW159" s="27"/>
    </row>
    <row r="160" spans="2:135" ht="45" customHeight="1" thickTop="1" thickBot="1" x14ac:dyDescent="0.45">
      <c r="B160" s="90"/>
      <c r="C160" s="139"/>
      <c r="D160" s="735" t="s">
        <v>24</v>
      </c>
      <c r="E160" s="445"/>
      <c r="F160" s="30" t="s">
        <v>58</v>
      </c>
      <c r="G160" s="50"/>
      <c r="H160" s="298"/>
      <c r="I160" s="317"/>
      <c r="J160" s="244"/>
      <c r="K160" s="244"/>
      <c r="L160" s="244"/>
      <c r="M160" s="244"/>
      <c r="N160" s="244"/>
      <c r="O160" s="244"/>
      <c r="P160" s="244"/>
      <c r="Q160" s="244"/>
      <c r="R160" s="316"/>
      <c r="S160" s="244"/>
      <c r="T160" s="250"/>
      <c r="U160" s="265"/>
      <c r="V160" s="273"/>
      <c r="W160" s="273"/>
      <c r="X160" s="273"/>
      <c r="Y160" s="273"/>
      <c r="Z160" s="273"/>
      <c r="AA160" s="273"/>
      <c r="AB160" s="273"/>
      <c r="AC160" s="273"/>
      <c r="AD160" s="273"/>
      <c r="AE160" s="273"/>
      <c r="AF160" s="273" t="s">
        <v>51</v>
      </c>
      <c r="AG160" s="460" t="s">
        <v>189</v>
      </c>
      <c r="AH160" s="274" t="s">
        <v>44</v>
      </c>
      <c r="AI160" s="274"/>
      <c r="AJ160" s="175" t="s">
        <v>96</v>
      </c>
      <c r="AK160" s="275" t="s">
        <v>45</v>
      </c>
      <c r="AL160" s="172" t="s">
        <v>46</v>
      </c>
      <c r="AM160" s="175" t="s">
        <v>97</v>
      </c>
      <c r="AN160" s="276" t="s">
        <v>47</v>
      </c>
      <c r="AO160" s="172" t="s">
        <v>48</v>
      </c>
      <c r="AP160" s="276"/>
      <c r="AQ160" s="179" t="s">
        <v>49</v>
      </c>
      <c r="AR160" s="278"/>
      <c r="AS160" s="278" t="s">
        <v>50</v>
      </c>
      <c r="AT160" s="278" t="s">
        <v>52</v>
      </c>
      <c r="AU160" s="278"/>
      <c r="AV160" s="278" t="s">
        <v>53</v>
      </c>
      <c r="AW160" s="279" t="s">
        <v>54</v>
      </c>
      <c r="AX160" s="279" t="s">
        <v>55</v>
      </c>
      <c r="AY160" s="280" t="s">
        <v>25</v>
      </c>
      <c r="AZ160" s="280" t="s">
        <v>26</v>
      </c>
      <c r="BA160" s="281" t="s">
        <v>25</v>
      </c>
      <c r="BB160" s="281" t="s">
        <v>26</v>
      </c>
      <c r="BC160" s="7"/>
      <c r="BD160" s="16"/>
      <c r="BE160" s="7"/>
      <c r="BF160" s="7"/>
      <c r="BG160" s="27"/>
      <c r="BH160" s="27"/>
      <c r="BI160" s="27"/>
      <c r="BJ160" s="27"/>
      <c r="BK160" s="27"/>
      <c r="BL160" s="27"/>
      <c r="BM160" s="27"/>
      <c r="BN160" s="27"/>
      <c r="BO160" s="27"/>
      <c r="BP160" s="14"/>
      <c r="CR160" s="27"/>
      <c r="CS160" s="27"/>
      <c r="CT160" s="27"/>
      <c r="CU160" s="27"/>
      <c r="CV160" s="27"/>
      <c r="CW160" s="27"/>
    </row>
    <row r="161" spans="1:101" ht="21" customHeight="1" thickBot="1" x14ac:dyDescent="0.35">
      <c r="B161" s="87">
        <v>1</v>
      </c>
      <c r="C161" s="668">
        <f>+AI154+D161</f>
        <v>0</v>
      </c>
      <c r="D161" s="738">
        <v>0</v>
      </c>
      <c r="E161" s="333" t="s">
        <v>73</v>
      </c>
      <c r="F161" s="81">
        <f>+G161</f>
        <v>0</v>
      </c>
      <c r="G161" s="81">
        <f>+D161</f>
        <v>0</v>
      </c>
      <c r="H161" s="392">
        <v>190.76</v>
      </c>
      <c r="I161" s="393">
        <v>79.651040199999997</v>
      </c>
      <c r="J161" s="394">
        <f>+I161-C161</f>
        <v>79.651040199999997</v>
      </c>
      <c r="K161" s="394">
        <f>+J161/2</f>
        <v>39.825520099999999</v>
      </c>
      <c r="L161" s="394">
        <f t="shared" ref="L161:L184" si="76">SIN(K161*3.14159265358979/180)</f>
        <v>0.64045183696587837</v>
      </c>
      <c r="M161" s="394">
        <f t="shared" ref="M161:M184" si="77">+L161*H161</f>
        <v>122.17259241961095</v>
      </c>
      <c r="N161" s="394">
        <f t="shared" ref="N161:N184" si="78">+M161*2</f>
        <v>244.3451848392219</v>
      </c>
      <c r="O161" s="394">
        <f>+C161/2</f>
        <v>0</v>
      </c>
      <c r="P161" s="394">
        <f t="shared" ref="P161:P184" si="79">SIN(O161*3.14159265358979/180)</f>
        <v>0</v>
      </c>
      <c r="Q161" s="394">
        <f t="shared" ref="Q161:Q184" si="80">+P161*N161</f>
        <v>0</v>
      </c>
      <c r="R161" s="395">
        <v>146.5</v>
      </c>
      <c r="S161" s="394">
        <f>+R161+Q161</f>
        <v>146.5</v>
      </c>
      <c r="T161" s="396">
        <f t="shared" ref="T161:T184" si="81">+S161</f>
        <v>146.5</v>
      </c>
      <c r="U161" s="248"/>
      <c r="V161" s="397">
        <f t="shared" ref="V161:V184" si="82">IF(B161&lt;($B$158+1),T161,0)</f>
        <v>146.5</v>
      </c>
      <c r="W161" s="397"/>
      <c r="X161" s="397"/>
      <c r="Y161" s="397"/>
      <c r="Z161" s="397"/>
      <c r="AA161" s="397"/>
      <c r="AB161" s="300" t="str">
        <f>IF(AZ161&lt;0,"pin in groundstacking hole"," ")</f>
        <v xml:space="preserve"> </v>
      </c>
      <c r="AC161" s="455"/>
      <c r="AD161" s="455"/>
      <c r="AE161" s="455"/>
      <c r="AF161" s="397">
        <f>SUM(V161:V184)/($B$158)</f>
        <v>146.5</v>
      </c>
      <c r="AG161" s="397">
        <f>+AF161+AA140+AA107</f>
        <v>146.50001656413235</v>
      </c>
      <c r="AH161" s="398">
        <f>C161</f>
        <v>0</v>
      </c>
      <c r="AI161" s="399"/>
      <c r="AJ161" s="400">
        <f>69.3447148-AH161</f>
        <v>69.344714800000006</v>
      </c>
      <c r="AK161" s="401">
        <f t="shared" ref="AK161:AK184" si="83">SIN(AJ161*3.14159265358979/180)</f>
        <v>0.93571960494171247</v>
      </c>
      <c r="AL161" s="402">
        <f>+AK161*192.42</f>
        <v>180.0511663828843</v>
      </c>
      <c r="AM161" s="400">
        <f>50.1744799+AH161</f>
        <v>50.174479900000001</v>
      </c>
      <c r="AN161" s="403">
        <f>SIN(AM161*3.14159265358979/180)</f>
        <v>0.76799833627881664</v>
      </c>
      <c r="AO161" s="402">
        <f>+AN161*190.76</f>
        <v>146.50336262854705</v>
      </c>
      <c r="AP161" s="404"/>
      <c r="AQ161" s="402">
        <f>25.5*B158</f>
        <v>25.5</v>
      </c>
      <c r="AR161" s="404"/>
      <c r="AS161" s="405">
        <f>+AO161+AL161</f>
        <v>326.55452901143133</v>
      </c>
      <c r="AT161" s="406">
        <f>+V161-AO161</f>
        <v>-3.3626285470518269E-3</v>
      </c>
      <c r="AU161" s="407"/>
      <c r="AV161" s="406">
        <f>+AF161-AT161</f>
        <v>146.50336262854705</v>
      </c>
      <c r="AW161" s="408">
        <f>+((AS161-AV161)/AS161)*AQ161</f>
        <v>14.059840960291279</v>
      </c>
      <c r="AX161" s="408">
        <f>+(AV161/AS161)*AQ161</f>
        <v>11.440159039708721</v>
      </c>
      <c r="AY161" s="292">
        <f t="shared" ref="AY161:AY184" si="84">2*$C$18/AW161</f>
        <v>825.04489437408847</v>
      </c>
      <c r="AZ161" s="292">
        <f t="shared" ref="AZ161:AZ184" si="85">$D$18/AX161</f>
        <v>874.11372213358766</v>
      </c>
      <c r="BA161" s="294">
        <f>ABS(AY161)</f>
        <v>825.04489437408847</v>
      </c>
      <c r="BB161" s="294">
        <f>ABS(AZ161)</f>
        <v>874.11372213358766</v>
      </c>
      <c r="BC161" s="2" t="s">
        <v>56</v>
      </c>
      <c r="BD161" s="11"/>
      <c r="BG161" s="27"/>
      <c r="BO161" s="27"/>
      <c r="BP161" s="14"/>
      <c r="CR161" s="27"/>
      <c r="CS161" s="27"/>
      <c r="CT161" s="27"/>
      <c r="CU161" s="27"/>
      <c r="CV161" s="27"/>
      <c r="CW161" s="27"/>
    </row>
    <row r="162" spans="1:101" ht="21" customHeight="1" thickBot="1" x14ac:dyDescent="0.35">
      <c r="B162" s="88">
        <v>2</v>
      </c>
      <c r="C162" s="20"/>
      <c r="D162" s="738">
        <v>0</v>
      </c>
      <c r="E162" s="333" t="s">
        <v>72</v>
      </c>
      <c r="F162" s="81" t="e">
        <f t="shared" ref="F162:F184" si="86">+G162</f>
        <v>#DIV/0!</v>
      </c>
      <c r="G162" s="81" t="e">
        <f>+D162+BC162</f>
        <v>#DIV/0!</v>
      </c>
      <c r="H162" s="299">
        <v>190.76</v>
      </c>
      <c r="I162" s="318">
        <v>79.651040199999997</v>
      </c>
      <c r="J162" s="251">
        <f t="shared" ref="J162:J184" si="87">+I162-D162</f>
        <v>79.651040199999997</v>
      </c>
      <c r="K162" s="251">
        <f t="shared" ref="K162:K184" si="88">+J162/2</f>
        <v>39.825520099999999</v>
      </c>
      <c r="L162" s="251">
        <f t="shared" si="76"/>
        <v>0.64045183696587837</v>
      </c>
      <c r="M162" s="251">
        <f t="shared" si="77"/>
        <v>122.17259241961095</v>
      </c>
      <c r="N162" s="251">
        <f t="shared" si="78"/>
        <v>244.3451848392219</v>
      </c>
      <c r="O162" s="251">
        <f>+C161+(D162/2)</f>
        <v>0</v>
      </c>
      <c r="P162" s="251">
        <f t="shared" si="79"/>
        <v>0</v>
      </c>
      <c r="Q162" s="251">
        <f t="shared" si="80"/>
        <v>0</v>
      </c>
      <c r="R162" s="251">
        <f t="shared" ref="R162:R184" si="89">+T161</f>
        <v>146.5</v>
      </c>
      <c r="S162" s="251">
        <f>+R162+Q162</f>
        <v>146.5</v>
      </c>
      <c r="T162" s="252">
        <f t="shared" si="81"/>
        <v>146.5</v>
      </c>
      <c r="U162" s="244"/>
      <c r="V162" s="282">
        <f t="shared" si="82"/>
        <v>0</v>
      </c>
      <c r="W162" s="282"/>
      <c r="X162" s="282"/>
      <c r="Y162" s="282"/>
      <c r="Z162" s="282"/>
      <c r="AA162" s="282"/>
      <c r="AB162" s="300" t="e">
        <f t="shared" ref="AB162:AB184" si="90">IF(AZ162&lt;0,"pin in groundstacking hole"," ")</f>
        <v>#DIV/0!</v>
      </c>
      <c r="AC162" s="451"/>
      <c r="AD162" s="451"/>
      <c r="AE162" s="451"/>
      <c r="AF162" s="282" t="e">
        <f>SUM(V162:V185)/($B$158-B161)</f>
        <v>#DIV/0!</v>
      </c>
      <c r="AG162" s="282"/>
      <c r="AH162" s="301">
        <f>SUM(D162)+$C$161</f>
        <v>0</v>
      </c>
      <c r="AI162" s="370"/>
      <c r="AJ162" s="173">
        <f t="shared" ref="AJ162:AJ184" si="91">69.3447148-AH162</f>
        <v>69.344714800000006</v>
      </c>
      <c r="AK162" s="284">
        <f t="shared" si="83"/>
        <v>0.93571960494171247</v>
      </c>
      <c r="AL162" s="174">
        <f t="shared" ref="AL162:AL184" si="92">+AK162*192.42</f>
        <v>180.0511663828843</v>
      </c>
      <c r="AM162" s="173">
        <f t="shared" ref="AM162:AM184" si="93">50.1744799+AH162</f>
        <v>50.174479900000001</v>
      </c>
      <c r="AN162" s="285">
        <f t="shared" ref="AN162:AN184" si="94">SIN(AM162*3.14159265358979/180)</f>
        <v>0.76799833627881664</v>
      </c>
      <c r="AO162" s="174">
        <f t="shared" ref="AO162:AO184" si="95">+AN162*190.76</f>
        <v>146.50336262854705</v>
      </c>
      <c r="AP162" s="287"/>
      <c r="AQ162" s="174">
        <f>25.5*($B$158-B161)</f>
        <v>0</v>
      </c>
      <c r="AR162" s="287"/>
      <c r="AS162" s="288">
        <f t="shared" ref="AS162:AS184" si="96">+AO162+AL162</f>
        <v>326.55452901143133</v>
      </c>
      <c r="AT162" s="289">
        <f>+V162-AO162</f>
        <v>-146.50336262854705</v>
      </c>
      <c r="AU162" s="290"/>
      <c r="AV162" s="289" t="e">
        <f>+AF162-AT162</f>
        <v>#DIV/0!</v>
      </c>
      <c r="AW162" s="291" t="e">
        <f t="shared" ref="AW162:AW184" si="97">+((AS162-AV162)/AS162)*AQ162</f>
        <v>#DIV/0!</v>
      </c>
      <c r="AX162" s="291" t="e">
        <f t="shared" ref="AX162:AX184" si="98">+(AV162/AS162)*AQ162</f>
        <v>#DIV/0!</v>
      </c>
      <c r="AY162" s="292" t="e">
        <f t="shared" si="84"/>
        <v>#DIV/0!</v>
      </c>
      <c r="AZ162" s="292" t="e">
        <f t="shared" si="85"/>
        <v>#DIV/0!</v>
      </c>
      <c r="BA162" s="294" t="e">
        <f t="shared" ref="BA162:BB184" si="99">ABS(AY162)</f>
        <v>#DIV/0!</v>
      </c>
      <c r="BB162" s="294" t="e">
        <f t="shared" si="99"/>
        <v>#DIV/0!</v>
      </c>
      <c r="BC162" t="e">
        <f t="shared" ref="BC162:BC184" si="100">IF(AZ162&lt;0,0.3,0)</f>
        <v>#DIV/0!</v>
      </c>
      <c r="BG162" s="27"/>
      <c r="BO162" s="27"/>
      <c r="BP162" s="14"/>
      <c r="CR162" s="27"/>
      <c r="CS162" s="27"/>
      <c r="CT162" s="27"/>
      <c r="CU162" s="27"/>
      <c r="CV162" s="27"/>
      <c r="CW162" s="27"/>
    </row>
    <row r="163" spans="1:101" ht="21" customHeight="1" thickBot="1" x14ac:dyDescent="0.35">
      <c r="B163" s="88">
        <v>3</v>
      </c>
      <c r="C163" s="20"/>
      <c r="D163" s="738">
        <v>0</v>
      </c>
      <c r="E163" s="333" t="s">
        <v>72</v>
      </c>
      <c r="F163" s="81">
        <f t="shared" si="86"/>
        <v>0.3</v>
      </c>
      <c r="G163" s="81">
        <f t="shared" ref="G163:G184" si="101">+D163+BC163</f>
        <v>0.3</v>
      </c>
      <c r="H163" s="299">
        <v>190.76</v>
      </c>
      <c r="I163" s="318">
        <v>79.651040199999997</v>
      </c>
      <c r="J163" s="251">
        <f t="shared" si="87"/>
        <v>79.651040199999997</v>
      </c>
      <c r="K163" s="251">
        <f t="shared" si="88"/>
        <v>39.825520099999999</v>
      </c>
      <c r="L163" s="251">
        <f t="shared" si="76"/>
        <v>0.64045183696587837</v>
      </c>
      <c r="M163" s="251">
        <f t="shared" si="77"/>
        <v>122.17259241961095</v>
      </c>
      <c r="N163" s="251">
        <f t="shared" si="78"/>
        <v>244.3451848392219</v>
      </c>
      <c r="O163" s="251">
        <f>+C161+D162+(D163/2)</f>
        <v>0</v>
      </c>
      <c r="P163" s="251">
        <f t="shared" si="79"/>
        <v>0</v>
      </c>
      <c r="Q163" s="251">
        <f t="shared" si="80"/>
        <v>0</v>
      </c>
      <c r="R163" s="251">
        <f t="shared" si="89"/>
        <v>146.5</v>
      </c>
      <c r="S163" s="251">
        <f t="shared" ref="S163:S184" si="102">+S162+Q163</f>
        <v>146.5</v>
      </c>
      <c r="T163" s="252">
        <f t="shared" si="81"/>
        <v>146.5</v>
      </c>
      <c r="U163" s="244"/>
      <c r="V163" s="282">
        <f t="shared" si="82"/>
        <v>0</v>
      </c>
      <c r="W163" s="282"/>
      <c r="X163" s="282"/>
      <c r="Y163" s="282"/>
      <c r="Z163" s="282"/>
      <c r="AA163" s="282"/>
      <c r="AB163" s="300" t="str">
        <f t="shared" si="90"/>
        <v>pin in groundstacking hole</v>
      </c>
      <c r="AC163" s="451"/>
      <c r="AD163" s="451"/>
      <c r="AE163" s="451"/>
      <c r="AF163" s="282">
        <f>SUM(V163:V184)/($B$158-B162)</f>
        <v>0</v>
      </c>
      <c r="AG163" s="282"/>
      <c r="AH163" s="301">
        <f>SUM(D162:D163)+$C$161</f>
        <v>0</v>
      </c>
      <c r="AI163" s="370"/>
      <c r="AJ163" s="173">
        <f t="shared" si="91"/>
        <v>69.344714800000006</v>
      </c>
      <c r="AK163" s="284">
        <f t="shared" si="83"/>
        <v>0.93571960494171247</v>
      </c>
      <c r="AL163" s="174">
        <f t="shared" si="92"/>
        <v>180.0511663828843</v>
      </c>
      <c r="AM163" s="173">
        <f t="shared" si="93"/>
        <v>50.174479900000001</v>
      </c>
      <c r="AN163" s="285">
        <f t="shared" si="94"/>
        <v>0.76799833627881664</v>
      </c>
      <c r="AO163" s="174">
        <f t="shared" si="95"/>
        <v>146.50336262854705</v>
      </c>
      <c r="AP163" s="287"/>
      <c r="AQ163" s="174">
        <f t="shared" ref="AQ163:AQ184" si="103">25.5*($B$158-B162)</f>
        <v>-25.5</v>
      </c>
      <c r="AR163" s="287"/>
      <c r="AS163" s="288">
        <f t="shared" si="96"/>
        <v>326.55452901143133</v>
      </c>
      <c r="AT163" s="289">
        <f>+V163-AO163</f>
        <v>-146.50336262854705</v>
      </c>
      <c r="AU163" s="290"/>
      <c r="AV163" s="289">
        <f>+AF163-AT163</f>
        <v>146.50336262854705</v>
      </c>
      <c r="AW163" s="291">
        <f t="shared" si="97"/>
        <v>-14.059840960291279</v>
      </c>
      <c r="AX163" s="291">
        <f t="shared" si="98"/>
        <v>-11.440159039708721</v>
      </c>
      <c r="AY163" s="292">
        <f t="shared" si="84"/>
        <v>-825.04489437408847</v>
      </c>
      <c r="AZ163" s="292">
        <f t="shared" si="85"/>
        <v>-874.11372213358766</v>
      </c>
      <c r="BA163" s="294">
        <f t="shared" si="99"/>
        <v>825.04489437408847</v>
      </c>
      <c r="BB163" s="294">
        <f t="shared" si="99"/>
        <v>874.11372213358766</v>
      </c>
      <c r="BC163">
        <f t="shared" si="100"/>
        <v>0.3</v>
      </c>
      <c r="BG163" s="27"/>
      <c r="BO163" s="27"/>
      <c r="BP163" s="14"/>
      <c r="CR163" s="27"/>
      <c r="CS163" s="27"/>
      <c r="CT163" s="27"/>
      <c r="CU163" s="27"/>
      <c r="CV163" s="27"/>
      <c r="CW163" s="27"/>
    </row>
    <row r="164" spans="1:101" ht="21" customHeight="1" thickBot="1" x14ac:dyDescent="0.35">
      <c r="B164" s="88">
        <v>4</v>
      </c>
      <c r="C164" s="20"/>
      <c r="D164" s="738">
        <v>0</v>
      </c>
      <c r="E164" s="333" t="s">
        <v>72</v>
      </c>
      <c r="F164" s="81">
        <f t="shared" si="86"/>
        <v>0.3</v>
      </c>
      <c r="G164" s="81">
        <f t="shared" si="101"/>
        <v>0.3</v>
      </c>
      <c r="H164" s="299">
        <v>190.76</v>
      </c>
      <c r="I164" s="318">
        <v>79.651040199999997</v>
      </c>
      <c r="J164" s="251">
        <f t="shared" si="87"/>
        <v>79.651040199999997</v>
      </c>
      <c r="K164" s="251">
        <f t="shared" si="88"/>
        <v>39.825520099999999</v>
      </c>
      <c r="L164" s="251">
        <f t="shared" si="76"/>
        <v>0.64045183696587837</v>
      </c>
      <c r="M164" s="251">
        <f t="shared" si="77"/>
        <v>122.17259241961095</v>
      </c>
      <c r="N164" s="251">
        <f t="shared" si="78"/>
        <v>244.3451848392219</v>
      </c>
      <c r="O164" s="251">
        <f>+C161+D162+D163+(D164/2)</f>
        <v>0</v>
      </c>
      <c r="P164" s="251">
        <f t="shared" si="79"/>
        <v>0</v>
      </c>
      <c r="Q164" s="251">
        <f t="shared" si="80"/>
        <v>0</v>
      </c>
      <c r="R164" s="251">
        <f t="shared" si="89"/>
        <v>146.5</v>
      </c>
      <c r="S164" s="251">
        <f t="shared" si="102"/>
        <v>146.5</v>
      </c>
      <c r="T164" s="252">
        <f t="shared" si="81"/>
        <v>146.5</v>
      </c>
      <c r="U164" s="244"/>
      <c r="V164" s="282">
        <f t="shared" si="82"/>
        <v>0</v>
      </c>
      <c r="W164" s="282"/>
      <c r="X164" s="282"/>
      <c r="Y164" s="282"/>
      <c r="Z164" s="282"/>
      <c r="AA164" s="282"/>
      <c r="AB164" s="300" t="str">
        <f t="shared" si="90"/>
        <v>pin in groundstacking hole</v>
      </c>
      <c r="AC164" s="451"/>
      <c r="AD164" s="451"/>
      <c r="AE164" s="451"/>
      <c r="AF164" s="282">
        <f>SUM(V164:V184)/($B$158-B163)</f>
        <v>0</v>
      </c>
      <c r="AG164" s="282"/>
      <c r="AH164" s="301">
        <f>SUM(D162:D164)+$C$161</f>
        <v>0</v>
      </c>
      <c r="AI164" s="370"/>
      <c r="AJ164" s="173">
        <f t="shared" si="91"/>
        <v>69.344714800000006</v>
      </c>
      <c r="AK164" s="284">
        <f t="shared" si="83"/>
        <v>0.93571960494171247</v>
      </c>
      <c r="AL164" s="174">
        <f t="shared" si="92"/>
        <v>180.0511663828843</v>
      </c>
      <c r="AM164" s="173">
        <f t="shared" si="93"/>
        <v>50.174479900000001</v>
      </c>
      <c r="AN164" s="285">
        <f t="shared" si="94"/>
        <v>0.76799833627881664</v>
      </c>
      <c r="AO164" s="174">
        <f t="shared" si="95"/>
        <v>146.50336262854705</v>
      </c>
      <c r="AP164" s="287"/>
      <c r="AQ164" s="174">
        <f t="shared" si="103"/>
        <v>-51</v>
      </c>
      <c r="AR164" s="287"/>
      <c r="AS164" s="288">
        <f t="shared" si="96"/>
        <v>326.55452901143133</v>
      </c>
      <c r="AT164" s="289">
        <f>+V164-AO164</f>
        <v>-146.50336262854705</v>
      </c>
      <c r="AU164" s="290"/>
      <c r="AV164" s="289">
        <f t="shared" ref="AV164:AV184" si="104">+AF164-AT164</f>
        <v>146.50336262854705</v>
      </c>
      <c r="AW164" s="291">
        <f t="shared" si="97"/>
        <v>-28.119681920582558</v>
      </c>
      <c r="AX164" s="291">
        <f t="shared" si="98"/>
        <v>-22.880318079417442</v>
      </c>
      <c r="AY164" s="292">
        <f t="shared" si="84"/>
        <v>-412.52244718704424</v>
      </c>
      <c r="AZ164" s="292">
        <f t="shared" si="85"/>
        <v>-437.05686106679383</v>
      </c>
      <c r="BA164" s="294">
        <f t="shared" si="99"/>
        <v>412.52244718704424</v>
      </c>
      <c r="BB164" s="294">
        <f t="shared" si="99"/>
        <v>437.05686106679383</v>
      </c>
      <c r="BC164">
        <f t="shared" si="100"/>
        <v>0.3</v>
      </c>
      <c r="BG164" s="27"/>
      <c r="BO164" s="27"/>
      <c r="BP164" s="14"/>
      <c r="CR164" s="27"/>
      <c r="CS164" s="27"/>
      <c r="CT164" s="27"/>
      <c r="CU164" s="27"/>
      <c r="CV164" s="27"/>
      <c r="CW164" s="27"/>
    </row>
    <row r="165" spans="1:101" ht="21" customHeight="1" thickBot="1" x14ac:dyDescent="0.35">
      <c r="B165" s="88">
        <v>5</v>
      </c>
      <c r="C165" s="20"/>
      <c r="D165" s="738">
        <v>0</v>
      </c>
      <c r="E165" s="333" t="s">
        <v>72</v>
      </c>
      <c r="F165" s="81">
        <f t="shared" si="86"/>
        <v>0.3</v>
      </c>
      <c r="G165" s="81">
        <f>+D165+BC165</f>
        <v>0.3</v>
      </c>
      <c r="H165" s="299">
        <v>190.76</v>
      </c>
      <c r="I165" s="318">
        <v>79.651040199999997</v>
      </c>
      <c r="J165" s="251">
        <f t="shared" si="87"/>
        <v>79.651040199999997</v>
      </c>
      <c r="K165" s="251">
        <f t="shared" si="88"/>
        <v>39.825520099999999</v>
      </c>
      <c r="L165" s="251">
        <f t="shared" si="76"/>
        <v>0.64045183696587837</v>
      </c>
      <c r="M165" s="251">
        <f t="shared" si="77"/>
        <v>122.17259241961095</v>
      </c>
      <c r="N165" s="251">
        <f t="shared" si="78"/>
        <v>244.3451848392219</v>
      </c>
      <c r="O165" s="251">
        <f>+C161+D162+D163+D164+(D165/2)</f>
        <v>0</v>
      </c>
      <c r="P165" s="251">
        <f t="shared" si="79"/>
        <v>0</v>
      </c>
      <c r="Q165" s="251">
        <f t="shared" si="80"/>
        <v>0</v>
      </c>
      <c r="R165" s="251">
        <f t="shared" si="89"/>
        <v>146.5</v>
      </c>
      <c r="S165" s="251">
        <f t="shared" si="102"/>
        <v>146.5</v>
      </c>
      <c r="T165" s="252">
        <f t="shared" si="81"/>
        <v>146.5</v>
      </c>
      <c r="U165" s="244"/>
      <c r="V165" s="282">
        <f t="shared" si="82"/>
        <v>0</v>
      </c>
      <c r="W165" s="282"/>
      <c r="X165" s="282"/>
      <c r="Y165" s="282"/>
      <c r="Z165" s="282"/>
      <c r="AA165" s="282"/>
      <c r="AB165" s="300" t="str">
        <f t="shared" si="90"/>
        <v>pin in groundstacking hole</v>
      </c>
      <c r="AC165" s="451"/>
      <c r="AD165" s="451"/>
      <c r="AE165" s="451"/>
      <c r="AF165" s="282">
        <f>SUM(V165:V184)/($B$158-B164)</f>
        <v>0</v>
      </c>
      <c r="AG165" s="282"/>
      <c r="AH165" s="301">
        <f>SUM(D162:D165)+$C$161</f>
        <v>0</v>
      </c>
      <c r="AI165" s="370"/>
      <c r="AJ165" s="173">
        <f t="shared" si="91"/>
        <v>69.344714800000006</v>
      </c>
      <c r="AK165" s="284">
        <f t="shared" si="83"/>
        <v>0.93571960494171247</v>
      </c>
      <c r="AL165" s="174">
        <f t="shared" si="92"/>
        <v>180.0511663828843</v>
      </c>
      <c r="AM165" s="173">
        <f t="shared" si="93"/>
        <v>50.174479900000001</v>
      </c>
      <c r="AN165" s="285">
        <f t="shared" si="94"/>
        <v>0.76799833627881664</v>
      </c>
      <c r="AO165" s="174">
        <f t="shared" si="95"/>
        <v>146.50336262854705</v>
      </c>
      <c r="AP165" s="287"/>
      <c r="AQ165" s="174">
        <f t="shared" si="103"/>
        <v>-76.5</v>
      </c>
      <c r="AR165" s="287"/>
      <c r="AS165" s="288">
        <f t="shared" si="96"/>
        <v>326.55452901143133</v>
      </c>
      <c r="AT165" s="289">
        <f t="shared" ref="AT165:AT184" si="105">+V165-AO165</f>
        <v>-146.50336262854705</v>
      </c>
      <c r="AU165" s="290"/>
      <c r="AV165" s="289">
        <f t="shared" si="104"/>
        <v>146.50336262854705</v>
      </c>
      <c r="AW165" s="291">
        <f t="shared" si="97"/>
        <v>-42.17952288087384</v>
      </c>
      <c r="AX165" s="291">
        <f t="shared" si="98"/>
        <v>-34.32047711912616</v>
      </c>
      <c r="AY165" s="292">
        <f t="shared" si="84"/>
        <v>-275.01496479136279</v>
      </c>
      <c r="AZ165" s="292">
        <f t="shared" si="85"/>
        <v>-291.37124071119592</v>
      </c>
      <c r="BA165" s="294">
        <f t="shared" si="99"/>
        <v>275.01496479136279</v>
      </c>
      <c r="BB165" s="294">
        <f t="shared" si="99"/>
        <v>291.37124071119592</v>
      </c>
      <c r="BC165">
        <f t="shared" si="100"/>
        <v>0.3</v>
      </c>
      <c r="BD165" s="10"/>
      <c r="BE165" s="10"/>
      <c r="BF165" s="10"/>
      <c r="BG165" s="27"/>
      <c r="BO165" s="27"/>
      <c r="BP165" s="14"/>
      <c r="CR165" s="27"/>
      <c r="CS165" s="27"/>
      <c r="CT165" s="27"/>
      <c r="CU165" s="27"/>
      <c r="CV165" s="27"/>
      <c r="CW165" s="27"/>
    </row>
    <row r="166" spans="1:101" ht="21" customHeight="1" thickBot="1" x14ac:dyDescent="0.35">
      <c r="B166" s="88">
        <v>6</v>
      </c>
      <c r="C166" s="20"/>
      <c r="D166" s="738">
        <v>0</v>
      </c>
      <c r="E166" s="333" t="s">
        <v>72</v>
      </c>
      <c r="F166" s="81">
        <f t="shared" si="86"/>
        <v>0.3</v>
      </c>
      <c r="G166" s="81">
        <f t="shared" si="101"/>
        <v>0.3</v>
      </c>
      <c r="H166" s="299">
        <v>190.76</v>
      </c>
      <c r="I166" s="318">
        <v>79.651040199999997</v>
      </c>
      <c r="J166" s="251">
        <f t="shared" si="87"/>
        <v>79.651040199999997</v>
      </c>
      <c r="K166" s="251">
        <f t="shared" si="88"/>
        <v>39.825520099999999</v>
      </c>
      <c r="L166" s="251">
        <f t="shared" si="76"/>
        <v>0.64045183696587837</v>
      </c>
      <c r="M166" s="251">
        <f t="shared" si="77"/>
        <v>122.17259241961095</v>
      </c>
      <c r="N166" s="251">
        <f t="shared" si="78"/>
        <v>244.3451848392219</v>
      </c>
      <c r="O166" s="251">
        <f>+C161+D162+D163+D164+D165+(D166/2)</f>
        <v>0</v>
      </c>
      <c r="P166" s="251">
        <f t="shared" si="79"/>
        <v>0</v>
      </c>
      <c r="Q166" s="251">
        <f t="shared" si="80"/>
        <v>0</v>
      </c>
      <c r="R166" s="251">
        <f t="shared" si="89"/>
        <v>146.5</v>
      </c>
      <c r="S166" s="251">
        <f t="shared" si="102"/>
        <v>146.5</v>
      </c>
      <c r="T166" s="252">
        <f t="shared" si="81"/>
        <v>146.5</v>
      </c>
      <c r="U166" s="244"/>
      <c r="V166" s="282">
        <f t="shared" si="82"/>
        <v>0</v>
      </c>
      <c r="W166" s="282"/>
      <c r="X166" s="282"/>
      <c r="Y166" s="282"/>
      <c r="Z166" s="282"/>
      <c r="AA166" s="282"/>
      <c r="AB166" s="300" t="str">
        <f t="shared" si="90"/>
        <v>pin in groundstacking hole</v>
      </c>
      <c r="AC166" s="451"/>
      <c r="AD166" s="451"/>
      <c r="AE166" s="451"/>
      <c r="AF166" s="282">
        <f>SUM(V166:V184)/($B$158-B165)</f>
        <v>0</v>
      </c>
      <c r="AG166" s="282"/>
      <c r="AH166" s="301">
        <f>SUM(D162:D166)+$C$161</f>
        <v>0</v>
      </c>
      <c r="AI166" s="370"/>
      <c r="AJ166" s="173">
        <f t="shared" si="91"/>
        <v>69.344714800000006</v>
      </c>
      <c r="AK166" s="284">
        <f t="shared" si="83"/>
        <v>0.93571960494171247</v>
      </c>
      <c r="AL166" s="174">
        <f t="shared" si="92"/>
        <v>180.0511663828843</v>
      </c>
      <c r="AM166" s="173">
        <f t="shared" si="93"/>
        <v>50.174479900000001</v>
      </c>
      <c r="AN166" s="285">
        <f t="shared" si="94"/>
        <v>0.76799833627881664</v>
      </c>
      <c r="AO166" s="174">
        <f t="shared" si="95"/>
        <v>146.50336262854705</v>
      </c>
      <c r="AP166" s="287"/>
      <c r="AQ166" s="174">
        <f t="shared" si="103"/>
        <v>-102</v>
      </c>
      <c r="AR166" s="287"/>
      <c r="AS166" s="288">
        <f t="shared" si="96"/>
        <v>326.55452901143133</v>
      </c>
      <c r="AT166" s="289">
        <f t="shared" si="105"/>
        <v>-146.50336262854705</v>
      </c>
      <c r="AU166" s="290"/>
      <c r="AV166" s="289">
        <f t="shared" si="104"/>
        <v>146.50336262854705</v>
      </c>
      <c r="AW166" s="291">
        <f t="shared" si="97"/>
        <v>-56.239363841165115</v>
      </c>
      <c r="AX166" s="291">
        <f t="shared" si="98"/>
        <v>-45.760636158834885</v>
      </c>
      <c r="AY166" s="292">
        <f t="shared" si="84"/>
        <v>-206.26122359352212</v>
      </c>
      <c r="AZ166" s="292">
        <f t="shared" si="85"/>
        <v>-218.52843053339691</v>
      </c>
      <c r="BA166" s="294">
        <f t="shared" si="99"/>
        <v>206.26122359352212</v>
      </c>
      <c r="BB166" s="294">
        <f t="shared" si="99"/>
        <v>218.52843053339691</v>
      </c>
      <c r="BC166">
        <f t="shared" si="100"/>
        <v>0.3</v>
      </c>
      <c r="BD166" s="10"/>
      <c r="BE166" s="10"/>
      <c r="BF166" s="10"/>
      <c r="BG166" s="27"/>
      <c r="BO166" s="27"/>
      <c r="BP166" s="14"/>
      <c r="CR166" s="27"/>
      <c r="CS166" s="27"/>
      <c r="CT166" s="27"/>
      <c r="CU166" s="27"/>
      <c r="CV166" s="27"/>
      <c r="CW166" s="27"/>
    </row>
    <row r="167" spans="1:101" ht="21" customHeight="1" thickBot="1" x14ac:dyDescent="0.35">
      <c r="B167" s="88">
        <v>7</v>
      </c>
      <c r="C167" s="20"/>
      <c r="D167" s="738">
        <v>0</v>
      </c>
      <c r="E167" s="333" t="s">
        <v>72</v>
      </c>
      <c r="F167" s="81">
        <f t="shared" si="86"/>
        <v>0.3</v>
      </c>
      <c r="G167" s="81">
        <f t="shared" si="101"/>
        <v>0.3</v>
      </c>
      <c r="H167" s="299">
        <v>190.76</v>
      </c>
      <c r="I167" s="318">
        <v>79.651040199999997</v>
      </c>
      <c r="J167" s="251">
        <f t="shared" si="87"/>
        <v>79.651040199999997</v>
      </c>
      <c r="K167" s="251">
        <f t="shared" si="88"/>
        <v>39.825520099999999</v>
      </c>
      <c r="L167" s="251">
        <f t="shared" si="76"/>
        <v>0.64045183696587837</v>
      </c>
      <c r="M167" s="251">
        <f t="shared" si="77"/>
        <v>122.17259241961095</v>
      </c>
      <c r="N167" s="251">
        <f t="shared" si="78"/>
        <v>244.3451848392219</v>
      </c>
      <c r="O167" s="251">
        <f>+C161+D162+D163+D164+D165+D166+(D167/2)</f>
        <v>0</v>
      </c>
      <c r="P167" s="251">
        <f t="shared" si="79"/>
        <v>0</v>
      </c>
      <c r="Q167" s="251">
        <f t="shared" si="80"/>
        <v>0</v>
      </c>
      <c r="R167" s="251">
        <f t="shared" si="89"/>
        <v>146.5</v>
      </c>
      <c r="S167" s="251">
        <f t="shared" si="102"/>
        <v>146.5</v>
      </c>
      <c r="T167" s="252">
        <f t="shared" si="81"/>
        <v>146.5</v>
      </c>
      <c r="U167" s="244"/>
      <c r="V167" s="282">
        <f t="shared" si="82"/>
        <v>0</v>
      </c>
      <c r="W167" s="282"/>
      <c r="X167" s="282"/>
      <c r="Y167" s="282"/>
      <c r="Z167" s="282"/>
      <c r="AA167" s="282"/>
      <c r="AB167" s="300" t="str">
        <f t="shared" si="90"/>
        <v>pin in groundstacking hole</v>
      </c>
      <c r="AC167" s="451"/>
      <c r="AD167" s="451"/>
      <c r="AE167" s="451"/>
      <c r="AF167" s="282">
        <f>SUM(V167:V184)/($B$158-B166)</f>
        <v>0</v>
      </c>
      <c r="AG167" s="282"/>
      <c r="AH167" s="301">
        <f>SUM(D162:D167)+$C$161</f>
        <v>0</v>
      </c>
      <c r="AI167" s="370"/>
      <c r="AJ167" s="173">
        <f t="shared" si="91"/>
        <v>69.344714800000006</v>
      </c>
      <c r="AK167" s="284">
        <f t="shared" si="83"/>
        <v>0.93571960494171247</v>
      </c>
      <c r="AL167" s="174">
        <f t="shared" si="92"/>
        <v>180.0511663828843</v>
      </c>
      <c r="AM167" s="173">
        <f t="shared" si="93"/>
        <v>50.174479900000001</v>
      </c>
      <c r="AN167" s="285">
        <f t="shared" si="94"/>
        <v>0.76799833627881664</v>
      </c>
      <c r="AO167" s="174">
        <f t="shared" si="95"/>
        <v>146.50336262854705</v>
      </c>
      <c r="AP167" s="287"/>
      <c r="AQ167" s="174">
        <f t="shared" si="103"/>
        <v>-127.5</v>
      </c>
      <c r="AR167" s="287"/>
      <c r="AS167" s="288">
        <f t="shared" si="96"/>
        <v>326.55452901143133</v>
      </c>
      <c r="AT167" s="289">
        <f t="shared" si="105"/>
        <v>-146.50336262854705</v>
      </c>
      <c r="AU167" s="290"/>
      <c r="AV167" s="289">
        <f t="shared" si="104"/>
        <v>146.50336262854705</v>
      </c>
      <c r="AW167" s="291">
        <f t="shared" si="97"/>
        <v>-70.299204801456398</v>
      </c>
      <c r="AX167" s="291">
        <f t="shared" si="98"/>
        <v>-57.200795198543602</v>
      </c>
      <c r="AY167" s="292">
        <f t="shared" si="84"/>
        <v>-165.00897887481767</v>
      </c>
      <c r="AZ167" s="292">
        <f t="shared" si="85"/>
        <v>-174.82274442671755</v>
      </c>
      <c r="BA167" s="294">
        <f t="shared" si="99"/>
        <v>165.00897887481767</v>
      </c>
      <c r="BB167" s="294">
        <f t="shared" si="99"/>
        <v>174.82274442671755</v>
      </c>
      <c r="BC167">
        <f t="shared" si="100"/>
        <v>0.3</v>
      </c>
      <c r="BG167" s="27"/>
      <c r="BO167" s="27"/>
      <c r="BP167" s="14"/>
      <c r="CR167" s="27"/>
      <c r="CS167" s="27"/>
      <c r="CT167" s="27"/>
      <c r="CU167" s="27"/>
      <c r="CV167" s="27"/>
      <c r="CW167" s="27"/>
    </row>
    <row r="168" spans="1:101" ht="21" customHeight="1" thickBot="1" x14ac:dyDescent="0.35">
      <c r="B168" s="88">
        <v>8</v>
      </c>
      <c r="C168" s="20"/>
      <c r="D168" s="738">
        <v>0</v>
      </c>
      <c r="E168" s="333" t="s">
        <v>72</v>
      </c>
      <c r="F168" s="81">
        <f t="shared" si="86"/>
        <v>0.3</v>
      </c>
      <c r="G168" s="81">
        <f t="shared" si="101"/>
        <v>0.3</v>
      </c>
      <c r="H168" s="299">
        <v>190.76</v>
      </c>
      <c r="I168" s="318">
        <v>79.651040199999997</v>
      </c>
      <c r="J168" s="251">
        <f t="shared" si="87"/>
        <v>79.651040199999997</v>
      </c>
      <c r="K168" s="251">
        <f t="shared" si="88"/>
        <v>39.825520099999999</v>
      </c>
      <c r="L168" s="251">
        <f t="shared" si="76"/>
        <v>0.64045183696587837</v>
      </c>
      <c r="M168" s="251">
        <f t="shared" si="77"/>
        <v>122.17259241961095</v>
      </c>
      <c r="N168" s="251">
        <f t="shared" si="78"/>
        <v>244.3451848392219</v>
      </c>
      <c r="O168" s="251">
        <f>+C161+D162+D163+D164+D165+D166+D167+(D168/2)</f>
        <v>0</v>
      </c>
      <c r="P168" s="251">
        <f t="shared" si="79"/>
        <v>0</v>
      </c>
      <c r="Q168" s="251">
        <f t="shared" si="80"/>
        <v>0</v>
      </c>
      <c r="R168" s="251">
        <f t="shared" si="89"/>
        <v>146.5</v>
      </c>
      <c r="S168" s="251">
        <f t="shared" si="102"/>
        <v>146.5</v>
      </c>
      <c r="T168" s="252">
        <f t="shared" si="81"/>
        <v>146.5</v>
      </c>
      <c r="U168" s="244"/>
      <c r="V168" s="282">
        <f t="shared" si="82"/>
        <v>0</v>
      </c>
      <c r="W168" s="282"/>
      <c r="X168" s="282"/>
      <c r="Y168" s="282"/>
      <c r="Z168" s="282"/>
      <c r="AA168" s="282"/>
      <c r="AB168" s="300" t="str">
        <f>IF(AZ168&lt;0,"pin in groundstacking hole"," ")</f>
        <v>pin in groundstacking hole</v>
      </c>
      <c r="AC168" s="451"/>
      <c r="AD168" s="451"/>
      <c r="AE168" s="451"/>
      <c r="AF168" s="282">
        <f>SUM(V168:V184)/($B$158-B167)</f>
        <v>0</v>
      </c>
      <c r="AG168" s="282"/>
      <c r="AH168" s="301">
        <f>SUM(D162:D168)+$C$161</f>
        <v>0</v>
      </c>
      <c r="AI168" s="370"/>
      <c r="AJ168" s="173">
        <f t="shared" si="91"/>
        <v>69.344714800000006</v>
      </c>
      <c r="AK168" s="284">
        <f t="shared" si="83"/>
        <v>0.93571960494171247</v>
      </c>
      <c r="AL168" s="174">
        <f t="shared" si="92"/>
        <v>180.0511663828843</v>
      </c>
      <c r="AM168" s="173">
        <f t="shared" si="93"/>
        <v>50.174479900000001</v>
      </c>
      <c r="AN168" s="285">
        <f t="shared" si="94"/>
        <v>0.76799833627881664</v>
      </c>
      <c r="AO168" s="174">
        <f t="shared" si="95"/>
        <v>146.50336262854705</v>
      </c>
      <c r="AP168" s="287"/>
      <c r="AQ168" s="174">
        <f t="shared" si="103"/>
        <v>-153</v>
      </c>
      <c r="AR168" s="287"/>
      <c r="AS168" s="288">
        <f t="shared" si="96"/>
        <v>326.55452901143133</v>
      </c>
      <c r="AT168" s="289">
        <f t="shared" si="105"/>
        <v>-146.50336262854705</v>
      </c>
      <c r="AU168" s="290"/>
      <c r="AV168" s="289">
        <f t="shared" si="104"/>
        <v>146.50336262854705</v>
      </c>
      <c r="AW168" s="291">
        <f t="shared" si="97"/>
        <v>-84.35904576174768</v>
      </c>
      <c r="AX168" s="291">
        <f t="shared" si="98"/>
        <v>-68.64095423825232</v>
      </c>
      <c r="AY168" s="292">
        <f t="shared" si="84"/>
        <v>-137.50748239568139</v>
      </c>
      <c r="AZ168" s="292">
        <f t="shared" si="85"/>
        <v>-145.68562035559796</v>
      </c>
      <c r="BA168" s="294">
        <f t="shared" si="99"/>
        <v>137.50748239568139</v>
      </c>
      <c r="BB168" s="294">
        <f t="shared" si="99"/>
        <v>145.68562035559796</v>
      </c>
      <c r="BC168">
        <f t="shared" si="100"/>
        <v>0.3</v>
      </c>
      <c r="BG168" s="27"/>
      <c r="BO168" s="27"/>
      <c r="BP168" s="14"/>
      <c r="CR168" s="27"/>
      <c r="CS168" s="27"/>
      <c r="CT168" s="27"/>
      <c r="CU168" s="27"/>
      <c r="CV168" s="27"/>
      <c r="CW168" s="27"/>
    </row>
    <row r="169" spans="1:101" ht="21" customHeight="1" thickBot="1" x14ac:dyDescent="0.35">
      <c r="B169" s="88">
        <v>9</v>
      </c>
      <c r="C169" s="20"/>
      <c r="D169" s="738">
        <v>0</v>
      </c>
      <c r="E169" s="333" t="s">
        <v>72</v>
      </c>
      <c r="F169" s="81">
        <f t="shared" si="86"/>
        <v>0.3</v>
      </c>
      <c r="G169" s="81">
        <f t="shared" si="101"/>
        <v>0.3</v>
      </c>
      <c r="H169" s="299">
        <v>190.76</v>
      </c>
      <c r="I169" s="318">
        <v>79.651040199999997</v>
      </c>
      <c r="J169" s="251">
        <f t="shared" si="87"/>
        <v>79.651040199999997</v>
      </c>
      <c r="K169" s="251">
        <f t="shared" si="88"/>
        <v>39.825520099999999</v>
      </c>
      <c r="L169" s="251">
        <f t="shared" si="76"/>
        <v>0.64045183696587837</v>
      </c>
      <c r="M169" s="251">
        <f t="shared" si="77"/>
        <v>122.17259241961095</v>
      </c>
      <c r="N169" s="251">
        <f t="shared" si="78"/>
        <v>244.3451848392219</v>
      </c>
      <c r="O169" s="251">
        <f>+C161+D162+D163+D164+D165+D166+D167+D168+(D169/2)</f>
        <v>0</v>
      </c>
      <c r="P169" s="251">
        <f t="shared" si="79"/>
        <v>0</v>
      </c>
      <c r="Q169" s="251">
        <f t="shared" si="80"/>
        <v>0</v>
      </c>
      <c r="R169" s="251">
        <f t="shared" si="89"/>
        <v>146.5</v>
      </c>
      <c r="S169" s="251">
        <f t="shared" si="102"/>
        <v>146.5</v>
      </c>
      <c r="T169" s="252">
        <f t="shared" si="81"/>
        <v>146.5</v>
      </c>
      <c r="U169" s="244"/>
      <c r="V169" s="282">
        <f t="shared" si="82"/>
        <v>0</v>
      </c>
      <c r="W169" s="282"/>
      <c r="X169" s="282"/>
      <c r="Y169" s="282"/>
      <c r="Z169" s="282"/>
      <c r="AA169" s="282"/>
      <c r="AB169" s="300" t="str">
        <f t="shared" si="90"/>
        <v>pin in groundstacking hole</v>
      </c>
      <c r="AC169" s="451"/>
      <c r="AD169" s="451"/>
      <c r="AE169" s="451"/>
      <c r="AF169" s="282">
        <f>SUM(V169:V184)/($B$158-B168)</f>
        <v>0</v>
      </c>
      <c r="AG169" s="282"/>
      <c r="AH169" s="301">
        <f>SUM(D162:D169)+$C$161</f>
        <v>0</v>
      </c>
      <c r="AI169" s="370"/>
      <c r="AJ169" s="173">
        <f t="shared" si="91"/>
        <v>69.344714800000006</v>
      </c>
      <c r="AK169" s="284">
        <f t="shared" si="83"/>
        <v>0.93571960494171247</v>
      </c>
      <c r="AL169" s="174">
        <f t="shared" si="92"/>
        <v>180.0511663828843</v>
      </c>
      <c r="AM169" s="173">
        <f t="shared" si="93"/>
        <v>50.174479900000001</v>
      </c>
      <c r="AN169" s="285">
        <f t="shared" si="94"/>
        <v>0.76799833627881664</v>
      </c>
      <c r="AO169" s="174">
        <f t="shared" si="95"/>
        <v>146.50336262854705</v>
      </c>
      <c r="AP169" s="287"/>
      <c r="AQ169" s="174">
        <f t="shared" si="103"/>
        <v>-178.5</v>
      </c>
      <c r="AR169" s="287"/>
      <c r="AS169" s="288">
        <f t="shared" si="96"/>
        <v>326.55452901143133</v>
      </c>
      <c r="AT169" s="289">
        <f t="shared" si="105"/>
        <v>-146.50336262854705</v>
      </c>
      <c r="AU169" s="290"/>
      <c r="AV169" s="289">
        <f t="shared" si="104"/>
        <v>146.50336262854705</v>
      </c>
      <c r="AW169" s="291">
        <f t="shared" si="97"/>
        <v>-98.418886722038962</v>
      </c>
      <c r="AX169" s="291">
        <f t="shared" si="98"/>
        <v>-80.081113277961038</v>
      </c>
      <c r="AY169" s="292">
        <f t="shared" si="84"/>
        <v>-117.86355633915548</v>
      </c>
      <c r="AZ169" s="292">
        <f t="shared" si="85"/>
        <v>-124.87338887622683</v>
      </c>
      <c r="BA169" s="294">
        <f t="shared" si="99"/>
        <v>117.86355633915548</v>
      </c>
      <c r="BB169" s="294">
        <f t="shared" si="99"/>
        <v>124.87338887622683</v>
      </c>
      <c r="BC169">
        <f t="shared" si="100"/>
        <v>0.3</v>
      </c>
      <c r="BG169" s="27"/>
      <c r="BO169" s="27"/>
      <c r="BP169" s="14"/>
      <c r="CR169" s="27"/>
      <c r="CS169" s="27"/>
      <c r="CT169" s="27"/>
      <c r="CU169" s="27"/>
      <c r="CV169" s="27"/>
      <c r="CW169" s="27"/>
    </row>
    <row r="170" spans="1:101" ht="21" customHeight="1" thickBot="1" x14ac:dyDescent="0.35">
      <c r="B170" s="88">
        <v>10</v>
      </c>
      <c r="C170" s="20"/>
      <c r="D170" s="738">
        <v>0</v>
      </c>
      <c r="E170" s="333" t="s">
        <v>72</v>
      </c>
      <c r="F170" s="81">
        <f t="shared" si="86"/>
        <v>0.3</v>
      </c>
      <c r="G170" s="81">
        <f t="shared" si="101"/>
        <v>0.3</v>
      </c>
      <c r="H170" s="299">
        <v>190.76</v>
      </c>
      <c r="I170" s="318">
        <v>79.651040199999997</v>
      </c>
      <c r="J170" s="251">
        <f t="shared" si="87"/>
        <v>79.651040199999997</v>
      </c>
      <c r="K170" s="251">
        <f t="shared" si="88"/>
        <v>39.825520099999999</v>
      </c>
      <c r="L170" s="251">
        <f t="shared" si="76"/>
        <v>0.64045183696587837</v>
      </c>
      <c r="M170" s="251">
        <f t="shared" si="77"/>
        <v>122.17259241961095</v>
      </c>
      <c r="N170" s="251">
        <f t="shared" si="78"/>
        <v>244.3451848392219</v>
      </c>
      <c r="O170" s="251">
        <f>+C161+D162+D163+D164+D165+D166+D167+D168+D169+(D170/2)</f>
        <v>0</v>
      </c>
      <c r="P170" s="251">
        <f t="shared" si="79"/>
        <v>0</v>
      </c>
      <c r="Q170" s="251">
        <f t="shared" si="80"/>
        <v>0</v>
      </c>
      <c r="R170" s="251">
        <f t="shared" si="89"/>
        <v>146.5</v>
      </c>
      <c r="S170" s="251">
        <f t="shared" si="102"/>
        <v>146.5</v>
      </c>
      <c r="T170" s="252">
        <f t="shared" si="81"/>
        <v>146.5</v>
      </c>
      <c r="U170" s="244"/>
      <c r="V170" s="282">
        <f t="shared" si="82"/>
        <v>0</v>
      </c>
      <c r="W170" s="282"/>
      <c r="X170" s="282"/>
      <c r="Y170" s="282"/>
      <c r="Z170" s="282"/>
      <c r="AA170" s="282"/>
      <c r="AB170" s="300" t="str">
        <f t="shared" si="90"/>
        <v>pin in groundstacking hole</v>
      </c>
      <c r="AC170" s="451"/>
      <c r="AD170" s="451"/>
      <c r="AE170" s="451"/>
      <c r="AF170" s="282">
        <f>SUM(V170:V184)/($B$158-B169)</f>
        <v>0</v>
      </c>
      <c r="AG170" s="282"/>
      <c r="AH170" s="301">
        <f>SUM(D162:D170)+$C$161</f>
        <v>0</v>
      </c>
      <c r="AI170" s="370"/>
      <c r="AJ170" s="173">
        <f t="shared" si="91"/>
        <v>69.344714800000006</v>
      </c>
      <c r="AK170" s="284">
        <f t="shared" si="83"/>
        <v>0.93571960494171247</v>
      </c>
      <c r="AL170" s="174">
        <f t="shared" si="92"/>
        <v>180.0511663828843</v>
      </c>
      <c r="AM170" s="173">
        <f t="shared" si="93"/>
        <v>50.174479900000001</v>
      </c>
      <c r="AN170" s="285">
        <f t="shared" si="94"/>
        <v>0.76799833627881664</v>
      </c>
      <c r="AO170" s="174">
        <f t="shared" si="95"/>
        <v>146.50336262854705</v>
      </c>
      <c r="AP170" s="287"/>
      <c r="AQ170" s="174">
        <f t="shared" si="103"/>
        <v>-204</v>
      </c>
      <c r="AR170" s="287"/>
      <c r="AS170" s="288">
        <f t="shared" si="96"/>
        <v>326.55452901143133</v>
      </c>
      <c r="AT170" s="289">
        <f t="shared" si="105"/>
        <v>-146.50336262854705</v>
      </c>
      <c r="AU170" s="290"/>
      <c r="AV170" s="289">
        <f t="shared" si="104"/>
        <v>146.50336262854705</v>
      </c>
      <c r="AW170" s="291">
        <f t="shared" si="97"/>
        <v>-112.47872768233023</v>
      </c>
      <c r="AX170" s="291">
        <f t="shared" si="98"/>
        <v>-91.521272317669769</v>
      </c>
      <c r="AY170" s="292">
        <f t="shared" si="84"/>
        <v>-103.13061179676106</v>
      </c>
      <c r="AZ170" s="292">
        <f t="shared" si="85"/>
        <v>-109.26421526669846</v>
      </c>
      <c r="BA170" s="294">
        <f t="shared" si="99"/>
        <v>103.13061179676106</v>
      </c>
      <c r="BB170" s="294">
        <f t="shared" si="99"/>
        <v>109.26421526669846</v>
      </c>
      <c r="BC170">
        <f t="shared" si="100"/>
        <v>0.3</v>
      </c>
      <c r="BG170" s="27"/>
      <c r="BO170" s="27"/>
      <c r="BP170" s="14"/>
      <c r="CR170" s="27"/>
      <c r="CS170" s="27"/>
      <c r="CT170" s="27"/>
      <c r="CU170" s="27"/>
      <c r="CV170" s="27"/>
      <c r="CW170" s="27"/>
    </row>
    <row r="171" spans="1:101" ht="21" customHeight="1" thickBot="1" x14ac:dyDescent="0.35">
      <c r="A171" s="9"/>
      <c r="B171" s="88">
        <v>11</v>
      </c>
      <c r="C171" s="20"/>
      <c r="D171" s="738">
        <v>0</v>
      </c>
      <c r="E171" s="333" t="s">
        <v>72</v>
      </c>
      <c r="F171" s="81">
        <f t="shared" si="86"/>
        <v>0.3</v>
      </c>
      <c r="G171" s="81">
        <f t="shared" si="101"/>
        <v>0.3</v>
      </c>
      <c r="H171" s="299">
        <v>190.76</v>
      </c>
      <c r="I171" s="318">
        <v>79.651040199999997</v>
      </c>
      <c r="J171" s="251">
        <f t="shared" si="87"/>
        <v>79.651040199999997</v>
      </c>
      <c r="K171" s="251">
        <f t="shared" si="88"/>
        <v>39.825520099999999</v>
      </c>
      <c r="L171" s="251">
        <f t="shared" si="76"/>
        <v>0.64045183696587837</v>
      </c>
      <c r="M171" s="251">
        <f t="shared" si="77"/>
        <v>122.17259241961095</v>
      </c>
      <c r="N171" s="251">
        <f t="shared" si="78"/>
        <v>244.3451848392219</v>
      </c>
      <c r="O171" s="251">
        <f>+C161+D162+D163+D164+D165+D166+D167+D168+D169+D170+(D171/2)</f>
        <v>0</v>
      </c>
      <c r="P171" s="251">
        <f t="shared" si="79"/>
        <v>0</v>
      </c>
      <c r="Q171" s="251">
        <f t="shared" si="80"/>
        <v>0</v>
      </c>
      <c r="R171" s="251">
        <f t="shared" si="89"/>
        <v>146.5</v>
      </c>
      <c r="S171" s="251">
        <f t="shared" si="102"/>
        <v>146.5</v>
      </c>
      <c r="T171" s="252">
        <f t="shared" si="81"/>
        <v>146.5</v>
      </c>
      <c r="U171" s="244"/>
      <c r="V171" s="282">
        <f t="shared" si="82"/>
        <v>0</v>
      </c>
      <c r="W171" s="282"/>
      <c r="X171" s="282"/>
      <c r="Y171" s="282"/>
      <c r="Z171" s="282"/>
      <c r="AA171" s="282"/>
      <c r="AB171" s="300" t="str">
        <f t="shared" si="90"/>
        <v>pin in groundstacking hole</v>
      </c>
      <c r="AC171" s="451"/>
      <c r="AD171" s="451"/>
      <c r="AE171" s="451"/>
      <c r="AF171" s="282">
        <f>SUM(V171:V184)/($B$158-B170)</f>
        <v>0</v>
      </c>
      <c r="AG171" s="282"/>
      <c r="AH171" s="301">
        <f>SUM(D162:D171)+$C$161</f>
        <v>0</v>
      </c>
      <c r="AI171" s="370"/>
      <c r="AJ171" s="173">
        <f t="shared" si="91"/>
        <v>69.344714800000006</v>
      </c>
      <c r="AK171" s="284">
        <f t="shared" si="83"/>
        <v>0.93571960494171247</v>
      </c>
      <c r="AL171" s="174">
        <f t="shared" si="92"/>
        <v>180.0511663828843</v>
      </c>
      <c r="AM171" s="173">
        <f t="shared" si="93"/>
        <v>50.174479900000001</v>
      </c>
      <c r="AN171" s="285">
        <f t="shared" si="94"/>
        <v>0.76799833627881664</v>
      </c>
      <c r="AO171" s="174">
        <f t="shared" si="95"/>
        <v>146.50336262854705</v>
      </c>
      <c r="AP171" s="287"/>
      <c r="AQ171" s="174">
        <f t="shared" si="103"/>
        <v>-229.5</v>
      </c>
      <c r="AR171" s="287"/>
      <c r="AS171" s="288">
        <f t="shared" si="96"/>
        <v>326.55452901143133</v>
      </c>
      <c r="AT171" s="289">
        <f t="shared" si="105"/>
        <v>-146.50336262854705</v>
      </c>
      <c r="AU171" s="290"/>
      <c r="AV171" s="289">
        <f t="shared" si="104"/>
        <v>146.50336262854705</v>
      </c>
      <c r="AW171" s="291">
        <f t="shared" si="97"/>
        <v>-126.53856864262151</v>
      </c>
      <c r="AX171" s="291">
        <f t="shared" si="98"/>
        <v>-102.96143135737849</v>
      </c>
      <c r="AY171" s="292">
        <f t="shared" si="84"/>
        <v>-91.671654930454267</v>
      </c>
      <c r="AZ171" s="292">
        <f t="shared" si="85"/>
        <v>-97.12374690373197</v>
      </c>
      <c r="BA171" s="294">
        <f t="shared" si="99"/>
        <v>91.671654930454267</v>
      </c>
      <c r="BB171" s="294">
        <f t="shared" si="99"/>
        <v>97.12374690373197</v>
      </c>
      <c r="BC171">
        <f t="shared" si="100"/>
        <v>0.3</v>
      </c>
      <c r="BG171" s="27"/>
      <c r="BO171" s="27"/>
      <c r="BP171" s="14"/>
      <c r="CR171" s="27"/>
      <c r="CS171" s="27"/>
      <c r="CT171" s="27"/>
      <c r="CU171" s="27"/>
      <c r="CV171" s="27"/>
      <c r="CW171" s="27"/>
    </row>
    <row r="172" spans="1:101" ht="21" customHeight="1" thickBot="1" x14ac:dyDescent="0.35">
      <c r="A172" s="9"/>
      <c r="B172" s="88">
        <v>12</v>
      </c>
      <c r="C172" s="20"/>
      <c r="D172" s="738">
        <v>0</v>
      </c>
      <c r="E172" s="333" t="s">
        <v>72</v>
      </c>
      <c r="F172" s="81">
        <f t="shared" si="86"/>
        <v>0.3</v>
      </c>
      <c r="G172" s="81">
        <f t="shared" si="101"/>
        <v>0.3</v>
      </c>
      <c r="H172" s="299">
        <v>190.76</v>
      </c>
      <c r="I172" s="318">
        <v>79.651040199999997</v>
      </c>
      <c r="J172" s="251">
        <f t="shared" si="87"/>
        <v>79.651040199999997</v>
      </c>
      <c r="K172" s="251">
        <f t="shared" si="88"/>
        <v>39.825520099999999</v>
      </c>
      <c r="L172" s="251">
        <f t="shared" si="76"/>
        <v>0.64045183696587837</v>
      </c>
      <c r="M172" s="251">
        <f t="shared" si="77"/>
        <v>122.17259241961095</v>
      </c>
      <c r="N172" s="251">
        <f t="shared" si="78"/>
        <v>244.3451848392219</v>
      </c>
      <c r="O172" s="251">
        <f>+C161+D162+D163+D164+D165+D166+D167+D168+D169+D170+D171+(D172/2)</f>
        <v>0</v>
      </c>
      <c r="P172" s="251">
        <f t="shared" si="79"/>
        <v>0</v>
      </c>
      <c r="Q172" s="251">
        <f t="shared" si="80"/>
        <v>0</v>
      </c>
      <c r="R172" s="251">
        <f t="shared" si="89"/>
        <v>146.5</v>
      </c>
      <c r="S172" s="251">
        <f t="shared" si="102"/>
        <v>146.5</v>
      </c>
      <c r="T172" s="252">
        <f t="shared" si="81"/>
        <v>146.5</v>
      </c>
      <c r="U172" s="244"/>
      <c r="V172" s="282">
        <f t="shared" si="82"/>
        <v>0</v>
      </c>
      <c r="W172" s="282"/>
      <c r="X172" s="282"/>
      <c r="Y172" s="282"/>
      <c r="Z172" s="282"/>
      <c r="AA172" s="282"/>
      <c r="AB172" s="300" t="str">
        <f>IF(AZ172&lt;0,"pin in groundstacking hole"," ")</f>
        <v>pin in groundstacking hole</v>
      </c>
      <c r="AC172" s="451"/>
      <c r="AD172" s="451"/>
      <c r="AE172" s="451"/>
      <c r="AF172" s="282">
        <f>SUM(V172:V184)/($B$158-B171)</f>
        <v>0</v>
      </c>
      <c r="AG172" s="282"/>
      <c r="AH172" s="301">
        <f>SUM(D162:D172)+$C$161</f>
        <v>0</v>
      </c>
      <c r="AI172" s="370"/>
      <c r="AJ172" s="173">
        <f t="shared" si="91"/>
        <v>69.344714800000006</v>
      </c>
      <c r="AK172" s="284">
        <f t="shared" si="83"/>
        <v>0.93571960494171247</v>
      </c>
      <c r="AL172" s="174">
        <f t="shared" si="92"/>
        <v>180.0511663828843</v>
      </c>
      <c r="AM172" s="173">
        <f t="shared" si="93"/>
        <v>50.174479900000001</v>
      </c>
      <c r="AN172" s="285">
        <f t="shared" si="94"/>
        <v>0.76799833627881664</v>
      </c>
      <c r="AO172" s="174">
        <f t="shared" si="95"/>
        <v>146.50336262854705</v>
      </c>
      <c r="AP172" s="287"/>
      <c r="AQ172" s="174">
        <f t="shared" si="103"/>
        <v>-255</v>
      </c>
      <c r="AR172" s="287"/>
      <c r="AS172" s="288">
        <f t="shared" si="96"/>
        <v>326.55452901143133</v>
      </c>
      <c r="AT172" s="289">
        <f t="shared" si="105"/>
        <v>-146.50336262854705</v>
      </c>
      <c r="AU172" s="290"/>
      <c r="AV172" s="289">
        <f t="shared" si="104"/>
        <v>146.50336262854705</v>
      </c>
      <c r="AW172" s="291">
        <f t="shared" si="97"/>
        <v>-140.5984096029128</v>
      </c>
      <c r="AX172" s="291">
        <f t="shared" si="98"/>
        <v>-114.4015903970872</v>
      </c>
      <c r="AY172" s="292">
        <f t="shared" si="84"/>
        <v>-82.504489437408836</v>
      </c>
      <c r="AZ172" s="292">
        <f t="shared" si="85"/>
        <v>-87.411372213358774</v>
      </c>
      <c r="BA172" s="294">
        <f t="shared" si="99"/>
        <v>82.504489437408836</v>
      </c>
      <c r="BB172" s="294">
        <f t="shared" si="99"/>
        <v>87.411372213358774</v>
      </c>
      <c r="BC172">
        <f t="shared" si="100"/>
        <v>0.3</v>
      </c>
      <c r="BG172" s="27"/>
      <c r="BO172" s="27"/>
      <c r="BP172" s="14"/>
      <c r="CR172" s="27"/>
      <c r="CS172" s="27"/>
      <c r="CT172" s="27"/>
      <c r="CU172" s="27"/>
      <c r="CV172" s="27"/>
      <c r="CW172" s="27"/>
    </row>
    <row r="173" spans="1:101" ht="21" customHeight="1" thickBot="1" x14ac:dyDescent="0.35">
      <c r="B173" s="88">
        <v>13</v>
      </c>
      <c r="C173" s="20"/>
      <c r="D173" s="738">
        <v>0</v>
      </c>
      <c r="E173" s="333" t="s">
        <v>72</v>
      </c>
      <c r="F173" s="81">
        <f t="shared" si="86"/>
        <v>0.3</v>
      </c>
      <c r="G173" s="81">
        <f t="shared" si="101"/>
        <v>0.3</v>
      </c>
      <c r="H173" s="299">
        <v>190.76</v>
      </c>
      <c r="I173" s="318">
        <v>79.651040199999997</v>
      </c>
      <c r="J173" s="251">
        <f t="shared" si="87"/>
        <v>79.651040199999997</v>
      </c>
      <c r="K173" s="251">
        <f t="shared" si="88"/>
        <v>39.825520099999999</v>
      </c>
      <c r="L173" s="251">
        <f t="shared" si="76"/>
        <v>0.64045183696587837</v>
      </c>
      <c r="M173" s="251">
        <f t="shared" si="77"/>
        <v>122.17259241961095</v>
      </c>
      <c r="N173" s="251">
        <f t="shared" si="78"/>
        <v>244.3451848392219</v>
      </c>
      <c r="O173" s="251">
        <f>+C161+D162+D163+D164+D165+D166+D167+D168+D169+D170+D171+D172+(D173/2)</f>
        <v>0</v>
      </c>
      <c r="P173" s="251">
        <f t="shared" si="79"/>
        <v>0</v>
      </c>
      <c r="Q173" s="251">
        <f t="shared" si="80"/>
        <v>0</v>
      </c>
      <c r="R173" s="251">
        <f t="shared" si="89"/>
        <v>146.5</v>
      </c>
      <c r="S173" s="251">
        <f t="shared" si="102"/>
        <v>146.5</v>
      </c>
      <c r="T173" s="252">
        <f t="shared" si="81"/>
        <v>146.5</v>
      </c>
      <c r="U173" s="244"/>
      <c r="V173" s="282">
        <f t="shared" si="82"/>
        <v>0</v>
      </c>
      <c r="W173" s="282"/>
      <c r="X173" s="282"/>
      <c r="Y173" s="282"/>
      <c r="Z173" s="282"/>
      <c r="AA173" s="282"/>
      <c r="AB173" s="300" t="str">
        <f t="shared" si="90"/>
        <v>pin in groundstacking hole</v>
      </c>
      <c r="AC173" s="451"/>
      <c r="AD173" s="451"/>
      <c r="AE173" s="451"/>
      <c r="AF173" s="282">
        <f>SUM(V173:V184)/($B$158-B172)</f>
        <v>0</v>
      </c>
      <c r="AG173" s="282"/>
      <c r="AH173" s="301">
        <f>SUM(D162:D173)+$C$161</f>
        <v>0</v>
      </c>
      <c r="AI173" s="370"/>
      <c r="AJ173" s="173">
        <f t="shared" si="91"/>
        <v>69.344714800000006</v>
      </c>
      <c r="AK173" s="284">
        <f t="shared" si="83"/>
        <v>0.93571960494171247</v>
      </c>
      <c r="AL173" s="174">
        <f t="shared" si="92"/>
        <v>180.0511663828843</v>
      </c>
      <c r="AM173" s="173">
        <f t="shared" si="93"/>
        <v>50.174479900000001</v>
      </c>
      <c r="AN173" s="285">
        <f t="shared" si="94"/>
        <v>0.76799833627881664</v>
      </c>
      <c r="AO173" s="174">
        <f t="shared" si="95"/>
        <v>146.50336262854705</v>
      </c>
      <c r="AP173" s="287"/>
      <c r="AQ173" s="174">
        <f t="shared" si="103"/>
        <v>-280.5</v>
      </c>
      <c r="AR173" s="287"/>
      <c r="AS173" s="288">
        <f t="shared" si="96"/>
        <v>326.55452901143133</v>
      </c>
      <c r="AT173" s="289">
        <f t="shared" si="105"/>
        <v>-146.50336262854705</v>
      </c>
      <c r="AU173" s="290"/>
      <c r="AV173" s="289">
        <f t="shared" si="104"/>
        <v>146.50336262854705</v>
      </c>
      <c r="AW173" s="291">
        <f t="shared" si="97"/>
        <v>-154.65825056320406</v>
      </c>
      <c r="AX173" s="291">
        <f t="shared" si="98"/>
        <v>-125.84174943679592</v>
      </c>
      <c r="AY173" s="292">
        <f t="shared" si="84"/>
        <v>-75.004081306735316</v>
      </c>
      <c r="AZ173" s="292">
        <f t="shared" si="85"/>
        <v>-79.464883830326158</v>
      </c>
      <c r="BA173" s="294">
        <f t="shared" si="99"/>
        <v>75.004081306735316</v>
      </c>
      <c r="BB173" s="294">
        <f t="shared" si="99"/>
        <v>79.464883830326158</v>
      </c>
      <c r="BC173">
        <f t="shared" si="100"/>
        <v>0.3</v>
      </c>
      <c r="BG173" s="27"/>
      <c r="BO173" s="27"/>
      <c r="BP173" s="14"/>
      <c r="CR173" s="27"/>
      <c r="CS173" s="27"/>
      <c r="CT173" s="27"/>
      <c r="CU173" s="27"/>
      <c r="CV173" s="27"/>
      <c r="CW173" s="27"/>
    </row>
    <row r="174" spans="1:101" ht="21" customHeight="1" thickBot="1" x14ac:dyDescent="0.35">
      <c r="B174" s="88">
        <v>14</v>
      </c>
      <c r="C174" s="20"/>
      <c r="D174" s="738">
        <v>0</v>
      </c>
      <c r="E174" s="333" t="s">
        <v>72</v>
      </c>
      <c r="F174" s="81">
        <f t="shared" si="86"/>
        <v>0.3</v>
      </c>
      <c r="G174" s="81">
        <f t="shared" si="101"/>
        <v>0.3</v>
      </c>
      <c r="H174" s="299">
        <v>190.76</v>
      </c>
      <c r="I174" s="318">
        <v>79.651040199999997</v>
      </c>
      <c r="J174" s="251">
        <f t="shared" si="87"/>
        <v>79.651040199999997</v>
      </c>
      <c r="K174" s="251">
        <f t="shared" si="88"/>
        <v>39.825520099999999</v>
      </c>
      <c r="L174" s="251">
        <f t="shared" si="76"/>
        <v>0.64045183696587837</v>
      </c>
      <c r="M174" s="251">
        <f t="shared" si="77"/>
        <v>122.17259241961095</v>
      </c>
      <c r="N174" s="251">
        <f t="shared" si="78"/>
        <v>244.3451848392219</v>
      </c>
      <c r="O174" s="251">
        <f>+C161+D162+D163+D164+D165+D166+D167+D168+D169+D170+D171+D172+D173+(D174/2)</f>
        <v>0</v>
      </c>
      <c r="P174" s="251">
        <f t="shared" si="79"/>
        <v>0</v>
      </c>
      <c r="Q174" s="251">
        <f t="shared" si="80"/>
        <v>0</v>
      </c>
      <c r="R174" s="251">
        <f t="shared" si="89"/>
        <v>146.5</v>
      </c>
      <c r="S174" s="251">
        <f t="shared" si="102"/>
        <v>146.5</v>
      </c>
      <c r="T174" s="252">
        <f t="shared" si="81"/>
        <v>146.5</v>
      </c>
      <c r="U174" s="244"/>
      <c r="V174" s="282">
        <f t="shared" si="82"/>
        <v>0</v>
      </c>
      <c r="W174" s="282"/>
      <c r="X174" s="282"/>
      <c r="Y174" s="282"/>
      <c r="Z174" s="282"/>
      <c r="AA174" s="282"/>
      <c r="AB174" s="300" t="str">
        <f t="shared" si="90"/>
        <v>pin in groundstacking hole</v>
      </c>
      <c r="AC174" s="451"/>
      <c r="AD174" s="451"/>
      <c r="AE174" s="451"/>
      <c r="AF174" s="282">
        <f>SUM(V174:V184)/($B$158-B173)</f>
        <v>0</v>
      </c>
      <c r="AG174" s="282"/>
      <c r="AH174" s="301">
        <f>SUM(D162:D174)+$C$161</f>
        <v>0</v>
      </c>
      <c r="AI174" s="370"/>
      <c r="AJ174" s="173">
        <f t="shared" si="91"/>
        <v>69.344714800000006</v>
      </c>
      <c r="AK174" s="284">
        <f t="shared" si="83"/>
        <v>0.93571960494171247</v>
      </c>
      <c r="AL174" s="174">
        <f t="shared" si="92"/>
        <v>180.0511663828843</v>
      </c>
      <c r="AM174" s="173">
        <f t="shared" si="93"/>
        <v>50.174479900000001</v>
      </c>
      <c r="AN174" s="285">
        <f t="shared" si="94"/>
        <v>0.76799833627881664</v>
      </c>
      <c r="AO174" s="174">
        <f t="shared" si="95"/>
        <v>146.50336262854705</v>
      </c>
      <c r="AP174" s="287"/>
      <c r="AQ174" s="174">
        <f t="shared" si="103"/>
        <v>-306</v>
      </c>
      <c r="AR174" s="287"/>
      <c r="AS174" s="288">
        <f t="shared" si="96"/>
        <v>326.55452901143133</v>
      </c>
      <c r="AT174" s="289">
        <f t="shared" si="105"/>
        <v>-146.50336262854705</v>
      </c>
      <c r="AU174" s="290"/>
      <c r="AV174" s="289">
        <f t="shared" si="104"/>
        <v>146.50336262854705</v>
      </c>
      <c r="AW174" s="291">
        <f t="shared" si="97"/>
        <v>-168.71809152349536</v>
      </c>
      <c r="AX174" s="291">
        <f t="shared" si="98"/>
        <v>-137.28190847650464</v>
      </c>
      <c r="AY174" s="292">
        <f t="shared" si="84"/>
        <v>-68.753741197840696</v>
      </c>
      <c r="AZ174" s="292">
        <f t="shared" si="85"/>
        <v>-72.842810177798981</v>
      </c>
      <c r="BA174" s="294">
        <f t="shared" si="99"/>
        <v>68.753741197840696</v>
      </c>
      <c r="BB174" s="294">
        <f t="shared" si="99"/>
        <v>72.842810177798981</v>
      </c>
      <c r="BC174">
        <f t="shared" si="100"/>
        <v>0.3</v>
      </c>
      <c r="BG174" s="27"/>
      <c r="BO174" s="27"/>
      <c r="BP174" s="14"/>
      <c r="CR174" s="27"/>
      <c r="CS174" s="27"/>
      <c r="CT174" s="27"/>
      <c r="CU174" s="27"/>
      <c r="CV174" s="27"/>
      <c r="CW174" s="27"/>
    </row>
    <row r="175" spans="1:101" ht="21" customHeight="1" thickBot="1" x14ac:dyDescent="0.35">
      <c r="B175" s="88">
        <v>15</v>
      </c>
      <c r="C175" s="20"/>
      <c r="D175" s="738">
        <v>0</v>
      </c>
      <c r="E175" s="333" t="s">
        <v>72</v>
      </c>
      <c r="F175" s="81">
        <f t="shared" si="86"/>
        <v>0.3</v>
      </c>
      <c r="G175" s="81">
        <f t="shared" si="101"/>
        <v>0.3</v>
      </c>
      <c r="H175" s="299">
        <v>190.76</v>
      </c>
      <c r="I175" s="318">
        <v>79.651040199999997</v>
      </c>
      <c r="J175" s="251">
        <f t="shared" si="87"/>
        <v>79.651040199999997</v>
      </c>
      <c r="K175" s="251">
        <f t="shared" si="88"/>
        <v>39.825520099999999</v>
      </c>
      <c r="L175" s="251">
        <f t="shared" si="76"/>
        <v>0.64045183696587837</v>
      </c>
      <c r="M175" s="251">
        <f t="shared" si="77"/>
        <v>122.17259241961095</v>
      </c>
      <c r="N175" s="251">
        <f t="shared" si="78"/>
        <v>244.3451848392219</v>
      </c>
      <c r="O175" s="251">
        <f>+C161+D162+D163+D164+D165+D166+D167+D168+D169+D170+D171+D172+D173+D174+(D175/2)</f>
        <v>0</v>
      </c>
      <c r="P175" s="251">
        <f t="shared" si="79"/>
        <v>0</v>
      </c>
      <c r="Q175" s="251">
        <f t="shared" si="80"/>
        <v>0</v>
      </c>
      <c r="R175" s="251">
        <f t="shared" si="89"/>
        <v>146.5</v>
      </c>
      <c r="S175" s="251">
        <f t="shared" si="102"/>
        <v>146.5</v>
      </c>
      <c r="T175" s="252">
        <f t="shared" si="81"/>
        <v>146.5</v>
      </c>
      <c r="U175" s="244"/>
      <c r="V175" s="282">
        <f t="shared" si="82"/>
        <v>0</v>
      </c>
      <c r="W175" s="282"/>
      <c r="X175" s="282"/>
      <c r="Y175" s="282"/>
      <c r="Z175" s="282"/>
      <c r="AA175" s="282"/>
      <c r="AB175" s="300" t="str">
        <f t="shared" si="90"/>
        <v>pin in groundstacking hole</v>
      </c>
      <c r="AC175" s="451"/>
      <c r="AD175" s="451"/>
      <c r="AE175" s="451"/>
      <c r="AF175" s="282">
        <f>SUM(V175:V184)/($B$158-B174)</f>
        <v>0</v>
      </c>
      <c r="AG175" s="282"/>
      <c r="AH175" s="301">
        <f>SUM(D162:D175)+$C$161</f>
        <v>0</v>
      </c>
      <c r="AI175" s="370"/>
      <c r="AJ175" s="173">
        <f t="shared" si="91"/>
        <v>69.344714800000006</v>
      </c>
      <c r="AK175" s="284">
        <f t="shared" si="83"/>
        <v>0.93571960494171247</v>
      </c>
      <c r="AL175" s="174">
        <f t="shared" si="92"/>
        <v>180.0511663828843</v>
      </c>
      <c r="AM175" s="173">
        <f t="shared" si="93"/>
        <v>50.174479900000001</v>
      </c>
      <c r="AN175" s="285">
        <f t="shared" si="94"/>
        <v>0.76799833627881664</v>
      </c>
      <c r="AO175" s="174">
        <f t="shared" si="95"/>
        <v>146.50336262854705</v>
      </c>
      <c r="AP175" s="287"/>
      <c r="AQ175" s="174">
        <f t="shared" si="103"/>
        <v>-331.5</v>
      </c>
      <c r="AR175" s="287"/>
      <c r="AS175" s="288">
        <f t="shared" si="96"/>
        <v>326.55452901143133</v>
      </c>
      <c r="AT175" s="289">
        <f t="shared" si="105"/>
        <v>-146.50336262854705</v>
      </c>
      <c r="AU175" s="290"/>
      <c r="AV175" s="289">
        <f t="shared" si="104"/>
        <v>146.50336262854705</v>
      </c>
      <c r="AW175" s="291">
        <f t="shared" si="97"/>
        <v>-182.77793248378663</v>
      </c>
      <c r="AX175" s="291">
        <f t="shared" si="98"/>
        <v>-148.72206751621337</v>
      </c>
      <c r="AY175" s="292">
        <f t="shared" si="84"/>
        <v>-63.464991874929879</v>
      </c>
      <c r="AZ175" s="292">
        <f t="shared" si="85"/>
        <v>-67.239517087199047</v>
      </c>
      <c r="BA175" s="294">
        <f t="shared" si="99"/>
        <v>63.464991874929879</v>
      </c>
      <c r="BB175" s="294">
        <f t="shared" si="99"/>
        <v>67.239517087199047</v>
      </c>
      <c r="BC175">
        <f t="shared" si="100"/>
        <v>0.3</v>
      </c>
      <c r="BG175" s="27"/>
      <c r="BO175" s="27"/>
      <c r="BP175" s="14"/>
      <c r="CR175" s="27"/>
      <c r="CS175" s="27"/>
      <c r="CT175" s="27"/>
      <c r="CU175" s="27"/>
      <c r="CV175" s="27"/>
    </row>
    <row r="176" spans="1:101" ht="21" customHeight="1" thickBot="1" x14ac:dyDescent="0.35">
      <c r="B176" s="88">
        <v>16</v>
      </c>
      <c r="C176" s="20"/>
      <c r="D176" s="738">
        <v>0</v>
      </c>
      <c r="E176" s="333" t="s">
        <v>72</v>
      </c>
      <c r="F176" s="81">
        <f t="shared" si="86"/>
        <v>0.3</v>
      </c>
      <c r="G176" s="81">
        <f t="shared" si="101"/>
        <v>0.3</v>
      </c>
      <c r="H176" s="299">
        <v>190.76</v>
      </c>
      <c r="I176" s="318">
        <v>79.651040199999997</v>
      </c>
      <c r="J176" s="251">
        <f t="shared" si="87"/>
        <v>79.651040199999997</v>
      </c>
      <c r="K176" s="251">
        <f t="shared" si="88"/>
        <v>39.825520099999999</v>
      </c>
      <c r="L176" s="251">
        <f t="shared" si="76"/>
        <v>0.64045183696587837</v>
      </c>
      <c r="M176" s="251">
        <f t="shared" si="77"/>
        <v>122.17259241961095</v>
      </c>
      <c r="N176" s="251">
        <f t="shared" si="78"/>
        <v>244.3451848392219</v>
      </c>
      <c r="O176" s="251">
        <f>+C161+D162+D163+D164+D165+D166+D167+D168+D169+D170+D171+D172+D173+D174+D175+(D176/2)</f>
        <v>0</v>
      </c>
      <c r="P176" s="251">
        <f t="shared" si="79"/>
        <v>0</v>
      </c>
      <c r="Q176" s="251">
        <f t="shared" si="80"/>
        <v>0</v>
      </c>
      <c r="R176" s="251">
        <f t="shared" si="89"/>
        <v>146.5</v>
      </c>
      <c r="S176" s="251">
        <f t="shared" si="102"/>
        <v>146.5</v>
      </c>
      <c r="T176" s="252">
        <f t="shared" si="81"/>
        <v>146.5</v>
      </c>
      <c r="U176" s="244"/>
      <c r="V176" s="282">
        <f t="shared" si="82"/>
        <v>0</v>
      </c>
      <c r="W176" s="282"/>
      <c r="X176" s="282"/>
      <c r="Y176" s="282"/>
      <c r="Z176" s="282"/>
      <c r="AA176" s="282"/>
      <c r="AB176" s="300" t="str">
        <f t="shared" si="90"/>
        <v>pin in groundstacking hole</v>
      </c>
      <c r="AC176" s="451"/>
      <c r="AD176" s="451"/>
      <c r="AE176" s="451"/>
      <c r="AF176" s="282">
        <f>SUM(V176:V184)/($B$158-B175)</f>
        <v>0</v>
      </c>
      <c r="AG176" s="282"/>
      <c r="AH176" s="301">
        <f>SUM(D162:D176)+$C$161</f>
        <v>0</v>
      </c>
      <c r="AI176" s="370"/>
      <c r="AJ176" s="173">
        <f t="shared" si="91"/>
        <v>69.344714800000006</v>
      </c>
      <c r="AK176" s="284">
        <f t="shared" si="83"/>
        <v>0.93571960494171247</v>
      </c>
      <c r="AL176" s="174">
        <f t="shared" si="92"/>
        <v>180.0511663828843</v>
      </c>
      <c r="AM176" s="173">
        <f t="shared" si="93"/>
        <v>50.174479900000001</v>
      </c>
      <c r="AN176" s="285">
        <f t="shared" si="94"/>
        <v>0.76799833627881664</v>
      </c>
      <c r="AO176" s="174">
        <f t="shared" si="95"/>
        <v>146.50336262854705</v>
      </c>
      <c r="AP176" s="287"/>
      <c r="AQ176" s="174">
        <f t="shared" si="103"/>
        <v>-357</v>
      </c>
      <c r="AR176" s="287"/>
      <c r="AS176" s="288">
        <f t="shared" si="96"/>
        <v>326.55452901143133</v>
      </c>
      <c r="AT176" s="289">
        <f t="shared" si="105"/>
        <v>-146.50336262854705</v>
      </c>
      <c r="AU176" s="290"/>
      <c r="AV176" s="289">
        <f t="shared" si="104"/>
        <v>146.50336262854705</v>
      </c>
      <c r="AW176" s="291">
        <f t="shared" si="97"/>
        <v>-196.83777344407792</v>
      </c>
      <c r="AX176" s="291">
        <f t="shared" si="98"/>
        <v>-160.16222655592208</v>
      </c>
      <c r="AY176" s="292">
        <f t="shared" si="84"/>
        <v>-58.93177816957774</v>
      </c>
      <c r="AZ176" s="292">
        <f t="shared" si="85"/>
        <v>-62.436694438113413</v>
      </c>
      <c r="BA176" s="294">
        <f t="shared" si="99"/>
        <v>58.93177816957774</v>
      </c>
      <c r="BB176" s="294">
        <f t="shared" si="99"/>
        <v>62.436694438113413</v>
      </c>
      <c r="BC176">
        <f t="shared" si="100"/>
        <v>0.3</v>
      </c>
      <c r="BG176" s="27"/>
      <c r="BO176" s="27"/>
      <c r="BP176" s="14"/>
      <c r="CR176" s="27"/>
      <c r="CS176" s="27"/>
      <c r="CT176" s="27"/>
      <c r="CU176" s="27"/>
      <c r="CV176" s="27"/>
      <c r="CW176" s="63"/>
    </row>
    <row r="177" spans="2:127" ht="21" customHeight="1" thickBot="1" x14ac:dyDescent="0.35">
      <c r="B177" s="88">
        <v>17</v>
      </c>
      <c r="C177" s="20"/>
      <c r="D177" s="738">
        <v>0</v>
      </c>
      <c r="E177" s="333" t="s">
        <v>72</v>
      </c>
      <c r="F177" s="81">
        <f t="shared" si="86"/>
        <v>0.3</v>
      </c>
      <c r="G177" s="81">
        <f t="shared" si="101"/>
        <v>0.3</v>
      </c>
      <c r="H177" s="299">
        <v>190.76</v>
      </c>
      <c r="I177" s="318">
        <v>79.651040199999997</v>
      </c>
      <c r="J177" s="251">
        <f t="shared" si="87"/>
        <v>79.651040199999997</v>
      </c>
      <c r="K177" s="251">
        <f t="shared" si="88"/>
        <v>39.825520099999999</v>
      </c>
      <c r="L177" s="251">
        <f t="shared" si="76"/>
        <v>0.64045183696587837</v>
      </c>
      <c r="M177" s="251">
        <f t="shared" si="77"/>
        <v>122.17259241961095</v>
      </c>
      <c r="N177" s="251">
        <f t="shared" si="78"/>
        <v>244.3451848392219</v>
      </c>
      <c r="O177" s="251">
        <f>+C161+D162+D163+D164+D165+D166+D167+D168+D169+D170+D171+D172+D173+D174+D175+D176+(D177/2)</f>
        <v>0</v>
      </c>
      <c r="P177" s="251">
        <f t="shared" si="79"/>
        <v>0</v>
      </c>
      <c r="Q177" s="251">
        <f t="shared" si="80"/>
        <v>0</v>
      </c>
      <c r="R177" s="251">
        <f t="shared" si="89"/>
        <v>146.5</v>
      </c>
      <c r="S177" s="251">
        <f t="shared" si="102"/>
        <v>146.5</v>
      </c>
      <c r="T177" s="252">
        <f t="shared" si="81"/>
        <v>146.5</v>
      </c>
      <c r="U177" s="244"/>
      <c r="V177" s="282">
        <f t="shared" si="82"/>
        <v>0</v>
      </c>
      <c r="W177" s="282"/>
      <c r="X177" s="282"/>
      <c r="Y177" s="282"/>
      <c r="Z177" s="282"/>
      <c r="AA177" s="282"/>
      <c r="AB177" s="300" t="str">
        <f t="shared" si="90"/>
        <v>pin in groundstacking hole</v>
      </c>
      <c r="AC177" s="451"/>
      <c r="AD177" s="451"/>
      <c r="AE177" s="451"/>
      <c r="AF177" s="282">
        <f>SUM(V177:V184)/($B$158-B176)</f>
        <v>0</v>
      </c>
      <c r="AG177" s="282"/>
      <c r="AH177" s="301">
        <f>SUM(D162:D177)+$C$161</f>
        <v>0</v>
      </c>
      <c r="AI177" s="370"/>
      <c r="AJ177" s="173">
        <f t="shared" si="91"/>
        <v>69.344714800000006</v>
      </c>
      <c r="AK177" s="284">
        <f t="shared" si="83"/>
        <v>0.93571960494171247</v>
      </c>
      <c r="AL177" s="174">
        <f t="shared" si="92"/>
        <v>180.0511663828843</v>
      </c>
      <c r="AM177" s="173">
        <f t="shared" si="93"/>
        <v>50.174479900000001</v>
      </c>
      <c r="AN177" s="285">
        <f t="shared" si="94"/>
        <v>0.76799833627881664</v>
      </c>
      <c r="AO177" s="174">
        <f t="shared" si="95"/>
        <v>146.50336262854705</v>
      </c>
      <c r="AP177" s="287"/>
      <c r="AQ177" s="174">
        <f t="shared" si="103"/>
        <v>-382.5</v>
      </c>
      <c r="AR177" s="287"/>
      <c r="AS177" s="288">
        <f t="shared" si="96"/>
        <v>326.55452901143133</v>
      </c>
      <c r="AT177" s="289">
        <f t="shared" si="105"/>
        <v>-146.50336262854705</v>
      </c>
      <c r="AU177" s="290"/>
      <c r="AV177" s="289">
        <f t="shared" si="104"/>
        <v>146.50336262854705</v>
      </c>
      <c r="AW177" s="291">
        <f t="shared" si="97"/>
        <v>-210.89761440436919</v>
      </c>
      <c r="AX177" s="291">
        <f t="shared" si="98"/>
        <v>-171.60238559563081</v>
      </c>
      <c r="AY177" s="292">
        <f t="shared" si="84"/>
        <v>-55.002992958272557</v>
      </c>
      <c r="AZ177" s="292">
        <f t="shared" si="85"/>
        <v>-58.27424814223918</v>
      </c>
      <c r="BA177" s="294">
        <f t="shared" si="99"/>
        <v>55.002992958272557</v>
      </c>
      <c r="BB177" s="294">
        <f t="shared" si="99"/>
        <v>58.27424814223918</v>
      </c>
      <c r="BC177">
        <f t="shared" si="100"/>
        <v>0.3</v>
      </c>
      <c r="BG177" s="27"/>
      <c r="BO177" s="27"/>
      <c r="BP177" s="14"/>
      <c r="CR177" s="27"/>
      <c r="CS177" s="27"/>
      <c r="CT177" s="27"/>
      <c r="CU177" s="27"/>
      <c r="CV177" s="27"/>
      <c r="CW177" s="27"/>
      <c r="CX177" s="27"/>
      <c r="CY177" s="10"/>
      <c r="CZ177" s="10"/>
      <c r="DA177" s="10"/>
      <c r="DB177" s="10"/>
      <c r="DC177" s="10"/>
      <c r="DD177" s="10"/>
      <c r="DE177" s="49"/>
      <c r="DF177" s="49"/>
      <c r="DG177" s="49"/>
      <c r="DH177" s="49"/>
      <c r="DI177" s="49"/>
      <c r="DJ177" s="49"/>
      <c r="DK177" s="49"/>
      <c r="DL177" s="49"/>
      <c r="DM177" s="49"/>
      <c r="DN177" s="49"/>
      <c r="DO177" s="49"/>
      <c r="DP177" s="49"/>
      <c r="DQ177" s="49"/>
      <c r="DR177" s="49"/>
      <c r="DS177" s="7"/>
    </row>
    <row r="178" spans="2:127" ht="21" customHeight="1" thickBot="1" x14ac:dyDescent="0.35">
      <c r="B178" s="88">
        <v>18</v>
      </c>
      <c r="C178" s="20"/>
      <c r="D178" s="738">
        <v>0</v>
      </c>
      <c r="E178" s="333" t="s">
        <v>72</v>
      </c>
      <c r="F178" s="81">
        <f t="shared" si="86"/>
        <v>0.3</v>
      </c>
      <c r="G178" s="81">
        <f t="shared" si="101"/>
        <v>0.3</v>
      </c>
      <c r="H178" s="299">
        <v>190.76</v>
      </c>
      <c r="I178" s="318">
        <v>79.651040199999997</v>
      </c>
      <c r="J178" s="251">
        <f t="shared" si="87"/>
        <v>79.651040199999997</v>
      </c>
      <c r="K178" s="251">
        <f t="shared" si="88"/>
        <v>39.825520099999999</v>
      </c>
      <c r="L178" s="251">
        <f t="shared" si="76"/>
        <v>0.64045183696587837</v>
      </c>
      <c r="M178" s="251">
        <f t="shared" si="77"/>
        <v>122.17259241961095</v>
      </c>
      <c r="N178" s="251">
        <f t="shared" si="78"/>
        <v>244.3451848392219</v>
      </c>
      <c r="O178" s="251">
        <f>+C161+D162+D163+D164+D165+D166+D167+D168+D169+D170+D171+D172+D173+D174+D175+D176+D177+(D178/2)</f>
        <v>0</v>
      </c>
      <c r="P178" s="251">
        <f t="shared" si="79"/>
        <v>0</v>
      </c>
      <c r="Q178" s="251">
        <f t="shared" si="80"/>
        <v>0</v>
      </c>
      <c r="R178" s="251">
        <f t="shared" si="89"/>
        <v>146.5</v>
      </c>
      <c r="S178" s="251">
        <f t="shared" si="102"/>
        <v>146.5</v>
      </c>
      <c r="T178" s="252">
        <f t="shared" si="81"/>
        <v>146.5</v>
      </c>
      <c r="U178" s="244"/>
      <c r="V178" s="282">
        <f t="shared" si="82"/>
        <v>0</v>
      </c>
      <c r="W178" s="282"/>
      <c r="X178" s="282"/>
      <c r="Y178" s="282"/>
      <c r="Z178" s="282"/>
      <c r="AA178" s="282"/>
      <c r="AB178" s="300" t="str">
        <f t="shared" si="90"/>
        <v>pin in groundstacking hole</v>
      </c>
      <c r="AC178" s="451"/>
      <c r="AD178" s="451"/>
      <c r="AE178" s="451"/>
      <c r="AF178" s="282">
        <f>SUM(V178:V184)/($B$158-B177)</f>
        <v>0</v>
      </c>
      <c r="AG178" s="282"/>
      <c r="AH178" s="301">
        <f>SUM(D162:D178)+$C$161</f>
        <v>0</v>
      </c>
      <c r="AI178" s="370"/>
      <c r="AJ178" s="173">
        <f t="shared" si="91"/>
        <v>69.344714800000006</v>
      </c>
      <c r="AK178" s="284">
        <f t="shared" si="83"/>
        <v>0.93571960494171247</v>
      </c>
      <c r="AL178" s="174">
        <f t="shared" si="92"/>
        <v>180.0511663828843</v>
      </c>
      <c r="AM178" s="173">
        <f t="shared" si="93"/>
        <v>50.174479900000001</v>
      </c>
      <c r="AN178" s="285">
        <f t="shared" si="94"/>
        <v>0.76799833627881664</v>
      </c>
      <c r="AO178" s="174">
        <f t="shared" si="95"/>
        <v>146.50336262854705</v>
      </c>
      <c r="AP178" s="287"/>
      <c r="AQ178" s="174">
        <f t="shared" si="103"/>
        <v>-408</v>
      </c>
      <c r="AR178" s="287"/>
      <c r="AS178" s="288">
        <f t="shared" si="96"/>
        <v>326.55452901143133</v>
      </c>
      <c r="AT178" s="289">
        <f t="shared" si="105"/>
        <v>-146.50336262854705</v>
      </c>
      <c r="AU178" s="290"/>
      <c r="AV178" s="289">
        <f t="shared" si="104"/>
        <v>146.50336262854705</v>
      </c>
      <c r="AW178" s="291">
        <f t="shared" si="97"/>
        <v>-224.95745536466046</v>
      </c>
      <c r="AX178" s="291">
        <f t="shared" si="98"/>
        <v>-183.04254463533954</v>
      </c>
      <c r="AY178" s="292">
        <f t="shared" si="84"/>
        <v>-51.565305898380529</v>
      </c>
      <c r="AZ178" s="292">
        <f t="shared" si="85"/>
        <v>-54.632107633349229</v>
      </c>
      <c r="BA178" s="294">
        <f t="shared" si="99"/>
        <v>51.565305898380529</v>
      </c>
      <c r="BB178" s="294">
        <f t="shared" si="99"/>
        <v>54.632107633349229</v>
      </c>
      <c r="BC178">
        <f t="shared" si="100"/>
        <v>0.3</v>
      </c>
      <c r="BG178" s="27"/>
      <c r="BO178" s="27"/>
      <c r="BP178" s="14"/>
      <c r="CX178" s="35"/>
      <c r="CY178" s="10"/>
      <c r="CZ178" s="10"/>
      <c r="DA178" s="10"/>
      <c r="DB178" s="10"/>
      <c r="DC178" s="10"/>
      <c r="DD178" s="10"/>
      <c r="DE178" s="49"/>
      <c r="DF178" s="49"/>
      <c r="DG178" s="49"/>
      <c r="DH178" s="49"/>
      <c r="DI178" s="49"/>
      <c r="DJ178" s="49"/>
      <c r="DK178" s="49"/>
      <c r="DL178" s="49"/>
      <c r="DM178" s="49"/>
      <c r="DN178" s="49"/>
      <c r="DO178" s="49"/>
      <c r="DP178" s="49"/>
      <c r="DQ178" s="49"/>
      <c r="DR178" s="49"/>
      <c r="DS178" s="7"/>
    </row>
    <row r="179" spans="2:127" ht="21" customHeight="1" thickBot="1" x14ac:dyDescent="0.35">
      <c r="B179" s="88">
        <v>19</v>
      </c>
      <c r="C179" s="20"/>
      <c r="D179" s="738">
        <v>0</v>
      </c>
      <c r="E179" s="333" t="s">
        <v>72</v>
      </c>
      <c r="F179" s="81">
        <f t="shared" si="86"/>
        <v>0.3</v>
      </c>
      <c r="G179" s="81">
        <f t="shared" si="101"/>
        <v>0.3</v>
      </c>
      <c r="H179" s="299">
        <v>190.76</v>
      </c>
      <c r="I179" s="318">
        <v>79.651040199999997</v>
      </c>
      <c r="J179" s="251">
        <f t="shared" si="87"/>
        <v>79.651040199999997</v>
      </c>
      <c r="K179" s="251">
        <f t="shared" si="88"/>
        <v>39.825520099999999</v>
      </c>
      <c r="L179" s="251">
        <f t="shared" si="76"/>
        <v>0.64045183696587837</v>
      </c>
      <c r="M179" s="251">
        <f t="shared" si="77"/>
        <v>122.17259241961095</v>
      </c>
      <c r="N179" s="251">
        <f t="shared" si="78"/>
        <v>244.3451848392219</v>
      </c>
      <c r="O179" s="251">
        <f>+C161+D162+D163+D164+D165+D166+D167+D168+D169+D170+D171+D172+D173+D174+D175+D176+D177+D178+(D179/2)</f>
        <v>0</v>
      </c>
      <c r="P179" s="251">
        <f t="shared" si="79"/>
        <v>0</v>
      </c>
      <c r="Q179" s="251">
        <f t="shared" si="80"/>
        <v>0</v>
      </c>
      <c r="R179" s="251">
        <f t="shared" si="89"/>
        <v>146.5</v>
      </c>
      <c r="S179" s="251">
        <f t="shared" si="102"/>
        <v>146.5</v>
      </c>
      <c r="T179" s="252">
        <f t="shared" si="81"/>
        <v>146.5</v>
      </c>
      <c r="U179" s="244"/>
      <c r="V179" s="282">
        <f t="shared" si="82"/>
        <v>0</v>
      </c>
      <c r="W179" s="282"/>
      <c r="X179" s="282"/>
      <c r="Y179" s="282"/>
      <c r="Z179" s="282"/>
      <c r="AA179" s="282"/>
      <c r="AB179" s="300" t="str">
        <f t="shared" si="90"/>
        <v>pin in groundstacking hole</v>
      </c>
      <c r="AC179" s="451"/>
      <c r="AD179" s="451"/>
      <c r="AE179" s="451"/>
      <c r="AF179" s="282">
        <f>SUM(V179:V184)/($B$158-B178)</f>
        <v>0</v>
      </c>
      <c r="AG179" s="282"/>
      <c r="AH179" s="301">
        <f>SUM(D161:D179)+$C$161</f>
        <v>0</v>
      </c>
      <c r="AI179" s="370"/>
      <c r="AJ179" s="173">
        <f t="shared" si="91"/>
        <v>69.344714800000006</v>
      </c>
      <c r="AK179" s="284">
        <f t="shared" si="83"/>
        <v>0.93571960494171247</v>
      </c>
      <c r="AL179" s="174">
        <f t="shared" si="92"/>
        <v>180.0511663828843</v>
      </c>
      <c r="AM179" s="173">
        <f t="shared" si="93"/>
        <v>50.174479900000001</v>
      </c>
      <c r="AN179" s="285">
        <f t="shared" si="94"/>
        <v>0.76799833627881664</v>
      </c>
      <c r="AO179" s="174">
        <f t="shared" si="95"/>
        <v>146.50336262854705</v>
      </c>
      <c r="AP179" s="287"/>
      <c r="AQ179" s="174">
        <f t="shared" si="103"/>
        <v>-433.5</v>
      </c>
      <c r="AR179" s="287"/>
      <c r="AS179" s="288">
        <f t="shared" si="96"/>
        <v>326.55452901143133</v>
      </c>
      <c r="AT179" s="289">
        <f t="shared" si="105"/>
        <v>-146.50336262854705</v>
      </c>
      <c r="AU179" s="290"/>
      <c r="AV179" s="289">
        <f t="shared" si="104"/>
        <v>146.50336262854705</v>
      </c>
      <c r="AW179" s="291">
        <f t="shared" si="97"/>
        <v>-239.01729632495176</v>
      </c>
      <c r="AX179" s="291">
        <f t="shared" si="98"/>
        <v>-194.48270367504824</v>
      </c>
      <c r="AY179" s="292">
        <f t="shared" si="84"/>
        <v>-48.532052610240491</v>
      </c>
      <c r="AZ179" s="292">
        <f t="shared" si="85"/>
        <v>-51.418454243152219</v>
      </c>
      <c r="BA179" s="294">
        <f t="shared" si="99"/>
        <v>48.532052610240491</v>
      </c>
      <c r="BB179" s="294">
        <f t="shared" si="99"/>
        <v>51.418454243152219</v>
      </c>
      <c r="BC179">
        <f t="shared" si="100"/>
        <v>0.3</v>
      </c>
      <c r="BG179" s="27"/>
      <c r="BO179" s="27"/>
      <c r="BP179" s="14"/>
      <c r="CX179" s="33"/>
      <c r="CY179" s="10"/>
      <c r="CZ179" s="10"/>
      <c r="DA179" s="10"/>
      <c r="DB179" s="10"/>
      <c r="DC179" s="10"/>
      <c r="DD179" s="10"/>
      <c r="DE179" s="49"/>
      <c r="DF179" s="49"/>
      <c r="DG179" s="49"/>
      <c r="DH179" s="49"/>
      <c r="DI179" s="49"/>
      <c r="DJ179" s="49"/>
      <c r="DK179" s="49"/>
      <c r="DL179" s="49"/>
      <c r="DM179" s="49"/>
      <c r="DN179" s="49"/>
      <c r="DO179" s="49"/>
      <c r="DP179" s="49"/>
      <c r="DQ179" s="49"/>
      <c r="DR179" s="49"/>
      <c r="DS179" s="7"/>
    </row>
    <row r="180" spans="2:127" ht="21" customHeight="1" thickBot="1" x14ac:dyDescent="0.35">
      <c r="B180" s="88">
        <v>20</v>
      </c>
      <c r="C180" s="20"/>
      <c r="D180" s="738">
        <v>0</v>
      </c>
      <c r="E180" s="333" t="s">
        <v>72</v>
      </c>
      <c r="F180" s="81">
        <f t="shared" si="86"/>
        <v>0.3</v>
      </c>
      <c r="G180" s="81">
        <f t="shared" si="101"/>
        <v>0.3</v>
      </c>
      <c r="H180" s="299">
        <v>190.76</v>
      </c>
      <c r="I180" s="318">
        <v>79.651040199999997</v>
      </c>
      <c r="J180" s="251">
        <f t="shared" si="87"/>
        <v>79.651040199999997</v>
      </c>
      <c r="K180" s="251">
        <f t="shared" si="88"/>
        <v>39.825520099999999</v>
      </c>
      <c r="L180" s="251">
        <f t="shared" si="76"/>
        <v>0.64045183696587837</v>
      </c>
      <c r="M180" s="251">
        <f t="shared" si="77"/>
        <v>122.17259241961095</v>
      </c>
      <c r="N180" s="251">
        <f t="shared" si="78"/>
        <v>244.3451848392219</v>
      </c>
      <c r="O180" s="251">
        <f>+C161+D162+D163+D164+D165+D166+D167+D168+D169+D170+D171+D172+D173+D174+D175+D176+D177+D178+D179+(D180/2)</f>
        <v>0</v>
      </c>
      <c r="P180" s="251">
        <f t="shared" si="79"/>
        <v>0</v>
      </c>
      <c r="Q180" s="251">
        <f t="shared" si="80"/>
        <v>0</v>
      </c>
      <c r="R180" s="251">
        <f t="shared" si="89"/>
        <v>146.5</v>
      </c>
      <c r="S180" s="251">
        <f t="shared" si="102"/>
        <v>146.5</v>
      </c>
      <c r="T180" s="252">
        <f t="shared" si="81"/>
        <v>146.5</v>
      </c>
      <c r="U180" s="244"/>
      <c r="V180" s="282">
        <f t="shared" si="82"/>
        <v>0</v>
      </c>
      <c r="W180" s="282"/>
      <c r="X180" s="282"/>
      <c r="Y180" s="282"/>
      <c r="Z180" s="282"/>
      <c r="AA180" s="282"/>
      <c r="AB180" s="300" t="str">
        <f t="shared" si="90"/>
        <v>pin in groundstacking hole</v>
      </c>
      <c r="AC180" s="451"/>
      <c r="AD180" s="451"/>
      <c r="AE180" s="451"/>
      <c r="AF180" s="282">
        <f>SUM(V180:V184)/($B$158-B179)</f>
        <v>0</v>
      </c>
      <c r="AG180" s="282"/>
      <c r="AH180" s="301">
        <f>SUM(D162:D180)+$C$161</f>
        <v>0</v>
      </c>
      <c r="AI180" s="370"/>
      <c r="AJ180" s="173">
        <f t="shared" si="91"/>
        <v>69.344714800000006</v>
      </c>
      <c r="AK180" s="284">
        <f t="shared" si="83"/>
        <v>0.93571960494171247</v>
      </c>
      <c r="AL180" s="174">
        <f t="shared" si="92"/>
        <v>180.0511663828843</v>
      </c>
      <c r="AM180" s="173">
        <f t="shared" si="93"/>
        <v>50.174479900000001</v>
      </c>
      <c r="AN180" s="285">
        <f t="shared" si="94"/>
        <v>0.76799833627881664</v>
      </c>
      <c r="AO180" s="174">
        <f t="shared" si="95"/>
        <v>146.50336262854705</v>
      </c>
      <c r="AP180" s="287"/>
      <c r="AQ180" s="174">
        <f t="shared" si="103"/>
        <v>-459</v>
      </c>
      <c r="AR180" s="287"/>
      <c r="AS180" s="288">
        <f t="shared" si="96"/>
        <v>326.55452901143133</v>
      </c>
      <c r="AT180" s="289">
        <f t="shared" si="105"/>
        <v>-146.50336262854705</v>
      </c>
      <c r="AU180" s="290"/>
      <c r="AV180" s="289">
        <f t="shared" si="104"/>
        <v>146.50336262854705</v>
      </c>
      <c r="AW180" s="291">
        <f t="shared" si="97"/>
        <v>-253.07713728524303</v>
      </c>
      <c r="AX180" s="291">
        <f t="shared" si="98"/>
        <v>-205.92286271475697</v>
      </c>
      <c r="AY180" s="292">
        <f t="shared" si="84"/>
        <v>-45.835827465227133</v>
      </c>
      <c r="AZ180" s="292">
        <f t="shared" si="85"/>
        <v>-48.561873451865985</v>
      </c>
      <c r="BA180" s="294">
        <f t="shared" si="99"/>
        <v>45.835827465227133</v>
      </c>
      <c r="BB180" s="294">
        <f t="shared" si="99"/>
        <v>48.561873451865985</v>
      </c>
      <c r="BC180">
        <f t="shared" si="100"/>
        <v>0.3</v>
      </c>
      <c r="BG180" s="27"/>
      <c r="BO180" s="27"/>
      <c r="BP180" s="14"/>
      <c r="CX180" s="33"/>
      <c r="CY180" s="10"/>
      <c r="CZ180" s="10"/>
      <c r="DA180" s="10"/>
      <c r="DB180" s="10"/>
      <c r="DC180" s="10"/>
      <c r="DD180" s="10"/>
      <c r="DE180" s="49"/>
      <c r="DF180" s="49"/>
      <c r="DG180" s="49"/>
      <c r="DH180" s="49"/>
      <c r="DI180" s="49"/>
      <c r="DJ180" s="49"/>
      <c r="DK180" s="49"/>
      <c r="DL180" s="49"/>
      <c r="DM180" s="49"/>
      <c r="DN180" s="49"/>
      <c r="DO180" s="49"/>
      <c r="DP180" s="49"/>
      <c r="DQ180" s="49"/>
      <c r="DR180" s="49"/>
      <c r="DS180" s="7"/>
    </row>
    <row r="181" spans="2:127" ht="21" customHeight="1" thickBot="1" x14ac:dyDescent="0.35">
      <c r="B181" s="88">
        <v>21</v>
      </c>
      <c r="C181" s="20"/>
      <c r="D181" s="738">
        <v>0</v>
      </c>
      <c r="E181" s="333" t="s">
        <v>72</v>
      </c>
      <c r="F181" s="81">
        <f t="shared" si="86"/>
        <v>0.3</v>
      </c>
      <c r="G181" s="81">
        <f t="shared" si="101"/>
        <v>0.3</v>
      </c>
      <c r="H181" s="299">
        <v>190.76</v>
      </c>
      <c r="I181" s="318">
        <v>79.651040199999997</v>
      </c>
      <c r="J181" s="251">
        <f t="shared" si="87"/>
        <v>79.651040199999997</v>
      </c>
      <c r="K181" s="251">
        <f t="shared" si="88"/>
        <v>39.825520099999999</v>
      </c>
      <c r="L181" s="251">
        <f t="shared" si="76"/>
        <v>0.64045183696587837</v>
      </c>
      <c r="M181" s="251">
        <f t="shared" si="77"/>
        <v>122.17259241961095</v>
      </c>
      <c r="N181" s="251">
        <f t="shared" si="78"/>
        <v>244.3451848392219</v>
      </c>
      <c r="O181" s="251">
        <f>+C161+D162+D163+D164+D165+D166+D167+D168+D169+D170+D171+D172+D173+D174+D175+D176+D177+D178+D179+D180+(D181/2)</f>
        <v>0</v>
      </c>
      <c r="P181" s="251">
        <f t="shared" si="79"/>
        <v>0</v>
      </c>
      <c r="Q181" s="251">
        <f t="shared" si="80"/>
        <v>0</v>
      </c>
      <c r="R181" s="251">
        <f t="shared" si="89"/>
        <v>146.5</v>
      </c>
      <c r="S181" s="251">
        <f t="shared" si="102"/>
        <v>146.5</v>
      </c>
      <c r="T181" s="252">
        <f t="shared" si="81"/>
        <v>146.5</v>
      </c>
      <c r="U181" s="244"/>
      <c r="V181" s="282">
        <f t="shared" si="82"/>
        <v>0</v>
      </c>
      <c r="W181" s="282"/>
      <c r="X181" s="282"/>
      <c r="Y181" s="282"/>
      <c r="Z181" s="282"/>
      <c r="AA181" s="282"/>
      <c r="AB181" s="300" t="str">
        <f t="shared" si="90"/>
        <v>pin in groundstacking hole</v>
      </c>
      <c r="AC181" s="451"/>
      <c r="AD181" s="451"/>
      <c r="AE181" s="451"/>
      <c r="AF181" s="282">
        <f>SUM(V181:V184)/($B$158-B180)</f>
        <v>0</v>
      </c>
      <c r="AG181" s="282"/>
      <c r="AH181" s="301">
        <f>SUM(D162:D181)+$C$161</f>
        <v>0</v>
      </c>
      <c r="AI181" s="370"/>
      <c r="AJ181" s="173">
        <f t="shared" si="91"/>
        <v>69.344714800000006</v>
      </c>
      <c r="AK181" s="284">
        <f t="shared" si="83"/>
        <v>0.93571960494171247</v>
      </c>
      <c r="AL181" s="174">
        <f t="shared" si="92"/>
        <v>180.0511663828843</v>
      </c>
      <c r="AM181" s="173">
        <f t="shared" si="93"/>
        <v>50.174479900000001</v>
      </c>
      <c r="AN181" s="285">
        <f t="shared" si="94"/>
        <v>0.76799833627881664</v>
      </c>
      <c r="AO181" s="174">
        <f t="shared" si="95"/>
        <v>146.50336262854705</v>
      </c>
      <c r="AP181" s="287"/>
      <c r="AQ181" s="174">
        <f t="shared" si="103"/>
        <v>-484.5</v>
      </c>
      <c r="AR181" s="287"/>
      <c r="AS181" s="288">
        <f t="shared" si="96"/>
        <v>326.55452901143133</v>
      </c>
      <c r="AT181" s="289">
        <f t="shared" si="105"/>
        <v>-146.50336262854705</v>
      </c>
      <c r="AU181" s="290"/>
      <c r="AV181" s="289">
        <f t="shared" si="104"/>
        <v>146.50336262854705</v>
      </c>
      <c r="AW181" s="291">
        <f t="shared" si="97"/>
        <v>-267.13697824553429</v>
      </c>
      <c r="AX181" s="291">
        <f t="shared" si="98"/>
        <v>-217.36302175446571</v>
      </c>
      <c r="AY181" s="292">
        <f t="shared" si="84"/>
        <v>-43.423415493373078</v>
      </c>
      <c r="AZ181" s="292">
        <f t="shared" si="85"/>
        <v>-46.005985375451978</v>
      </c>
      <c r="BA181" s="294">
        <f t="shared" si="99"/>
        <v>43.423415493373078</v>
      </c>
      <c r="BB181" s="294">
        <f t="shared" si="99"/>
        <v>46.005985375451978</v>
      </c>
      <c r="BC181">
        <f t="shared" si="100"/>
        <v>0.3</v>
      </c>
      <c r="BG181" s="27"/>
      <c r="BO181" s="27"/>
      <c r="BP181" s="14"/>
      <c r="DR181" s="60"/>
      <c r="DS181" s="60"/>
      <c r="DT181" s="60"/>
      <c r="DU181" s="60"/>
      <c r="DV181" s="60"/>
      <c r="DW181" s="60"/>
    </row>
    <row r="182" spans="2:127" ht="21" customHeight="1" thickBot="1" x14ac:dyDescent="0.35">
      <c r="B182" s="88">
        <v>22</v>
      </c>
      <c r="C182" s="20"/>
      <c r="D182" s="738">
        <v>0</v>
      </c>
      <c r="E182" s="333" t="s">
        <v>72</v>
      </c>
      <c r="F182" s="81">
        <f t="shared" si="86"/>
        <v>0.3</v>
      </c>
      <c r="G182" s="81">
        <f t="shared" si="101"/>
        <v>0.3</v>
      </c>
      <c r="H182" s="299">
        <v>190.76</v>
      </c>
      <c r="I182" s="318">
        <v>79.651040199999997</v>
      </c>
      <c r="J182" s="251">
        <f t="shared" si="87"/>
        <v>79.651040199999997</v>
      </c>
      <c r="K182" s="251">
        <f t="shared" si="88"/>
        <v>39.825520099999999</v>
      </c>
      <c r="L182" s="251">
        <f t="shared" si="76"/>
        <v>0.64045183696587837</v>
      </c>
      <c r="M182" s="251">
        <f t="shared" si="77"/>
        <v>122.17259241961095</v>
      </c>
      <c r="N182" s="251">
        <f t="shared" si="78"/>
        <v>244.3451848392219</v>
      </c>
      <c r="O182" s="251">
        <f>+C161+D162+D163+D164+D165+D166+D167+D168+D169+D170+D171+D172+D173+D174+D175+D176+D177+D178+D179+D180+D181+(D182/2)</f>
        <v>0</v>
      </c>
      <c r="P182" s="251">
        <f t="shared" si="79"/>
        <v>0</v>
      </c>
      <c r="Q182" s="251">
        <f t="shared" si="80"/>
        <v>0</v>
      </c>
      <c r="R182" s="251">
        <f t="shared" si="89"/>
        <v>146.5</v>
      </c>
      <c r="S182" s="251">
        <f t="shared" si="102"/>
        <v>146.5</v>
      </c>
      <c r="T182" s="252">
        <f t="shared" si="81"/>
        <v>146.5</v>
      </c>
      <c r="U182" s="244"/>
      <c r="V182" s="282">
        <f t="shared" si="82"/>
        <v>0</v>
      </c>
      <c r="W182" s="282"/>
      <c r="X182" s="282"/>
      <c r="Y182" s="282"/>
      <c r="Z182" s="282"/>
      <c r="AA182" s="282"/>
      <c r="AB182" s="300" t="str">
        <f t="shared" si="90"/>
        <v>pin in groundstacking hole</v>
      </c>
      <c r="AC182" s="451"/>
      <c r="AD182" s="451"/>
      <c r="AE182" s="451"/>
      <c r="AF182" s="282">
        <f>SUM(V182:V184)/($B$158-B181)</f>
        <v>0</v>
      </c>
      <c r="AG182" s="282"/>
      <c r="AH182" s="301">
        <f>SUM(D162:D182)+$C$161</f>
        <v>0</v>
      </c>
      <c r="AI182" s="370"/>
      <c r="AJ182" s="173">
        <f t="shared" si="91"/>
        <v>69.344714800000006</v>
      </c>
      <c r="AK182" s="284">
        <f t="shared" si="83"/>
        <v>0.93571960494171247</v>
      </c>
      <c r="AL182" s="174">
        <f t="shared" si="92"/>
        <v>180.0511663828843</v>
      </c>
      <c r="AM182" s="173">
        <f t="shared" si="93"/>
        <v>50.174479900000001</v>
      </c>
      <c r="AN182" s="285">
        <f t="shared" si="94"/>
        <v>0.76799833627881664</v>
      </c>
      <c r="AO182" s="174">
        <f t="shared" si="95"/>
        <v>146.50336262854705</v>
      </c>
      <c r="AP182" s="287"/>
      <c r="AQ182" s="174">
        <f t="shared" si="103"/>
        <v>-510</v>
      </c>
      <c r="AR182" s="287"/>
      <c r="AS182" s="288">
        <f t="shared" si="96"/>
        <v>326.55452901143133</v>
      </c>
      <c r="AT182" s="289">
        <f t="shared" si="105"/>
        <v>-146.50336262854705</v>
      </c>
      <c r="AU182" s="290"/>
      <c r="AV182" s="289">
        <f t="shared" si="104"/>
        <v>146.50336262854705</v>
      </c>
      <c r="AW182" s="291">
        <f t="shared" si="97"/>
        <v>-281.19681920582559</v>
      </c>
      <c r="AX182" s="291">
        <f t="shared" si="98"/>
        <v>-228.80318079417441</v>
      </c>
      <c r="AY182" s="292">
        <f t="shared" si="84"/>
        <v>-41.252244718704418</v>
      </c>
      <c r="AZ182" s="292">
        <f t="shared" si="85"/>
        <v>-43.705686106679387</v>
      </c>
      <c r="BA182" s="294">
        <f t="shared" si="99"/>
        <v>41.252244718704418</v>
      </c>
      <c r="BB182" s="294">
        <f t="shared" si="99"/>
        <v>43.705686106679387</v>
      </c>
      <c r="BC182">
        <f t="shared" si="100"/>
        <v>0.3</v>
      </c>
      <c r="BG182" s="27"/>
      <c r="BO182" s="27"/>
      <c r="BP182" s="14"/>
    </row>
    <row r="183" spans="2:127" ht="21" customHeight="1" thickBot="1" x14ac:dyDescent="0.35">
      <c r="B183" s="88">
        <v>23</v>
      </c>
      <c r="C183" s="20"/>
      <c r="D183" s="738">
        <v>0</v>
      </c>
      <c r="E183" s="333" t="s">
        <v>72</v>
      </c>
      <c r="F183" s="81">
        <f t="shared" si="86"/>
        <v>0.3</v>
      </c>
      <c r="G183" s="81">
        <f t="shared" si="101"/>
        <v>0.3</v>
      </c>
      <c r="H183" s="299">
        <v>190.76</v>
      </c>
      <c r="I183" s="318">
        <v>79.651040199999997</v>
      </c>
      <c r="J183" s="251">
        <f t="shared" si="87"/>
        <v>79.651040199999997</v>
      </c>
      <c r="K183" s="251">
        <f t="shared" si="88"/>
        <v>39.825520099999999</v>
      </c>
      <c r="L183" s="251">
        <f t="shared" si="76"/>
        <v>0.64045183696587837</v>
      </c>
      <c r="M183" s="251">
        <f t="shared" si="77"/>
        <v>122.17259241961095</v>
      </c>
      <c r="N183" s="251">
        <f t="shared" si="78"/>
        <v>244.3451848392219</v>
      </c>
      <c r="O183" s="251">
        <f>+C161+D162+D163+D164+D165+D166+D167+D168+D169+D170+D171+D172+D173+D174+D175+D176+D177+D178+D179+D180+D181+D182+(D183/2)</f>
        <v>0</v>
      </c>
      <c r="P183" s="251">
        <f t="shared" si="79"/>
        <v>0</v>
      </c>
      <c r="Q183" s="251">
        <f t="shared" si="80"/>
        <v>0</v>
      </c>
      <c r="R183" s="251">
        <f t="shared" si="89"/>
        <v>146.5</v>
      </c>
      <c r="S183" s="251">
        <f t="shared" si="102"/>
        <v>146.5</v>
      </c>
      <c r="T183" s="252">
        <f t="shared" si="81"/>
        <v>146.5</v>
      </c>
      <c r="U183" s="244"/>
      <c r="V183" s="282">
        <f t="shared" si="82"/>
        <v>0</v>
      </c>
      <c r="W183" s="282"/>
      <c r="X183" s="282"/>
      <c r="Y183" s="282"/>
      <c r="Z183" s="282"/>
      <c r="AA183" s="282"/>
      <c r="AB183" s="300" t="str">
        <f t="shared" si="90"/>
        <v>pin in groundstacking hole</v>
      </c>
      <c r="AC183" s="451"/>
      <c r="AD183" s="451"/>
      <c r="AE183" s="451"/>
      <c r="AF183" s="282">
        <f>SUM(V183:V184)/($B$158-B182)</f>
        <v>0</v>
      </c>
      <c r="AG183" s="282"/>
      <c r="AH183" s="301">
        <f>SUM(D162:D183)+$C$161</f>
        <v>0</v>
      </c>
      <c r="AI183" s="370"/>
      <c r="AJ183" s="173">
        <f t="shared" si="91"/>
        <v>69.344714800000006</v>
      </c>
      <c r="AK183" s="284">
        <f t="shared" si="83"/>
        <v>0.93571960494171247</v>
      </c>
      <c r="AL183" s="174">
        <f t="shared" si="92"/>
        <v>180.0511663828843</v>
      </c>
      <c r="AM183" s="173">
        <f t="shared" si="93"/>
        <v>50.174479900000001</v>
      </c>
      <c r="AN183" s="285">
        <f t="shared" si="94"/>
        <v>0.76799833627881664</v>
      </c>
      <c r="AO183" s="174">
        <f t="shared" si="95"/>
        <v>146.50336262854705</v>
      </c>
      <c r="AP183" s="287"/>
      <c r="AQ183" s="174">
        <f t="shared" si="103"/>
        <v>-535.5</v>
      </c>
      <c r="AR183" s="287"/>
      <c r="AS183" s="288">
        <f t="shared" si="96"/>
        <v>326.55452901143133</v>
      </c>
      <c r="AT183" s="289">
        <f t="shared" si="105"/>
        <v>-146.50336262854705</v>
      </c>
      <c r="AU183" s="290"/>
      <c r="AV183" s="289">
        <f t="shared" si="104"/>
        <v>146.50336262854705</v>
      </c>
      <c r="AW183" s="291">
        <f t="shared" si="97"/>
        <v>-295.25666016611689</v>
      </c>
      <c r="AX183" s="291">
        <f t="shared" si="98"/>
        <v>-240.24333983388314</v>
      </c>
      <c r="AY183" s="292">
        <f t="shared" si="84"/>
        <v>-39.287852113051827</v>
      </c>
      <c r="AZ183" s="292">
        <f t="shared" si="85"/>
        <v>-41.624462958742271</v>
      </c>
      <c r="BA183" s="294">
        <f t="shared" si="99"/>
        <v>39.287852113051827</v>
      </c>
      <c r="BB183" s="294">
        <f t="shared" si="99"/>
        <v>41.624462958742271</v>
      </c>
      <c r="BC183">
        <f t="shared" si="100"/>
        <v>0.3</v>
      </c>
      <c r="BG183" s="27"/>
      <c r="BO183" s="27"/>
      <c r="BP183" s="14"/>
      <c r="CX183" s="42"/>
    </row>
    <row r="184" spans="2:127" ht="21" customHeight="1" thickBot="1" x14ac:dyDescent="0.35">
      <c r="B184" s="88">
        <v>24</v>
      </c>
      <c r="C184" s="20"/>
      <c r="D184" s="738">
        <v>0</v>
      </c>
      <c r="E184" s="333" t="s">
        <v>72</v>
      </c>
      <c r="F184" s="81">
        <f t="shared" si="86"/>
        <v>0.3</v>
      </c>
      <c r="G184" s="81">
        <f t="shared" si="101"/>
        <v>0.3</v>
      </c>
      <c r="H184" s="299">
        <v>190.76</v>
      </c>
      <c r="I184" s="318">
        <v>79.651040199999997</v>
      </c>
      <c r="J184" s="251">
        <f t="shared" si="87"/>
        <v>79.651040199999997</v>
      </c>
      <c r="K184" s="251">
        <f t="shared" si="88"/>
        <v>39.825520099999999</v>
      </c>
      <c r="L184" s="251">
        <f t="shared" si="76"/>
        <v>0.64045183696587837</v>
      </c>
      <c r="M184" s="251">
        <f t="shared" si="77"/>
        <v>122.17259241961095</v>
      </c>
      <c r="N184" s="251">
        <f t="shared" si="78"/>
        <v>244.3451848392219</v>
      </c>
      <c r="O184" s="251">
        <f>+SUM(D162:D183)+(D184/2)+C161</f>
        <v>0</v>
      </c>
      <c r="P184" s="251">
        <f t="shared" si="79"/>
        <v>0</v>
      </c>
      <c r="Q184" s="251">
        <f t="shared" si="80"/>
        <v>0</v>
      </c>
      <c r="R184" s="251">
        <f t="shared" si="89"/>
        <v>146.5</v>
      </c>
      <c r="S184" s="251">
        <f t="shared" si="102"/>
        <v>146.5</v>
      </c>
      <c r="T184" s="252">
        <f t="shared" si="81"/>
        <v>146.5</v>
      </c>
      <c r="U184" s="244"/>
      <c r="V184" s="282">
        <f t="shared" si="82"/>
        <v>0</v>
      </c>
      <c r="W184" s="282"/>
      <c r="X184" s="282"/>
      <c r="Y184" s="282"/>
      <c r="Z184" s="282"/>
      <c r="AA184" s="282"/>
      <c r="AB184" s="300" t="str">
        <f t="shared" si="90"/>
        <v>pin in groundstacking hole</v>
      </c>
      <c r="AC184" s="451"/>
      <c r="AD184" s="451"/>
      <c r="AE184" s="451"/>
      <c r="AF184" s="282">
        <f>SUM(V184)/($B$158-B183)</f>
        <v>0</v>
      </c>
      <c r="AG184" s="282"/>
      <c r="AH184" s="301">
        <f>SUM(D162:D184)+$C$161</f>
        <v>0</v>
      </c>
      <c r="AI184" s="370"/>
      <c r="AJ184" s="173">
        <f t="shared" si="91"/>
        <v>69.344714800000006</v>
      </c>
      <c r="AK184" s="284">
        <f t="shared" si="83"/>
        <v>0.93571960494171247</v>
      </c>
      <c r="AL184" s="174">
        <f t="shared" si="92"/>
        <v>180.0511663828843</v>
      </c>
      <c r="AM184" s="173">
        <f t="shared" si="93"/>
        <v>50.174479900000001</v>
      </c>
      <c r="AN184" s="285">
        <f t="shared" si="94"/>
        <v>0.76799833627881664</v>
      </c>
      <c r="AO184" s="174">
        <f t="shared" si="95"/>
        <v>146.50336262854705</v>
      </c>
      <c r="AP184" s="287"/>
      <c r="AQ184" s="174">
        <f t="shared" si="103"/>
        <v>-561</v>
      </c>
      <c r="AR184" s="287"/>
      <c r="AS184" s="288">
        <f t="shared" si="96"/>
        <v>326.55452901143133</v>
      </c>
      <c r="AT184" s="289">
        <f t="shared" si="105"/>
        <v>-146.50336262854705</v>
      </c>
      <c r="AU184" s="290"/>
      <c r="AV184" s="289">
        <f t="shared" si="104"/>
        <v>146.50336262854705</v>
      </c>
      <c r="AW184" s="291">
        <f t="shared" si="97"/>
        <v>-309.31650112640813</v>
      </c>
      <c r="AX184" s="291">
        <f t="shared" si="98"/>
        <v>-251.68349887359184</v>
      </c>
      <c r="AY184" s="292">
        <f t="shared" si="84"/>
        <v>-37.502040653367658</v>
      </c>
      <c r="AZ184" s="292">
        <f t="shared" si="85"/>
        <v>-39.732441915163079</v>
      </c>
      <c r="BA184" s="294">
        <f t="shared" si="99"/>
        <v>37.502040653367658</v>
      </c>
      <c r="BB184" s="294">
        <f t="shared" si="99"/>
        <v>39.732441915163079</v>
      </c>
      <c r="BC184">
        <f t="shared" si="100"/>
        <v>0.3</v>
      </c>
      <c r="BG184" s="27"/>
      <c r="BO184" s="27"/>
      <c r="BP184" s="14"/>
      <c r="CX184" s="42"/>
    </row>
    <row r="185" spans="2:127" x14ac:dyDescent="0.3">
      <c r="BG185" s="27"/>
      <c r="BP185" s="14"/>
      <c r="CQ185" s="62"/>
      <c r="CX185" s="42"/>
      <c r="CY185" s="14"/>
    </row>
    <row r="186" spans="2:127" x14ac:dyDescent="0.3">
      <c r="BG186" s="27"/>
      <c r="BP186" s="14"/>
      <c r="CQ186" s="62"/>
      <c r="CX186" s="42"/>
      <c r="CY186" s="14"/>
    </row>
    <row r="187" spans="2:127" x14ac:dyDescent="0.3">
      <c r="BG187" s="27"/>
      <c r="BO187" s="27"/>
      <c r="BP187" s="14"/>
      <c r="CX187" s="42"/>
      <c r="CY187" s="14"/>
    </row>
    <row r="188" spans="2:127" x14ac:dyDescent="0.3">
      <c r="BG188" s="35"/>
      <c r="BO188" s="35"/>
      <c r="BP188" s="14"/>
      <c r="CX188" s="42"/>
      <c r="CY188" s="14"/>
    </row>
    <row r="189" spans="2:127" x14ac:dyDescent="0.3">
      <c r="BG189" s="33"/>
      <c r="BO189" s="33"/>
      <c r="BP189" s="14"/>
      <c r="CX189" s="42"/>
      <c r="CY189" s="14"/>
    </row>
    <row r="190" spans="2:127" x14ac:dyDescent="0.3">
      <c r="BG190" s="33"/>
      <c r="BO190" s="33"/>
      <c r="BP190" s="14"/>
      <c r="CX190" s="42"/>
      <c r="CY190" s="14"/>
    </row>
    <row r="191" spans="2:127" x14ac:dyDescent="0.3">
      <c r="BP191" s="14"/>
      <c r="CX191" s="42"/>
      <c r="CY191" s="14"/>
    </row>
    <row r="192" spans="2:127" x14ac:dyDescent="0.3">
      <c r="BG192" s="39"/>
      <c r="BP192" s="14"/>
      <c r="CX192" s="42"/>
    </row>
    <row r="193" spans="67:102" x14ac:dyDescent="0.3">
      <c r="BO193" s="42"/>
      <c r="BP193" s="14"/>
      <c r="CX193" s="42"/>
    </row>
    <row r="194" spans="67:102" x14ac:dyDescent="0.3">
      <c r="BO194" s="42"/>
      <c r="BP194" s="14"/>
    </row>
    <row r="195" spans="67:102" x14ac:dyDescent="0.3">
      <c r="BO195" s="42"/>
      <c r="BP195" s="14"/>
    </row>
    <row r="196" spans="67:102" x14ac:dyDescent="0.3">
      <c r="BO196" s="42"/>
      <c r="BP196" s="14"/>
    </row>
    <row r="197" spans="67:102" x14ac:dyDescent="0.3">
      <c r="BO197" s="42"/>
      <c r="BP197" s="14"/>
    </row>
    <row r="198" spans="67:102" x14ac:dyDescent="0.3">
      <c r="BO198" s="42"/>
      <c r="BP198" s="14"/>
    </row>
    <row r="199" spans="67:102" x14ac:dyDescent="0.3">
      <c r="BO199" s="42"/>
      <c r="BP199" s="14"/>
    </row>
    <row r="200" spans="67:102" x14ac:dyDescent="0.3">
      <c r="BO200" s="42"/>
      <c r="BP200" s="14"/>
    </row>
    <row r="201" spans="67:102" x14ac:dyDescent="0.3">
      <c r="BO201" s="42"/>
      <c r="BP201" s="14"/>
    </row>
    <row r="202" spans="67:102" x14ac:dyDescent="0.3">
      <c r="BO202" s="42"/>
      <c r="BP202" s="14"/>
    </row>
    <row r="203" spans="67:102" x14ac:dyDescent="0.3">
      <c r="BO203" s="42"/>
      <c r="BP203" s="14"/>
    </row>
    <row r="204" spans="67:102" x14ac:dyDescent="0.3">
      <c r="BP204" s="14"/>
    </row>
    <row r="205" spans="67:102" x14ac:dyDescent="0.3">
      <c r="BP205" s="14"/>
    </row>
    <row r="206" spans="67:102" x14ac:dyDescent="0.3">
      <c r="BP206" s="14"/>
    </row>
    <row r="209" spans="68:68" hidden="1" x14ac:dyDescent="0.3">
      <c r="BP209">
        <f>+BJ129-BJ116</f>
        <v>650</v>
      </c>
    </row>
    <row r="227" spans="68:128" x14ac:dyDescent="0.3">
      <c r="CY227" s="64"/>
      <c r="CZ227" s="64"/>
      <c r="DA227" s="64"/>
      <c r="DB227" s="64"/>
      <c r="DC227" s="64"/>
      <c r="DD227" s="64"/>
      <c r="DE227" s="1998"/>
      <c r="DF227" s="1998"/>
      <c r="DG227" s="1998"/>
      <c r="DH227" s="10"/>
      <c r="DI227" s="7"/>
      <c r="DJ227" s="7"/>
      <c r="DK227" s="7"/>
      <c r="DL227" s="7"/>
      <c r="DM227" s="7"/>
      <c r="DN227" s="7"/>
      <c r="DO227" s="7"/>
      <c r="DP227" s="7"/>
      <c r="DQ227" s="7"/>
      <c r="DR227" s="7"/>
      <c r="DS227" s="7"/>
      <c r="DT227" s="7"/>
      <c r="DU227" s="7"/>
      <c r="DV227" s="7"/>
      <c r="DW227" s="7"/>
      <c r="DX227" s="7"/>
    </row>
    <row r="228" spans="68:128" x14ac:dyDescent="0.3">
      <c r="CY228" s="7"/>
      <c r="CZ228" s="7"/>
      <c r="DA228" s="7"/>
      <c r="DB228" s="7"/>
      <c r="DC228" s="7"/>
      <c r="DD228" s="7"/>
      <c r="DE228" s="57"/>
      <c r="DF228" s="7"/>
      <c r="DG228" s="7"/>
      <c r="DH228" s="7"/>
      <c r="DI228" s="7"/>
      <c r="DJ228" s="7"/>
      <c r="DK228" s="7"/>
      <c r="DL228" s="7"/>
      <c r="DM228" s="7"/>
      <c r="DN228" s="7"/>
      <c r="DO228" s="7"/>
      <c r="DP228" s="7"/>
      <c r="DQ228" s="7"/>
      <c r="DR228" s="57"/>
      <c r="DS228" s="7"/>
      <c r="DT228" s="7"/>
      <c r="DU228" s="7"/>
      <c r="DV228" s="7"/>
      <c r="DW228" s="7"/>
      <c r="DX228" s="7"/>
    </row>
    <row r="229" spans="68:128" x14ac:dyDescent="0.3">
      <c r="CY229" s="65"/>
      <c r="CZ229" s="65"/>
      <c r="DA229" s="65"/>
      <c r="DB229" s="65"/>
      <c r="DC229" s="65"/>
      <c r="DD229" s="65"/>
      <c r="DE229" s="1999"/>
      <c r="DF229" s="1999"/>
      <c r="DG229" s="7"/>
      <c r="DH229" s="7"/>
      <c r="DI229" s="7"/>
      <c r="DJ229" s="7"/>
      <c r="DK229" s="7"/>
      <c r="DL229" s="7"/>
      <c r="DM229" s="7"/>
      <c r="DN229" s="7"/>
      <c r="DO229" s="7"/>
      <c r="DP229" s="7"/>
      <c r="DQ229" s="1993"/>
      <c r="DR229" s="1993"/>
      <c r="DS229" s="7"/>
      <c r="DT229" s="7"/>
      <c r="DU229" s="7"/>
      <c r="DV229" s="7"/>
      <c r="DW229" s="7"/>
      <c r="DX229" s="7"/>
    </row>
    <row r="230" spans="68:128" x14ac:dyDescent="0.3">
      <c r="CY230" s="7"/>
      <c r="CZ230" s="7"/>
      <c r="DA230" s="7"/>
      <c r="DB230" s="7"/>
      <c r="DC230" s="7"/>
      <c r="DD230" s="7"/>
      <c r="DE230" s="7"/>
      <c r="DF230" s="7"/>
      <c r="DG230" s="7"/>
      <c r="DH230" s="7"/>
      <c r="DI230" s="7"/>
      <c r="DJ230" s="7"/>
      <c r="DK230" s="7"/>
      <c r="DL230" s="7"/>
      <c r="DM230" s="7"/>
      <c r="DN230" s="7"/>
      <c r="DO230" s="7"/>
      <c r="DP230" s="7"/>
      <c r="DQ230" s="7"/>
      <c r="DR230" s="7"/>
      <c r="DS230" s="7"/>
      <c r="DT230" s="7"/>
      <c r="DU230" s="7"/>
      <c r="DV230" s="7"/>
      <c r="DW230" s="7"/>
      <c r="DX230" s="7"/>
    </row>
    <row r="231" spans="68:128" x14ac:dyDescent="0.3">
      <c r="CY231" s="7"/>
      <c r="CZ231" s="7"/>
      <c r="DA231" s="7"/>
      <c r="DB231" s="7"/>
      <c r="DC231" s="7"/>
      <c r="DD231" s="7"/>
      <c r="DE231" s="7"/>
      <c r="DF231" s="7"/>
      <c r="DG231" s="7"/>
      <c r="DH231" s="7"/>
      <c r="DI231" s="7"/>
      <c r="DJ231" s="7"/>
      <c r="DK231" s="7"/>
      <c r="DL231" s="7"/>
      <c r="DM231" s="7"/>
      <c r="DN231" s="7"/>
      <c r="DO231" s="7"/>
      <c r="DP231" s="7"/>
      <c r="DQ231" s="7"/>
      <c r="DR231" s="7"/>
      <c r="DS231" s="7"/>
      <c r="DT231" s="7"/>
      <c r="DU231" s="7"/>
      <c r="DV231" s="7"/>
      <c r="DW231" s="7"/>
      <c r="DX231" s="7"/>
    </row>
    <row r="232" spans="68:128" x14ac:dyDescent="0.3">
      <c r="CY232" s="7"/>
      <c r="CZ232" s="7"/>
      <c r="DA232" s="7"/>
      <c r="DB232" s="7"/>
      <c r="DC232" s="7"/>
      <c r="DD232" s="7"/>
      <c r="DE232" s="7"/>
      <c r="DF232" s="7"/>
      <c r="DG232" s="7"/>
      <c r="DH232" s="7"/>
      <c r="DI232" s="7"/>
      <c r="DJ232" s="7"/>
      <c r="DK232" s="7"/>
      <c r="DL232" s="7"/>
      <c r="DM232" s="7"/>
      <c r="DN232" s="7"/>
      <c r="DO232" s="7"/>
      <c r="DP232" s="7"/>
      <c r="DQ232" s="7"/>
      <c r="DR232" s="7"/>
      <c r="DS232" s="7"/>
      <c r="DT232" s="7"/>
      <c r="DU232" s="7"/>
      <c r="DV232" s="7"/>
      <c r="DW232" s="7"/>
      <c r="DX232" s="7"/>
    </row>
    <row r="233" spans="68:128" x14ac:dyDescent="0.3">
      <c r="CY233" s="7"/>
      <c r="CZ233" s="7"/>
      <c r="DA233" s="7"/>
      <c r="DB233" s="7"/>
      <c r="DC233" s="7"/>
      <c r="DD233" s="7"/>
      <c r="DE233" s="7"/>
      <c r="DF233" s="7"/>
      <c r="DG233" s="7"/>
      <c r="DH233" s="7"/>
      <c r="DI233" s="7"/>
      <c r="DJ233" s="7"/>
      <c r="DK233" s="7"/>
      <c r="DL233" s="7"/>
      <c r="DM233" s="7"/>
      <c r="DN233" s="7"/>
      <c r="DO233" s="7"/>
      <c r="DP233" s="7"/>
      <c r="DQ233" s="7"/>
      <c r="DR233" s="7"/>
      <c r="DS233" s="7"/>
      <c r="DT233" s="7"/>
      <c r="DU233" s="7"/>
      <c r="DV233" s="7"/>
      <c r="DW233" s="7"/>
      <c r="DX233" s="7"/>
    </row>
    <row r="234" spans="68:128" x14ac:dyDescent="0.3">
      <c r="CY234" s="7"/>
      <c r="CZ234" s="7"/>
      <c r="DA234" s="7"/>
      <c r="DB234" s="7"/>
      <c r="DC234" s="7"/>
      <c r="DD234" s="7"/>
      <c r="DE234" s="7"/>
      <c r="DF234" s="7"/>
      <c r="DG234" s="7"/>
      <c r="DH234" s="7"/>
      <c r="DI234" s="7"/>
      <c r="DJ234" s="7"/>
      <c r="DK234" s="7"/>
      <c r="DL234" s="7"/>
      <c r="DM234" s="7"/>
      <c r="DN234" s="7"/>
      <c r="DO234" s="7"/>
      <c r="DP234" s="7"/>
      <c r="DQ234" s="7"/>
      <c r="DR234" s="7"/>
      <c r="DS234" s="7"/>
      <c r="DT234" s="7"/>
      <c r="DU234" s="7"/>
      <c r="DV234" s="7"/>
      <c r="DW234" s="7"/>
      <c r="DX234" s="7"/>
    </row>
    <row r="235" spans="68:128" x14ac:dyDescent="0.3">
      <c r="CY235" s="7"/>
      <c r="CZ235" s="7"/>
      <c r="DA235" s="7"/>
      <c r="DB235" s="7"/>
      <c r="DC235" s="7"/>
      <c r="DD235" s="7"/>
      <c r="DE235" s="7"/>
      <c r="DF235" s="7"/>
      <c r="DG235" s="7"/>
      <c r="DH235" s="7"/>
      <c r="DI235" s="7"/>
      <c r="DJ235" s="7"/>
      <c r="DK235" s="7"/>
      <c r="DL235" s="7"/>
      <c r="DM235" s="7"/>
      <c r="DN235" s="7"/>
      <c r="DO235" s="7"/>
      <c r="DP235" s="7"/>
      <c r="DQ235" s="7"/>
      <c r="DR235" s="7"/>
      <c r="DS235" s="7"/>
      <c r="DT235" s="7"/>
      <c r="DU235" s="7"/>
      <c r="DV235" s="7"/>
      <c r="DW235" s="7"/>
      <c r="DX235" s="7"/>
    </row>
    <row r="236" spans="68:128" x14ac:dyDescent="0.3">
      <c r="CY236" s="7"/>
      <c r="CZ236" s="7"/>
      <c r="DA236" s="7"/>
      <c r="DB236" s="7"/>
      <c r="DC236" s="7"/>
      <c r="DD236" s="7"/>
      <c r="DE236" s="7"/>
      <c r="DF236" s="7"/>
      <c r="DG236" s="7"/>
      <c r="DH236" s="7"/>
      <c r="DI236" s="7"/>
      <c r="DJ236" s="7"/>
      <c r="DK236" s="7"/>
      <c r="DL236" s="7"/>
      <c r="DM236" s="7"/>
      <c r="DN236" s="7"/>
      <c r="DO236" s="7"/>
      <c r="DP236" s="7"/>
      <c r="DQ236" s="7"/>
      <c r="DR236" s="7"/>
      <c r="DS236" s="7"/>
      <c r="DT236" s="7"/>
      <c r="DU236" s="7"/>
      <c r="DV236" s="7"/>
      <c r="DW236" s="7"/>
      <c r="DX236" s="7"/>
    </row>
    <row r="237" spans="68:128" x14ac:dyDescent="0.3">
      <c r="BP237" s="64"/>
      <c r="BQ237" s="64"/>
      <c r="BR237" s="64"/>
      <c r="BS237" s="64"/>
      <c r="BT237" s="64"/>
      <c r="BU237" s="64"/>
      <c r="BV237" s="1998"/>
      <c r="BW237" s="1998"/>
      <c r="BX237" s="1998"/>
      <c r="BY237" s="10"/>
      <c r="BZ237" s="7"/>
      <c r="CA237" s="7"/>
      <c r="CB237" s="7"/>
      <c r="CC237" s="7"/>
      <c r="CD237" s="7"/>
      <c r="CE237" s="7"/>
      <c r="CF237" s="7"/>
      <c r="CG237" s="7"/>
      <c r="CH237" s="7"/>
      <c r="CI237" s="7"/>
      <c r="CJ237" s="7"/>
      <c r="CK237" s="7"/>
      <c r="CL237" s="7"/>
      <c r="CM237" s="7"/>
      <c r="CN237" s="7"/>
      <c r="CO237" s="7"/>
      <c r="CY237" s="7"/>
      <c r="CZ237" s="7"/>
      <c r="DA237" s="7"/>
      <c r="DB237" s="7"/>
      <c r="DC237" s="7"/>
      <c r="DD237" s="7"/>
      <c r="DE237" s="7"/>
      <c r="DF237" s="7"/>
      <c r="DG237" s="7"/>
      <c r="DH237" s="7"/>
      <c r="DI237" s="7"/>
      <c r="DJ237" s="7"/>
      <c r="DK237" s="7"/>
      <c r="DL237" s="7"/>
      <c r="DM237" s="7"/>
      <c r="DN237" s="7"/>
      <c r="DO237" s="7"/>
      <c r="DP237" s="7"/>
      <c r="DQ237" s="7"/>
      <c r="DR237" s="7"/>
      <c r="DS237" s="7"/>
      <c r="DT237" s="7"/>
      <c r="DU237" s="7"/>
      <c r="DV237" s="7"/>
      <c r="DW237" s="7"/>
      <c r="DX237" s="7"/>
    </row>
    <row r="238" spans="68:128" x14ac:dyDescent="0.3">
      <c r="BP238" s="7"/>
      <c r="BQ238" s="7"/>
      <c r="BR238" s="7"/>
      <c r="BS238" s="7"/>
      <c r="BT238" s="7"/>
      <c r="BU238" s="7"/>
      <c r="BV238" s="57"/>
      <c r="BW238" s="7"/>
      <c r="BX238" s="7"/>
      <c r="BY238" s="7"/>
      <c r="BZ238" s="7"/>
      <c r="CA238" s="7"/>
      <c r="CB238" s="7"/>
      <c r="CC238" s="7"/>
      <c r="CD238" s="7"/>
      <c r="CE238" s="7"/>
      <c r="CF238" s="7"/>
      <c r="CG238" s="7"/>
      <c r="CH238" s="7"/>
      <c r="CI238" s="57"/>
      <c r="CJ238" s="7"/>
      <c r="CK238" s="7"/>
      <c r="CL238" s="7"/>
      <c r="CM238" s="7"/>
      <c r="CN238" s="7"/>
      <c r="CO238" s="7"/>
      <c r="CY238" s="7"/>
      <c r="CZ238" s="7"/>
      <c r="DA238" s="7"/>
      <c r="DB238" s="7"/>
      <c r="DC238" s="7"/>
      <c r="DD238" s="7"/>
      <c r="DE238" s="7"/>
      <c r="DF238" s="7"/>
      <c r="DG238" s="7"/>
      <c r="DH238" s="7"/>
      <c r="DI238" s="7"/>
      <c r="DJ238" s="7"/>
      <c r="DK238" s="7"/>
      <c r="DL238" s="7"/>
      <c r="DM238" s="7"/>
      <c r="DN238" s="7"/>
      <c r="DO238" s="7"/>
      <c r="DP238" s="7"/>
      <c r="DQ238" s="7"/>
      <c r="DR238" s="7"/>
      <c r="DS238" s="7"/>
      <c r="DT238" s="7"/>
      <c r="DU238" s="7"/>
      <c r="DV238" s="7"/>
      <c r="DW238" s="7"/>
      <c r="DX238" s="7"/>
    </row>
    <row r="239" spans="68:128" x14ac:dyDescent="0.3">
      <c r="BP239" s="65"/>
      <c r="BQ239" s="65"/>
      <c r="BR239" s="65"/>
      <c r="BS239" s="65"/>
      <c r="BT239" s="65"/>
      <c r="BU239" s="65"/>
      <c r="BV239" s="1999"/>
      <c r="BW239" s="1999"/>
      <c r="BX239" s="7"/>
      <c r="BY239" s="7"/>
      <c r="BZ239" s="7"/>
      <c r="CA239" s="7"/>
      <c r="CB239" s="7"/>
      <c r="CC239" s="7"/>
      <c r="CD239" s="7"/>
      <c r="CE239" s="7"/>
      <c r="CF239" s="7"/>
      <c r="CG239" s="7"/>
      <c r="CH239" s="1993"/>
      <c r="CI239" s="1993"/>
      <c r="CJ239" s="7"/>
      <c r="CK239" s="7"/>
      <c r="CL239" s="7"/>
      <c r="CM239" s="7"/>
      <c r="CN239" s="7"/>
      <c r="CO239" s="7"/>
      <c r="CY239" s="7"/>
      <c r="CZ239" s="7"/>
      <c r="DA239" s="7"/>
      <c r="DB239" s="7"/>
      <c r="DC239" s="7"/>
      <c r="DD239" s="7"/>
      <c r="DE239" s="7"/>
      <c r="DF239" s="7"/>
      <c r="DG239" s="7"/>
      <c r="DH239" s="7"/>
      <c r="DI239" s="7"/>
      <c r="DJ239" s="7"/>
      <c r="DK239" s="7"/>
      <c r="DL239" s="7"/>
      <c r="DM239" s="7"/>
      <c r="DN239" s="7"/>
      <c r="DO239" s="7"/>
      <c r="DP239" s="7"/>
      <c r="DQ239" s="7"/>
      <c r="DR239" s="7"/>
      <c r="DS239" s="7"/>
      <c r="DT239" s="7"/>
      <c r="DU239" s="7"/>
      <c r="DV239" s="7"/>
      <c r="DW239" s="7"/>
      <c r="DX239" s="7"/>
    </row>
    <row r="240" spans="68:128" x14ac:dyDescent="0.3">
      <c r="BP240" s="7"/>
      <c r="BQ240" s="7"/>
      <c r="BR240" s="7"/>
      <c r="BS240" s="7"/>
      <c r="BT240" s="7"/>
      <c r="BU240" s="7"/>
      <c r="BV240" s="7"/>
      <c r="BW240" s="7"/>
      <c r="BX240" s="7"/>
      <c r="BY240" s="7"/>
      <c r="BZ240" s="7"/>
      <c r="CA240" s="7"/>
      <c r="CB240" s="7"/>
      <c r="CC240" s="7"/>
      <c r="CD240" s="7"/>
      <c r="CE240" s="7"/>
      <c r="CF240" s="7"/>
      <c r="CG240" s="7"/>
      <c r="CH240" s="7"/>
      <c r="CI240" s="7"/>
      <c r="CJ240" s="7"/>
      <c r="CK240" s="7"/>
      <c r="CL240" s="7"/>
      <c r="CM240" s="7"/>
      <c r="CN240" s="7"/>
      <c r="CO240" s="7"/>
      <c r="CY240" s="7"/>
      <c r="CZ240" s="7"/>
      <c r="DA240" s="7"/>
      <c r="DB240" s="7"/>
      <c r="DC240" s="7"/>
      <c r="DD240" s="7"/>
      <c r="DE240" s="7"/>
      <c r="DF240" s="7"/>
      <c r="DG240" s="7"/>
      <c r="DH240" s="7"/>
      <c r="DI240" s="7"/>
      <c r="DJ240" s="7"/>
      <c r="DK240" s="7"/>
      <c r="DL240" s="7"/>
      <c r="DM240" s="7"/>
      <c r="DN240" s="7"/>
      <c r="DO240" s="7"/>
      <c r="DP240" s="7"/>
      <c r="DQ240" s="7"/>
      <c r="DR240" s="7"/>
      <c r="DS240" s="7"/>
      <c r="DT240" s="7"/>
      <c r="DU240" s="7"/>
      <c r="DV240" s="7"/>
      <c r="DW240" s="7"/>
      <c r="DX240" s="7"/>
    </row>
    <row r="241" spans="68:128" x14ac:dyDescent="0.3">
      <c r="BP241" s="7"/>
      <c r="BQ241" s="7"/>
      <c r="BR241" s="7"/>
      <c r="BS241" s="7"/>
      <c r="BT241" s="7"/>
      <c r="BU241" s="7"/>
      <c r="BV241" s="7"/>
      <c r="BW241" s="7"/>
      <c r="BX241" s="7"/>
      <c r="BY241" s="7"/>
      <c r="BZ241" s="7"/>
      <c r="CA241" s="7"/>
      <c r="CB241" s="7"/>
      <c r="CC241" s="7"/>
      <c r="CD241" s="7"/>
      <c r="CE241" s="7"/>
      <c r="CF241" s="7"/>
      <c r="CG241" s="7"/>
      <c r="CH241" s="7"/>
      <c r="CI241" s="7"/>
      <c r="CJ241" s="7"/>
      <c r="CK241" s="7"/>
      <c r="CL241" s="7"/>
      <c r="CM241" s="7"/>
      <c r="CN241" s="7"/>
      <c r="CO241" s="7"/>
      <c r="CY241" s="7"/>
      <c r="CZ241" s="7"/>
      <c r="DA241" s="7"/>
      <c r="DB241" s="7"/>
      <c r="DC241" s="7"/>
      <c r="DD241" s="7"/>
      <c r="DE241" s="7"/>
      <c r="DF241" s="7"/>
      <c r="DG241" s="7"/>
      <c r="DH241" s="7"/>
      <c r="DI241" s="7"/>
      <c r="DJ241" s="7"/>
      <c r="DK241" s="7"/>
      <c r="DL241" s="7"/>
      <c r="DM241" s="7"/>
      <c r="DN241" s="7"/>
      <c r="DO241" s="7"/>
      <c r="DP241" s="7"/>
      <c r="DQ241" s="7"/>
      <c r="DR241" s="7"/>
      <c r="DS241" s="7"/>
      <c r="DT241" s="7"/>
      <c r="DU241" s="7"/>
      <c r="DV241" s="7"/>
      <c r="DW241" s="7"/>
      <c r="DX241" s="7"/>
    </row>
    <row r="242" spans="68:128" x14ac:dyDescent="0.3">
      <c r="BP242" s="7"/>
      <c r="BQ242" s="7"/>
      <c r="BR242" s="7"/>
      <c r="BS242" s="7"/>
      <c r="BT242" s="7"/>
      <c r="BU242" s="7"/>
      <c r="BV242" s="7"/>
      <c r="BW242" s="7"/>
      <c r="BX242" s="7"/>
      <c r="BY242" s="7"/>
      <c r="BZ242" s="7"/>
      <c r="CA242" s="7"/>
      <c r="CB242" s="7"/>
      <c r="CC242" s="7"/>
      <c r="CD242" s="7"/>
      <c r="CE242" s="7"/>
      <c r="CF242" s="7"/>
      <c r="CG242" s="7"/>
      <c r="CH242" s="7"/>
      <c r="CI242" s="7"/>
      <c r="CJ242" s="7"/>
      <c r="CK242" s="7"/>
      <c r="CL242" s="7"/>
      <c r="CM242" s="7"/>
      <c r="CN242" s="7"/>
      <c r="CO242" s="7"/>
      <c r="CY242" s="7"/>
      <c r="CZ242" s="7"/>
      <c r="DA242" s="7"/>
      <c r="DB242" s="7"/>
      <c r="DC242" s="7"/>
      <c r="DD242" s="15"/>
      <c r="DE242" s="15"/>
      <c r="DF242" s="15"/>
      <c r="DG242" s="15"/>
      <c r="DH242" s="15"/>
      <c r="DI242" s="15"/>
      <c r="DJ242" s="15"/>
      <c r="DK242" s="15"/>
      <c r="DL242" s="15"/>
      <c r="DM242" s="15"/>
      <c r="DN242" s="7"/>
      <c r="DO242" s="7"/>
      <c r="DP242" s="7"/>
      <c r="DQ242" s="7"/>
      <c r="DR242" s="7"/>
      <c r="DS242" s="7"/>
      <c r="DT242" s="7"/>
      <c r="DU242" s="7"/>
      <c r="DV242" s="7"/>
      <c r="DW242" s="7"/>
      <c r="DX242" s="7"/>
    </row>
    <row r="243" spans="68:128" x14ac:dyDescent="0.3">
      <c r="BP243" s="7"/>
      <c r="BQ243" s="7"/>
      <c r="BR243" s="7"/>
      <c r="BS243" s="7"/>
      <c r="BT243" s="7"/>
      <c r="BU243" s="7"/>
      <c r="BV243" s="7"/>
      <c r="BW243" s="7"/>
      <c r="BX243" s="7"/>
      <c r="BY243" s="7"/>
      <c r="BZ243" s="7"/>
      <c r="CA243" s="7"/>
      <c r="CB243" s="7"/>
      <c r="CC243" s="7"/>
      <c r="CD243" s="7"/>
      <c r="CE243" s="7"/>
      <c r="CF243" s="7"/>
      <c r="CG243" s="7"/>
      <c r="CH243" s="7"/>
      <c r="CI243" s="7"/>
      <c r="CJ243" s="7"/>
      <c r="CK243" s="7"/>
      <c r="CL243" s="7"/>
      <c r="CM243" s="7"/>
      <c r="CN243" s="7"/>
      <c r="CO243" s="7"/>
      <c r="CY243" s="7"/>
      <c r="CZ243" s="7"/>
      <c r="DA243" s="7"/>
      <c r="DB243" s="7"/>
      <c r="DC243" s="7"/>
      <c r="DD243" s="15"/>
      <c r="DE243" s="15"/>
      <c r="DF243" s="15"/>
      <c r="DG243" s="15"/>
      <c r="DH243" s="15"/>
      <c r="DI243" s="15"/>
      <c r="DJ243" s="15"/>
      <c r="DK243" s="15"/>
      <c r="DL243" s="15"/>
      <c r="DM243" s="15"/>
      <c r="DN243" s="7"/>
      <c r="DO243" s="7"/>
      <c r="DP243" s="7"/>
      <c r="DQ243" s="7"/>
      <c r="DR243" s="7"/>
      <c r="DS243" s="7"/>
      <c r="DT243" s="7"/>
      <c r="DU243" s="7"/>
      <c r="DV243" s="7"/>
      <c r="DW243" s="7"/>
      <c r="DX243" s="7"/>
    </row>
    <row r="244" spans="68:128" x14ac:dyDescent="0.3">
      <c r="BP244" s="7"/>
      <c r="BQ244" s="7"/>
      <c r="BR244" s="7"/>
      <c r="BS244" s="7"/>
      <c r="BT244" s="7"/>
      <c r="BU244" s="7"/>
      <c r="BV244" s="7"/>
      <c r="BW244" s="7"/>
      <c r="BX244" s="7"/>
      <c r="BY244" s="7"/>
      <c r="BZ244" s="7"/>
      <c r="CA244" s="7"/>
      <c r="CB244" s="7"/>
      <c r="CC244" s="7"/>
      <c r="CD244" s="7"/>
      <c r="CE244" s="7"/>
      <c r="CF244" s="7"/>
      <c r="CG244" s="7"/>
      <c r="CH244" s="7"/>
      <c r="CI244" s="7"/>
      <c r="CJ244" s="7"/>
      <c r="CK244" s="7"/>
      <c r="CL244" s="7"/>
      <c r="CM244" s="7"/>
      <c r="CN244" s="7"/>
      <c r="CO244" s="7"/>
      <c r="CY244" s="7"/>
      <c r="CZ244" s="7"/>
      <c r="DA244" s="7"/>
      <c r="DB244" s="7"/>
      <c r="DC244" s="7"/>
      <c r="DD244" s="15"/>
      <c r="DE244" s="15"/>
      <c r="DF244" s="15"/>
      <c r="DG244" s="15"/>
      <c r="DH244" s="15"/>
      <c r="DI244" s="15"/>
      <c r="DJ244" s="15"/>
      <c r="DK244" s="15"/>
      <c r="DL244" s="15"/>
      <c r="DM244" s="15"/>
      <c r="DN244" s="7"/>
      <c r="DO244" s="7"/>
      <c r="DP244" s="7"/>
      <c r="DQ244" s="7"/>
      <c r="DR244" s="7"/>
      <c r="DS244" s="7"/>
      <c r="DT244" s="7"/>
      <c r="DU244" s="7"/>
      <c r="DV244" s="7"/>
      <c r="DW244" s="7"/>
      <c r="DX244" s="7"/>
    </row>
    <row r="245" spans="68:128" x14ac:dyDescent="0.3">
      <c r="BP245" s="7"/>
      <c r="BQ245" s="7"/>
      <c r="BR245" s="7"/>
      <c r="BS245" s="7"/>
      <c r="BT245" s="7"/>
      <c r="BU245" s="7"/>
      <c r="BV245" s="7"/>
      <c r="BW245" s="7"/>
      <c r="BX245" s="7"/>
      <c r="BY245" s="7"/>
      <c r="BZ245" s="7"/>
      <c r="CA245" s="7"/>
      <c r="CB245" s="7"/>
      <c r="CC245" s="7"/>
      <c r="CD245" s="7"/>
      <c r="CE245" s="7"/>
      <c r="CF245" s="7"/>
      <c r="CG245" s="7"/>
      <c r="CH245" s="7"/>
      <c r="CI245" s="7"/>
      <c r="CJ245" s="7"/>
      <c r="CK245" s="7"/>
      <c r="CL245" s="7"/>
      <c r="CM245" s="7"/>
      <c r="CN245" s="7"/>
      <c r="CO245" s="7"/>
      <c r="CY245" s="7"/>
      <c r="CZ245" s="7"/>
      <c r="DA245" s="7"/>
      <c r="DB245" s="7"/>
      <c r="DC245" s="7"/>
      <c r="DD245" s="15"/>
      <c r="DE245" s="15"/>
      <c r="DF245" s="15"/>
      <c r="DG245" s="15"/>
      <c r="DH245" s="15"/>
      <c r="DI245" s="15"/>
      <c r="DJ245" s="15"/>
      <c r="DK245" s="15"/>
      <c r="DL245" s="15"/>
      <c r="DM245" s="15"/>
      <c r="DN245" s="7"/>
      <c r="DO245" s="7"/>
      <c r="DP245" s="7"/>
      <c r="DQ245" s="7"/>
      <c r="DR245" s="7"/>
      <c r="DS245" s="7"/>
      <c r="DT245" s="7"/>
      <c r="DU245" s="7"/>
      <c r="DV245" s="7"/>
      <c r="DW245" s="7"/>
      <c r="DX245" s="7"/>
    </row>
    <row r="246" spans="68:128" x14ac:dyDescent="0.3">
      <c r="BP246" s="7"/>
      <c r="BQ246" s="7"/>
      <c r="BR246" s="7"/>
      <c r="BS246" s="7"/>
      <c r="BT246" s="7"/>
      <c r="BU246" s="7"/>
      <c r="BV246" s="7"/>
      <c r="BW246" s="7"/>
      <c r="BX246" s="7"/>
      <c r="BY246" s="7"/>
      <c r="BZ246" s="7"/>
      <c r="CA246" s="7"/>
      <c r="CB246" s="7"/>
      <c r="CC246" s="7"/>
      <c r="CD246" s="7"/>
      <c r="CE246" s="7"/>
      <c r="CF246" s="7"/>
      <c r="CG246" s="7"/>
      <c r="CH246" s="7"/>
      <c r="CI246" s="7"/>
      <c r="CJ246" s="7"/>
      <c r="CK246" s="7"/>
      <c r="CL246" s="7"/>
      <c r="CM246" s="7"/>
      <c r="CN246" s="7"/>
      <c r="CO246" s="7"/>
      <c r="CY246" s="10"/>
      <c r="CZ246" s="7"/>
      <c r="DA246" s="10"/>
      <c r="DB246" s="7"/>
      <c r="DC246" s="10"/>
      <c r="DD246" s="15"/>
      <c r="DE246" s="15"/>
      <c r="DF246" s="15"/>
      <c r="DG246" s="15"/>
      <c r="DH246" s="15"/>
      <c r="DI246" s="15"/>
      <c r="DJ246" s="15"/>
      <c r="DK246" s="15"/>
      <c r="DL246" s="15"/>
      <c r="DM246" s="15"/>
      <c r="DN246" s="7"/>
      <c r="DO246" s="7"/>
      <c r="DP246" s="7"/>
      <c r="DQ246" s="7"/>
      <c r="DR246" s="7"/>
      <c r="DS246" s="7"/>
      <c r="DT246" s="7"/>
      <c r="DU246" s="7"/>
      <c r="DV246" s="7"/>
      <c r="DW246" s="7"/>
      <c r="DX246" s="7"/>
    </row>
    <row r="247" spans="68:128" x14ac:dyDescent="0.3">
      <c r="BP247" s="7"/>
      <c r="BQ247" s="7"/>
      <c r="BR247" s="7"/>
      <c r="BS247" s="7"/>
      <c r="BT247" s="7"/>
      <c r="BU247" s="7"/>
      <c r="BV247" s="7"/>
      <c r="BW247" s="7"/>
      <c r="BX247" s="7"/>
      <c r="BY247" s="7"/>
      <c r="BZ247" s="7"/>
      <c r="CA247" s="7"/>
      <c r="CB247" s="7"/>
      <c r="CC247" s="7"/>
      <c r="CD247" s="7"/>
      <c r="CE247" s="7"/>
      <c r="CF247" s="7"/>
      <c r="CG247" s="7"/>
      <c r="CH247" s="7"/>
      <c r="CI247" s="7"/>
      <c r="CJ247" s="7"/>
      <c r="CK247" s="7"/>
      <c r="CL247" s="7"/>
      <c r="CM247" s="7"/>
      <c r="CN247" s="7"/>
      <c r="CO247" s="7"/>
      <c r="CY247" s="10"/>
      <c r="CZ247" s="7"/>
      <c r="DA247" s="7"/>
      <c r="DB247" s="7"/>
      <c r="DC247" s="10"/>
      <c r="DD247" s="15"/>
      <c r="DE247" s="15"/>
      <c r="DF247" s="15"/>
      <c r="DG247" s="15"/>
      <c r="DH247" s="15"/>
      <c r="DI247" s="15"/>
      <c r="DJ247" s="15"/>
      <c r="DK247" s="15"/>
      <c r="DL247" s="15"/>
      <c r="DM247" s="15"/>
      <c r="DN247" s="7"/>
      <c r="DO247" s="7"/>
      <c r="DP247" s="7"/>
      <c r="DQ247" s="7"/>
      <c r="DR247" s="7"/>
      <c r="DS247" s="7"/>
      <c r="DT247" s="7"/>
      <c r="DU247" s="7"/>
      <c r="DV247" s="7"/>
      <c r="DW247" s="7"/>
      <c r="DX247" s="7"/>
    </row>
    <row r="248" spans="68:128" x14ac:dyDescent="0.3">
      <c r="BP248" s="7"/>
      <c r="BQ248" s="7"/>
      <c r="BR248" s="7"/>
      <c r="BS248" s="7"/>
      <c r="BT248" s="7"/>
      <c r="BU248" s="7"/>
      <c r="BV248" s="7"/>
      <c r="BW248" s="7"/>
      <c r="BX248" s="7"/>
      <c r="BY248" s="7"/>
      <c r="BZ248" s="7"/>
      <c r="CA248" s="7"/>
      <c r="CB248" s="7"/>
      <c r="CC248" s="7"/>
      <c r="CD248" s="7"/>
      <c r="CE248" s="7"/>
      <c r="CF248" s="7"/>
      <c r="CG248" s="7"/>
      <c r="CH248" s="7"/>
      <c r="CI248" s="7"/>
      <c r="CJ248" s="7"/>
      <c r="CK248" s="7"/>
      <c r="CL248" s="7"/>
      <c r="CM248" s="7"/>
      <c r="CN248" s="7"/>
      <c r="CO248" s="7"/>
      <c r="CY248" s="10"/>
      <c r="CZ248" s="66"/>
      <c r="DA248" s="66"/>
      <c r="DB248" s="66"/>
      <c r="DC248" s="66"/>
      <c r="DD248" s="66"/>
      <c r="DE248" s="66"/>
      <c r="DF248" s="66"/>
      <c r="DG248" s="66"/>
      <c r="DH248" s="66"/>
      <c r="DI248" s="66"/>
      <c r="DJ248" s="66"/>
      <c r="DK248" s="66"/>
      <c r="DL248" s="66"/>
      <c r="DM248" s="66"/>
      <c r="DN248" s="66"/>
      <c r="DO248" s="66"/>
      <c r="DP248" s="66"/>
      <c r="DQ248" s="66"/>
      <c r="DR248" s="66"/>
      <c r="DS248" s="66"/>
      <c r="DT248" s="66"/>
      <c r="DU248" s="66"/>
      <c r="DV248" s="66"/>
      <c r="DW248" s="66"/>
      <c r="DX248" s="7"/>
    </row>
    <row r="249" spans="68:128" x14ac:dyDescent="0.3">
      <c r="BP249" s="7"/>
      <c r="BQ249" s="7"/>
      <c r="BR249" s="7"/>
      <c r="BS249" s="7"/>
      <c r="BT249" s="7"/>
      <c r="BU249" s="7"/>
      <c r="BV249" s="7"/>
      <c r="BW249" s="7"/>
      <c r="BX249" s="7"/>
      <c r="BY249" s="7"/>
      <c r="BZ249" s="7"/>
      <c r="CA249" s="7"/>
      <c r="CB249" s="7"/>
      <c r="CC249" s="7"/>
      <c r="CD249" s="7"/>
      <c r="CE249" s="7"/>
      <c r="CF249" s="7"/>
      <c r="CG249" s="7"/>
      <c r="CH249" s="7"/>
      <c r="CI249" s="7"/>
      <c r="CJ249" s="7"/>
      <c r="CK249" s="7"/>
      <c r="CL249" s="7"/>
      <c r="CM249" s="7"/>
      <c r="CN249" s="7"/>
      <c r="CO249" s="7"/>
      <c r="CY249" s="10"/>
      <c r="CZ249" s="7"/>
      <c r="DA249" s="7"/>
      <c r="DB249" s="7"/>
      <c r="DC249" s="7"/>
      <c r="DD249" s="7"/>
      <c r="DE249" s="7"/>
      <c r="DF249" s="7"/>
      <c r="DG249" s="7"/>
      <c r="DH249" s="7"/>
      <c r="DI249" s="7"/>
      <c r="DJ249" s="7"/>
      <c r="DK249" s="7"/>
      <c r="DL249" s="7"/>
      <c r="DM249" s="7"/>
      <c r="DN249" s="7"/>
      <c r="DO249" s="7"/>
      <c r="DP249" s="7"/>
      <c r="DQ249" s="7"/>
      <c r="DR249" s="7"/>
      <c r="DS249" s="7"/>
      <c r="DT249" s="7"/>
      <c r="DU249" s="7"/>
      <c r="DV249" s="7"/>
      <c r="DW249" s="7"/>
      <c r="DX249" s="7"/>
    </row>
    <row r="250" spans="68:128" x14ac:dyDescent="0.3">
      <c r="BP250" s="7"/>
      <c r="BQ250" s="7"/>
      <c r="BR250" s="7"/>
      <c r="BS250" s="7"/>
      <c r="BT250" s="7"/>
      <c r="BU250" s="7"/>
      <c r="BV250" s="7"/>
      <c r="BW250" s="7"/>
      <c r="BX250" s="7"/>
      <c r="BY250" s="7"/>
      <c r="BZ250" s="7"/>
      <c r="CA250" s="7"/>
      <c r="CB250" s="7"/>
      <c r="CC250" s="7"/>
      <c r="CD250" s="7"/>
      <c r="CE250" s="7"/>
      <c r="CF250" s="7"/>
      <c r="CG250" s="7"/>
      <c r="CH250" s="7"/>
      <c r="CI250" s="7"/>
      <c r="CJ250" s="7"/>
      <c r="CK250" s="7"/>
      <c r="CL250" s="7"/>
      <c r="CM250" s="7"/>
      <c r="CN250" s="7"/>
      <c r="CO250" s="7"/>
      <c r="CY250" s="18"/>
      <c r="CZ250" s="61"/>
      <c r="DA250" s="61"/>
      <c r="DB250" s="61"/>
      <c r="DC250" s="61"/>
      <c r="DD250" s="61"/>
      <c r="DE250" s="61"/>
      <c r="DF250" s="61"/>
      <c r="DG250" s="61"/>
      <c r="DH250" s="61"/>
      <c r="DI250" s="61"/>
      <c r="DJ250" s="61"/>
      <c r="DK250" s="61"/>
      <c r="DL250" s="61"/>
      <c r="DM250" s="61"/>
      <c r="DN250" s="61"/>
      <c r="DO250" s="61"/>
      <c r="DP250" s="61"/>
      <c r="DQ250" s="61"/>
      <c r="DR250" s="61"/>
      <c r="DS250" s="61"/>
      <c r="DT250" s="61"/>
      <c r="DU250" s="61"/>
      <c r="DV250" s="61"/>
      <c r="DW250" s="61"/>
      <c r="DX250" s="7"/>
    </row>
    <row r="251" spans="68:128" x14ac:dyDescent="0.3">
      <c r="BP251" s="7"/>
      <c r="BQ251" s="7"/>
      <c r="BR251" s="7"/>
      <c r="BS251" s="7"/>
      <c r="BT251" s="7"/>
      <c r="BU251" s="7"/>
      <c r="BV251" s="7"/>
      <c r="BW251" s="7"/>
      <c r="BX251" s="7"/>
      <c r="BY251" s="7"/>
      <c r="BZ251" s="7"/>
      <c r="CA251" s="7"/>
      <c r="CB251" s="7"/>
      <c r="CC251" s="7"/>
      <c r="CD251" s="7"/>
      <c r="CE251" s="7"/>
      <c r="CF251" s="7"/>
      <c r="CG251" s="7"/>
      <c r="CH251" s="7"/>
      <c r="CI251" s="7"/>
      <c r="CJ251" s="7"/>
      <c r="CK251" s="7"/>
      <c r="CL251" s="7"/>
      <c r="CM251" s="7"/>
      <c r="CN251" s="7"/>
      <c r="CO251" s="7"/>
      <c r="CY251" s="10"/>
      <c r="CZ251" s="49"/>
      <c r="DA251" s="49"/>
      <c r="DB251" s="49"/>
      <c r="DC251" s="49"/>
      <c r="DD251" s="49"/>
      <c r="DE251" s="49"/>
      <c r="DF251" s="49"/>
      <c r="DG251" s="49"/>
      <c r="DH251" s="49"/>
      <c r="DI251" s="49"/>
      <c r="DJ251" s="49"/>
      <c r="DK251" s="49"/>
      <c r="DL251" s="49"/>
      <c r="DM251" s="49"/>
      <c r="DN251" s="49"/>
      <c r="DO251" s="49"/>
      <c r="DP251" s="49"/>
      <c r="DQ251" s="49"/>
      <c r="DR251" s="49"/>
      <c r="DS251" s="49"/>
      <c r="DT251" s="49"/>
      <c r="DU251" s="49"/>
      <c r="DV251" s="49"/>
      <c r="DW251" s="49"/>
      <c r="DX251" s="7"/>
    </row>
    <row r="252" spans="68:128" x14ac:dyDescent="0.3">
      <c r="BP252" s="7"/>
      <c r="BQ252" s="7"/>
      <c r="BR252" s="7"/>
      <c r="BS252" s="7"/>
      <c r="BT252" s="7"/>
      <c r="BU252" s="7"/>
      <c r="BV252" s="7"/>
      <c r="BW252" s="7"/>
      <c r="BX252" s="7"/>
      <c r="BY252" s="7"/>
      <c r="BZ252" s="7"/>
      <c r="CA252" s="7"/>
      <c r="CB252" s="7"/>
      <c r="CC252" s="7"/>
      <c r="CD252" s="7"/>
      <c r="CE252" s="7"/>
      <c r="CF252" s="7"/>
      <c r="CG252" s="7"/>
      <c r="CH252" s="7"/>
      <c r="CI252" s="7"/>
      <c r="CJ252" s="7"/>
      <c r="CK252" s="7"/>
      <c r="CL252" s="7"/>
      <c r="CM252" s="7"/>
      <c r="CN252" s="7"/>
      <c r="CO252" s="7"/>
      <c r="CY252" s="7"/>
      <c r="CZ252" s="7"/>
      <c r="DA252" s="7"/>
      <c r="DB252" s="7"/>
      <c r="DC252" s="7"/>
      <c r="DD252" s="7"/>
      <c r="DE252" s="7"/>
      <c r="DF252" s="7"/>
      <c r="DG252" s="7"/>
      <c r="DH252" s="7"/>
      <c r="DI252" s="7"/>
      <c r="DJ252" s="7"/>
      <c r="DK252" s="7"/>
      <c r="DL252" s="7"/>
      <c r="DM252" s="7"/>
      <c r="DN252" s="7"/>
      <c r="DO252" s="7"/>
      <c r="DP252" s="7"/>
      <c r="DQ252" s="7"/>
      <c r="DR252" s="7"/>
      <c r="DS252" s="7"/>
      <c r="DT252" s="7"/>
      <c r="DU252" s="7"/>
      <c r="DV252" s="7"/>
      <c r="DW252" s="7"/>
      <c r="DX252" s="7"/>
    </row>
    <row r="253" spans="68:128" x14ac:dyDescent="0.3">
      <c r="BP253" s="7"/>
      <c r="BQ253" s="7"/>
      <c r="BR253" s="7"/>
      <c r="BS253" s="7"/>
      <c r="BT253" s="7"/>
      <c r="BU253" s="7"/>
      <c r="BV253" s="7"/>
      <c r="BW253" s="7"/>
      <c r="BX253" s="7"/>
      <c r="BY253" s="7"/>
      <c r="BZ253" s="7"/>
      <c r="CA253" s="7"/>
      <c r="CB253" s="7"/>
      <c r="CC253" s="7"/>
      <c r="CD253" s="7"/>
      <c r="CE253" s="7"/>
      <c r="CF253" s="7"/>
      <c r="CG253" s="7"/>
      <c r="CH253" s="7"/>
      <c r="CI253" s="7"/>
      <c r="CJ253" s="7"/>
      <c r="CK253" s="7"/>
      <c r="CL253" s="7"/>
      <c r="CM253" s="7"/>
      <c r="CN253" s="7"/>
      <c r="CO253" s="7"/>
      <c r="CY253" s="7"/>
      <c r="CZ253" s="67"/>
      <c r="DA253" s="67"/>
      <c r="DB253" s="67"/>
      <c r="DC253" s="67"/>
      <c r="DD253" s="67"/>
      <c r="DE253" s="67"/>
      <c r="DF253" s="10"/>
      <c r="DG253" s="10"/>
      <c r="DH253" s="10"/>
      <c r="DI253" s="10"/>
      <c r="DJ253" s="10"/>
      <c r="DK253" s="67"/>
      <c r="DL253" s="67"/>
      <c r="DM253" s="67"/>
      <c r="DN253" s="10"/>
      <c r="DO253" s="10"/>
      <c r="DP253" s="10"/>
      <c r="DQ253" s="10"/>
      <c r="DR253" s="10"/>
      <c r="DS253" s="10"/>
      <c r="DT253" s="10"/>
      <c r="DU253" s="10"/>
      <c r="DV253" s="10"/>
      <c r="DW253" s="10"/>
      <c r="DX253" s="7"/>
    </row>
    <row r="254" spans="68:128" x14ac:dyDescent="0.3">
      <c r="BP254" s="7"/>
      <c r="BQ254" s="7"/>
      <c r="BR254" s="7"/>
      <c r="BS254" s="7"/>
      <c r="BT254" s="7"/>
      <c r="BU254" s="7"/>
      <c r="BV254" s="7"/>
      <c r="BW254" s="7"/>
      <c r="BX254" s="7"/>
      <c r="BY254" s="7"/>
      <c r="BZ254" s="7"/>
      <c r="CA254" s="7"/>
      <c r="CB254" s="7"/>
      <c r="CC254" s="7"/>
      <c r="CD254" s="7"/>
      <c r="CE254" s="7"/>
      <c r="CF254" s="7"/>
      <c r="CG254" s="7"/>
      <c r="CH254" s="7"/>
      <c r="CI254" s="7"/>
      <c r="CJ254" s="7"/>
      <c r="CK254" s="7"/>
      <c r="CL254" s="7"/>
      <c r="CM254" s="7"/>
      <c r="CN254" s="7"/>
      <c r="CO254" s="7"/>
      <c r="CY254" s="7"/>
      <c r="CZ254" s="67"/>
      <c r="DA254" s="67"/>
      <c r="DB254" s="67"/>
      <c r="DC254" s="67"/>
      <c r="DD254" s="67"/>
      <c r="DE254" s="67"/>
      <c r="DF254" s="7"/>
      <c r="DG254" s="7"/>
      <c r="DH254" s="7"/>
      <c r="DI254" s="7"/>
      <c r="DJ254" s="67"/>
      <c r="DK254" s="67"/>
      <c r="DL254" s="67"/>
      <c r="DM254" s="67"/>
      <c r="DN254" s="7"/>
      <c r="DO254" s="7"/>
      <c r="DP254" s="7"/>
      <c r="DQ254" s="7"/>
      <c r="DR254" s="67"/>
      <c r="DS254" s="67"/>
      <c r="DT254" s="67"/>
      <c r="DU254" s="67"/>
      <c r="DV254" s="67"/>
      <c r="DW254" s="67"/>
      <c r="DX254" s="7"/>
    </row>
    <row r="255" spans="68:128" x14ac:dyDescent="0.3">
      <c r="BP255" s="7"/>
      <c r="BQ255" s="7"/>
      <c r="BR255" s="7"/>
      <c r="BS255" s="7"/>
      <c r="BT255" s="7"/>
      <c r="BU255" s="7"/>
      <c r="BV255" s="7"/>
      <c r="BW255" s="7"/>
      <c r="BX255" s="7"/>
      <c r="BY255" s="58"/>
      <c r="BZ255" s="58"/>
      <c r="CA255" s="7"/>
      <c r="CB255" s="58"/>
      <c r="CC255" s="7"/>
      <c r="CD255" s="7"/>
      <c r="CE255" s="7"/>
      <c r="CF255" s="7"/>
      <c r="CG255" s="7"/>
      <c r="CH255" s="7"/>
      <c r="CI255" s="7"/>
      <c r="CJ255" s="7"/>
      <c r="CK255" s="7"/>
      <c r="CL255" s="7"/>
      <c r="CM255" s="7"/>
      <c r="CN255" s="7"/>
      <c r="CO255" s="7"/>
      <c r="CY255" s="7"/>
      <c r="CZ255" s="7"/>
      <c r="DA255" s="7"/>
      <c r="DB255" s="7"/>
      <c r="DC255" s="7"/>
      <c r="DD255" s="7"/>
      <c r="DE255" s="7"/>
      <c r="DF255" s="7"/>
      <c r="DG255" s="7"/>
      <c r="DH255" s="7"/>
      <c r="DI255" s="7"/>
      <c r="DJ255" s="7"/>
      <c r="DK255" s="7"/>
      <c r="DL255" s="7"/>
      <c r="DM255" s="7"/>
      <c r="DN255" s="7"/>
      <c r="DO255" s="7"/>
      <c r="DP255" s="7"/>
      <c r="DQ255" s="7"/>
      <c r="DR255" s="7"/>
      <c r="DS255" s="7"/>
      <c r="DT255" s="7"/>
      <c r="DU255" s="7"/>
      <c r="DV255" s="7"/>
      <c r="DW255" s="7"/>
      <c r="DX255" s="7"/>
    </row>
    <row r="256" spans="68:128" x14ac:dyDescent="0.3">
      <c r="BP256" s="10"/>
      <c r="BQ256" s="7"/>
      <c r="BR256" s="10"/>
      <c r="BS256" s="7"/>
      <c r="BT256" s="10"/>
      <c r="BU256" s="7"/>
      <c r="BV256" s="7"/>
      <c r="BW256" s="7"/>
      <c r="BX256" s="7"/>
      <c r="BY256" s="7"/>
      <c r="BZ256" s="7"/>
      <c r="CA256" s="7"/>
      <c r="CB256" s="7"/>
      <c r="CC256" s="7"/>
      <c r="CD256" s="7"/>
      <c r="CE256" s="7"/>
      <c r="CF256" s="7"/>
      <c r="CG256" s="7"/>
      <c r="CH256" s="7"/>
      <c r="CI256" s="7"/>
      <c r="CJ256" s="7"/>
      <c r="CK256" s="7"/>
      <c r="CL256" s="7"/>
      <c r="CM256" s="7"/>
      <c r="CN256" s="7"/>
      <c r="CO256" s="7"/>
      <c r="CY256" s="7"/>
      <c r="CZ256" s="7"/>
      <c r="DA256" s="7"/>
      <c r="DB256" s="7"/>
      <c r="DC256" s="7"/>
      <c r="DD256" s="7"/>
      <c r="DE256" s="7"/>
      <c r="DF256" s="7"/>
      <c r="DG256" s="7"/>
      <c r="DH256" s="7"/>
      <c r="DI256" s="7"/>
      <c r="DJ256" s="7"/>
      <c r="DK256" s="7"/>
      <c r="DL256" s="7"/>
      <c r="DM256" s="7"/>
      <c r="DN256" s="7"/>
      <c r="DO256" s="7"/>
      <c r="DP256" s="7"/>
      <c r="DQ256" s="7"/>
      <c r="DR256" s="7"/>
      <c r="DS256" s="7"/>
      <c r="DT256" s="7"/>
      <c r="DU256" s="7"/>
      <c r="DV256" s="7"/>
      <c r="DW256" s="7"/>
      <c r="DX256" s="7"/>
    </row>
    <row r="257" spans="68:93" x14ac:dyDescent="0.3">
      <c r="BP257" s="10"/>
      <c r="BQ257" s="7"/>
      <c r="BR257" s="7"/>
      <c r="BS257" s="7"/>
      <c r="BT257" s="10"/>
      <c r="BU257" s="7"/>
      <c r="BV257" s="7"/>
      <c r="BW257" s="7"/>
      <c r="BX257" s="7"/>
      <c r="BY257" s="7"/>
      <c r="BZ257" s="7"/>
      <c r="CA257" s="7"/>
      <c r="CB257" s="7"/>
      <c r="CC257" s="7"/>
      <c r="CD257" s="7"/>
      <c r="CE257" s="7"/>
      <c r="CF257" s="7"/>
      <c r="CG257" s="7"/>
      <c r="CH257" s="7"/>
      <c r="CI257" s="7"/>
      <c r="CJ257" s="7"/>
      <c r="CK257" s="7"/>
      <c r="CL257" s="7"/>
      <c r="CM257" s="7"/>
      <c r="CN257" s="7"/>
      <c r="CO257" s="7"/>
    </row>
    <row r="258" spans="68:93" x14ac:dyDescent="0.3">
      <c r="BP258" s="10"/>
      <c r="BQ258" s="66"/>
      <c r="BR258" s="66"/>
      <c r="BS258" s="66"/>
      <c r="BT258" s="66"/>
      <c r="BU258" s="66"/>
      <c r="BV258" s="66"/>
      <c r="BW258" s="66"/>
      <c r="BX258" s="66"/>
      <c r="BY258" s="66"/>
      <c r="BZ258" s="66"/>
      <c r="CA258" s="66"/>
      <c r="CB258" s="66"/>
      <c r="CC258" s="66"/>
      <c r="CD258" s="66"/>
      <c r="CE258" s="66"/>
      <c r="CF258" s="66"/>
      <c r="CG258" s="66"/>
      <c r="CH258" s="66"/>
      <c r="CI258" s="66"/>
      <c r="CJ258" s="66"/>
      <c r="CK258" s="66"/>
      <c r="CL258" s="66"/>
      <c r="CM258" s="66"/>
      <c r="CN258" s="66"/>
      <c r="CO258" s="7"/>
    </row>
    <row r="259" spans="68:93" x14ac:dyDescent="0.3">
      <c r="BP259" s="10"/>
      <c r="BQ259" s="7"/>
      <c r="BR259" s="7"/>
      <c r="BS259" s="7"/>
      <c r="BT259" s="7"/>
      <c r="BU259" s="7"/>
      <c r="BV259" s="7"/>
      <c r="BW259" s="7"/>
      <c r="BX259" s="7"/>
      <c r="BY259" s="7"/>
      <c r="BZ259" s="7"/>
      <c r="CA259" s="7"/>
      <c r="CB259" s="7"/>
      <c r="CC259" s="7"/>
      <c r="CD259" s="7"/>
      <c r="CE259" s="7"/>
      <c r="CF259" s="7"/>
      <c r="CG259" s="7"/>
      <c r="CH259" s="7"/>
      <c r="CI259" s="7"/>
      <c r="CJ259" s="7"/>
      <c r="CK259" s="7"/>
      <c r="CL259" s="7"/>
      <c r="CM259" s="7"/>
      <c r="CN259" s="7"/>
      <c r="CO259" s="7"/>
    </row>
    <row r="260" spans="68:93" x14ac:dyDescent="0.3">
      <c r="BP260" s="18"/>
      <c r="BQ260" s="61"/>
      <c r="BR260" s="61"/>
      <c r="BS260" s="61"/>
      <c r="BT260" s="61"/>
      <c r="BU260" s="61"/>
      <c r="BV260" s="61"/>
      <c r="BW260" s="61"/>
      <c r="BX260" s="61"/>
      <c r="BY260" s="61"/>
      <c r="BZ260" s="61"/>
      <c r="CA260" s="61"/>
      <c r="CB260" s="61"/>
      <c r="CC260" s="61"/>
      <c r="CD260" s="61"/>
      <c r="CE260" s="61"/>
      <c r="CF260" s="61"/>
      <c r="CG260" s="61"/>
      <c r="CH260" s="61"/>
      <c r="CI260" s="61"/>
      <c r="CJ260" s="61"/>
      <c r="CK260" s="61"/>
      <c r="CL260" s="61"/>
      <c r="CM260" s="61"/>
      <c r="CN260" s="61"/>
      <c r="CO260" s="7"/>
    </row>
    <row r="261" spans="68:93" x14ac:dyDescent="0.3">
      <c r="BP261" s="10"/>
      <c r="BQ261" s="49"/>
      <c r="BR261" s="49"/>
      <c r="BS261" s="49"/>
      <c r="BT261" s="49"/>
      <c r="BU261" s="49"/>
      <c r="BV261" s="49"/>
      <c r="BW261" s="49"/>
      <c r="BX261" s="49"/>
      <c r="BY261" s="49"/>
      <c r="BZ261" s="49"/>
      <c r="CA261" s="49"/>
      <c r="CB261" s="49"/>
      <c r="CC261" s="49"/>
      <c r="CD261" s="49"/>
      <c r="CE261" s="49"/>
      <c r="CF261" s="49"/>
      <c r="CG261" s="49"/>
      <c r="CH261" s="49"/>
      <c r="CI261" s="49"/>
      <c r="CJ261" s="49"/>
      <c r="CK261" s="49"/>
      <c r="CL261" s="49"/>
      <c r="CM261" s="49"/>
      <c r="CN261" s="49"/>
      <c r="CO261" s="7"/>
    </row>
    <row r="262" spans="68:93" x14ac:dyDescent="0.3">
      <c r="BP262" s="7"/>
      <c r="BQ262" s="7"/>
      <c r="BR262" s="7"/>
      <c r="BS262" s="7"/>
      <c r="BT262" s="7"/>
      <c r="BU262" s="7"/>
      <c r="BV262" s="7"/>
      <c r="BW262" s="7"/>
      <c r="BX262" s="7"/>
      <c r="BY262" s="7"/>
      <c r="BZ262" s="7"/>
      <c r="CA262" s="7"/>
      <c r="CB262" s="7"/>
      <c r="CC262" s="7"/>
      <c r="CD262" s="7"/>
      <c r="CE262" s="7"/>
      <c r="CF262" s="7"/>
      <c r="CG262" s="7"/>
      <c r="CH262" s="7"/>
      <c r="CI262" s="7"/>
      <c r="CJ262" s="7"/>
      <c r="CK262" s="7"/>
      <c r="CL262" s="7"/>
      <c r="CM262" s="7"/>
      <c r="CN262" s="7"/>
      <c r="CO262" s="7"/>
    </row>
    <row r="263" spans="68:93" x14ac:dyDescent="0.3">
      <c r="BP263" s="7"/>
      <c r="BQ263" s="67"/>
      <c r="BR263" s="67"/>
      <c r="BS263" s="67"/>
      <c r="BT263" s="67"/>
      <c r="BU263" s="67"/>
      <c r="BV263" s="67"/>
      <c r="BW263" s="10"/>
      <c r="BX263" s="10"/>
      <c r="BY263" s="10"/>
      <c r="BZ263" s="10"/>
      <c r="CA263" s="10"/>
      <c r="CB263" s="67"/>
      <c r="CC263" s="67"/>
      <c r="CD263" s="67"/>
      <c r="CE263" s="10"/>
      <c r="CF263" s="10"/>
      <c r="CG263" s="10"/>
      <c r="CH263" s="10"/>
      <c r="CI263" s="10"/>
      <c r="CJ263" s="10"/>
      <c r="CK263" s="10"/>
      <c r="CL263" s="10"/>
      <c r="CM263" s="10"/>
      <c r="CN263" s="10"/>
      <c r="CO263" s="7"/>
    </row>
    <row r="264" spans="68:93" x14ac:dyDescent="0.3">
      <c r="BP264" s="7"/>
      <c r="BQ264" s="67"/>
      <c r="BR264" s="67"/>
      <c r="BS264" s="67"/>
      <c r="BT264" s="67"/>
      <c r="BU264" s="67"/>
      <c r="BV264" s="67"/>
      <c r="BW264" s="7"/>
      <c r="BX264" s="7"/>
      <c r="BY264" s="7"/>
      <c r="BZ264" s="7"/>
      <c r="CA264" s="67"/>
      <c r="CB264" s="67"/>
      <c r="CC264" s="67"/>
      <c r="CD264" s="67"/>
      <c r="CE264" s="7"/>
      <c r="CF264" s="7"/>
      <c r="CG264" s="7"/>
      <c r="CH264" s="7"/>
      <c r="CI264" s="67"/>
      <c r="CJ264" s="67"/>
      <c r="CK264" s="67"/>
      <c r="CL264" s="67"/>
      <c r="CM264" s="67"/>
      <c r="CN264" s="67"/>
      <c r="CO264" s="7"/>
    </row>
    <row r="265" spans="68:93" x14ac:dyDescent="0.3">
      <c r="BP265" s="7"/>
      <c r="BQ265" s="7"/>
      <c r="BR265" s="7"/>
      <c r="BS265" s="7"/>
      <c r="BT265" s="7"/>
      <c r="BU265" s="7"/>
      <c r="BV265" s="7"/>
      <c r="BW265" s="7"/>
      <c r="BX265" s="7"/>
      <c r="BY265" s="7"/>
      <c r="BZ265" s="7"/>
      <c r="CA265" s="7"/>
      <c r="CB265" s="7"/>
      <c r="CC265" s="7"/>
      <c r="CD265" s="7"/>
      <c r="CE265" s="7"/>
      <c r="CF265" s="7"/>
      <c r="CG265" s="7"/>
      <c r="CH265" s="7"/>
      <c r="CI265" s="7"/>
      <c r="CJ265" s="7"/>
      <c r="CK265" s="7"/>
      <c r="CL265" s="7"/>
      <c r="CM265" s="7"/>
      <c r="CN265" s="7"/>
      <c r="CO265" s="7"/>
    </row>
    <row r="266" spans="68:93" x14ac:dyDescent="0.3">
      <c r="BP266" s="7"/>
      <c r="BQ266" s="7"/>
      <c r="BR266" s="7"/>
      <c r="BS266" s="7"/>
      <c r="BT266" s="7"/>
      <c r="BU266" s="7"/>
      <c r="BV266" s="7"/>
      <c r="BW266" s="7"/>
      <c r="BX266" s="7"/>
      <c r="BY266" s="7"/>
      <c r="BZ266" s="7"/>
      <c r="CA266" s="7"/>
      <c r="CB266" s="7"/>
      <c r="CC266" s="7"/>
      <c r="CD266" s="7"/>
      <c r="CE266" s="7"/>
      <c r="CF266" s="7"/>
      <c r="CG266" s="7"/>
      <c r="CH266" s="7"/>
      <c r="CI266" s="7"/>
      <c r="CJ266" s="7"/>
      <c r="CK266" s="7"/>
      <c r="CL266" s="7"/>
      <c r="CM266" s="7"/>
      <c r="CN266" s="7"/>
      <c r="CO266" s="7"/>
    </row>
  </sheetData>
  <sheetProtection algorithmName="SHA-512" hashValue="RB0Y//FItruOzETbFSRJKx7riQtAV5WnOlm5BDUVtTWZS8i8bFCZisqKVMMPU/mdxOUSXvv6Qxw/dCv3TXJVfQ==" saltValue="aM37sKQKLShq7GtP5l5hSA==" spinCount="100000" sheet="1" objects="1" scenarios="1"/>
  <protectedRanges>
    <protectedRange sqref="B101 B104 D107:D130 B134 B137 D140:D151 B158 D161:D184" name="Range1"/>
  </protectedRanges>
  <mergeCells count="28">
    <mergeCell ref="BA158:BB158"/>
    <mergeCell ref="DE227:DG227"/>
    <mergeCell ref="B132:B133"/>
    <mergeCell ref="BA137:BB137"/>
    <mergeCell ref="W137:AA137"/>
    <mergeCell ref="DE229:DF229"/>
    <mergeCell ref="DQ229:DR229"/>
    <mergeCell ref="BV237:BX237"/>
    <mergeCell ref="BV239:BW239"/>
    <mergeCell ref="CH239:CI239"/>
    <mergeCell ref="BQ26:BR26"/>
    <mergeCell ref="CM27:CT28"/>
    <mergeCell ref="BQ29:BX30"/>
    <mergeCell ref="BQ66:BX67"/>
    <mergeCell ref="CM66:CT67"/>
    <mergeCell ref="CK67:CL67"/>
    <mergeCell ref="BY67:BZ67"/>
    <mergeCell ref="CS30:CT30"/>
    <mergeCell ref="BY30:BZ30"/>
    <mergeCell ref="CK28:CL28"/>
    <mergeCell ref="BQ28:BR28"/>
    <mergeCell ref="CZ79:DA79"/>
    <mergeCell ref="BA104:BB104"/>
    <mergeCell ref="BQ82:BX82"/>
    <mergeCell ref="CM82:CT82"/>
    <mergeCell ref="B99:B100"/>
    <mergeCell ref="W104:AA104"/>
    <mergeCell ref="B82:E82"/>
  </mergeCells>
  <conditionalFormatting sqref="AB53:AE90 U53:U90 AB50:AE50 U50 BG31:BO31 U27">
    <cfRule type="cellIs" dxfId="529" priority="267" stopIfTrue="1" operator="between">
      <formula>"OVERLOAD"</formula>
      <formula>"OVERLOAD"</formula>
    </cfRule>
  </conditionalFormatting>
  <conditionalFormatting sqref="BQ84:CT85 CZ250:DW251 BQ260:CN261 DE177:DR180 BV89:CI96 DE123:DR126">
    <cfRule type="cellIs" dxfId="528" priority="266" stopIfTrue="1" operator="equal">
      <formula>FALSE</formula>
    </cfRule>
  </conditionalFormatting>
  <conditionalFormatting sqref="BY82:CL82 CZ248:DW248 BQ258:CN258 BQ62:CT62">
    <cfRule type="cellIs" dxfId="527" priority="5" stopIfTrue="1" operator="equal">
      <formula>0</formula>
    </cfRule>
  </conditionalFormatting>
  <conditionalFormatting sqref="BO108:BO137 BM68:BM90 BO193:BO203 CX183:CX193 CX129:CX135">
    <cfRule type="cellIs" dxfId="526" priority="264" stopIfTrue="1" operator="equal">
      <formula>FALSE</formula>
    </cfRule>
  </conditionalFormatting>
  <conditionalFormatting sqref="AY142:BB142 B142 D142:AB142">
    <cfRule type="expression" dxfId="525" priority="259" stopIfTrue="1">
      <formula>$B$137&lt;3</formula>
    </cfRule>
  </conditionalFormatting>
  <conditionalFormatting sqref="AY143:BB143 B143 D143:AB143">
    <cfRule type="expression" dxfId="524" priority="258" stopIfTrue="1">
      <formula>$B$137&lt;4</formula>
    </cfRule>
  </conditionalFormatting>
  <conditionalFormatting sqref="AY144:BB144 B144 D144:AB144">
    <cfRule type="expression" dxfId="523" priority="257" stopIfTrue="1">
      <formula>$B$137&lt;5</formula>
    </cfRule>
  </conditionalFormatting>
  <conditionalFormatting sqref="AY145:BB145 B145 D145:AB145">
    <cfRule type="expression" dxfId="522" priority="256" stopIfTrue="1">
      <formula>$B$137&lt;6</formula>
    </cfRule>
  </conditionalFormatting>
  <conditionalFormatting sqref="AY146:BB146 B146 D146:AB146">
    <cfRule type="expression" dxfId="521" priority="40" stopIfTrue="1">
      <formula>$B$137&lt;7</formula>
    </cfRule>
  </conditionalFormatting>
  <conditionalFormatting sqref="AY147:BB147 B147 D147:AB147">
    <cfRule type="expression" dxfId="520" priority="255" stopIfTrue="1">
      <formula>$B$137&lt;8</formula>
    </cfRule>
  </conditionalFormatting>
  <conditionalFormatting sqref="AY148:BB148 B148 D148:AB148">
    <cfRule type="expression" dxfId="519" priority="254" stopIfTrue="1">
      <formula>$B$137&lt;9</formula>
    </cfRule>
  </conditionalFormatting>
  <conditionalFormatting sqref="AY149:BB149 B149 D149:AB149">
    <cfRule type="expression" dxfId="518" priority="253" stopIfTrue="1">
      <formula>$B$137&lt;10</formula>
    </cfRule>
  </conditionalFormatting>
  <conditionalFormatting sqref="AY150:BB150 B150 D150:AB150">
    <cfRule type="expression" dxfId="517" priority="252" stopIfTrue="1">
      <formula>$B$137&lt;11</formula>
    </cfRule>
  </conditionalFormatting>
  <conditionalFormatting sqref="AY151:BB151 B151 D151:AB151">
    <cfRule type="expression" dxfId="516" priority="78" stopIfTrue="1">
      <formula>$B$137&lt;12</formula>
    </cfRule>
  </conditionalFormatting>
  <conditionalFormatting sqref="D98:G99">
    <cfRule type="cellIs" dxfId="515" priority="251" stopIfTrue="1" operator="equal">
      <formula>"change the angle of frame or of cabinets"</formula>
    </cfRule>
  </conditionalFormatting>
  <conditionalFormatting sqref="E101:G101">
    <cfRule type="cellIs" dxfId="514" priority="250" stopIfTrue="1" operator="equal">
      <formula>"USE EXBAR VR AT THE BACK"</formula>
    </cfRule>
  </conditionalFormatting>
  <conditionalFormatting sqref="E100:G100 E101">
    <cfRule type="cellIs" dxfId="513" priority="249" stopIfTrue="1" operator="equal">
      <formula>"USE EXBAR VR AT THE FRONT"</formula>
    </cfRule>
  </conditionalFormatting>
  <conditionalFormatting sqref="B161:B184">
    <cfRule type="cellIs" dxfId="512" priority="73" stopIfTrue="1" operator="greaterThan">
      <formula>$B$158</formula>
    </cfRule>
  </conditionalFormatting>
  <conditionalFormatting sqref="B107:Y107 AI108:AI130 AF107:BB107 AB107">
    <cfRule type="expression" dxfId="511" priority="218" stopIfTrue="1">
      <formula>$B$104&lt;1</formula>
    </cfRule>
  </conditionalFormatting>
  <conditionalFormatting sqref="B109:AB109 AF109:AO109 AQ109:BB109">
    <cfRule type="expression" dxfId="510" priority="217" stopIfTrue="1">
      <formula>$B$104&lt;3</formula>
    </cfRule>
  </conditionalFormatting>
  <conditionalFormatting sqref="B110:AB110 AF110:AO110 AQ110:BB110">
    <cfRule type="expression" dxfId="509" priority="216" stopIfTrue="1">
      <formula>$B$104&lt;4</formula>
    </cfRule>
  </conditionalFormatting>
  <conditionalFormatting sqref="B111:AB111 AF111:AO111 AQ111:BB111">
    <cfRule type="expression" dxfId="508" priority="215" stopIfTrue="1">
      <formula>$B$104&lt;5</formula>
    </cfRule>
  </conditionalFormatting>
  <conditionalFormatting sqref="B112:AB112 AF112:AO112 AQ112:BB112">
    <cfRule type="expression" dxfId="507" priority="214">
      <formula>$B$104&lt;6</formula>
    </cfRule>
  </conditionalFormatting>
  <conditionalFormatting sqref="B129:AB130 AF129:AO130 AQ129:BB130">
    <cfRule type="expression" dxfId="506" priority="137">
      <formula>$B$104&lt;23</formula>
    </cfRule>
  </conditionalFormatting>
  <conditionalFormatting sqref="B128:AB128 AF128:AO128 AQ128:BB128">
    <cfRule type="expression" dxfId="505" priority="139">
      <formula>$B$104&lt;22</formula>
    </cfRule>
  </conditionalFormatting>
  <conditionalFormatting sqref="B127:AB127 AF127:AO127 AQ127:BB127">
    <cfRule type="expression" dxfId="504" priority="140">
      <formula>$B$104&lt;21</formula>
    </cfRule>
  </conditionalFormatting>
  <conditionalFormatting sqref="B126:AB126 AF126:AO126 AQ126:BB126">
    <cfRule type="expression" dxfId="503" priority="141">
      <formula>$B$104&lt;20</formula>
    </cfRule>
  </conditionalFormatting>
  <conditionalFormatting sqref="F260">
    <cfRule type="expression" dxfId="502" priority="204">
      <formula>$B$104&lt;19</formula>
    </cfRule>
  </conditionalFormatting>
  <conditionalFormatting sqref="B124:AB125 AF124:AO125 AQ124:BB125">
    <cfRule type="expression" dxfId="501" priority="201">
      <formula>$B$104&lt;18</formula>
    </cfRule>
  </conditionalFormatting>
  <conditionalFormatting sqref="B123:AB123 AF123:AO123 AQ123:BB123">
    <cfRule type="expression" dxfId="500" priority="202">
      <formula>$B$104&lt;17</formula>
    </cfRule>
  </conditionalFormatting>
  <conditionalFormatting sqref="B122:AB122 AF122:AO122 AQ122:BB122">
    <cfRule type="expression" dxfId="499" priority="203">
      <formula>$B$104&lt;16</formula>
    </cfRule>
  </conditionalFormatting>
  <conditionalFormatting sqref="B121:AB121 AF121:AO121 AQ121:BB121">
    <cfRule type="expression" dxfId="498" priority="205">
      <formula>$B$104&lt;15</formula>
    </cfRule>
  </conditionalFormatting>
  <conditionalFormatting sqref="B120:AB120 AF120:AO120 AQ120:BB120">
    <cfRule type="expression" dxfId="497" priority="206">
      <formula>$B$104&lt;14</formula>
    </cfRule>
  </conditionalFormatting>
  <conditionalFormatting sqref="B119:AB119 AF119:AO119 AQ119:BB119">
    <cfRule type="expression" dxfId="496" priority="207">
      <formula>$B$104&lt;13</formula>
    </cfRule>
  </conditionalFormatting>
  <conditionalFormatting sqref="B118:AB118 AF118:AO118 AQ118:BB118">
    <cfRule type="expression" dxfId="495" priority="208">
      <formula>$B$104&lt;12</formula>
    </cfRule>
  </conditionalFormatting>
  <conditionalFormatting sqref="B117:AB117 AF117:AO117 AQ117:BB117">
    <cfRule type="expression" dxfId="494" priority="209">
      <formula>$B$104&lt;11</formula>
    </cfRule>
  </conditionalFormatting>
  <conditionalFormatting sqref="B116:AB116 AF116:AO116 AQ116:BB116">
    <cfRule type="expression" dxfId="493" priority="210">
      <formula>$B$104&lt;10</formula>
    </cfRule>
  </conditionalFormatting>
  <conditionalFormatting sqref="B115:AB115 AF115:AO115 AQ115:BB115">
    <cfRule type="expression" dxfId="492" priority="211">
      <formula>$B$104&lt;9</formula>
    </cfRule>
  </conditionalFormatting>
  <conditionalFormatting sqref="B114:AB114 AF114:AO114 AQ114:BB114">
    <cfRule type="expression" dxfId="491" priority="212">
      <formula>$B$104&lt;8</formula>
    </cfRule>
  </conditionalFormatting>
  <conditionalFormatting sqref="B113:AB113 AF113:AO113 AQ113:BB113">
    <cfRule type="expression" dxfId="490" priority="213">
      <formula>$B$104&lt;7</formula>
    </cfRule>
  </conditionalFormatting>
  <conditionalFormatting sqref="B125:AB125 AF125:AO125 AQ125:BB125">
    <cfRule type="expression" dxfId="489" priority="200" stopIfTrue="1">
      <formula>$B$104&lt;19</formula>
    </cfRule>
  </conditionalFormatting>
  <conditionalFormatting sqref="B130:AB130 AF130:AO130 AQ130:BB130">
    <cfRule type="expression" dxfId="488" priority="136">
      <formula>$B$104&lt;24</formula>
    </cfRule>
  </conditionalFormatting>
  <conditionalFormatting sqref="B108:AB108 AF108:AO108 AQ108:BB108">
    <cfRule type="expression" dxfId="487" priority="41" stopIfTrue="1">
      <formula>$B$104&lt;2</formula>
    </cfRule>
  </conditionalFormatting>
  <conditionalFormatting sqref="AB161:AE184 AB107:AB130">
    <cfRule type="cellIs" dxfId="486" priority="222" stopIfTrue="1" operator="equal">
      <formula>"pin in groundstacking hole"</formula>
    </cfRule>
  </conditionalFormatting>
  <conditionalFormatting sqref="BA107:BB130 BA140:BB151 BA161:BB184 D86 B86">
    <cfRule type="cellIs" dxfId="485" priority="220" stopIfTrue="1" operator="lessThan">
      <formula>10</formula>
    </cfRule>
  </conditionalFormatting>
  <conditionalFormatting sqref="B140:B151">
    <cfRule type="cellIs" dxfId="484" priority="260" stopIfTrue="1" operator="greaterThan">
      <formula>$B$137</formula>
    </cfRule>
  </conditionalFormatting>
  <conditionalFormatting sqref="B141:AB141 AF141:AO141 AQ141:BB141">
    <cfRule type="expression" dxfId="483" priority="77" stopIfTrue="1">
      <formula>$B$137&lt;2</formula>
    </cfRule>
  </conditionalFormatting>
  <conditionalFormatting sqref="B140:G140 AI141:AI151 AF140 AB140 T140:V140 AH140:BB140">
    <cfRule type="expression" dxfId="482" priority="76" stopIfTrue="1">
      <formula>$B$137&lt;1</formula>
    </cfRule>
  </conditionalFormatting>
  <conditionalFormatting sqref="B161:AF161 AH161:BB161">
    <cfRule type="expression" dxfId="481" priority="72" stopIfTrue="1">
      <formula>$B$158&lt;1</formula>
    </cfRule>
  </conditionalFormatting>
  <conditionalFormatting sqref="B163:BB163">
    <cfRule type="expression" dxfId="480" priority="71" stopIfTrue="1">
      <formula>$B$158&lt;3</formula>
    </cfRule>
  </conditionalFormatting>
  <conditionalFormatting sqref="B164:BB164">
    <cfRule type="expression" dxfId="479" priority="70" stopIfTrue="1">
      <formula>$B$158&lt;4</formula>
    </cfRule>
  </conditionalFormatting>
  <conditionalFormatting sqref="B165:BB165">
    <cfRule type="expression" dxfId="478" priority="69" stopIfTrue="1">
      <formula>$B$158&lt;5</formula>
    </cfRule>
  </conditionalFormatting>
  <conditionalFormatting sqref="B166:BB166 B167:B178">
    <cfRule type="expression" dxfId="477" priority="68">
      <formula>$B$158&lt;6</formula>
    </cfRule>
  </conditionalFormatting>
  <conditionalFormatting sqref="B183:BB184">
    <cfRule type="expression" dxfId="476" priority="67">
      <formula>$B$158&lt;23</formula>
    </cfRule>
  </conditionalFormatting>
  <conditionalFormatting sqref="B182:BB182">
    <cfRule type="expression" dxfId="475" priority="66">
      <formula>$B$158&lt;22</formula>
    </cfRule>
  </conditionalFormatting>
  <conditionalFormatting sqref="B181:BB181">
    <cfRule type="expression" dxfId="474" priority="65">
      <formula>$B$158&lt;21</formula>
    </cfRule>
  </conditionalFormatting>
  <conditionalFormatting sqref="B180:BB180">
    <cfRule type="expression" dxfId="473" priority="64">
      <formula>$B$158&lt;20</formula>
    </cfRule>
  </conditionalFormatting>
  <conditionalFormatting sqref="B178:BB179">
    <cfRule type="expression" dxfId="472" priority="63">
      <formula>$B$158&lt;18</formula>
    </cfRule>
  </conditionalFormatting>
  <conditionalFormatting sqref="B177:BB177">
    <cfRule type="expression" dxfId="471" priority="62">
      <formula>$B$158&lt;17</formula>
    </cfRule>
  </conditionalFormatting>
  <conditionalFormatting sqref="B176:BB176">
    <cfRule type="expression" dxfId="470" priority="61">
      <formula>$B$158&lt;16</formula>
    </cfRule>
  </conditionalFormatting>
  <conditionalFormatting sqref="B175:BB175">
    <cfRule type="expression" dxfId="469" priority="60">
      <formula>$B$158&lt;15</formula>
    </cfRule>
  </conditionalFormatting>
  <conditionalFormatting sqref="B174:BB174">
    <cfRule type="expression" dxfId="468" priority="59">
      <formula>$B$158&lt;14</formula>
    </cfRule>
  </conditionalFormatting>
  <conditionalFormatting sqref="B173:BB173">
    <cfRule type="expression" dxfId="467" priority="58">
      <formula>$B$158&lt;13</formula>
    </cfRule>
  </conditionalFormatting>
  <conditionalFormatting sqref="B172:BB172">
    <cfRule type="expression" dxfId="466" priority="57">
      <formula>$B$158&lt;12</formula>
    </cfRule>
  </conditionalFormatting>
  <conditionalFormatting sqref="B171:BB171">
    <cfRule type="expression" dxfId="465" priority="56">
      <formula>$B$158&lt;11</formula>
    </cfRule>
  </conditionalFormatting>
  <conditionalFormatting sqref="B170:BB170">
    <cfRule type="expression" dxfId="464" priority="55">
      <formula>$B$158&lt;10</formula>
    </cfRule>
  </conditionalFormatting>
  <conditionalFormatting sqref="B169:BB169">
    <cfRule type="expression" dxfId="463" priority="54">
      <formula>$B$158&lt;9</formula>
    </cfRule>
  </conditionalFormatting>
  <conditionalFormatting sqref="B168:BB168">
    <cfRule type="expression" dxfId="462" priority="53">
      <formula>$B$158&lt;8</formula>
    </cfRule>
  </conditionalFormatting>
  <conditionalFormatting sqref="B167:BB167">
    <cfRule type="expression" dxfId="461" priority="52">
      <formula>$B$158&lt;7</formula>
    </cfRule>
  </conditionalFormatting>
  <conditionalFormatting sqref="B179:BB179">
    <cfRule type="expression" dxfId="460" priority="50" stopIfTrue="1">
      <formula>$B$158&lt;19</formula>
    </cfRule>
  </conditionalFormatting>
  <conditionalFormatting sqref="B184:BB184">
    <cfRule type="expression" dxfId="459" priority="46">
      <formula>$B$158&lt;24</formula>
    </cfRule>
  </conditionalFormatting>
  <conditionalFormatting sqref="B162:BB162">
    <cfRule type="expression" dxfId="458" priority="39" stopIfTrue="1">
      <formula>$B$158&lt;2</formula>
    </cfRule>
  </conditionalFormatting>
  <conditionalFormatting sqref="D107:D130">
    <cfRule type="cellIs" dxfId="457" priority="219" stopIfTrue="1" operator="notEqual">
      <formula>0</formula>
    </cfRule>
  </conditionalFormatting>
  <conditionalFormatting sqref="D140:D151">
    <cfRule type="cellIs" dxfId="456" priority="263" stopIfTrue="1" operator="notEqual">
      <formula>0</formula>
    </cfRule>
  </conditionalFormatting>
  <conditionalFormatting sqref="D161:D184">
    <cfRule type="cellIs" dxfId="455" priority="74" stopIfTrue="1" operator="notEqual">
      <formula>0</formula>
    </cfRule>
  </conditionalFormatting>
  <conditionalFormatting sqref="B81">
    <cfRule type="cellIs" dxfId="454" priority="37" stopIfTrue="1" operator="equal">
      <formula>"overload"</formula>
    </cfRule>
  </conditionalFormatting>
  <conditionalFormatting sqref="E81">
    <cfRule type="cellIs" dxfId="453" priority="36" stopIfTrue="1" operator="between">
      <formula>"OVERLOAD"</formula>
      <formula>"OVERLOAD"</formula>
    </cfRule>
  </conditionalFormatting>
  <conditionalFormatting sqref="W140 R140">
    <cfRule type="expression" dxfId="452" priority="15" stopIfTrue="1">
      <formula>$B$136&lt;1</formula>
    </cfRule>
  </conditionalFormatting>
  <conditionalFormatting sqref="K140:O140">
    <cfRule type="expression" dxfId="451" priority="13" stopIfTrue="1">
      <formula>$B$136&lt;1</formula>
    </cfRule>
  </conditionalFormatting>
  <conditionalFormatting sqref="AG140">
    <cfRule type="expression" dxfId="450" priority="12" stopIfTrue="1">
      <formula>$B$140&lt;1</formula>
    </cfRule>
  </conditionalFormatting>
  <conditionalFormatting sqref="AG161">
    <cfRule type="expression" dxfId="449" priority="11" stopIfTrue="1">
      <formula>$B$161&lt;1</formula>
    </cfRule>
  </conditionalFormatting>
  <conditionalFormatting sqref="AP108:AP130">
    <cfRule type="expression" dxfId="448" priority="10" stopIfTrue="1">
      <formula>$B$104&lt;1</formula>
    </cfRule>
  </conditionalFormatting>
  <conditionalFormatting sqref="AP141:AP151">
    <cfRule type="expression" dxfId="447" priority="8" stopIfTrue="1">
      <formula>$B$137&lt;1</formula>
    </cfRule>
  </conditionalFormatting>
  <conditionalFormatting sqref="D101">
    <cfRule type="cellIs" dxfId="446" priority="6" stopIfTrue="1" operator="equal">
      <formula>"USE EXBAR VR AT THE BACK"</formula>
    </cfRule>
  </conditionalFormatting>
  <conditionalFormatting sqref="D100">
    <cfRule type="cellIs" dxfId="445" priority="7" stopIfTrue="1" operator="equal">
      <formula>"USE EXBAR VR AT THE FRONT"</formula>
    </cfRule>
  </conditionalFormatting>
  <conditionalFormatting sqref="BQ63:CT63 BY82:CL82">
    <cfRule type="expression" dxfId="444" priority="3">
      <formula>$B$101=0</formula>
    </cfRule>
    <cfRule type="expression" dxfId="443" priority="265">
      <formula>$B$101=0</formula>
    </cfRule>
  </conditionalFormatting>
  <conditionalFormatting sqref="E86">
    <cfRule type="cellIs" dxfId="442" priority="2" stopIfTrue="1" operator="lessThan">
      <formula>10</formula>
    </cfRule>
  </conditionalFormatting>
  <conditionalFormatting sqref="B81 E81 D86:E86 B86">
    <cfRule type="expression" dxfId="441" priority="1">
      <formula>$BN$67=0</formula>
    </cfRule>
  </conditionalFormatting>
  <dataValidations count="9">
    <dataValidation type="whole" allowBlank="1" showInputMessage="1" showErrorMessage="1" errorTitle="Coda Audio" error="YOU HAVE ENTERED A WRONG NUMBER OF CABINETS" promptTitle="Coda Audio" prompt="ENTER THE NUMBER OF CABINETS FROM 1 UP TO 24" sqref="B158 B104" xr:uid="{00000000-0002-0000-0A00-000000000000}">
      <formula1>1</formula1>
      <formula2>24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37" xr:uid="{00000000-0002-0000-0A00-000001000000}">
      <formula1>1</formula1>
      <formula2>12</formula2>
    </dataValidation>
    <dataValidation type="decimal" allowBlank="1" showInputMessage="1" showErrorMessage="1" sqref="G141:G151 D134:D135 D131:D132 G162:G184 F163:F184 F142:F151 F109:F135 G108:G135" xr:uid="{00000000-0002-0000-0A00-000002000000}">
      <formula1>0</formula1>
      <formula2>8</formula2>
    </dataValidation>
    <dataValidation type="decimal" allowBlank="1" showInputMessage="1" showErrorMessage="1" sqref="F140:G140 F107:G107 F161:G161" xr:uid="{00000000-0002-0000-0A00-000003000000}">
      <formula1>0</formula1>
      <formula2>4</formula2>
    </dataValidation>
    <dataValidation type="decimal" allowBlank="1" showInputMessage="1" showErrorMessage="1" sqref="D107 D161" xr:uid="{00000000-0002-0000-0A00-000004000000}">
      <formula1>0</formula1>
      <formula2>5</formula2>
    </dataValidation>
    <dataValidation type="decimal" allowBlank="1" showInputMessage="1" showErrorMessage="1" sqref="D108:D130 D162:D184" xr:uid="{00000000-0002-0000-0A00-000005000000}">
      <formula1>0</formula1>
      <formula2>10</formula2>
    </dataValidation>
    <dataValidation type="custom" allowBlank="1" showInputMessage="1" showErrorMessage="1" sqref="D140:D151" xr:uid="{00000000-0002-0000-0A00-000006000000}">
      <formula1>OR(D140=0,D140=2.5,D140=5)</formula1>
    </dataValidation>
    <dataValidation type="decimal" allowBlank="1" showInputMessage="1" showErrorMessage="1" sqref="B101" xr:uid="{00000000-0002-0000-0A00-000007000000}">
      <formula1>-89.9</formula1>
      <formula2>89.9</formula2>
    </dataValidation>
    <dataValidation type="whole" allowBlank="1" showInputMessage="1" showErrorMessage="1" sqref="B134" xr:uid="{352184E9-FBEA-4645-AF0E-F2476247AC79}">
      <formula1>0</formula1>
      <formula2>5</formula2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B1:DF288"/>
  <sheetViews>
    <sheetView topLeftCell="A25" zoomScale="50" zoomScaleNormal="50" workbookViewId="0">
      <selection activeCell="B114" sqref="B114"/>
    </sheetView>
  </sheetViews>
  <sheetFormatPr baseColWidth="10" defaultColWidth="9.109375" defaultRowHeight="15.6" x14ac:dyDescent="0.3"/>
  <cols>
    <col min="1" max="1" width="1.88671875" style="474" customWidth="1"/>
    <col min="2" max="2" width="35.109375" style="472" customWidth="1"/>
    <col min="3" max="3" width="22.33203125" style="474" hidden="1" customWidth="1"/>
    <col min="4" max="4" width="32.88671875" style="474" bestFit="1" customWidth="1"/>
    <col min="5" max="5" width="27.88671875" style="474" customWidth="1"/>
    <col min="6" max="6" width="26" style="474" hidden="1" customWidth="1"/>
    <col min="7" max="8" width="17.109375" style="474" hidden="1" customWidth="1"/>
    <col min="9" max="9" width="17.33203125" style="474" hidden="1" customWidth="1"/>
    <col min="10" max="14" width="11" style="474" hidden="1" customWidth="1"/>
    <col min="15" max="15" width="13.88671875" style="474" hidden="1" customWidth="1"/>
    <col min="16" max="16" width="19.6640625" style="474" hidden="1" customWidth="1"/>
    <col min="17" max="17" width="12.6640625" style="474" hidden="1" customWidth="1"/>
    <col min="18" max="18" width="11" style="474" hidden="1" customWidth="1"/>
    <col min="19" max="19" width="14.88671875" style="474" hidden="1" customWidth="1"/>
    <col min="20" max="20" width="11" style="474" hidden="1" customWidth="1"/>
    <col min="21" max="21" width="16.5546875" style="474" hidden="1" customWidth="1"/>
    <col min="22" max="22" width="17.5546875" style="474" hidden="1" customWidth="1"/>
    <col min="23" max="23" width="5.88671875" style="474" hidden="1" customWidth="1"/>
    <col min="24" max="24" width="24.109375" style="474" hidden="1" customWidth="1"/>
    <col min="25" max="25" width="7.88671875" style="474" hidden="1" customWidth="1"/>
    <col min="26" max="26" width="16.5546875" style="474" hidden="1" customWidth="1"/>
    <col min="27" max="27" width="15.5546875" style="474" hidden="1" customWidth="1"/>
    <col min="28" max="29" width="16.5546875" style="474" hidden="1" customWidth="1"/>
    <col min="30" max="30" width="15.5546875" style="474" hidden="1" customWidth="1"/>
    <col min="31" max="31" width="16.5546875" style="474" hidden="1" customWidth="1"/>
    <col min="32" max="32" width="19.6640625" style="474" hidden="1" customWidth="1"/>
    <col min="33" max="33" width="16.5546875" style="474" hidden="1" customWidth="1"/>
    <col min="34" max="35" width="17.5546875" style="474" hidden="1" customWidth="1"/>
    <col min="36" max="36" width="18.5546875" style="474" hidden="1" customWidth="1"/>
    <col min="37" max="37" width="17.5546875" style="474" hidden="1" customWidth="1"/>
    <col min="38" max="38" width="27.109375" style="474" hidden="1" customWidth="1"/>
    <col min="39" max="39" width="17.5546875" style="474" hidden="1" customWidth="1"/>
    <col min="40" max="40" width="13.109375" style="474" bestFit="1" customWidth="1"/>
    <col min="41" max="41" width="14.6640625" style="474" bestFit="1" customWidth="1"/>
    <col min="42" max="42" width="9.109375" style="474" hidden="1" customWidth="1"/>
    <col min="43" max="49" width="13.109375" style="474" hidden="1" customWidth="1"/>
    <col min="50" max="50" width="13.44140625" style="474" hidden="1" customWidth="1"/>
    <col min="51" max="51" width="22.6640625" style="474" hidden="1" customWidth="1"/>
    <col min="52" max="52" width="40.88671875" style="474" customWidth="1"/>
    <col min="53" max="53" width="7.44140625" style="474" customWidth="1"/>
    <col min="54" max="60" width="6.6640625" style="474" customWidth="1"/>
    <col min="61" max="61" width="8" style="474" customWidth="1"/>
    <col min="62" max="81" width="6.6640625" style="474" customWidth="1"/>
    <col min="82" max="82" width="7.33203125" style="474" customWidth="1"/>
    <col min="83" max="83" width="13.5546875" style="474" hidden="1" customWidth="1"/>
    <col min="84" max="84" width="17.6640625" style="474" hidden="1" customWidth="1"/>
    <col min="85" max="86" width="9.109375" style="474" hidden="1" customWidth="1"/>
    <col min="87" max="104" width="0" style="474" hidden="1" customWidth="1"/>
    <col min="105" max="16384" width="9.109375" style="474"/>
  </cols>
  <sheetData>
    <row r="1" spans="2:6" ht="18" hidden="1" customHeight="1" x14ac:dyDescent="0.3">
      <c r="D1" s="1183" t="s">
        <v>202</v>
      </c>
      <c r="E1" s="1183" t="s">
        <v>203</v>
      </c>
      <c r="F1" s="1183" t="s">
        <v>204</v>
      </c>
    </row>
    <row r="2" spans="2:6" ht="21" hidden="1" x14ac:dyDescent="0.4">
      <c r="B2" s="1182" t="s">
        <v>29</v>
      </c>
      <c r="C2" s="1181">
        <v>650</v>
      </c>
      <c r="D2" s="1177">
        <f>+COS(($B$108*-1)*3.14159265358979/180)*C2</f>
        <v>650</v>
      </c>
      <c r="E2" s="1035">
        <f>+COS(($B$108*-1)*3.14159265358979/180)*50</f>
        <v>50</v>
      </c>
      <c r="F2" s="1035">
        <f>+COS((($B$108*-1)+58.1516306)*3.14159265358979/180)*91.9127</f>
        <v>48.499858560820385</v>
      </c>
    </row>
    <row r="3" spans="2:6" ht="20.25" hidden="1" customHeight="1" x14ac:dyDescent="0.4">
      <c r="B3" s="1182" t="s">
        <v>99</v>
      </c>
      <c r="C3" s="1181">
        <f>+C10-48.5</f>
        <v>285.99993130661176</v>
      </c>
      <c r="D3" s="1177">
        <f>+C10-F2</f>
        <v>286.00007274579139</v>
      </c>
    </row>
    <row r="4" spans="2:6" ht="63" hidden="1" x14ac:dyDescent="0.4">
      <c r="B4" s="1179" t="s">
        <v>40</v>
      </c>
      <c r="C4" s="1180">
        <v>1050</v>
      </c>
      <c r="D4" s="1177">
        <f>+COS(($B$108*-1)*3.14159265358979/180)*C4</f>
        <v>1050</v>
      </c>
    </row>
    <row r="5" spans="2:6" ht="63" hidden="1" x14ac:dyDescent="0.4">
      <c r="B5" s="1179" t="s">
        <v>206</v>
      </c>
      <c r="C5" s="1178">
        <f>+C10+401.5</f>
        <v>735.99993130661176</v>
      </c>
      <c r="D5" s="1177">
        <f>+(COS(($B$108*-1)*3.14159265358979/180)*400)+$D$3</f>
        <v>686.00007274579139</v>
      </c>
    </row>
    <row r="6" spans="2:6" ht="21" hidden="1" x14ac:dyDescent="0.4">
      <c r="B6" s="1176"/>
      <c r="C6" s="1093"/>
    </row>
    <row r="7" spans="2:6" ht="21" hidden="1" x14ac:dyDescent="0.4">
      <c r="B7" s="1172" t="s">
        <v>16</v>
      </c>
      <c r="C7" s="1175">
        <f>+B111*72+30+30+4.3</f>
        <v>136.30000000000001</v>
      </c>
    </row>
    <row r="8" spans="2:6" ht="21" hidden="1" x14ac:dyDescent="0.4">
      <c r="B8" s="1172" t="s">
        <v>15</v>
      </c>
      <c r="C8" s="1174">
        <f>+AG114</f>
        <v>746.99500648721551</v>
      </c>
    </row>
    <row r="9" spans="2:6" ht="20.399999999999999" hidden="1" x14ac:dyDescent="0.35">
      <c r="B9" s="1173"/>
      <c r="C9" s="1173"/>
    </row>
    <row r="10" spans="2:6" ht="21" hidden="1" x14ac:dyDescent="0.4">
      <c r="B10" s="1172" t="s">
        <v>14</v>
      </c>
      <c r="C10" s="1172">
        <f>+X114</f>
        <v>334.49993130661176</v>
      </c>
    </row>
    <row r="11" spans="2:6" hidden="1" x14ac:dyDescent="0.3"/>
    <row r="12" spans="2:6" ht="17.399999999999999" hidden="1" x14ac:dyDescent="0.3">
      <c r="C12" s="1025"/>
    </row>
    <row r="13" spans="2:6" ht="18" hidden="1" x14ac:dyDescent="0.35">
      <c r="C13" s="1171" t="str">
        <f>IF(D91&gt;=10,"O K ","OVERLOAD")</f>
        <v xml:space="preserve">O K </v>
      </c>
    </row>
    <row r="14" spans="2:6" ht="17.399999999999999" hidden="1" x14ac:dyDescent="0.3">
      <c r="B14" s="1025"/>
      <c r="C14" s="1025"/>
    </row>
    <row r="15" spans="2:6" ht="34.799999999999997" hidden="1" x14ac:dyDescent="0.3">
      <c r="B15" s="1025">
        <v>5800</v>
      </c>
      <c r="C15" s="1025">
        <v>5800</v>
      </c>
      <c r="E15" s="1026" t="s">
        <v>121</v>
      </c>
    </row>
    <row r="16" spans="2:6" ht="34.799999999999997" hidden="1" x14ac:dyDescent="0.3">
      <c r="B16" s="1025">
        <v>8000</v>
      </c>
      <c r="C16" s="1025">
        <v>8000</v>
      </c>
      <c r="D16" s="1170">
        <v>8000</v>
      </c>
      <c r="E16" s="1026" t="s">
        <v>169</v>
      </c>
    </row>
    <row r="17" spans="2:83" ht="17.399999999999999" hidden="1" x14ac:dyDescent="0.3">
      <c r="B17" s="1355" t="s">
        <v>22</v>
      </c>
      <c r="C17" s="1355" t="s">
        <v>23</v>
      </c>
    </row>
    <row r="18" spans="2:83" ht="17.399999999999999" hidden="1" x14ac:dyDescent="0.25">
      <c r="B18" s="1353">
        <f>+((C8-C10)/C8)*C7</f>
        <v>75.265668791426563</v>
      </c>
      <c r="C18" s="1354">
        <f>+(C10/C8)*C7</f>
        <v>61.034331208573455</v>
      </c>
    </row>
    <row r="19" spans="2:83" hidden="1" x14ac:dyDescent="0.3"/>
    <row r="20" spans="2:83" hidden="1" x14ac:dyDescent="0.3"/>
    <row r="21" spans="2:83" hidden="1" x14ac:dyDescent="0.3"/>
    <row r="22" spans="2:83" hidden="1" x14ac:dyDescent="0.3"/>
    <row r="23" spans="2:83" hidden="1" x14ac:dyDescent="0.3"/>
    <row r="24" spans="2:83" hidden="1" x14ac:dyDescent="0.3"/>
    <row r="25" spans="2:83" ht="20.399999999999999" x14ac:dyDescent="0.35">
      <c r="AZ25" s="1093"/>
      <c r="BA25" s="1093"/>
      <c r="BB25" s="1093"/>
      <c r="BC25" s="1093"/>
      <c r="BD25" s="1093"/>
      <c r="BE25" s="1093"/>
      <c r="BF25" s="1093"/>
      <c r="BG25" s="1093"/>
      <c r="BH25" s="1093"/>
      <c r="BI25" s="1093"/>
      <c r="BJ25" s="1093"/>
      <c r="BK25" s="1093"/>
      <c r="BL25" s="1093"/>
      <c r="BM25" s="1093"/>
      <c r="BN25" s="1093"/>
      <c r="BO25" s="1093"/>
      <c r="BP25" s="1093"/>
      <c r="BQ25" s="1093"/>
      <c r="BR25" s="1093"/>
      <c r="BS25" s="1093"/>
      <c r="BT25" s="1093"/>
      <c r="BU25" s="1093"/>
      <c r="BV25" s="1093"/>
      <c r="BW25" s="1093"/>
      <c r="BX25" s="1093"/>
      <c r="BY25" s="1093"/>
      <c r="BZ25" s="1093"/>
    </row>
    <row r="26" spans="2:83" s="466" customFormat="1" ht="21.6" thickBot="1" x14ac:dyDescent="0.45">
      <c r="L26" s="468"/>
      <c r="M26" s="2068"/>
      <c r="N26" s="2068"/>
      <c r="O26" s="2068"/>
      <c r="P26" s="469"/>
      <c r="Q26" s="469"/>
      <c r="R26" s="469"/>
      <c r="S26" s="469"/>
      <c r="T26" s="469"/>
      <c r="U26" s="469"/>
      <c r="V26" s="471"/>
      <c r="W26" s="471"/>
      <c r="X26" s="471"/>
      <c r="AZ26" s="1169" t="s">
        <v>28</v>
      </c>
      <c r="BA26" s="2064">
        <f>+C7</f>
        <v>136.30000000000001</v>
      </c>
      <c r="BB26" s="2064"/>
      <c r="BC26" s="1096" t="s">
        <v>17</v>
      </c>
      <c r="BD26" s="1096"/>
      <c r="BE26" s="1168" t="s">
        <v>214</v>
      </c>
      <c r="BF26" s="1094"/>
      <c r="BG26" s="1094"/>
      <c r="BH26" s="1094"/>
      <c r="BI26" s="1094"/>
      <c r="BJ26" s="1094"/>
      <c r="BK26" s="1094"/>
      <c r="BL26" s="1094"/>
      <c r="BM26" s="1094"/>
      <c r="BN26" s="1094"/>
      <c r="BO26" s="1094"/>
      <c r="BP26" s="1094"/>
      <c r="BQ26" s="1094"/>
      <c r="BR26" s="1094"/>
      <c r="BS26" s="1094"/>
      <c r="BT26" s="1094"/>
      <c r="BU26" s="1094"/>
      <c r="BV26" s="1094"/>
      <c r="BW26" s="1094"/>
      <c r="BX26" s="1094"/>
      <c r="BY26" s="1093"/>
      <c r="BZ26" s="1093"/>
    </row>
    <row r="27" spans="2:83" ht="21" x14ac:dyDescent="0.4">
      <c r="L27" s="661"/>
      <c r="M27" s="774"/>
      <c r="N27" s="774"/>
      <c r="O27" s="774"/>
      <c r="P27" s="478"/>
      <c r="Q27" s="478"/>
      <c r="R27" s="478"/>
      <c r="S27" s="478"/>
      <c r="T27" s="478"/>
      <c r="U27" s="478"/>
      <c r="V27" s="506"/>
      <c r="W27" s="506"/>
      <c r="X27" s="506"/>
      <c r="AZ27" s="1167" t="s">
        <v>30</v>
      </c>
      <c r="BA27" s="1166" t="s">
        <v>31</v>
      </c>
      <c r="BB27" s="1165"/>
      <c r="BC27" s="1165"/>
      <c r="BD27" s="1165"/>
      <c r="BE27" s="1165"/>
      <c r="BF27" s="1165"/>
      <c r="BG27" s="1165"/>
      <c r="BH27" s="1165"/>
      <c r="BI27" s="1165"/>
      <c r="BJ27" s="1165"/>
      <c r="BK27" s="1165"/>
      <c r="BL27" s="1165"/>
      <c r="BM27" s="1165"/>
      <c r="BN27" s="1165"/>
      <c r="BO27" s="1165"/>
      <c r="BP27" s="1165"/>
      <c r="BQ27" s="1165"/>
      <c r="BR27" s="1165"/>
      <c r="BS27" s="1164"/>
      <c r="BT27" s="1163"/>
      <c r="BU27" s="594"/>
      <c r="BV27" s="1162" t="s">
        <v>32</v>
      </c>
      <c r="BW27" s="2071"/>
      <c r="BX27" s="2072"/>
      <c r="BY27" s="2072"/>
      <c r="BZ27" s="2072"/>
      <c r="CA27" s="2072"/>
      <c r="CB27" s="2072"/>
      <c r="CC27" s="2072"/>
      <c r="CD27" s="2073"/>
    </row>
    <row r="28" spans="2:83" ht="24" thickBot="1" x14ac:dyDescent="0.5">
      <c r="L28" s="661"/>
      <c r="M28" s="774"/>
      <c r="N28" s="774"/>
      <c r="O28" s="774"/>
      <c r="P28" s="478"/>
      <c r="Q28" s="478"/>
      <c r="R28" s="478"/>
      <c r="S28" s="478"/>
      <c r="T28" s="478"/>
      <c r="U28" s="478"/>
      <c r="V28" s="506"/>
      <c r="W28" s="506"/>
      <c r="X28" s="506"/>
      <c r="AY28" s="1347">
        <f>+IF(AND(BU28&gt;0,BA28&gt;0),BA28)</f>
        <v>47.25065722357013</v>
      </c>
      <c r="AZ28" s="1161" t="s">
        <v>39</v>
      </c>
      <c r="BA28" s="2083">
        <f>+((D4-D5)/D4)*C7</f>
        <v>47.25065722357013</v>
      </c>
      <c r="BB28" s="2084"/>
      <c r="BC28" s="1160"/>
      <c r="BD28" s="1160"/>
      <c r="BE28" s="1160"/>
      <c r="BF28" s="1160"/>
      <c r="BG28" s="1160"/>
      <c r="BH28" s="1160"/>
      <c r="BI28" s="1160"/>
      <c r="BJ28" s="1160"/>
      <c r="BK28" s="1160"/>
      <c r="BL28" s="1160"/>
      <c r="BM28" s="1160"/>
      <c r="BN28" s="1160"/>
      <c r="BO28" s="1160"/>
      <c r="BP28" s="1160"/>
      <c r="BQ28" s="1160"/>
      <c r="BR28" s="1160"/>
      <c r="BS28" s="586"/>
      <c r="BT28" s="1139"/>
      <c r="BU28" s="2081">
        <f>(D5/D4)*C7</f>
        <v>89.049342776429867</v>
      </c>
      <c r="BV28" s="2082"/>
      <c r="BW28" s="2074"/>
      <c r="BX28" s="2075"/>
      <c r="BY28" s="2075"/>
      <c r="BZ28" s="2075"/>
      <c r="CA28" s="2075"/>
      <c r="CB28" s="2075"/>
      <c r="CC28" s="2075"/>
      <c r="CD28" s="2076"/>
      <c r="CE28" s="1352">
        <f>+IF(AND(BA28&gt;0,BU28&gt;0),BU28)</f>
        <v>89.049342776429867</v>
      </c>
    </row>
    <row r="29" spans="2:83" ht="16.2" thickBot="1" x14ac:dyDescent="0.35">
      <c r="L29" s="661"/>
      <c r="M29" s="774"/>
      <c r="N29" s="774"/>
      <c r="O29" s="774"/>
      <c r="P29" s="478"/>
      <c r="Q29" s="478"/>
      <c r="R29" s="478"/>
      <c r="S29" s="478"/>
      <c r="T29" s="478"/>
      <c r="U29" s="478"/>
      <c r="V29" s="506"/>
      <c r="W29" s="506"/>
      <c r="X29" s="506"/>
    </row>
    <row r="30" spans="2:83" ht="21" x14ac:dyDescent="0.4">
      <c r="L30" s="661"/>
      <c r="M30" s="774"/>
      <c r="N30" s="774"/>
      <c r="O30" s="774"/>
      <c r="P30" s="478"/>
      <c r="Q30" s="478"/>
      <c r="R30" s="478"/>
      <c r="S30" s="478"/>
      <c r="T30" s="478"/>
      <c r="U30" s="478"/>
      <c r="V30" s="506"/>
      <c r="W30" s="506"/>
      <c r="X30" s="506"/>
      <c r="AZ30" s="1159" t="s">
        <v>30</v>
      </c>
      <c r="BA30" s="2071"/>
      <c r="BB30" s="2072"/>
      <c r="BC30" s="2072"/>
      <c r="BD30" s="2072"/>
      <c r="BE30" s="2072"/>
      <c r="BF30" s="2072"/>
      <c r="BG30" s="2072"/>
      <c r="BH30" s="2073"/>
      <c r="BI30" s="1158" t="s">
        <v>31</v>
      </c>
      <c r="BJ30" s="1129"/>
      <c r="BK30" s="1129"/>
      <c r="BL30" s="1129"/>
      <c r="BM30" s="1129"/>
      <c r="BN30" s="1129"/>
      <c r="BO30" s="1129"/>
      <c r="BP30" s="1129"/>
      <c r="BQ30" s="1129"/>
      <c r="BR30" s="1129"/>
      <c r="BS30" s="1129"/>
      <c r="BT30" s="1129"/>
      <c r="BU30" s="1129"/>
      <c r="BV30" s="1129"/>
      <c r="BW30" s="1129"/>
      <c r="BX30" s="1157"/>
      <c r="BY30" s="1156"/>
      <c r="BZ30" s="1156"/>
      <c r="CA30" s="594"/>
      <c r="CB30" s="594"/>
      <c r="CC30" s="594"/>
      <c r="CD30" s="1155" t="s">
        <v>32</v>
      </c>
    </row>
    <row r="31" spans="2:83" ht="24" thickBot="1" x14ac:dyDescent="0.5">
      <c r="L31" s="661"/>
      <c r="M31" s="774"/>
      <c r="N31" s="774"/>
      <c r="O31" s="774"/>
      <c r="P31" s="478"/>
      <c r="Q31" s="478"/>
      <c r="R31" s="478"/>
      <c r="S31" s="478"/>
      <c r="T31" s="478"/>
      <c r="U31" s="478"/>
      <c r="V31" s="506"/>
      <c r="W31" s="506"/>
      <c r="X31" s="506"/>
      <c r="AY31" s="1347">
        <f>+IF(AND(CC31&gt;0,BI31&gt;0),BI31)</f>
        <v>99.174466747379668</v>
      </c>
      <c r="AZ31" s="1154" t="s">
        <v>38</v>
      </c>
      <c r="BA31" s="2074"/>
      <c r="BB31" s="2075"/>
      <c r="BC31" s="2075"/>
      <c r="BD31" s="2075"/>
      <c r="BE31" s="2075"/>
      <c r="BF31" s="2075"/>
      <c r="BG31" s="2075"/>
      <c r="BH31" s="2076"/>
      <c r="BI31" s="2094">
        <f>((D4-D3)/D4)*C7</f>
        <v>99.174466747379668</v>
      </c>
      <c r="BJ31" s="2095"/>
      <c r="BK31" s="1125"/>
      <c r="BL31" s="1125"/>
      <c r="BM31" s="1125"/>
      <c r="BN31" s="1125"/>
      <c r="BO31" s="1125"/>
      <c r="BP31" s="1125"/>
      <c r="BQ31" s="1125"/>
      <c r="BR31" s="1125"/>
      <c r="BS31" s="1125"/>
      <c r="BT31" s="1125"/>
      <c r="BU31" s="1125"/>
      <c r="BV31" s="1125"/>
      <c r="BW31" s="1125"/>
      <c r="BX31" s="586"/>
      <c r="BY31" s="1126"/>
      <c r="BZ31" s="1126"/>
      <c r="CA31" s="1153"/>
      <c r="CB31" s="586"/>
      <c r="CC31" s="2092">
        <f>+(D3/D4)*C7</f>
        <v>37.125533252620357</v>
      </c>
      <c r="CD31" s="2093"/>
      <c r="CE31" s="1347">
        <f>+IF(AND(BI31&gt;0,CC31&gt;0),CC31)</f>
        <v>37.125533252620357</v>
      </c>
    </row>
    <row r="32" spans="2:83" ht="21.6" thickBot="1" x14ac:dyDescent="0.45">
      <c r="L32" s="661"/>
      <c r="M32" s="774"/>
      <c r="N32" s="774"/>
      <c r="O32" s="774"/>
      <c r="P32" s="478"/>
      <c r="Q32" s="478"/>
      <c r="R32" s="478"/>
      <c r="S32" s="478"/>
      <c r="T32" s="478"/>
      <c r="U32" s="478"/>
      <c r="V32" s="506"/>
      <c r="W32" s="506"/>
      <c r="X32" s="506"/>
      <c r="AZ32" s="1104"/>
      <c r="BA32" s="1104"/>
      <c r="BB32" s="1104"/>
      <c r="BC32" s="1104"/>
      <c r="BD32" s="1104"/>
      <c r="BE32" s="1104"/>
      <c r="BF32" s="1105"/>
      <c r="BG32" s="1104"/>
      <c r="BH32" s="1104"/>
      <c r="BI32" s="1104"/>
      <c r="BJ32" s="1104"/>
      <c r="BK32" s="1104"/>
      <c r="BL32" s="1104"/>
      <c r="BM32" s="1104"/>
      <c r="BN32" s="1104"/>
      <c r="BO32" s="1104"/>
      <c r="BP32" s="1104"/>
      <c r="BQ32" s="1104"/>
      <c r="BR32" s="1104"/>
      <c r="BS32" s="1104"/>
      <c r="BT32" s="1104"/>
      <c r="BU32" s="1104"/>
      <c r="BV32" s="1104"/>
      <c r="BW32" s="1104"/>
      <c r="BX32" s="1105"/>
      <c r="BY32" s="1093"/>
      <c r="BZ32" s="1093"/>
      <c r="CA32" s="1152"/>
    </row>
    <row r="33" spans="12:82" ht="21.6" hidden="1" thickBot="1" x14ac:dyDescent="0.45">
      <c r="L33" s="661"/>
      <c r="M33" s="774"/>
      <c r="N33" s="774"/>
      <c r="O33" s="774"/>
      <c r="P33" s="478"/>
      <c r="Q33" s="478"/>
      <c r="R33" s="478"/>
      <c r="S33" s="478"/>
      <c r="T33" s="478"/>
      <c r="U33" s="478"/>
      <c r="V33" s="506"/>
      <c r="W33" s="506"/>
      <c r="X33" s="506"/>
      <c r="AZ33" s="1151" t="s">
        <v>93</v>
      </c>
      <c r="BA33" s="1104"/>
      <c r="BB33" s="1104"/>
      <c r="BC33" s="1104"/>
      <c r="BD33" s="1104"/>
      <c r="BE33" s="1104"/>
      <c r="BF33" s="1105"/>
      <c r="BG33" s="1104"/>
      <c r="BH33" s="1104"/>
      <c r="BI33" s="1104"/>
      <c r="BJ33" s="1104"/>
      <c r="BK33" s="1104"/>
      <c r="BL33" s="1104"/>
      <c r="BM33" s="1104"/>
      <c r="BN33" s="1104"/>
      <c r="BO33" s="1104"/>
      <c r="BP33" s="1104"/>
      <c r="BQ33" s="1104"/>
      <c r="BR33" s="1104"/>
      <c r="BS33" s="1104"/>
      <c r="BT33" s="1104"/>
      <c r="BU33" s="1104"/>
      <c r="BV33" s="1104"/>
      <c r="BW33" s="1104"/>
      <c r="BX33" s="1105"/>
      <c r="BY33" s="1093"/>
      <c r="BZ33" s="1093"/>
      <c r="CA33" s="1093"/>
      <c r="CB33" s="1093"/>
      <c r="CC33" s="1093"/>
      <c r="CD33" s="1093"/>
    </row>
    <row r="34" spans="12:82" ht="21.6" hidden="1" thickBot="1" x14ac:dyDescent="0.45">
      <c r="L34" s="661"/>
      <c r="M34" s="774"/>
      <c r="N34" s="774"/>
      <c r="O34" s="774"/>
      <c r="P34" s="478"/>
      <c r="Q34" s="478"/>
      <c r="R34" s="478"/>
      <c r="S34" s="478"/>
      <c r="T34" s="478"/>
      <c r="U34" s="478"/>
      <c r="V34" s="506"/>
      <c r="W34" s="506"/>
      <c r="X34" s="506"/>
      <c r="AZ34" s="1151" t="s">
        <v>92</v>
      </c>
      <c r="BA34" s="1093"/>
      <c r="BB34" s="1093"/>
      <c r="BC34" s="1093"/>
      <c r="BD34" s="1093"/>
      <c r="BE34" s="1093"/>
      <c r="BF34" s="1093"/>
      <c r="BG34" s="1093"/>
      <c r="BH34" s="1093"/>
      <c r="BI34" s="1093"/>
      <c r="BJ34" s="1093"/>
      <c r="BK34" s="1093"/>
      <c r="BL34" s="1093"/>
      <c r="BM34" s="1093"/>
      <c r="BN34" s="1093"/>
      <c r="BO34" s="1093"/>
      <c r="BP34" s="1093"/>
      <c r="BQ34" s="1093"/>
      <c r="BR34" s="1093"/>
      <c r="BS34" s="1093"/>
      <c r="BT34" s="1093"/>
      <c r="BU34" s="1093"/>
      <c r="BV34" s="1093"/>
      <c r="BW34" s="1093"/>
      <c r="BX34" s="1093"/>
      <c r="BY34" s="1093"/>
      <c r="BZ34" s="1093"/>
      <c r="CA34" s="1093"/>
      <c r="CB34" s="1101" t="b">
        <f>IF(CC84=29,28)</f>
        <v>0</v>
      </c>
      <c r="CC34" s="1150"/>
      <c r="CD34" s="1116" t="b">
        <f>IF(CC84=29,30)</f>
        <v>0</v>
      </c>
    </row>
    <row r="35" spans="12:82" ht="21.6" hidden="1" thickBot="1" x14ac:dyDescent="0.45">
      <c r="L35" s="661"/>
      <c r="M35" s="774"/>
      <c r="N35" s="774"/>
      <c r="O35" s="774"/>
      <c r="P35" s="478"/>
      <c r="Q35" s="478"/>
      <c r="R35" s="478"/>
      <c r="S35" s="478"/>
      <c r="T35" s="478"/>
      <c r="U35" s="478"/>
      <c r="V35" s="506"/>
      <c r="W35" s="506"/>
      <c r="X35" s="506"/>
      <c r="AZ35" s="1151" t="s">
        <v>91</v>
      </c>
      <c r="BA35" s="1093"/>
      <c r="BB35" s="1093"/>
      <c r="BC35" s="1093"/>
      <c r="BD35" s="1093"/>
      <c r="BE35" s="1093"/>
      <c r="BF35" s="1093"/>
      <c r="BG35" s="1093"/>
      <c r="BH35" s="1093"/>
      <c r="BI35" s="1093"/>
      <c r="BJ35" s="1093"/>
      <c r="BK35" s="1093"/>
      <c r="BL35" s="1093"/>
      <c r="BM35" s="1093"/>
      <c r="BN35" s="1093"/>
      <c r="BO35" s="1093"/>
      <c r="BP35" s="1093"/>
      <c r="BQ35" s="1093"/>
      <c r="BR35" s="1093"/>
      <c r="BS35" s="1093"/>
      <c r="BT35" s="1093"/>
      <c r="BU35" s="1093"/>
      <c r="BV35" s="1093"/>
      <c r="BW35" s="1093"/>
      <c r="BX35" s="1093"/>
      <c r="BY35" s="1093"/>
      <c r="BZ35" s="1101" t="b">
        <f>IF(CB84=28,26)</f>
        <v>0</v>
      </c>
      <c r="CA35" s="1150"/>
      <c r="CB35" s="1150"/>
      <c r="CC35" s="1150"/>
      <c r="CD35" s="1116" t="b">
        <f>IF(CB84=28,30)</f>
        <v>0</v>
      </c>
    </row>
    <row r="36" spans="12:82" ht="21.6" hidden="1" thickBot="1" x14ac:dyDescent="0.45">
      <c r="L36" s="661"/>
      <c r="M36" s="774"/>
      <c r="N36" s="774"/>
      <c r="O36" s="774"/>
      <c r="P36" s="478"/>
      <c r="Q36" s="478"/>
      <c r="R36" s="478"/>
      <c r="S36" s="478"/>
      <c r="T36" s="478"/>
      <c r="U36" s="478"/>
      <c r="V36" s="506"/>
      <c r="W36" s="506"/>
      <c r="X36" s="506"/>
      <c r="AZ36" s="1151" t="s">
        <v>90</v>
      </c>
      <c r="BA36" s="1093"/>
      <c r="BB36" s="1093"/>
      <c r="BC36" s="1093"/>
      <c r="BD36" s="1093"/>
      <c r="BE36" s="1093"/>
      <c r="BF36" s="1093"/>
      <c r="BG36" s="1093"/>
      <c r="BH36" s="1093"/>
      <c r="BI36" s="1093"/>
      <c r="BJ36" s="1093"/>
      <c r="BK36" s="1093"/>
      <c r="BL36" s="1093"/>
      <c r="BM36" s="1093"/>
      <c r="BN36" s="1093"/>
      <c r="BO36" s="1093"/>
      <c r="BP36" s="1093"/>
      <c r="BQ36" s="1093"/>
      <c r="BR36" s="1093"/>
      <c r="BS36" s="1093"/>
      <c r="BT36" s="1093"/>
      <c r="BU36" s="1093"/>
      <c r="BV36" s="1093"/>
      <c r="BW36" s="1093"/>
      <c r="BX36" s="1101" t="b">
        <f>IF(CA84=27,24)</f>
        <v>0</v>
      </c>
      <c r="BY36" s="1150"/>
      <c r="BZ36" s="1150"/>
      <c r="CA36" s="1150"/>
      <c r="CB36" s="1150"/>
      <c r="CC36" s="1150"/>
      <c r="CD36" s="1116" t="b">
        <f>IF(CA84=27,30)</f>
        <v>0</v>
      </c>
    </row>
    <row r="37" spans="12:82" ht="21.6" hidden="1" thickBot="1" x14ac:dyDescent="0.45">
      <c r="L37" s="661"/>
      <c r="M37" s="774"/>
      <c r="N37" s="774"/>
      <c r="O37" s="774"/>
      <c r="P37" s="478"/>
      <c r="Q37" s="478"/>
      <c r="R37" s="478"/>
      <c r="S37" s="478"/>
      <c r="T37" s="478"/>
      <c r="U37" s="478"/>
      <c r="V37" s="506"/>
      <c r="W37" s="506"/>
      <c r="X37" s="506"/>
      <c r="AZ37" s="1151" t="s">
        <v>89</v>
      </c>
      <c r="BA37" s="1093"/>
      <c r="BB37" s="1093"/>
      <c r="BC37" s="1093"/>
      <c r="BD37" s="1093"/>
      <c r="BE37" s="1093"/>
      <c r="BF37" s="1093"/>
      <c r="BG37" s="1093"/>
      <c r="BH37" s="1093"/>
      <c r="BI37" s="1093"/>
      <c r="BJ37" s="1093"/>
      <c r="BK37" s="1093"/>
      <c r="BL37" s="1093"/>
      <c r="BM37" s="1093"/>
      <c r="BN37" s="1093"/>
      <c r="BO37" s="1093"/>
      <c r="BP37" s="1093"/>
      <c r="BQ37" s="1093"/>
      <c r="BR37" s="1093"/>
      <c r="BS37" s="1093"/>
      <c r="BT37" s="1093"/>
      <c r="BU37" s="1093"/>
      <c r="BV37" s="1101" t="b">
        <f>IF(BZ84=26,22)</f>
        <v>0</v>
      </c>
      <c r="BW37" s="1150"/>
      <c r="BX37" s="1150"/>
      <c r="BY37" s="1150"/>
      <c r="BZ37" s="1150"/>
      <c r="CA37" s="1150"/>
      <c r="CB37" s="1150"/>
      <c r="CC37" s="1150"/>
      <c r="CD37" s="1116" t="b">
        <f>IF(BZ84=26,30)</f>
        <v>0</v>
      </c>
    </row>
    <row r="38" spans="12:82" ht="21.6" hidden="1" thickBot="1" x14ac:dyDescent="0.45">
      <c r="L38" s="661"/>
      <c r="M38" s="774"/>
      <c r="N38" s="774"/>
      <c r="O38" s="774"/>
      <c r="P38" s="478"/>
      <c r="Q38" s="478"/>
      <c r="R38" s="478"/>
      <c r="S38" s="478"/>
      <c r="T38" s="478"/>
      <c r="U38" s="478"/>
      <c r="V38" s="506"/>
      <c r="W38" s="506"/>
      <c r="X38" s="506"/>
      <c r="AZ38" s="1151" t="s">
        <v>88</v>
      </c>
      <c r="BA38" s="1093"/>
      <c r="BB38" s="1093"/>
      <c r="BC38" s="1093"/>
      <c r="BD38" s="1093"/>
      <c r="BE38" s="1093"/>
      <c r="BF38" s="1093"/>
      <c r="BG38" s="1093"/>
      <c r="BH38" s="1093"/>
      <c r="BI38" s="1093"/>
      <c r="BJ38" s="1093"/>
      <c r="BK38" s="1093"/>
      <c r="BL38" s="1093"/>
      <c r="BM38" s="1093"/>
      <c r="BN38" s="1093"/>
      <c r="BO38" s="1093"/>
      <c r="BP38" s="1093"/>
      <c r="BQ38" s="1093"/>
      <c r="BR38" s="1093"/>
      <c r="BS38" s="1093"/>
      <c r="BT38" s="1101" t="b">
        <f>IF(BY84=25,20)</f>
        <v>0</v>
      </c>
      <c r="BU38" s="1150"/>
      <c r="BV38" s="1150"/>
      <c r="BW38" s="1150"/>
      <c r="BX38" s="1150"/>
      <c r="BY38" s="1150"/>
      <c r="BZ38" s="1150"/>
      <c r="CA38" s="1150"/>
      <c r="CB38" s="1150"/>
      <c r="CC38" s="1150"/>
      <c r="CD38" s="1116" t="b">
        <f>IF(BY84=25,30)</f>
        <v>0</v>
      </c>
    </row>
    <row r="39" spans="12:82" ht="21.6" hidden="1" thickBot="1" x14ac:dyDescent="0.45">
      <c r="L39" s="661"/>
      <c r="M39" s="774"/>
      <c r="N39" s="774"/>
      <c r="O39" s="774"/>
      <c r="P39" s="478"/>
      <c r="Q39" s="478"/>
      <c r="R39" s="478"/>
      <c r="S39" s="478"/>
      <c r="T39" s="478"/>
      <c r="U39" s="478"/>
      <c r="V39" s="506"/>
      <c r="W39" s="506"/>
      <c r="X39" s="506"/>
      <c r="AZ39" s="468" t="s">
        <v>15</v>
      </c>
      <c r="BA39" s="1093"/>
      <c r="BB39" s="1093"/>
      <c r="BC39" s="1093"/>
      <c r="BD39" s="1093"/>
      <c r="BE39" s="1093"/>
      <c r="BF39" s="1093"/>
      <c r="BG39" s="1093"/>
      <c r="BH39" s="1093"/>
      <c r="BI39" s="1093"/>
      <c r="BJ39" s="1093"/>
      <c r="BK39" s="1093"/>
      <c r="BL39" s="1093"/>
      <c r="BM39" s="1093"/>
      <c r="BN39" s="1093"/>
      <c r="BO39" s="1093"/>
      <c r="BP39" s="1093"/>
      <c r="BQ39" s="1093"/>
      <c r="BR39" s="1101" t="b">
        <f>IF(BX84=24,18)</f>
        <v>0</v>
      </c>
      <c r="BS39" s="1150"/>
      <c r="BT39" s="1150"/>
      <c r="BU39" s="1150"/>
      <c r="BV39" s="1150"/>
      <c r="BW39" s="1150"/>
      <c r="BX39" s="1150"/>
      <c r="BY39" s="1150"/>
      <c r="BZ39" s="1150"/>
      <c r="CA39" s="1150"/>
      <c r="CB39" s="1150"/>
      <c r="CC39" s="1150"/>
      <c r="CD39" s="1116" t="b">
        <f>IF(BX84=24,30)</f>
        <v>0</v>
      </c>
    </row>
    <row r="40" spans="12:82" ht="21.6" hidden="1" thickBot="1" x14ac:dyDescent="0.45">
      <c r="L40" s="661"/>
      <c r="M40" s="774"/>
      <c r="N40" s="774"/>
      <c r="O40" s="774"/>
      <c r="P40" s="478"/>
      <c r="Q40" s="478"/>
      <c r="R40" s="478"/>
      <c r="S40" s="478"/>
      <c r="T40" s="478"/>
      <c r="U40" s="478"/>
      <c r="V40" s="506"/>
      <c r="W40" s="506"/>
      <c r="X40" s="506"/>
      <c r="AZ40" s="468" t="s">
        <v>87</v>
      </c>
      <c r="BA40" s="1093"/>
      <c r="BB40" s="1093"/>
      <c r="BC40" s="1093"/>
      <c r="BD40" s="1093"/>
      <c r="BE40" s="1093"/>
      <c r="BF40" s="1093"/>
      <c r="BG40" s="1093"/>
      <c r="BH40" s="1093"/>
      <c r="BI40" s="1093"/>
      <c r="BJ40" s="1093"/>
      <c r="BK40" s="1093"/>
      <c r="BL40" s="1093"/>
      <c r="BM40" s="1093"/>
      <c r="BN40" s="1093"/>
      <c r="BO40" s="1093"/>
      <c r="BP40" s="1101" t="b">
        <f>IF(BW84=23,16)</f>
        <v>0</v>
      </c>
      <c r="BQ40" s="1150"/>
      <c r="BR40" s="1150"/>
      <c r="BS40" s="1150"/>
      <c r="BT40" s="1150"/>
      <c r="BU40" s="1150"/>
      <c r="BV40" s="1150"/>
      <c r="BW40" s="1150"/>
      <c r="BX40" s="1150"/>
      <c r="BY40" s="1150"/>
      <c r="BZ40" s="1150"/>
      <c r="CA40" s="1150"/>
      <c r="CB40" s="1150"/>
      <c r="CC40" s="1150"/>
      <c r="CD40" s="1116" t="b">
        <f>IF(BW84=23,30)</f>
        <v>0</v>
      </c>
    </row>
    <row r="41" spans="12:82" ht="21.6" hidden="1" thickBot="1" x14ac:dyDescent="0.45">
      <c r="L41" s="661"/>
      <c r="M41" s="774"/>
      <c r="N41" s="774"/>
      <c r="O41" s="774"/>
      <c r="P41" s="478"/>
      <c r="Q41" s="478"/>
      <c r="R41" s="478"/>
      <c r="S41" s="478"/>
      <c r="T41" s="478"/>
      <c r="U41" s="478"/>
      <c r="V41" s="506"/>
      <c r="W41" s="506"/>
      <c r="X41" s="506"/>
      <c r="AZ41" s="468">
        <v>12</v>
      </c>
      <c r="BA41" s="1096"/>
      <c r="BB41" s="1096"/>
      <c r="BC41" s="1096"/>
      <c r="BD41" s="1096"/>
      <c r="BE41" s="1096"/>
      <c r="BF41" s="1096"/>
      <c r="BG41" s="1096"/>
      <c r="BH41" s="1096"/>
      <c r="BI41" s="1096"/>
      <c r="BJ41" s="1096"/>
      <c r="BK41" s="1096"/>
      <c r="BL41" s="1096"/>
      <c r="BM41" s="1096"/>
      <c r="BN41" s="1096"/>
      <c r="BO41" s="1096"/>
      <c r="BP41" s="1115" t="b">
        <f>IF(BV84=22,16)</f>
        <v>0</v>
      </c>
      <c r="BQ41" s="1139"/>
      <c r="BR41" s="1139"/>
      <c r="BS41" s="1139"/>
      <c r="BT41" s="1139"/>
      <c r="BU41" s="1139"/>
      <c r="BV41" s="1139"/>
      <c r="BW41" s="1139"/>
      <c r="BX41" s="1139"/>
      <c r="BY41" s="1126"/>
      <c r="BZ41" s="1126"/>
      <c r="CA41" s="1113" t="b">
        <f>IF(BV84=22,27)</f>
        <v>0</v>
      </c>
      <c r="CB41" s="1093"/>
      <c r="CC41" s="1093"/>
      <c r="CD41" s="1093"/>
    </row>
    <row r="42" spans="12:82" ht="21.6" hidden="1" thickBot="1" x14ac:dyDescent="0.45">
      <c r="L42" s="661"/>
      <c r="M42" s="774"/>
      <c r="N42" s="774"/>
      <c r="O42" s="774"/>
      <c r="P42" s="478"/>
      <c r="Q42" s="478"/>
      <c r="R42" s="478"/>
      <c r="S42" s="478"/>
      <c r="T42" s="478"/>
      <c r="U42" s="478"/>
      <c r="V42" s="506"/>
      <c r="W42" s="506"/>
      <c r="X42" s="506"/>
      <c r="AZ42" s="468">
        <v>11</v>
      </c>
      <c r="BA42" s="1093"/>
      <c r="BB42" s="1093"/>
      <c r="BC42" s="1093"/>
      <c r="BD42" s="1093"/>
      <c r="BE42" s="1093"/>
      <c r="BF42" s="1093"/>
      <c r="BG42" s="1093"/>
      <c r="BH42" s="1093"/>
      <c r="BI42" s="1093"/>
      <c r="BJ42" s="1093"/>
      <c r="BK42" s="1093"/>
      <c r="BL42" s="1101" t="b">
        <f>IF(BU84=21,12)</f>
        <v>0</v>
      </c>
      <c r="BM42" s="1150"/>
      <c r="BN42" s="1150"/>
      <c r="BO42" s="1150"/>
      <c r="BP42" s="1150"/>
      <c r="BQ42" s="1150"/>
      <c r="BR42" s="1150"/>
      <c r="BS42" s="1150"/>
      <c r="BT42" s="1150"/>
      <c r="BU42" s="1150"/>
      <c r="BV42" s="1150"/>
      <c r="BW42" s="1150"/>
      <c r="BX42" s="1150"/>
      <c r="BY42" s="1150"/>
      <c r="BZ42" s="1150"/>
      <c r="CA42" s="1150"/>
      <c r="CB42" s="1150"/>
      <c r="CC42" s="1150"/>
      <c r="CD42" s="1116" t="b">
        <f>IF(BU84=21,30)</f>
        <v>0</v>
      </c>
    </row>
    <row r="43" spans="12:82" ht="21.6" hidden="1" thickBot="1" x14ac:dyDescent="0.45">
      <c r="L43" s="661"/>
      <c r="M43" s="774"/>
      <c r="N43" s="774"/>
      <c r="O43" s="774"/>
      <c r="P43" s="478"/>
      <c r="Q43" s="478"/>
      <c r="R43" s="478"/>
      <c r="S43" s="478"/>
      <c r="T43" s="478"/>
      <c r="U43" s="478"/>
      <c r="V43" s="506"/>
      <c r="W43" s="506"/>
      <c r="X43" s="506"/>
      <c r="AZ43" s="468">
        <v>10</v>
      </c>
      <c r="BA43" s="1093"/>
      <c r="BB43" s="1093"/>
      <c r="BC43" s="1093"/>
      <c r="BD43" s="1093"/>
      <c r="BE43" s="1093"/>
      <c r="BF43" s="1093"/>
      <c r="BG43" s="1093"/>
      <c r="BH43" s="1093"/>
      <c r="BJ43" s="1101" t="b">
        <f>IF(BT84=20,10)</f>
        <v>0</v>
      </c>
      <c r="BK43" s="1150"/>
      <c r="BL43" s="1150"/>
      <c r="BM43" s="1150"/>
      <c r="BN43" s="1150"/>
      <c r="BO43" s="1150"/>
      <c r="BP43" s="1150"/>
      <c r="BQ43" s="1150"/>
      <c r="BR43" s="1150"/>
      <c r="BS43" s="1150"/>
      <c r="BT43" s="1150"/>
      <c r="BU43" s="1150"/>
      <c r="BV43" s="1150"/>
      <c r="BW43" s="1150"/>
      <c r="BX43" s="1150"/>
      <c r="BY43" s="1150"/>
      <c r="BZ43" s="1150"/>
      <c r="CA43" s="1150"/>
      <c r="CB43" s="1150"/>
      <c r="CC43" s="1150"/>
      <c r="CD43" s="1116" t="b">
        <f>IF(BT84=20,30)</f>
        <v>0</v>
      </c>
    </row>
    <row r="44" spans="12:82" ht="21.6" hidden="1" thickBot="1" x14ac:dyDescent="0.45">
      <c r="L44" s="661"/>
      <c r="M44" s="774"/>
      <c r="N44" s="774"/>
      <c r="O44" s="774"/>
      <c r="P44" s="478"/>
      <c r="Q44" s="478"/>
      <c r="R44" s="478"/>
      <c r="S44" s="478"/>
      <c r="T44" s="478"/>
      <c r="U44" s="478"/>
      <c r="V44" s="506"/>
      <c r="W44" s="506"/>
      <c r="X44" s="506"/>
      <c r="AZ44" s="468">
        <v>9</v>
      </c>
      <c r="BA44" s="1093"/>
      <c r="BB44" s="1093"/>
      <c r="BC44" s="1093"/>
      <c r="BD44" s="1093"/>
      <c r="BE44" s="1093"/>
      <c r="BF44" s="1093"/>
      <c r="BG44" s="1093"/>
      <c r="BH44" s="1093"/>
      <c r="BI44" s="1101" t="b">
        <f>IF(BS84=19,9)</f>
        <v>0</v>
      </c>
      <c r="BJ44" s="1142"/>
      <c r="BK44" s="1142"/>
      <c r="BL44" s="1142"/>
      <c r="BM44" s="1142"/>
      <c r="BN44" s="1142"/>
      <c r="BO44" s="1118"/>
      <c r="BP44" s="1142"/>
      <c r="BQ44" s="1142"/>
      <c r="BR44" s="1142"/>
      <c r="BS44" s="1142"/>
      <c r="BT44" s="1142"/>
      <c r="BU44" s="1118"/>
      <c r="BV44" s="1142"/>
      <c r="BW44" s="1142"/>
      <c r="BX44" s="1142"/>
      <c r="BY44" s="1150"/>
      <c r="BZ44" s="1150"/>
      <c r="CA44" s="1118"/>
      <c r="CB44" s="1150"/>
      <c r="CC44" s="1116" t="b">
        <f>IF(BS84=19,29)</f>
        <v>0</v>
      </c>
      <c r="CD44" s="1093"/>
    </row>
    <row r="45" spans="12:82" ht="21.6" hidden="1" thickBot="1" x14ac:dyDescent="0.45">
      <c r="L45" s="661"/>
      <c r="M45" s="774"/>
      <c r="N45" s="774"/>
      <c r="O45" s="774"/>
      <c r="P45" s="478"/>
      <c r="Q45" s="478"/>
      <c r="R45" s="478"/>
      <c r="S45" s="478"/>
      <c r="T45" s="478"/>
      <c r="U45" s="478"/>
      <c r="V45" s="506"/>
      <c r="W45" s="506"/>
      <c r="X45" s="506"/>
      <c r="AZ45" s="468">
        <v>8</v>
      </c>
      <c r="BA45" s="1096"/>
      <c r="BB45" s="1096"/>
      <c r="BC45" s="1096"/>
      <c r="BD45" s="1096"/>
      <c r="BE45" s="1096"/>
      <c r="BF45" s="1096"/>
      <c r="BG45" s="1096"/>
      <c r="BH45" s="1096"/>
      <c r="BI45" s="1115" t="b">
        <f>IF(BR84=18,9)</f>
        <v>0</v>
      </c>
      <c r="BJ45" s="1139"/>
      <c r="BK45" s="1139"/>
      <c r="BL45" s="1139"/>
      <c r="BM45" s="1139"/>
      <c r="BN45" s="1139"/>
      <c r="BO45" s="586"/>
      <c r="BP45" s="1139"/>
      <c r="BQ45" s="1139"/>
      <c r="BR45" s="1139"/>
      <c r="BS45" s="1139"/>
      <c r="BT45" s="1139"/>
      <c r="BU45" s="586"/>
      <c r="BV45" s="1139"/>
      <c r="BW45" s="1139"/>
      <c r="BX45" s="1139"/>
      <c r="BY45" s="1126"/>
      <c r="BZ45" s="1126"/>
      <c r="CA45" s="1113" t="b">
        <f>IF(BR84=18,27)</f>
        <v>0</v>
      </c>
      <c r="CB45" s="1093"/>
      <c r="CC45" s="1093"/>
      <c r="CD45" s="1093"/>
    </row>
    <row r="46" spans="12:82" ht="21.6" hidden="1" thickBot="1" x14ac:dyDescent="0.45">
      <c r="L46" s="661"/>
      <c r="M46" s="774"/>
      <c r="N46" s="774"/>
      <c r="O46" s="774"/>
      <c r="P46" s="478"/>
      <c r="Q46" s="478"/>
      <c r="R46" s="478"/>
      <c r="S46" s="478"/>
      <c r="T46" s="478"/>
      <c r="U46" s="478"/>
      <c r="V46" s="506"/>
      <c r="W46" s="506"/>
      <c r="X46" s="506"/>
      <c r="AZ46" s="1149">
        <v>7</v>
      </c>
      <c r="BA46" s="1096"/>
      <c r="BB46" s="1096"/>
      <c r="BC46" s="1096"/>
      <c r="BD46" s="1096"/>
      <c r="BE46" s="1096"/>
      <c r="BF46" s="1096"/>
      <c r="BG46" s="1096"/>
      <c r="BH46" s="1096"/>
      <c r="BI46" s="1115" t="b">
        <f>IF(BQ84=17,9)</f>
        <v>0</v>
      </c>
      <c r="BJ46" s="586"/>
      <c r="BK46" s="1139"/>
      <c r="BL46" s="1139"/>
      <c r="BM46" s="1139"/>
      <c r="BN46" s="1139"/>
      <c r="BO46" s="1139"/>
      <c r="BP46" s="1139"/>
      <c r="BQ46" s="1139"/>
      <c r="BR46" s="1139"/>
      <c r="BS46" s="1139"/>
      <c r="BT46" s="1139"/>
      <c r="BU46" s="1139"/>
      <c r="BV46" s="1139"/>
      <c r="BW46" s="1139"/>
      <c r="BX46" s="586"/>
      <c r="BY46" s="1113" t="b">
        <f>IF(BQ84=17,25)</f>
        <v>0</v>
      </c>
      <c r="BZ46" s="1093"/>
      <c r="CA46" s="1093"/>
      <c r="CB46" s="1093"/>
      <c r="CC46" s="1093"/>
      <c r="CD46" s="1093"/>
    </row>
    <row r="47" spans="12:82" ht="21.6" hidden="1" thickBot="1" x14ac:dyDescent="0.45">
      <c r="L47" s="661"/>
      <c r="M47" s="774"/>
      <c r="N47" s="774"/>
      <c r="O47" s="774"/>
      <c r="P47" s="478"/>
      <c r="Q47" s="478"/>
      <c r="R47" s="478"/>
      <c r="S47" s="478"/>
      <c r="T47" s="478"/>
      <c r="U47" s="478"/>
      <c r="V47" s="506"/>
      <c r="W47" s="506"/>
      <c r="X47" s="506"/>
      <c r="AZ47" s="1149">
        <v>6</v>
      </c>
      <c r="BA47" s="1096"/>
      <c r="BB47" s="1096"/>
      <c r="BC47" s="1096"/>
      <c r="BD47" s="1096"/>
      <c r="BE47" s="1096"/>
      <c r="BF47" s="1096"/>
      <c r="BG47" s="1096"/>
      <c r="BI47" s="1148" t="b">
        <f>IF(BP84=16,9)</f>
        <v>0</v>
      </c>
      <c r="BJ47" s="1096"/>
      <c r="BK47" s="1096"/>
      <c r="BL47" s="1096"/>
      <c r="BM47" s="1096"/>
      <c r="BN47" s="1096"/>
      <c r="BO47" s="1096"/>
      <c r="BP47" s="1096"/>
      <c r="BQ47" s="1096"/>
      <c r="BR47" s="1096"/>
      <c r="BS47" s="1096"/>
      <c r="BT47" s="1096"/>
      <c r="BU47" s="1096"/>
      <c r="BV47" s="1096"/>
      <c r="BW47" s="1113" t="b">
        <f>IF(BP84=16,23)</f>
        <v>0</v>
      </c>
      <c r="BY47" s="1093"/>
      <c r="BZ47" s="1093"/>
      <c r="CA47" s="1093"/>
      <c r="CB47" s="1093"/>
      <c r="CC47" s="1093"/>
      <c r="CD47" s="1093"/>
    </row>
    <row r="48" spans="12:82" ht="21.6" hidden="1" thickBot="1" x14ac:dyDescent="0.45">
      <c r="L48" s="661"/>
      <c r="M48" s="774"/>
      <c r="N48" s="774"/>
      <c r="O48" s="774"/>
      <c r="P48" s="478"/>
      <c r="Q48" s="478"/>
      <c r="R48" s="478"/>
      <c r="S48" s="478"/>
      <c r="T48" s="478"/>
      <c r="U48" s="478"/>
      <c r="V48" s="506"/>
      <c r="W48" s="506"/>
      <c r="X48" s="506"/>
      <c r="AZ48" s="468" t="s">
        <v>86</v>
      </c>
      <c r="BA48" s="1096"/>
      <c r="BB48" s="1096"/>
      <c r="BC48" s="1096"/>
      <c r="BD48" s="1096"/>
      <c r="BE48" s="1096"/>
      <c r="BF48" s="1096"/>
      <c r="BG48" s="1096"/>
      <c r="BH48" s="1101">
        <f>IF(BO84=15,8)</f>
        <v>8</v>
      </c>
      <c r="BI48" s="1142"/>
      <c r="BJ48" s="1142"/>
      <c r="BK48" s="1118"/>
      <c r="BL48" s="1142"/>
      <c r="BM48" s="1142"/>
      <c r="BN48" s="1142"/>
      <c r="BO48" s="1142"/>
      <c r="BP48" s="1142"/>
      <c r="BQ48" s="1142"/>
      <c r="BR48" s="1142"/>
      <c r="BS48" s="1118"/>
      <c r="BT48" s="1142"/>
      <c r="BU48" s="1142"/>
      <c r="BV48" s="1116">
        <f>IF(BO84=15,22)</f>
        <v>22</v>
      </c>
      <c r="BW48" s="1096"/>
      <c r="BX48" s="1096"/>
      <c r="BY48" s="1093"/>
      <c r="BZ48" s="1093"/>
      <c r="CA48" s="1093"/>
      <c r="CB48" s="1093"/>
      <c r="CC48" s="1093"/>
      <c r="CD48" s="1093"/>
    </row>
    <row r="49" spans="2:82" ht="21.6" hidden="1" thickBot="1" x14ac:dyDescent="0.45">
      <c r="L49" s="661"/>
      <c r="M49" s="774"/>
      <c r="N49" s="774"/>
      <c r="O49" s="774"/>
      <c r="P49" s="478"/>
      <c r="Q49" s="478"/>
      <c r="R49" s="478"/>
      <c r="S49" s="478"/>
      <c r="T49" s="478"/>
      <c r="U49" s="478"/>
      <c r="V49" s="506"/>
      <c r="W49" s="506"/>
      <c r="X49" s="506"/>
      <c r="AZ49" s="468" t="s">
        <v>85</v>
      </c>
      <c r="BA49" s="1096"/>
      <c r="BB49" s="1096"/>
      <c r="BC49" s="1096"/>
      <c r="BD49" s="1096"/>
      <c r="BE49" s="1096"/>
      <c r="BF49" s="1101" t="b">
        <f>IF(BN84=14,6)</f>
        <v>0</v>
      </c>
      <c r="BG49" s="1142"/>
      <c r="BH49" s="1142"/>
      <c r="BI49" s="1118"/>
      <c r="BJ49" s="1142"/>
      <c r="BK49" s="1142"/>
      <c r="BL49" s="1142"/>
      <c r="BM49" s="1142"/>
      <c r="BN49" s="1142"/>
      <c r="BO49" s="1142"/>
      <c r="BP49" s="1142"/>
      <c r="BQ49" s="1142"/>
      <c r="BR49" s="1142"/>
      <c r="BS49" s="1118"/>
      <c r="BT49" s="1142"/>
      <c r="BU49" s="1142"/>
      <c r="BV49" s="1116" t="b">
        <f>IF(BN84=14,22)</f>
        <v>0</v>
      </c>
      <c r="BW49" s="1096"/>
      <c r="BX49" s="1096"/>
      <c r="BY49" s="1093"/>
      <c r="BZ49" s="1093"/>
      <c r="CA49" s="1093"/>
      <c r="CB49" s="1093"/>
      <c r="CC49" s="1093"/>
      <c r="CD49" s="1093"/>
    </row>
    <row r="50" spans="2:82" ht="21.6" hidden="1" thickBot="1" x14ac:dyDescent="0.45">
      <c r="L50" s="661"/>
      <c r="M50" s="774"/>
      <c r="N50" s="774"/>
      <c r="O50" s="774"/>
      <c r="P50" s="478"/>
      <c r="Q50" s="478"/>
      <c r="R50" s="478"/>
      <c r="S50" s="478"/>
      <c r="T50" s="478"/>
      <c r="U50" s="478"/>
      <c r="V50" s="506"/>
      <c r="W50" s="506"/>
      <c r="X50" s="506"/>
      <c r="AZ50" s="468">
        <v>5</v>
      </c>
      <c r="BA50" s="1096"/>
      <c r="BB50" s="1096"/>
      <c r="BC50" s="1096"/>
      <c r="BD50" s="1101" t="b">
        <f>IF(BM84=13,4)</f>
        <v>0</v>
      </c>
      <c r="BE50" s="1142"/>
      <c r="BF50" s="1142"/>
      <c r="BG50" s="1118"/>
      <c r="BH50" s="1142"/>
      <c r="BI50" s="1142"/>
      <c r="BJ50" s="1142"/>
      <c r="BK50" s="1142"/>
      <c r="BL50" s="1142"/>
      <c r="BM50" s="1142"/>
      <c r="BN50" s="1142"/>
      <c r="BO50" s="1142"/>
      <c r="BP50" s="1142"/>
      <c r="BQ50" s="1142"/>
      <c r="BR50" s="1142"/>
      <c r="BS50" s="1118"/>
      <c r="BT50" s="1142"/>
      <c r="BU50" s="1142"/>
      <c r="BV50" s="1116" t="b">
        <f>IF(BM84=13,22)</f>
        <v>0</v>
      </c>
      <c r="BW50" s="1096"/>
      <c r="BX50" s="1096"/>
      <c r="BY50" s="1093"/>
      <c r="BZ50" s="1093"/>
      <c r="CA50" s="1093"/>
      <c r="CB50" s="1093"/>
      <c r="CC50" s="1093"/>
      <c r="CD50" s="1093"/>
    </row>
    <row r="51" spans="2:82" ht="21.6" hidden="1" thickBot="1" x14ac:dyDescent="0.45">
      <c r="L51" s="661"/>
      <c r="M51" s="774"/>
      <c r="N51" s="774"/>
      <c r="O51" s="774"/>
      <c r="P51" s="478"/>
      <c r="Q51" s="478"/>
      <c r="R51" s="478"/>
      <c r="S51" s="478"/>
      <c r="T51" s="478"/>
      <c r="U51" s="478"/>
      <c r="V51" s="506"/>
      <c r="W51" s="506"/>
      <c r="X51" s="506"/>
      <c r="AZ51" s="468">
        <v>4</v>
      </c>
      <c r="BA51" s="1096"/>
      <c r="BB51" s="1101" t="b">
        <f>IF(BL84=12,2)</f>
        <v>0</v>
      </c>
      <c r="BC51" s="1142"/>
      <c r="BD51" s="1142"/>
      <c r="BE51" s="1118"/>
      <c r="BF51" s="1142"/>
      <c r="BG51" s="1142"/>
      <c r="BH51" s="1142"/>
      <c r="BI51" s="1142"/>
      <c r="BJ51" s="1142"/>
      <c r="BK51" s="1142"/>
      <c r="BL51" s="1142"/>
      <c r="BM51" s="1142"/>
      <c r="BN51" s="1142"/>
      <c r="BO51" s="1142"/>
      <c r="BP51" s="1142"/>
      <c r="BQ51" s="1142"/>
      <c r="BR51" s="1142"/>
      <c r="BS51" s="1118"/>
      <c r="BT51" s="1142"/>
      <c r="BU51" s="1142"/>
      <c r="BV51" s="1116" t="b">
        <f>IF(BL84=12,22)</f>
        <v>0</v>
      </c>
      <c r="BW51" s="1096"/>
      <c r="BX51" s="1096"/>
      <c r="BY51" s="1093"/>
      <c r="BZ51" s="1093"/>
      <c r="CA51" s="1093"/>
      <c r="CB51" s="1093"/>
      <c r="CC51" s="1093"/>
      <c r="CD51" s="1093"/>
    </row>
    <row r="52" spans="2:82" ht="21.6" hidden="1" thickBot="1" x14ac:dyDescent="0.45">
      <c r="L52" s="661"/>
      <c r="M52" s="774"/>
      <c r="N52" s="774"/>
      <c r="O52" s="774"/>
      <c r="P52" s="478"/>
      <c r="Q52" s="478"/>
      <c r="R52" s="478"/>
      <c r="S52" s="478"/>
      <c r="T52" s="478"/>
      <c r="U52" s="478"/>
      <c r="V52" s="506"/>
      <c r="W52" s="506"/>
      <c r="X52" s="506"/>
      <c r="AZ52" s="468">
        <v>3</v>
      </c>
      <c r="BA52" s="1101" t="b">
        <f>IF(BK84=11,1)</f>
        <v>0</v>
      </c>
      <c r="BB52" s="1139"/>
      <c r="BC52" s="586"/>
      <c r="BD52" s="1139"/>
      <c r="BE52" s="1139"/>
      <c r="BF52" s="1139"/>
      <c r="BG52" s="1139"/>
      <c r="BH52" s="1139"/>
      <c r="BI52" s="1139"/>
      <c r="BJ52" s="1139"/>
      <c r="BK52" s="1139"/>
      <c r="BL52" s="1139"/>
      <c r="BM52" s="1139"/>
      <c r="BN52" s="1139"/>
      <c r="BO52" s="1139"/>
      <c r="BP52" s="1139"/>
      <c r="BQ52" s="1139"/>
      <c r="BR52" s="1139"/>
      <c r="BS52" s="586"/>
      <c r="BT52" s="1139"/>
      <c r="BU52" s="1113" t="b">
        <f>IF(BK84=11,21)</f>
        <v>0</v>
      </c>
      <c r="BV52" s="1096"/>
      <c r="BW52" s="1096"/>
      <c r="BX52" s="1096"/>
      <c r="BY52" s="1093"/>
      <c r="BZ52" s="1093"/>
      <c r="CA52" s="1093"/>
      <c r="CB52" s="1093"/>
      <c r="CC52" s="1093"/>
      <c r="CD52" s="1093"/>
    </row>
    <row r="53" spans="2:82" ht="21.6" hidden="1" thickBot="1" x14ac:dyDescent="0.45">
      <c r="L53" s="661"/>
      <c r="M53" s="774"/>
      <c r="N53" s="774"/>
      <c r="O53" s="774"/>
      <c r="P53" s="478"/>
      <c r="Q53" s="478"/>
      <c r="R53" s="478"/>
      <c r="S53" s="478"/>
      <c r="T53" s="478"/>
      <c r="U53" s="478"/>
      <c r="V53" s="506"/>
      <c r="W53" s="506"/>
      <c r="X53" s="506"/>
      <c r="AZ53" s="468">
        <v>2</v>
      </c>
      <c r="BA53" s="1115" t="b">
        <f>IF(BJ84=10,1)</f>
        <v>0</v>
      </c>
      <c r="BB53" s="1139"/>
      <c r="BC53" s="1139"/>
      <c r="BD53" s="1139"/>
      <c r="BE53" s="1139"/>
      <c r="BF53" s="1139"/>
      <c r="BG53" s="1139"/>
      <c r="BH53" s="1139"/>
      <c r="BI53" s="1139"/>
      <c r="BJ53" s="1139"/>
      <c r="BK53" s="1139"/>
      <c r="BL53" s="1139"/>
      <c r="BM53" s="1139"/>
      <c r="BN53" s="1139"/>
      <c r="BO53" s="1139"/>
      <c r="BP53" s="1139"/>
      <c r="BQ53" s="1139"/>
      <c r="BR53" s="1139"/>
      <c r="BS53" s="1113" t="b">
        <f>IF(BJ84=10,19)</f>
        <v>0</v>
      </c>
      <c r="BT53" s="1096"/>
      <c r="BU53" s="1096"/>
      <c r="BV53" s="1096"/>
      <c r="BW53" s="1096"/>
      <c r="BX53" s="1096"/>
      <c r="BY53" s="1093"/>
      <c r="BZ53" s="1093"/>
      <c r="CA53" s="1093"/>
      <c r="CB53" s="1093"/>
      <c r="CC53" s="1093"/>
      <c r="CD53" s="1093"/>
    </row>
    <row r="54" spans="2:82" ht="21.6" hidden="1" thickBot="1" x14ac:dyDescent="0.45">
      <c r="L54" s="506"/>
      <c r="M54" s="662"/>
      <c r="N54" s="506"/>
      <c r="O54" s="506"/>
      <c r="P54" s="506"/>
      <c r="Q54" s="506"/>
      <c r="R54" s="506"/>
      <c r="S54" s="506"/>
      <c r="T54" s="506"/>
      <c r="U54" s="506"/>
      <c r="V54" s="506"/>
      <c r="W54" s="506"/>
      <c r="X54" s="506"/>
      <c r="AA54" s="1147"/>
      <c r="AZ54" s="468">
        <v>1</v>
      </c>
      <c r="BA54" s="1115" t="b">
        <f>IF(BI84=9,1)</f>
        <v>0</v>
      </c>
      <c r="BB54" s="1139"/>
      <c r="BC54" s="1139"/>
      <c r="BD54" s="1139"/>
      <c r="BE54" s="1139"/>
      <c r="BF54" s="1139"/>
      <c r="BG54" s="1139"/>
      <c r="BH54" s="1139"/>
      <c r="BI54" s="1139"/>
      <c r="BJ54" s="1139"/>
      <c r="BK54" s="1139"/>
      <c r="BL54" s="1139"/>
      <c r="BM54" s="1139"/>
      <c r="BN54" s="1139"/>
      <c r="BO54" s="1139"/>
      <c r="BP54" s="1139"/>
      <c r="BQ54" s="1113" t="b">
        <f>IF(BI84=9,17)</f>
        <v>0</v>
      </c>
      <c r="BR54" s="1096"/>
      <c r="BS54" s="1096"/>
      <c r="BT54" s="1096"/>
      <c r="BU54" s="1096"/>
      <c r="BV54" s="1096"/>
      <c r="BW54" s="1096"/>
      <c r="BX54" s="1096"/>
      <c r="BY54" s="1093"/>
      <c r="BZ54" s="1093"/>
      <c r="CA54" s="1093"/>
      <c r="CB54" s="1093"/>
      <c r="CC54" s="1093"/>
      <c r="CD54" s="1093"/>
    </row>
    <row r="55" spans="2:82" ht="21.6" hidden="1" thickBot="1" x14ac:dyDescent="0.45">
      <c r="L55" s="663"/>
      <c r="M55" s="2066"/>
      <c r="N55" s="2066"/>
      <c r="O55" s="506"/>
      <c r="P55" s="506"/>
      <c r="Q55" s="506"/>
      <c r="R55" s="506"/>
      <c r="S55" s="506"/>
      <c r="T55" s="506"/>
      <c r="U55" s="506"/>
      <c r="V55" s="506"/>
      <c r="W55" s="506"/>
      <c r="X55" s="506"/>
      <c r="Y55" s="1146"/>
      <c r="Z55" s="2067"/>
      <c r="AA55" s="2067"/>
      <c r="AZ55" s="468" t="s">
        <v>84</v>
      </c>
      <c r="BB55" s="1096"/>
      <c r="BC55" s="1115" t="b">
        <f>IF(BH84=8,3)</f>
        <v>0</v>
      </c>
      <c r="BD55" s="1139"/>
      <c r="BE55" s="1139"/>
      <c r="BF55" s="1139"/>
      <c r="BG55" s="1139"/>
      <c r="BH55" s="1139"/>
      <c r="BI55" s="1139"/>
      <c r="BJ55" s="1139"/>
      <c r="BK55" s="1139"/>
      <c r="BL55" s="1139"/>
      <c r="BM55" s="1113" t="b">
        <f>IF(BH84=8,5)</f>
        <v>0</v>
      </c>
      <c r="BN55" s="1096"/>
      <c r="BP55" s="1096"/>
      <c r="BQ55" s="1096"/>
      <c r="BR55" s="1096"/>
      <c r="BS55" s="1096"/>
      <c r="BT55" s="1096"/>
      <c r="BU55" s="1096"/>
      <c r="BV55" s="1096"/>
      <c r="BW55" s="1096"/>
      <c r="BX55" s="1096"/>
      <c r="BY55" s="1093"/>
      <c r="BZ55" s="1093"/>
      <c r="CA55" s="1093"/>
      <c r="CB55" s="1093"/>
      <c r="CC55" s="1093"/>
      <c r="CD55" s="1093"/>
    </row>
    <row r="56" spans="2:82" ht="25.8" hidden="1" thickBot="1" x14ac:dyDescent="0.5">
      <c r="H56" s="1145"/>
      <c r="L56" s="478"/>
      <c r="M56" s="503"/>
      <c r="N56" s="503"/>
      <c r="O56" s="503"/>
      <c r="P56" s="503"/>
      <c r="Q56" s="503"/>
      <c r="R56" s="503"/>
      <c r="S56" s="503"/>
      <c r="T56" s="503"/>
      <c r="U56" s="503"/>
      <c r="V56" s="503"/>
      <c r="W56" s="503"/>
      <c r="X56" s="503"/>
      <c r="Y56" s="1144"/>
      <c r="Z56" s="1144"/>
      <c r="AA56" s="1143"/>
      <c r="AZ56" s="468" t="s">
        <v>16</v>
      </c>
      <c r="BA56" s="1096"/>
      <c r="BB56" s="1101" t="b">
        <f>IF(BG84=7,2)</f>
        <v>0</v>
      </c>
      <c r="BC56" s="1139"/>
      <c r="BD56" s="1139"/>
      <c r="BE56" s="1139"/>
      <c r="BF56" s="1139"/>
      <c r="BG56" s="1139"/>
      <c r="BH56" s="1139"/>
      <c r="BI56" s="1139"/>
      <c r="BJ56" s="1139"/>
      <c r="BK56" s="586"/>
      <c r="BL56" s="1113" t="b">
        <f>IF(BG84=7,12)</f>
        <v>0</v>
      </c>
      <c r="BM56" s="1096"/>
      <c r="BN56" s="1096"/>
      <c r="BO56" s="1096"/>
      <c r="BP56" s="1096"/>
      <c r="BQ56" s="1096"/>
      <c r="BR56" s="1096"/>
      <c r="BS56" s="1096"/>
      <c r="BT56" s="1096"/>
      <c r="BU56" s="1096"/>
      <c r="BV56" s="1096"/>
      <c r="BW56" s="1096"/>
      <c r="BX56" s="1096"/>
      <c r="BY56" s="1093"/>
      <c r="BZ56" s="1093"/>
      <c r="CA56" s="1093"/>
      <c r="CB56" s="1093"/>
      <c r="CC56" s="1093"/>
      <c r="CD56" s="1093"/>
    </row>
    <row r="57" spans="2:82" ht="21.6" hidden="1" thickBot="1" x14ac:dyDescent="0.45">
      <c r="L57" s="506"/>
      <c r="M57" s="506"/>
      <c r="N57" s="506"/>
      <c r="O57" s="506"/>
      <c r="P57" s="506"/>
      <c r="Q57" s="506"/>
      <c r="R57" s="506"/>
      <c r="S57" s="506"/>
      <c r="T57" s="506"/>
      <c r="U57" s="506"/>
      <c r="V57" s="506"/>
      <c r="W57" s="506"/>
      <c r="X57" s="506"/>
      <c r="AZ57" s="468" t="s">
        <v>83</v>
      </c>
      <c r="BA57" s="1101" t="b">
        <f>IF(BF84=6,1)</f>
        <v>0</v>
      </c>
      <c r="BB57" s="1142"/>
      <c r="BC57" s="1142"/>
      <c r="BD57" s="1142"/>
      <c r="BE57" s="1142"/>
      <c r="BF57" s="1142"/>
      <c r="BG57" s="1142"/>
      <c r="BH57" s="1142"/>
      <c r="BI57" s="1142"/>
      <c r="BJ57" s="1142"/>
      <c r="BK57" s="1116" t="b">
        <f>IF(BF84=6,11)</f>
        <v>0</v>
      </c>
      <c r="BL57" s="1096"/>
      <c r="BM57" s="1096"/>
      <c r="BN57" s="1096"/>
      <c r="BO57" s="1096"/>
      <c r="BP57" s="1096"/>
      <c r="BQ57" s="1096"/>
      <c r="BR57" s="1096"/>
      <c r="BS57" s="1096"/>
      <c r="BT57" s="1096"/>
      <c r="BU57" s="1096"/>
      <c r="BV57" s="1096"/>
      <c r="BW57" s="1096"/>
      <c r="BX57" s="1096"/>
      <c r="BY57" s="1093"/>
      <c r="BZ57" s="1093"/>
      <c r="CA57" s="1093"/>
      <c r="CB57" s="1093"/>
      <c r="CC57" s="1093"/>
      <c r="CD57" s="1093"/>
    </row>
    <row r="58" spans="2:82" ht="21.6" hidden="1" thickBot="1" x14ac:dyDescent="0.45">
      <c r="L58" s="506"/>
      <c r="M58" s="506"/>
      <c r="N58" s="506"/>
      <c r="O58" s="506"/>
      <c r="P58" s="506"/>
      <c r="Q58" s="506"/>
      <c r="R58" s="506"/>
      <c r="S58" s="506"/>
      <c r="T58" s="506"/>
      <c r="U58" s="506"/>
      <c r="V58" s="506"/>
      <c r="W58" s="506"/>
      <c r="X58" s="506"/>
      <c r="AZ58" s="468" t="s">
        <v>37</v>
      </c>
      <c r="BA58" s="1115" t="b">
        <f>IF(BE84=5,1)</f>
        <v>0</v>
      </c>
      <c r="BB58" s="586"/>
      <c r="BC58" s="1139"/>
      <c r="BD58" s="1139"/>
      <c r="BE58" s="1139"/>
      <c r="BF58" s="1139"/>
      <c r="BG58" s="1139"/>
      <c r="BH58" s="586"/>
      <c r="BI58" s="1113" t="b">
        <f>IF(BE84=5,9)</f>
        <v>0</v>
      </c>
      <c r="BJ58" s="1096"/>
      <c r="BK58" s="1096"/>
      <c r="BL58" s="1096"/>
      <c r="BM58" s="1096"/>
      <c r="BN58" s="1096"/>
      <c r="BO58" s="1096"/>
      <c r="BP58" s="1096"/>
      <c r="BQ58" s="1096"/>
      <c r="BR58" s="1096"/>
      <c r="BS58" s="1096"/>
      <c r="BT58" s="1096"/>
      <c r="BU58" s="1096"/>
      <c r="BV58" s="1096"/>
      <c r="BW58" s="1096"/>
      <c r="BX58" s="1096"/>
      <c r="BY58" s="1093"/>
      <c r="BZ58" s="1093"/>
      <c r="CA58" s="1093"/>
      <c r="CB58" s="1093"/>
      <c r="CC58" s="1093"/>
      <c r="CD58" s="1093"/>
    </row>
    <row r="59" spans="2:82" ht="21.6" hidden="1" thickBot="1" x14ac:dyDescent="0.45">
      <c r="E59" s="1140"/>
      <c r="L59" s="506"/>
      <c r="M59" s="506"/>
      <c r="N59" s="506"/>
      <c r="O59" s="506"/>
      <c r="P59" s="506"/>
      <c r="Q59" s="506"/>
      <c r="R59" s="506"/>
      <c r="S59" s="506"/>
      <c r="T59" s="506"/>
      <c r="U59" s="506"/>
      <c r="V59" s="506"/>
      <c r="W59" s="506"/>
      <c r="X59" s="506"/>
      <c r="AZ59" s="468" t="s">
        <v>36</v>
      </c>
      <c r="BA59" s="1115" t="b">
        <f>IF(BD84=4,1)</f>
        <v>0</v>
      </c>
      <c r="BB59" s="1139"/>
      <c r="BC59" s="1139"/>
      <c r="BD59" s="1139"/>
      <c r="BE59" s="1139"/>
      <c r="BF59" s="1139"/>
      <c r="BG59" s="1113" t="b">
        <f>IF(BD84=4,7)</f>
        <v>0</v>
      </c>
      <c r="BH59" s="1096"/>
      <c r="BI59" s="1141"/>
      <c r="BJ59" s="1141"/>
      <c r="BK59" s="1096"/>
      <c r="BL59" s="1141"/>
      <c r="BM59" s="1096"/>
      <c r="BN59" s="1096"/>
      <c r="BO59" s="1096"/>
      <c r="BP59" s="1096"/>
      <c r="BQ59" s="1096"/>
      <c r="BR59" s="1096"/>
      <c r="BS59" s="1096"/>
      <c r="BT59" s="1096"/>
      <c r="BU59" s="1096"/>
      <c r="BV59" s="1096"/>
      <c r="BW59" s="1096"/>
      <c r="BX59" s="1096"/>
      <c r="BY59" s="1093"/>
      <c r="BZ59" s="1093"/>
      <c r="CA59" s="1093"/>
      <c r="CB59" s="1093"/>
      <c r="CC59" s="1093"/>
      <c r="CD59" s="1093"/>
    </row>
    <row r="60" spans="2:82" ht="21.6" hidden="1" thickBot="1" x14ac:dyDescent="0.45">
      <c r="E60" s="1140"/>
      <c r="L60" s="506"/>
      <c r="M60" s="506"/>
      <c r="N60" s="506"/>
      <c r="O60" s="506"/>
      <c r="P60" s="506"/>
      <c r="Q60" s="506"/>
      <c r="R60" s="506"/>
      <c r="S60" s="506"/>
      <c r="T60" s="506"/>
      <c r="U60" s="506"/>
      <c r="V60" s="506"/>
      <c r="W60" s="506"/>
      <c r="X60" s="506"/>
      <c r="AZ60" s="468" t="s">
        <v>35</v>
      </c>
      <c r="BA60" s="1115" t="b">
        <f>IF(BC84=3,1)</f>
        <v>0</v>
      </c>
      <c r="BB60" s="1139"/>
      <c r="BC60" s="1139"/>
      <c r="BD60" s="1139"/>
      <c r="BE60" s="1113" t="b">
        <f>IF(BC84=3,5)</f>
        <v>0</v>
      </c>
      <c r="BF60" s="1096"/>
      <c r="BG60" s="1096"/>
      <c r="BH60" s="1096"/>
      <c r="BI60" s="1096"/>
      <c r="BJ60" s="1096"/>
      <c r="BK60" s="1096"/>
      <c r="BL60" s="1096"/>
      <c r="BM60" s="1096"/>
      <c r="BN60" s="1096"/>
      <c r="BO60" s="1096"/>
      <c r="BP60" s="1096"/>
      <c r="BQ60" s="1096"/>
      <c r="BR60" s="1096"/>
      <c r="BS60" s="1096"/>
      <c r="BT60" s="1096"/>
      <c r="BU60" s="1096"/>
      <c r="BV60" s="1096"/>
      <c r="BW60" s="1096"/>
      <c r="BX60" s="1096"/>
      <c r="BY60" s="1093"/>
      <c r="BZ60" s="1093"/>
      <c r="CA60" s="1093"/>
      <c r="CB60" s="1093"/>
      <c r="CC60" s="1093"/>
      <c r="CD60" s="1093"/>
    </row>
    <row r="61" spans="2:82" ht="21.6" hidden="1" thickBot="1" x14ac:dyDescent="0.45">
      <c r="E61" s="1090"/>
      <c r="L61" s="478"/>
      <c r="M61" s="506"/>
      <c r="N61" s="506"/>
      <c r="O61" s="506"/>
      <c r="P61" s="506"/>
      <c r="Q61" s="506"/>
      <c r="R61" s="506"/>
      <c r="S61" s="506"/>
      <c r="T61" s="506"/>
      <c r="U61" s="506"/>
      <c r="V61" s="506"/>
      <c r="W61" s="506"/>
      <c r="X61" s="506"/>
      <c r="AQ61" s="489"/>
      <c r="AR61" s="489"/>
      <c r="AS61" s="489"/>
      <c r="AT61" s="489"/>
      <c r="AU61" s="489"/>
      <c r="AV61" s="489"/>
      <c r="AW61" s="489"/>
      <c r="AX61" s="489"/>
      <c r="AY61" s="489"/>
      <c r="AZ61" s="468" t="s">
        <v>34</v>
      </c>
      <c r="BA61" s="1115" t="b">
        <f>IF(BB84=2,1)</f>
        <v>0</v>
      </c>
      <c r="BB61" s="1139"/>
      <c r="BC61" s="1113" t="b">
        <f>IF(BB84=2,3)</f>
        <v>0</v>
      </c>
      <c r="BD61" s="1096"/>
      <c r="BE61" s="1096"/>
      <c r="BF61" s="1096"/>
      <c r="BG61" s="1096"/>
      <c r="BH61" s="1096"/>
      <c r="BI61" s="1096"/>
      <c r="BJ61" s="1096"/>
      <c r="BK61" s="1096"/>
      <c r="BL61" s="1096"/>
      <c r="BM61" s="1096"/>
      <c r="BN61" s="1096"/>
      <c r="BO61" s="1096"/>
      <c r="BP61" s="1096"/>
      <c r="BQ61" s="1096"/>
      <c r="BR61" s="1096"/>
      <c r="BS61" s="1096"/>
      <c r="BT61" s="1096"/>
      <c r="BU61" s="1096"/>
      <c r="BV61" s="1096"/>
      <c r="BW61" s="1096"/>
      <c r="BX61" s="1096"/>
      <c r="BY61" s="1093"/>
      <c r="BZ61" s="1093"/>
      <c r="CA61" s="1093"/>
      <c r="CB61" s="1093"/>
      <c r="CC61" s="1093"/>
      <c r="CD61" s="1093"/>
    </row>
    <row r="62" spans="2:82" ht="21.6" hidden="1" thickBot="1" x14ac:dyDescent="0.45">
      <c r="E62" s="1090"/>
      <c r="G62" s="489"/>
      <c r="H62" s="489"/>
      <c r="L62" s="478"/>
      <c r="M62" s="519"/>
      <c r="N62" s="519"/>
      <c r="O62" s="519"/>
      <c r="P62" s="519"/>
      <c r="Q62" s="519"/>
      <c r="R62" s="519"/>
      <c r="S62" s="519"/>
      <c r="T62" s="519"/>
      <c r="U62" s="1138"/>
      <c r="V62" s="519"/>
      <c r="W62" s="519"/>
      <c r="X62" s="519"/>
      <c r="Y62" s="1137"/>
      <c r="Z62" s="1137"/>
      <c r="AA62" s="1136"/>
      <c r="AQ62" s="489"/>
      <c r="AR62" s="489"/>
      <c r="AS62" s="489"/>
      <c r="AT62" s="489"/>
      <c r="AU62" s="489"/>
      <c r="AV62" s="489"/>
      <c r="AW62" s="489"/>
      <c r="AX62" s="489"/>
      <c r="AY62" s="489"/>
      <c r="AZ62" s="1135"/>
      <c r="BA62" s="1133">
        <f t="shared" ref="BA62:CD62" si="0">SUM(BA33:BA61)</f>
        <v>0</v>
      </c>
      <c r="BB62" s="1133">
        <f t="shared" si="0"/>
        <v>0</v>
      </c>
      <c r="BC62" s="1133">
        <f t="shared" si="0"/>
        <v>0</v>
      </c>
      <c r="BD62" s="1133">
        <f t="shared" si="0"/>
        <v>0</v>
      </c>
      <c r="BE62" s="1133">
        <f t="shared" si="0"/>
        <v>0</v>
      </c>
      <c r="BF62" s="1133">
        <f t="shared" si="0"/>
        <v>0</v>
      </c>
      <c r="BG62" s="1133">
        <f t="shared" si="0"/>
        <v>0</v>
      </c>
      <c r="BH62" s="1133">
        <f t="shared" si="0"/>
        <v>8</v>
      </c>
      <c r="BI62" s="1133">
        <f t="shared" si="0"/>
        <v>0</v>
      </c>
      <c r="BJ62" s="1133">
        <f t="shared" si="0"/>
        <v>0</v>
      </c>
      <c r="BK62" s="1133">
        <f t="shared" si="0"/>
        <v>0</v>
      </c>
      <c r="BL62" s="1133">
        <f t="shared" si="0"/>
        <v>0</v>
      </c>
      <c r="BM62" s="1133">
        <f t="shared" si="0"/>
        <v>0</v>
      </c>
      <c r="BN62" s="1133">
        <f t="shared" si="0"/>
        <v>0</v>
      </c>
      <c r="BO62" s="1133">
        <f t="shared" si="0"/>
        <v>0</v>
      </c>
      <c r="BP62" s="1133">
        <f t="shared" si="0"/>
        <v>0</v>
      </c>
      <c r="BQ62" s="1133">
        <f t="shared" si="0"/>
        <v>0</v>
      </c>
      <c r="BR62" s="1133">
        <f t="shared" si="0"/>
        <v>0</v>
      </c>
      <c r="BS62" s="1133">
        <f t="shared" si="0"/>
        <v>0</v>
      </c>
      <c r="BT62" s="1133">
        <f t="shared" si="0"/>
        <v>0</v>
      </c>
      <c r="BU62" s="1133">
        <f t="shared" si="0"/>
        <v>0</v>
      </c>
      <c r="BV62" s="1133">
        <f t="shared" si="0"/>
        <v>22</v>
      </c>
      <c r="BW62" s="1133">
        <f t="shared" si="0"/>
        <v>0</v>
      </c>
      <c r="BX62" s="1133">
        <f t="shared" si="0"/>
        <v>0</v>
      </c>
      <c r="BY62" s="1133">
        <f t="shared" si="0"/>
        <v>0</v>
      </c>
      <c r="BZ62" s="1133">
        <f t="shared" si="0"/>
        <v>0</v>
      </c>
      <c r="CA62" s="1133">
        <f t="shared" si="0"/>
        <v>0</v>
      </c>
      <c r="CB62" s="1133">
        <f t="shared" si="0"/>
        <v>0</v>
      </c>
      <c r="CC62" s="1133">
        <f t="shared" si="0"/>
        <v>0</v>
      </c>
      <c r="CD62" s="1133">
        <f t="shared" si="0"/>
        <v>0</v>
      </c>
    </row>
    <row r="63" spans="2:82" ht="42.6" thickBot="1" x14ac:dyDescent="0.45">
      <c r="D63" s="1088"/>
      <c r="E63" s="1090"/>
      <c r="AQ63" s="489"/>
      <c r="AR63" s="489"/>
      <c r="AS63" s="489"/>
      <c r="AT63" s="489"/>
      <c r="AU63" s="489"/>
      <c r="AV63" s="489"/>
      <c r="AW63" s="489"/>
      <c r="AX63" s="489"/>
      <c r="AY63" s="489"/>
      <c r="AZ63" s="1134" t="s">
        <v>80</v>
      </c>
      <c r="BA63" s="1109" t="str">
        <f>IF(BA62=1,"A ","")</f>
        <v/>
      </c>
      <c r="BB63" s="1108" t="str">
        <f>IF(BB62=2,"B ","")</f>
        <v/>
      </c>
      <c r="BC63" s="1108" t="str">
        <f>IF(BC62=3,"C ","")</f>
        <v/>
      </c>
      <c r="BD63" s="1108" t="str">
        <f>IF(BD62=4,"D ","")</f>
        <v/>
      </c>
      <c r="BE63" s="1108" t="str">
        <f>IF(BE62=5,"E ","")</f>
        <v/>
      </c>
      <c r="BF63" s="1108" t="str">
        <f>IF(BF62=6,"F ","")</f>
        <v/>
      </c>
      <c r="BG63" s="1108" t="str">
        <f>IF(BG62=7,"G ","")</f>
        <v/>
      </c>
      <c r="BH63" s="1108" t="str">
        <f>IF(BH62=8,"H ","")</f>
        <v xml:space="preserve">H </v>
      </c>
      <c r="BI63" s="1108" t="str">
        <f>IF(BI62=9,"1 ","")</f>
        <v/>
      </c>
      <c r="BJ63" s="1108" t="str">
        <f>IF(BJ62=10,"2 ","")</f>
        <v/>
      </c>
      <c r="BK63" s="1108" t="str">
        <f>IF(BK62=11,"3 ","")</f>
        <v/>
      </c>
      <c r="BL63" s="1108" t="str">
        <f>IF(BL62=12,"4 ","")</f>
        <v/>
      </c>
      <c r="BM63" s="1108" t="str">
        <f>IF(BM62=13,"5 ","")</f>
        <v/>
      </c>
      <c r="BN63" s="1108" t="str">
        <f>IF(BN62=14,"i ","")</f>
        <v/>
      </c>
      <c r="BO63" s="1108" t="str">
        <f>IF(BO62=15,"J ","")</f>
        <v/>
      </c>
      <c r="BP63" s="1108" t="str">
        <f>IF(BP62=16,"6 ","")</f>
        <v/>
      </c>
      <c r="BQ63" s="1108" t="str">
        <f>IF(BQ62=17,"7 ","")</f>
        <v/>
      </c>
      <c r="BR63" s="1108" t="str">
        <f>IF(BR62=18,"8 ","")</f>
        <v/>
      </c>
      <c r="BS63" s="1108" t="str">
        <f>IF(BS62=19,"9 ","")</f>
        <v/>
      </c>
      <c r="BT63" s="1108" t="str">
        <f>IF(BT62=20,"10 ","")</f>
        <v/>
      </c>
      <c r="BU63" s="1108" t="str">
        <f>IF(BU62=21,"11 ","")</f>
        <v/>
      </c>
      <c r="BV63" s="1108" t="str">
        <f>IF(BV62=22,"12 ","")</f>
        <v xml:space="preserve">12 </v>
      </c>
      <c r="BW63" s="1108" t="str">
        <f>IF(BW62=23,"K ","")</f>
        <v/>
      </c>
      <c r="BX63" s="1108" t="str">
        <f>IF(BX62=24,"L ","")</f>
        <v/>
      </c>
      <c r="BY63" s="1108" t="str">
        <f>IF(BY62=25,"M ","")</f>
        <v/>
      </c>
      <c r="BZ63" s="1108" t="str">
        <f>IF(BZ62=26,"N ","")</f>
        <v/>
      </c>
      <c r="CA63" s="1108" t="str">
        <f>IF(CA62=27,"O ","")</f>
        <v/>
      </c>
      <c r="CB63" s="1108" t="str">
        <f>IF(CB62=28,"P ","")</f>
        <v/>
      </c>
      <c r="CC63" s="1108" t="str">
        <f>IF(CC62=29,"Q ","")</f>
        <v/>
      </c>
      <c r="CD63" s="1107" t="str">
        <f>IF(CD62=30,"R ","")</f>
        <v/>
      </c>
    </row>
    <row r="64" spans="2:82" ht="33.75" hidden="1" customHeight="1" x14ac:dyDescent="0.4">
      <c r="B64" s="772"/>
      <c r="C64" s="1088"/>
      <c r="D64" s="1088"/>
      <c r="E64" s="1090"/>
      <c r="AQ64" s="489"/>
      <c r="AR64" s="489"/>
      <c r="AS64" s="489"/>
      <c r="AT64" s="489"/>
      <c r="AU64" s="489"/>
      <c r="AV64" s="489"/>
      <c r="AW64" s="489"/>
      <c r="AX64" s="489"/>
      <c r="AY64" s="489"/>
      <c r="AZ64" s="1106"/>
      <c r="BA64" s="1133"/>
      <c r="BB64" s="1133"/>
      <c r="BC64" s="1133"/>
      <c r="BD64" s="1133"/>
      <c r="BE64" s="1133"/>
      <c r="BF64" s="1133"/>
      <c r="BG64" s="1133"/>
      <c r="BH64" s="1133"/>
      <c r="BI64" s="1133"/>
      <c r="BJ64" s="1133"/>
      <c r="BK64" s="1133"/>
      <c r="BL64" s="1133"/>
      <c r="BM64" s="1133"/>
      <c r="BN64" s="1133"/>
      <c r="BO64" s="1133"/>
      <c r="BP64" s="1133"/>
      <c r="BQ64" s="1133"/>
      <c r="BR64" s="1133"/>
      <c r="BS64" s="1133"/>
      <c r="BT64" s="1133"/>
      <c r="BU64" s="1133"/>
      <c r="BV64" s="1133"/>
      <c r="BW64" s="1133"/>
      <c r="BX64" s="1133"/>
      <c r="BY64" s="1094"/>
      <c r="BZ64" s="1094"/>
      <c r="CA64" s="506"/>
      <c r="CB64" s="506"/>
    </row>
    <row r="65" spans="2:85" ht="21.6" thickBot="1" x14ac:dyDescent="0.45">
      <c r="B65" s="772"/>
      <c r="C65" s="1088"/>
      <c r="D65" s="1088"/>
      <c r="E65" s="1090"/>
      <c r="AQ65" s="489"/>
      <c r="AR65" s="489"/>
      <c r="AS65" s="489"/>
      <c r="AT65" s="489"/>
      <c r="AU65" s="489"/>
      <c r="AV65" s="489"/>
      <c r="AW65" s="489"/>
      <c r="AX65" s="489"/>
      <c r="AY65" s="489"/>
      <c r="AZ65" s="1093"/>
      <c r="BA65" s="1093"/>
      <c r="BB65" s="1093"/>
      <c r="BC65" s="1093"/>
      <c r="BD65" s="1093"/>
      <c r="BE65" s="1093"/>
      <c r="BF65" s="1093"/>
      <c r="BG65" s="1093"/>
      <c r="BH65" s="1093"/>
      <c r="BI65" s="1093"/>
      <c r="BJ65" s="1093"/>
      <c r="BK65" s="1093"/>
      <c r="BL65" s="1093"/>
      <c r="BM65" s="1093"/>
      <c r="BN65" s="1093"/>
      <c r="BO65" s="1093"/>
      <c r="BP65" s="1093"/>
      <c r="BQ65" s="1093"/>
      <c r="BR65" s="1093"/>
      <c r="BS65" s="1093"/>
      <c r="BT65" s="1104"/>
      <c r="BU65" s="1104"/>
      <c r="BV65" s="1104"/>
      <c r="BW65" s="1104"/>
      <c r="BX65" s="1105"/>
      <c r="BY65" s="1093"/>
      <c r="BZ65" s="1093"/>
    </row>
    <row r="66" spans="2:85" ht="21" x14ac:dyDescent="0.4">
      <c r="B66" s="772"/>
      <c r="C66" s="1088"/>
      <c r="D66" s="1088"/>
      <c r="E66" s="1090"/>
      <c r="AQ66" s="489"/>
      <c r="AR66" s="489"/>
      <c r="AS66" s="489"/>
      <c r="AT66" s="489"/>
      <c r="AU66" s="489"/>
      <c r="AV66" s="489"/>
      <c r="AW66" s="489"/>
      <c r="AX66" s="489"/>
      <c r="AY66" s="489"/>
      <c r="AZ66" s="1132" t="s">
        <v>30</v>
      </c>
      <c r="BA66" s="2071"/>
      <c r="BB66" s="2072"/>
      <c r="BC66" s="2072"/>
      <c r="BD66" s="2072"/>
      <c r="BE66" s="2072"/>
      <c r="BF66" s="2072"/>
      <c r="BG66" s="2072"/>
      <c r="BH66" s="2073"/>
      <c r="BI66" s="1131" t="s">
        <v>31</v>
      </c>
      <c r="BJ66" s="1120"/>
      <c r="BK66" s="1120"/>
      <c r="BL66" s="1120"/>
      <c r="BM66" s="1120"/>
      <c r="BN66" s="1120"/>
      <c r="BO66" s="1120"/>
      <c r="BP66" s="1120"/>
      <c r="BQ66" s="1120"/>
      <c r="BR66" s="1120"/>
      <c r="BS66" s="1130"/>
      <c r="BT66" s="1129"/>
      <c r="BU66" s="1129"/>
      <c r="BV66" s="1128" t="s">
        <v>32</v>
      </c>
      <c r="BW66" s="2071"/>
      <c r="BX66" s="2072"/>
      <c r="BY66" s="2072"/>
      <c r="BZ66" s="2072"/>
      <c r="CA66" s="2072"/>
      <c r="CB66" s="2072"/>
      <c r="CC66" s="2072"/>
      <c r="CD66" s="2073"/>
    </row>
    <row r="67" spans="2:85" ht="24" thickBot="1" x14ac:dyDescent="0.5">
      <c r="B67" s="772"/>
      <c r="C67" s="1088"/>
      <c r="D67" s="1088"/>
      <c r="E67" s="1090"/>
      <c r="AQ67" s="489"/>
      <c r="AR67" s="489"/>
      <c r="AS67" s="489"/>
      <c r="AT67" s="489"/>
      <c r="AU67" s="489"/>
      <c r="AV67" s="489"/>
      <c r="AW67" s="1348" t="s">
        <v>223</v>
      </c>
      <c r="AX67" s="1348">
        <f>+MAX(AY28,AY31,AY67)</f>
        <v>99.174466747379668</v>
      </c>
      <c r="AY67" s="1347">
        <f>+IF(AND(BU67&gt;0,BI67&gt;0),BI67)</f>
        <v>76.327984745767139</v>
      </c>
      <c r="AZ67" s="1127" t="s">
        <v>81</v>
      </c>
      <c r="BA67" s="2074"/>
      <c r="BB67" s="2075"/>
      <c r="BC67" s="2075"/>
      <c r="BD67" s="2075"/>
      <c r="BE67" s="2075"/>
      <c r="BF67" s="2075"/>
      <c r="BG67" s="2075"/>
      <c r="BH67" s="2076"/>
      <c r="BI67" s="2088">
        <f>+((D2-D3)/D2)*C7</f>
        <v>76.327984745767139</v>
      </c>
      <c r="BJ67" s="2089"/>
      <c r="BK67" s="1114"/>
      <c r="BL67" s="1114"/>
      <c r="BM67" s="1114"/>
      <c r="BN67" s="1114"/>
      <c r="BO67" s="1114"/>
      <c r="BP67" s="1114"/>
      <c r="BQ67" s="1114"/>
      <c r="BR67" s="1114"/>
      <c r="BS67" s="1126"/>
      <c r="BT67" s="1125"/>
      <c r="BU67" s="2090">
        <f>+(D3/D2)*C7</f>
        <v>59.972015254232879</v>
      </c>
      <c r="BV67" s="2091"/>
      <c r="BW67" s="2074"/>
      <c r="BX67" s="2075"/>
      <c r="BY67" s="2075"/>
      <c r="BZ67" s="2075"/>
      <c r="CA67" s="2075"/>
      <c r="CB67" s="2075"/>
      <c r="CC67" s="2075"/>
      <c r="CD67" s="2076"/>
      <c r="CE67" s="1347">
        <f>+IF(AND(BI67&gt;0,BU67&gt;0),BU67)</f>
        <v>59.972015254232879</v>
      </c>
      <c r="CF67" s="1348">
        <f>+MAX(CE28,CE31,CE67)</f>
        <v>89.049342776429867</v>
      </c>
      <c r="CG67" s="1348" t="s">
        <v>224</v>
      </c>
    </row>
    <row r="68" spans="2:85" ht="23.25" customHeight="1" thickTop="1" thickBot="1" x14ac:dyDescent="0.35">
      <c r="B68" s="1356" t="s">
        <v>190</v>
      </c>
      <c r="C68" s="1451"/>
      <c r="D68" s="2085"/>
      <c r="E68" s="1356" t="s">
        <v>191</v>
      </c>
      <c r="AQ68" s="489"/>
      <c r="AR68" s="489"/>
      <c r="AS68" s="489"/>
      <c r="AT68" s="489"/>
      <c r="AU68" s="489"/>
      <c r="AV68" s="489"/>
      <c r="AW68" s="489"/>
      <c r="AX68" s="489"/>
      <c r="AY68" s="489"/>
      <c r="AZ68" s="1123"/>
      <c r="BA68" s="1123"/>
      <c r="BB68" s="1124"/>
      <c r="BC68" s="1123"/>
      <c r="BD68" s="1123"/>
      <c r="BE68" s="1123"/>
      <c r="BF68" s="1124"/>
      <c r="BG68" s="1123"/>
      <c r="BH68" s="1123"/>
      <c r="BI68" s="1123"/>
      <c r="BJ68" s="1123"/>
      <c r="BK68" s="1123"/>
      <c r="BL68" s="1123"/>
      <c r="BM68" s="1123"/>
      <c r="BN68" s="1123"/>
      <c r="BO68" s="1123"/>
      <c r="BP68" s="1123"/>
      <c r="BQ68" s="1088"/>
      <c r="BR68" s="1123"/>
      <c r="BS68" s="1088"/>
      <c r="BT68" s="1122"/>
      <c r="BU68" s="1122"/>
      <c r="BV68" s="1122"/>
      <c r="BW68" s="1122"/>
      <c r="BX68" s="516"/>
      <c r="BY68" s="516"/>
      <c r="BZ68" s="516"/>
      <c r="CA68" s="516"/>
      <c r="CB68" s="516"/>
    </row>
    <row r="69" spans="2:85" ht="21.75" hidden="1" customHeight="1" thickTop="1" thickBot="1" x14ac:dyDescent="0.45">
      <c r="B69" s="1452"/>
      <c r="C69" s="1451"/>
      <c r="D69" s="2086"/>
      <c r="E69" s="1453"/>
      <c r="AQ69" s="489"/>
      <c r="AR69" s="489"/>
      <c r="AS69" s="489"/>
      <c r="AT69" s="489"/>
      <c r="AU69" s="489"/>
      <c r="AV69" s="489"/>
      <c r="AW69" s="489"/>
      <c r="AX69" s="489"/>
      <c r="AY69" s="524"/>
      <c r="AZ69" s="1112"/>
      <c r="BA69" s="1112"/>
      <c r="BB69" s="1111"/>
      <c r="BC69" s="1112"/>
      <c r="BD69" s="1112"/>
      <c r="BE69" s="1112"/>
      <c r="BH69" s="474">
        <v>11</v>
      </c>
      <c r="BI69" s="1111"/>
      <c r="BJ69" s="1112"/>
      <c r="BK69" s="1112"/>
      <c r="BL69" s="1112"/>
      <c r="BM69" s="1112"/>
      <c r="BN69" s="1112"/>
      <c r="BO69" s="1112"/>
      <c r="BP69" s="1112"/>
      <c r="BQ69" s="1112"/>
      <c r="BR69" s="1112"/>
      <c r="BS69" s="1112"/>
      <c r="BT69" s="1101" t="b">
        <f>IF(BU84=21,10)</f>
        <v>0</v>
      </c>
      <c r="BU69" s="1117"/>
      <c r="BV69" s="1116" t="b">
        <f>IF(BU84=21,12)</f>
        <v>0</v>
      </c>
      <c r="BW69" s="1104"/>
      <c r="BX69" s="1094"/>
      <c r="BY69" s="1093"/>
      <c r="BZ69" s="1093"/>
      <c r="CA69" s="1093"/>
      <c r="CB69" s="1093"/>
      <c r="CC69" s="1093"/>
      <c r="CD69" s="1093"/>
      <c r="CE69" s="1093"/>
      <c r="CF69" s="1093"/>
    </row>
    <row r="70" spans="2:85" ht="21.75" hidden="1" customHeight="1" thickTop="1" thickBot="1" x14ac:dyDescent="0.45">
      <c r="B70" s="1452"/>
      <c r="C70" s="1451"/>
      <c r="D70" s="2086"/>
      <c r="E70" s="1453"/>
      <c r="AQ70" s="489"/>
      <c r="AR70" s="489"/>
      <c r="AS70" s="489"/>
      <c r="AT70" s="489"/>
      <c r="AU70" s="489"/>
      <c r="AV70" s="489"/>
      <c r="AW70" s="489"/>
      <c r="AX70" s="489"/>
      <c r="AY70" s="524"/>
      <c r="AZ70" s="1112"/>
      <c r="BA70" s="1112"/>
      <c r="BB70" s="1111"/>
      <c r="BC70" s="1112"/>
      <c r="BD70" s="1112"/>
      <c r="BE70" s="1112"/>
      <c r="BH70" s="474">
        <v>10</v>
      </c>
      <c r="BI70" s="1111"/>
      <c r="BJ70" s="1112"/>
      <c r="BK70" s="1112"/>
      <c r="BL70" s="1112"/>
      <c r="BM70" s="1112"/>
      <c r="BN70" s="1112"/>
      <c r="BO70" s="1112"/>
      <c r="BP70" s="1112"/>
      <c r="BQ70" s="1112"/>
      <c r="BR70" s="1121" t="b">
        <f>IF(BT84=20,8)</f>
        <v>0</v>
      </c>
      <c r="BS70" s="1120"/>
      <c r="BT70" s="1120"/>
      <c r="BU70" s="1120"/>
      <c r="BV70" s="1119" t="b">
        <f>IF(BT84=20,12)</f>
        <v>0</v>
      </c>
      <c r="BW70" s="1104"/>
      <c r="BX70" s="1094"/>
      <c r="BY70" s="1093"/>
      <c r="BZ70" s="1093"/>
      <c r="CA70" s="1093"/>
      <c r="CB70" s="1093"/>
      <c r="CC70" s="1093"/>
      <c r="CD70" s="1093"/>
      <c r="CE70" s="1093"/>
      <c r="CF70" s="1093"/>
    </row>
    <row r="71" spans="2:85" ht="21.75" hidden="1" customHeight="1" thickTop="1" thickBot="1" x14ac:dyDescent="0.45">
      <c r="B71" s="1452"/>
      <c r="C71" s="1451"/>
      <c r="D71" s="2086"/>
      <c r="E71" s="1453"/>
      <c r="AQ71" s="489"/>
      <c r="AR71" s="489"/>
      <c r="AS71" s="1099"/>
      <c r="AT71" s="1099"/>
      <c r="AU71" s="1053"/>
      <c r="AV71" s="1053"/>
      <c r="AW71" s="1053"/>
      <c r="AX71" s="1053"/>
      <c r="AY71" s="524"/>
      <c r="AZ71" s="1112"/>
      <c r="BA71" s="1112"/>
      <c r="BB71" s="1111"/>
      <c r="BC71" s="1112"/>
      <c r="BD71" s="1112"/>
      <c r="BE71" s="1112"/>
      <c r="BH71" s="474">
        <v>9</v>
      </c>
      <c r="BI71" s="1111"/>
      <c r="BJ71" s="1112"/>
      <c r="BK71" s="1112"/>
      <c r="BL71" s="1112"/>
      <c r="BM71" s="1112"/>
      <c r="BN71" s="1112"/>
      <c r="BO71" s="1112"/>
      <c r="BP71" s="1101" t="b">
        <f>IF(BS84=19,6)</f>
        <v>0</v>
      </c>
      <c r="BQ71" s="1117"/>
      <c r="BR71" s="1118"/>
      <c r="BS71" s="1117"/>
      <c r="BT71" s="1118"/>
      <c r="BU71" s="1117"/>
      <c r="BV71" s="1116" t="b">
        <f>IF(BS84=19,12)</f>
        <v>0</v>
      </c>
      <c r="BW71" s="1104"/>
      <c r="BX71" s="1094"/>
      <c r="BY71" s="1093"/>
      <c r="BZ71" s="1093"/>
      <c r="CA71" s="1093"/>
      <c r="CB71" s="1093"/>
      <c r="CC71" s="1093"/>
      <c r="CD71" s="1093"/>
      <c r="CE71" s="1093"/>
      <c r="CF71" s="1093"/>
    </row>
    <row r="72" spans="2:85" ht="21.75" hidden="1" customHeight="1" thickTop="1" thickBot="1" x14ac:dyDescent="0.45">
      <c r="B72" s="1452"/>
      <c r="C72" s="1451"/>
      <c r="D72" s="2086"/>
      <c r="E72" s="1453"/>
      <c r="AQ72" s="489"/>
      <c r="AR72" s="489"/>
      <c r="AS72" s="1099"/>
      <c r="AT72" s="1099"/>
      <c r="AU72" s="1053"/>
      <c r="AV72" s="1053"/>
      <c r="AW72" s="1053"/>
      <c r="AX72" s="1053"/>
      <c r="AY72" s="524"/>
      <c r="AZ72" s="1112"/>
      <c r="BA72" s="1112"/>
      <c r="BB72" s="1111"/>
      <c r="BC72" s="1112"/>
      <c r="BD72" s="1112"/>
      <c r="BE72" s="1112"/>
      <c r="BH72" s="474">
        <v>8</v>
      </c>
      <c r="BI72" s="1111"/>
      <c r="BJ72" s="1112"/>
      <c r="BK72" s="1112"/>
      <c r="BL72" s="1112"/>
      <c r="BM72" s="1112"/>
      <c r="BP72" s="1115" t="b">
        <f>IF(BR84=18,6)</f>
        <v>0</v>
      </c>
      <c r="BQ72" s="1114"/>
      <c r="BR72" s="1114"/>
      <c r="BS72" s="1114"/>
      <c r="BT72" s="1113" t="b">
        <f>IF(BR84=18,10)</f>
        <v>0</v>
      </c>
      <c r="BU72" s="1112"/>
      <c r="BW72" s="1104"/>
      <c r="BX72" s="1094"/>
      <c r="BY72" s="1093"/>
      <c r="BZ72" s="1093"/>
      <c r="CA72" s="1093"/>
      <c r="CB72" s="1093"/>
      <c r="CC72" s="1093"/>
      <c r="CD72" s="1093"/>
      <c r="CE72" s="1093"/>
      <c r="CF72" s="1093"/>
    </row>
    <row r="73" spans="2:85" ht="21.75" hidden="1" customHeight="1" thickTop="1" thickBot="1" x14ac:dyDescent="0.45">
      <c r="B73" s="1452"/>
      <c r="C73" s="1451"/>
      <c r="D73" s="2086"/>
      <c r="E73" s="1453"/>
      <c r="AQ73" s="489"/>
      <c r="AR73" s="489"/>
      <c r="AS73" s="1099"/>
      <c r="AT73" s="1099"/>
      <c r="AU73" s="1053"/>
      <c r="AV73" s="1053"/>
      <c r="AW73" s="1053"/>
      <c r="AX73" s="1053"/>
      <c r="AY73" s="524"/>
      <c r="AZ73" s="1112"/>
      <c r="BA73" s="1112"/>
      <c r="BB73" s="1111"/>
      <c r="BC73" s="1112"/>
      <c r="BD73" s="1112"/>
      <c r="BE73" s="1112"/>
      <c r="BH73" s="474">
        <v>7</v>
      </c>
      <c r="BI73" s="1111"/>
      <c r="BJ73" s="1112"/>
      <c r="BK73" s="1112"/>
      <c r="BL73" s="1101" t="b">
        <f>IF(BQ84=17,4)</f>
        <v>0</v>
      </c>
      <c r="BM73" s="1117"/>
      <c r="BN73" s="1117"/>
      <c r="BO73" s="1117"/>
      <c r="BP73" s="1117"/>
      <c r="BQ73" s="1117"/>
      <c r="BR73" s="1117"/>
      <c r="BS73" s="1117"/>
      <c r="BT73" s="1117"/>
      <c r="BU73" s="1114"/>
      <c r="BV73" s="1116" t="b">
        <f>IF(BQ84=17,12)</f>
        <v>0</v>
      </c>
      <c r="BW73" s="1104"/>
      <c r="BX73" s="1094"/>
      <c r="BY73" s="1093"/>
      <c r="BZ73" s="1093"/>
      <c r="CA73" s="1093"/>
      <c r="CB73" s="1093"/>
      <c r="CC73" s="1093"/>
      <c r="CD73" s="1093"/>
      <c r="CE73" s="1093"/>
      <c r="CF73" s="1093"/>
    </row>
    <row r="74" spans="2:85" ht="21.75" hidden="1" customHeight="1" thickTop="1" thickBot="1" x14ac:dyDescent="0.45">
      <c r="B74" s="1452"/>
      <c r="C74" s="1451"/>
      <c r="D74" s="2086"/>
      <c r="E74" s="1453"/>
      <c r="AQ74" s="489"/>
      <c r="AR74" s="489"/>
      <c r="AS74" s="1099"/>
      <c r="AT74" s="1099"/>
      <c r="AU74" s="1053"/>
      <c r="AV74" s="1053"/>
      <c r="AW74" s="1053"/>
      <c r="AX74" s="1053"/>
      <c r="AY74" s="524"/>
      <c r="AZ74" s="1112"/>
      <c r="BA74" s="1112"/>
      <c r="BB74" s="1111"/>
      <c r="BC74" s="1112"/>
      <c r="BD74" s="1112"/>
      <c r="BE74" s="1112"/>
      <c r="BH74" s="474">
        <v>6</v>
      </c>
      <c r="BI74" s="1111"/>
      <c r="BJ74" s="1101" t="b">
        <f>IF(BP84=16,2)</f>
        <v>0</v>
      </c>
      <c r="BK74" s="1117"/>
      <c r="BL74" s="1117"/>
      <c r="BM74" s="1117"/>
      <c r="BN74" s="1117"/>
      <c r="BO74" s="1117"/>
      <c r="BP74" s="1117"/>
      <c r="BQ74" s="1117"/>
      <c r="BR74" s="1117"/>
      <c r="BS74" s="1117"/>
      <c r="BT74" s="1117"/>
      <c r="BU74" s="1117"/>
      <c r="BV74" s="1116" t="b">
        <f>IF(BP84=16,12)</f>
        <v>0</v>
      </c>
      <c r="BW74" s="1104"/>
      <c r="BX74" s="1094"/>
      <c r="BY74" s="1093"/>
      <c r="BZ74" s="1093"/>
      <c r="CA74" s="1093"/>
      <c r="CB74" s="1093"/>
      <c r="CC74" s="1093"/>
      <c r="CD74" s="1093"/>
      <c r="CE74" s="1093"/>
      <c r="CF74" s="1093"/>
    </row>
    <row r="75" spans="2:85" ht="21.75" hidden="1" customHeight="1" thickTop="1" thickBot="1" x14ac:dyDescent="0.45">
      <c r="B75" s="1452"/>
      <c r="C75" s="1451"/>
      <c r="D75" s="2086"/>
      <c r="E75" s="1453"/>
      <c r="AQ75" s="489"/>
      <c r="AR75" s="489"/>
      <c r="AS75" s="1099"/>
      <c r="AT75" s="1099"/>
      <c r="AU75" s="1053"/>
      <c r="AV75" s="1053"/>
      <c r="AW75" s="1053"/>
      <c r="AX75" s="1053"/>
      <c r="AY75" s="524"/>
      <c r="AZ75" s="1112"/>
      <c r="BA75" s="1112"/>
      <c r="BB75" s="1111"/>
      <c r="BC75" s="1112"/>
      <c r="BD75" s="1112"/>
      <c r="BE75" s="1112"/>
      <c r="BH75" s="476" t="s">
        <v>86</v>
      </c>
      <c r="BI75" s="1101">
        <f>IF(BO84=15,1)</f>
        <v>1</v>
      </c>
      <c r="BJ75" s="1117"/>
      <c r="BK75" s="1117"/>
      <c r="BL75" s="1117"/>
      <c r="BM75" s="1117"/>
      <c r="BN75" s="1117"/>
      <c r="BO75" s="1117"/>
      <c r="BP75" s="1117"/>
      <c r="BQ75" s="1117"/>
      <c r="BR75" s="1117"/>
      <c r="BS75" s="1117"/>
      <c r="BT75" s="1117"/>
      <c r="BU75" s="1116">
        <f>IF(BO84=15,11)</f>
        <v>11</v>
      </c>
      <c r="BV75" s="1111"/>
      <c r="BW75" s="1104"/>
      <c r="BX75" s="1094"/>
      <c r="BY75" s="1093"/>
      <c r="BZ75" s="1093"/>
      <c r="CA75" s="1093"/>
      <c r="CB75" s="1093"/>
      <c r="CC75" s="1093"/>
      <c r="CD75" s="1093"/>
      <c r="CE75" s="1093"/>
      <c r="CF75" s="1093"/>
    </row>
    <row r="76" spans="2:85" ht="21.75" hidden="1" customHeight="1" thickTop="1" thickBot="1" x14ac:dyDescent="0.45">
      <c r="B76" s="1452"/>
      <c r="C76" s="1451"/>
      <c r="D76" s="2086"/>
      <c r="E76" s="1453"/>
      <c r="AQ76" s="489"/>
      <c r="AR76" s="489"/>
      <c r="AS76" s="1099"/>
      <c r="AT76" s="1099"/>
      <c r="AU76" s="1053"/>
      <c r="AV76" s="1053"/>
      <c r="AW76" s="1053"/>
      <c r="AX76" s="1053"/>
      <c r="AY76" s="524"/>
      <c r="AZ76" s="1112"/>
      <c r="BA76" s="1112"/>
      <c r="BB76" s="1111"/>
      <c r="BC76" s="1112"/>
      <c r="BD76" s="1112"/>
      <c r="BE76" s="1112"/>
      <c r="BH76" s="476" t="s">
        <v>85</v>
      </c>
      <c r="BI76" s="1115" t="b">
        <f>IF(BN84=14,1)</f>
        <v>0</v>
      </c>
      <c r="BJ76" s="1114"/>
      <c r="BK76" s="1114"/>
      <c r="BL76" s="1114"/>
      <c r="BM76" s="1114"/>
      <c r="BN76" s="1114"/>
      <c r="BO76" s="1114"/>
      <c r="BP76" s="1114"/>
      <c r="BQ76" s="1114"/>
      <c r="BR76" s="1114"/>
      <c r="BS76" s="1113" t="b">
        <f>IF(BN84=14,9)</f>
        <v>0</v>
      </c>
      <c r="BT76" s="1112"/>
      <c r="BU76" s="1112"/>
      <c r="BV76" s="1111"/>
      <c r="BW76" s="1104"/>
      <c r="BX76" s="1094"/>
      <c r="BY76" s="1093"/>
      <c r="BZ76" s="1093"/>
      <c r="CA76" s="1093"/>
      <c r="CB76" s="1093"/>
      <c r="CC76" s="1093"/>
      <c r="CD76" s="1093"/>
      <c r="CE76" s="1093"/>
      <c r="CF76" s="1093"/>
    </row>
    <row r="77" spans="2:85" ht="21.75" hidden="1" customHeight="1" thickTop="1" thickBot="1" x14ac:dyDescent="0.45">
      <c r="B77" s="1452"/>
      <c r="C77" s="1451"/>
      <c r="D77" s="2086"/>
      <c r="E77" s="1453"/>
      <c r="AQ77" s="489"/>
      <c r="AR77" s="489"/>
      <c r="AS77" s="1099"/>
      <c r="AT77" s="1099"/>
      <c r="AU77" s="1053"/>
      <c r="AV77" s="1053"/>
      <c r="AW77" s="1053"/>
      <c r="AX77" s="1053"/>
      <c r="AY77" s="524"/>
      <c r="AZ77" s="1112"/>
      <c r="BA77" s="1112"/>
      <c r="BB77" s="1111"/>
      <c r="BC77" s="1112"/>
      <c r="BD77" s="1112"/>
      <c r="BE77" s="1112"/>
      <c r="BH77" s="474">
        <v>5</v>
      </c>
      <c r="BI77" s="1101" t="b">
        <f>IF(BM84=13,1)</f>
        <v>0</v>
      </c>
      <c r="BJ77" s="1117"/>
      <c r="BK77" s="1117"/>
      <c r="BL77" s="1118"/>
      <c r="BM77" s="1117"/>
      <c r="BN77" s="1118"/>
      <c r="BO77" s="1117"/>
      <c r="BP77" s="1117"/>
      <c r="BQ77" s="1116" t="b">
        <f>IF(BM84=13,7)</f>
        <v>0</v>
      </c>
      <c r="BR77" s="1112"/>
      <c r="BS77" s="1112"/>
      <c r="BT77" s="1112"/>
      <c r="BU77" s="1112"/>
      <c r="BV77" s="1111"/>
      <c r="BW77" s="1104"/>
      <c r="BX77" s="1094"/>
      <c r="BY77" s="1093"/>
      <c r="BZ77" s="1093"/>
      <c r="CA77" s="1093"/>
      <c r="CB77" s="1093"/>
      <c r="CC77" s="1093"/>
      <c r="CD77" s="1093"/>
      <c r="CE77" s="1093"/>
      <c r="CF77" s="1093"/>
    </row>
    <row r="78" spans="2:85" ht="21.75" hidden="1" customHeight="1" thickTop="1" thickBot="1" x14ac:dyDescent="0.45">
      <c r="B78" s="1452"/>
      <c r="C78" s="1451"/>
      <c r="D78" s="2086"/>
      <c r="E78" s="1453"/>
      <c r="AQ78" s="489"/>
      <c r="AR78" s="489"/>
      <c r="AS78" s="1099"/>
      <c r="AT78" s="1099"/>
      <c r="AU78" s="1053"/>
      <c r="AV78" s="1053"/>
      <c r="AW78" s="1053"/>
      <c r="AX78" s="1053"/>
      <c r="AY78" s="524"/>
      <c r="AZ78" s="1112"/>
      <c r="BA78" s="1112"/>
      <c r="BB78" s="1111"/>
      <c r="BC78" s="1112"/>
      <c r="BD78" s="1112"/>
      <c r="BE78" s="1112"/>
      <c r="BH78" s="474">
        <v>4</v>
      </c>
      <c r="BI78" s="1111"/>
      <c r="BK78" s="1115" t="b">
        <f>IF(BL84=12,3)</f>
        <v>0</v>
      </c>
      <c r="BL78" s="1114"/>
      <c r="BM78" s="1113" t="b">
        <f>IF(BL84=12,5)</f>
        <v>0</v>
      </c>
      <c r="BO78" s="1112"/>
      <c r="BP78" s="1112"/>
      <c r="BQ78" s="1112"/>
      <c r="BR78" s="1112"/>
      <c r="BS78" s="1112"/>
      <c r="BT78" s="1112"/>
      <c r="BU78" s="1112"/>
      <c r="BV78" s="1111"/>
      <c r="BW78" s="1104"/>
      <c r="BX78" s="1094"/>
      <c r="BY78" s="1093"/>
      <c r="BZ78" s="1093"/>
      <c r="CA78" s="1093"/>
      <c r="CB78" s="1093"/>
      <c r="CC78" s="1093"/>
      <c r="CD78" s="1093"/>
      <c r="CE78" s="1093"/>
      <c r="CF78" s="1093"/>
    </row>
    <row r="79" spans="2:85" ht="21.75" hidden="1" customHeight="1" thickTop="1" thickBot="1" x14ac:dyDescent="0.45">
      <c r="B79" s="1452"/>
      <c r="C79" s="1451"/>
      <c r="D79" s="2086"/>
      <c r="E79" s="1453"/>
      <c r="AQ79" s="489"/>
      <c r="AR79" s="489"/>
      <c r="AS79" s="1099"/>
      <c r="AT79" s="1099"/>
      <c r="AU79" s="1053"/>
      <c r="AV79" s="1053"/>
      <c r="AW79" s="1053"/>
      <c r="AX79" s="1053"/>
      <c r="AY79" s="524"/>
      <c r="AZ79" s="1112"/>
      <c r="BA79" s="1112"/>
      <c r="BB79" s="1111"/>
      <c r="BC79" s="1112"/>
      <c r="BD79" s="1112"/>
      <c r="BE79" s="1112"/>
      <c r="BH79" s="474">
        <v>3</v>
      </c>
      <c r="BI79" s="1101" t="b">
        <f>IF(BK84=11,1)</f>
        <v>0</v>
      </c>
      <c r="BJ79" s="1117"/>
      <c r="BK79" s="1117"/>
      <c r="BL79" s="1117"/>
      <c r="BM79" s="1116" t="b">
        <f>IF(BK84=11,5)</f>
        <v>0</v>
      </c>
      <c r="BN79" s="1112"/>
      <c r="BO79" s="1112"/>
      <c r="BP79" s="1112"/>
      <c r="BQ79" s="1112"/>
      <c r="BR79" s="1112"/>
      <c r="BS79" s="1112"/>
      <c r="BT79" s="1112"/>
      <c r="BU79" s="1112"/>
      <c r="BV79" s="1111"/>
      <c r="BW79" s="1104"/>
      <c r="BX79" s="1094"/>
      <c r="BY79" s="1093"/>
      <c r="BZ79" s="1093"/>
      <c r="CA79" s="1093"/>
      <c r="CB79" s="1093"/>
      <c r="CC79" s="1093"/>
      <c r="CD79" s="1093"/>
      <c r="CE79" s="1093"/>
      <c r="CF79" s="1093"/>
    </row>
    <row r="80" spans="2:85" ht="21.75" hidden="1" customHeight="1" thickTop="1" thickBot="1" x14ac:dyDescent="0.45">
      <c r="B80" s="1452"/>
      <c r="C80" s="1451"/>
      <c r="D80" s="2086"/>
      <c r="E80" s="1453"/>
      <c r="AQ80" s="489"/>
      <c r="AR80" s="489"/>
      <c r="AS80" s="1099"/>
      <c r="AT80" s="1099"/>
      <c r="AU80" s="1053"/>
      <c r="AV80" s="1053"/>
      <c r="AW80" s="1053"/>
      <c r="AX80" s="1053"/>
      <c r="AY80" s="524"/>
      <c r="AZ80" s="1112"/>
      <c r="BA80" s="1112"/>
      <c r="BB80" s="1111"/>
      <c r="BC80" s="1112"/>
      <c r="BD80" s="1112"/>
      <c r="BE80" s="1112"/>
      <c r="BH80" s="474">
        <v>2</v>
      </c>
      <c r="BI80" s="1115" t="b">
        <f>IF(BJ84=10,1)</f>
        <v>0</v>
      </c>
      <c r="BJ80" s="1114"/>
      <c r="BK80" s="1113" t="b">
        <f>IF(BJ84=10,3)</f>
        <v>0</v>
      </c>
      <c r="BL80" s="1112"/>
      <c r="BM80" s="1112"/>
      <c r="BN80" s="1112"/>
      <c r="BO80" s="1112"/>
      <c r="BP80" s="1112"/>
      <c r="BQ80" s="1112"/>
      <c r="BR80" s="1112"/>
      <c r="BS80" s="1112"/>
      <c r="BT80" s="1112"/>
      <c r="BU80" s="1112"/>
      <c r="BV80" s="1111"/>
      <c r="BW80" s="1104"/>
      <c r="BX80" s="1094"/>
      <c r="BY80" s="1093"/>
      <c r="BZ80" s="1093"/>
      <c r="CA80" s="1093"/>
      <c r="CB80" s="1093"/>
      <c r="CC80" s="1093"/>
      <c r="CD80" s="1093"/>
      <c r="CE80" s="1093"/>
      <c r="CF80" s="1093"/>
    </row>
    <row r="81" spans="2:86" ht="32.25" hidden="1" customHeight="1" thickBot="1" x14ac:dyDescent="0.45">
      <c r="B81" s="1452"/>
      <c r="C81" s="1451"/>
      <c r="D81" s="2086"/>
      <c r="E81" s="1453"/>
      <c r="AQ81" s="489"/>
      <c r="AR81" s="489"/>
      <c r="AS81" s="1099"/>
      <c r="AT81" s="1099"/>
      <c r="AU81" s="1053"/>
      <c r="AV81" s="1053"/>
      <c r="AW81" s="1053"/>
      <c r="AX81" s="1053"/>
      <c r="AY81" s="524"/>
      <c r="AZ81" s="1112"/>
      <c r="BA81" s="1112"/>
      <c r="BB81" s="1111"/>
      <c r="BC81" s="1112"/>
      <c r="BD81" s="1112"/>
      <c r="BE81" s="1112"/>
      <c r="BF81" s="1096"/>
      <c r="BG81" s="1112"/>
      <c r="BH81" s="1112"/>
      <c r="BI81" s="1112"/>
      <c r="BJ81" s="1112"/>
      <c r="BK81" s="1112"/>
      <c r="BL81" s="1112"/>
      <c r="BM81" s="1112"/>
      <c r="BN81" s="1112"/>
      <c r="BO81" s="1112"/>
      <c r="BP81" s="1112"/>
      <c r="BQ81" s="1112"/>
      <c r="BR81" s="1112"/>
      <c r="BS81" s="1111"/>
      <c r="BT81" s="1104"/>
      <c r="BU81" s="1104"/>
      <c r="BV81" s="1104"/>
      <c r="BW81" s="1104"/>
      <c r="BX81" s="1094"/>
      <c r="BY81" s="1093"/>
      <c r="BZ81" s="1093"/>
      <c r="CA81" s="1093"/>
      <c r="CB81" s="1093"/>
      <c r="CC81" s="1093"/>
      <c r="CD81" s="1093"/>
      <c r="CE81" s="1093"/>
      <c r="CF81" s="1093"/>
    </row>
    <row r="82" spans="2:86" ht="43.2" thickTop="1" thickBot="1" x14ac:dyDescent="0.45">
      <c r="B82" s="1420" t="str">
        <f>IF(B85=TRUE,"O K","OVERLOAD")</f>
        <v>O K</v>
      </c>
      <c r="C82" s="1454"/>
      <c r="D82" s="2087"/>
      <c r="E82" s="1420" t="str">
        <f>IF(E85=TRUE,"O K ","OVERLOAD")</f>
        <v xml:space="preserve">O K </v>
      </c>
      <c r="AQ82" s="489"/>
      <c r="AR82" s="489"/>
      <c r="AS82" s="1099"/>
      <c r="AT82" s="1099"/>
      <c r="AU82" s="1053"/>
      <c r="AV82" s="1053"/>
      <c r="AW82" s="1053"/>
      <c r="AX82" s="1053"/>
      <c r="AY82" s="524"/>
      <c r="AZ82" s="1110" t="s">
        <v>82</v>
      </c>
      <c r="BA82" s="2078"/>
      <c r="BB82" s="2079"/>
      <c r="BC82" s="2079"/>
      <c r="BD82" s="2079"/>
      <c r="BE82" s="2079"/>
      <c r="BF82" s="2079"/>
      <c r="BG82" s="2079"/>
      <c r="BH82" s="2080"/>
      <c r="BI82" s="1109">
        <f t="shared" ref="BI82:BV82" si="1">SUM(BI69:BI81)</f>
        <v>1</v>
      </c>
      <c r="BJ82" s="1108">
        <f t="shared" si="1"/>
        <v>0</v>
      </c>
      <c r="BK82" s="1108">
        <f t="shared" si="1"/>
        <v>0</v>
      </c>
      <c r="BL82" s="1108">
        <f t="shared" si="1"/>
        <v>0</v>
      </c>
      <c r="BM82" s="1108">
        <f t="shared" si="1"/>
        <v>0</v>
      </c>
      <c r="BN82" s="1108">
        <f t="shared" si="1"/>
        <v>0</v>
      </c>
      <c r="BO82" s="1108">
        <f t="shared" si="1"/>
        <v>0</v>
      </c>
      <c r="BP82" s="1108">
        <f t="shared" si="1"/>
        <v>0</v>
      </c>
      <c r="BQ82" s="1108">
        <f t="shared" si="1"/>
        <v>0</v>
      </c>
      <c r="BR82" s="1108">
        <f t="shared" si="1"/>
        <v>0</v>
      </c>
      <c r="BS82" s="1108">
        <f t="shared" si="1"/>
        <v>0</v>
      </c>
      <c r="BT82" s="1108">
        <f t="shared" si="1"/>
        <v>0</v>
      </c>
      <c r="BU82" s="1108">
        <f t="shared" si="1"/>
        <v>11</v>
      </c>
      <c r="BV82" s="1107">
        <f t="shared" si="1"/>
        <v>0</v>
      </c>
      <c r="BW82" s="2078"/>
      <c r="BX82" s="2079"/>
      <c r="BY82" s="2079"/>
      <c r="BZ82" s="2079"/>
      <c r="CA82" s="2079"/>
      <c r="CB82" s="2079"/>
      <c r="CC82" s="2079"/>
      <c r="CD82" s="2080"/>
      <c r="CE82" s="1093"/>
      <c r="CF82" s="1093"/>
    </row>
    <row r="83" spans="2:86" ht="22.5" customHeight="1" thickTop="1" thickBot="1" x14ac:dyDescent="0.45">
      <c r="B83" s="2077" t="s">
        <v>77</v>
      </c>
      <c r="C83" s="2077"/>
      <c r="D83" s="2077"/>
      <c r="E83" s="2077"/>
      <c r="AQ83" s="489"/>
      <c r="AR83" s="489"/>
      <c r="AS83" s="1099"/>
      <c r="AT83" s="1099"/>
      <c r="AU83" s="1053"/>
      <c r="AV83" s="1053"/>
      <c r="AW83" s="1053"/>
      <c r="AX83" s="1053"/>
      <c r="AY83" s="524"/>
      <c r="AZ83" s="1106"/>
      <c r="BA83" s="1104"/>
      <c r="BB83" s="1105"/>
      <c r="BC83" s="1104"/>
      <c r="BD83" s="1104"/>
      <c r="BE83" s="1104"/>
      <c r="BF83" s="1105"/>
      <c r="BG83" s="1104"/>
      <c r="BH83" s="1104"/>
      <c r="BI83" s="1104"/>
      <c r="BJ83" s="1104"/>
      <c r="BK83" s="1104"/>
      <c r="BL83" s="1104"/>
      <c r="BM83" s="1104"/>
      <c r="BN83" s="1104"/>
      <c r="BO83" s="1104"/>
      <c r="BP83" s="1104"/>
      <c r="BQ83" s="1104"/>
      <c r="BR83" s="1104"/>
      <c r="BS83" s="1104"/>
      <c r="BT83" s="1104"/>
      <c r="BU83" s="1104"/>
      <c r="BV83" s="1104"/>
      <c r="BW83" s="1104"/>
      <c r="BX83" s="1094"/>
      <c r="BY83" s="1093"/>
      <c r="BZ83" s="1093"/>
      <c r="CA83" s="1093"/>
      <c r="CB83" s="1093"/>
      <c r="CC83" s="1093"/>
      <c r="CD83" s="1093"/>
      <c r="CE83" s="1093"/>
      <c r="CF83" s="1093"/>
    </row>
    <row r="84" spans="2:86" ht="22.2" hidden="1" thickTop="1" thickBot="1" x14ac:dyDescent="0.45">
      <c r="B84" s="1452"/>
      <c r="C84" s="1451"/>
      <c r="D84" s="1451"/>
      <c r="E84" s="1453"/>
      <c r="AQ84" s="489"/>
      <c r="AR84" s="489"/>
      <c r="AS84" s="1099"/>
      <c r="AT84" s="1099"/>
      <c r="AU84" s="1053"/>
      <c r="AV84" s="1053"/>
      <c r="AW84" s="1053"/>
      <c r="AX84" s="1053"/>
      <c r="AY84" s="524"/>
      <c r="AZ84" s="1096"/>
      <c r="BA84" s="1102" t="b">
        <f>+AX110</f>
        <v>0</v>
      </c>
      <c r="BB84" s="1102" t="b">
        <f>+AX111</f>
        <v>0</v>
      </c>
      <c r="BC84" s="1102" t="b">
        <f>+AX112</f>
        <v>0</v>
      </c>
      <c r="BD84" s="1102" t="b">
        <f>+AX113</f>
        <v>0</v>
      </c>
      <c r="BE84" s="1102" t="b">
        <f>+AX114</f>
        <v>0</v>
      </c>
      <c r="BF84" s="1102" t="b">
        <f>+AX115</f>
        <v>0</v>
      </c>
      <c r="BG84" s="1102" t="b">
        <f>+AX116</f>
        <v>0</v>
      </c>
      <c r="BH84" s="1102" t="b">
        <f>+AX117</f>
        <v>0</v>
      </c>
      <c r="BI84" s="1102" t="b">
        <f>+AX118</f>
        <v>0</v>
      </c>
      <c r="BJ84" s="1102" t="b">
        <f>+AX119</f>
        <v>0</v>
      </c>
      <c r="BK84" s="1102" t="b">
        <f>+AX120</f>
        <v>0</v>
      </c>
      <c r="BL84" s="1102" t="b">
        <f>+AX121</f>
        <v>0</v>
      </c>
      <c r="BM84" s="1102" t="b">
        <f>+AX122</f>
        <v>0</v>
      </c>
      <c r="BN84" s="1102" t="b">
        <f>+AX123</f>
        <v>0</v>
      </c>
      <c r="BO84" s="1102">
        <f>+AX124</f>
        <v>15</v>
      </c>
      <c r="BP84" s="1102" t="b">
        <f>+AX125</f>
        <v>0</v>
      </c>
      <c r="BQ84" s="1102" t="b">
        <f>+AX126</f>
        <v>0</v>
      </c>
      <c r="BR84" s="1102" t="b">
        <f>+AX127</f>
        <v>0</v>
      </c>
      <c r="BS84" s="1102" t="b">
        <f>+AX128</f>
        <v>0</v>
      </c>
      <c r="BT84" s="1102" t="b">
        <f>+AX129</f>
        <v>0</v>
      </c>
      <c r="BU84" s="1102" t="b">
        <f>+AX130</f>
        <v>0</v>
      </c>
      <c r="BV84" s="1102" t="b">
        <f>+AX131</f>
        <v>0</v>
      </c>
      <c r="BW84" s="1102" t="b">
        <f>+AX132</f>
        <v>0</v>
      </c>
      <c r="BX84" s="1102" t="b">
        <f>+AX133</f>
        <v>0</v>
      </c>
      <c r="BY84" s="1102" t="b">
        <f>+AX134</f>
        <v>0</v>
      </c>
      <c r="BZ84" s="1102" t="b">
        <f>+AX135</f>
        <v>0</v>
      </c>
      <c r="CA84" s="1102" t="b">
        <f>+AX136</f>
        <v>0</v>
      </c>
      <c r="CB84" s="1102" t="b">
        <f>+AX137</f>
        <v>0</v>
      </c>
      <c r="CC84" s="1102" t="b">
        <f>+AX138</f>
        <v>0</v>
      </c>
      <c r="CD84" s="1102" t="b">
        <f>+AX139</f>
        <v>0</v>
      </c>
      <c r="CE84" s="1093"/>
      <c r="CF84" s="1093"/>
    </row>
    <row r="85" spans="2:86" ht="22.2" hidden="1" thickTop="1" thickBot="1" x14ac:dyDescent="0.45">
      <c r="B85" s="1455" t="b">
        <f>AND(B92&gt;=10,D92&gt;=10,AN114&gt;=10,AO114&gt;=10)</f>
        <v>1</v>
      </c>
      <c r="C85" s="1451"/>
      <c r="D85" s="1426"/>
      <c r="E85" s="1456" t="b">
        <f>AND(B92&gt;=10,D92&gt;=10,E92&gt;=10,AN114&gt;=10,AO114&gt;=10)</f>
        <v>1</v>
      </c>
      <c r="AQ85" s="489"/>
      <c r="AR85" s="489"/>
      <c r="AS85" s="1099"/>
      <c r="AT85" s="1099"/>
      <c r="AU85" s="1053"/>
      <c r="AV85" s="1053"/>
      <c r="AW85" s="1053"/>
      <c r="AX85" s="1053"/>
      <c r="AY85" s="524"/>
      <c r="AZ85" s="1094" t="s">
        <v>27</v>
      </c>
      <c r="BA85" s="1102" t="b">
        <f t="shared" ref="BA85:CD85" si="2">+BA84</f>
        <v>0</v>
      </c>
      <c r="BB85" s="1102" t="b">
        <f t="shared" si="2"/>
        <v>0</v>
      </c>
      <c r="BC85" s="1102" t="b">
        <f t="shared" si="2"/>
        <v>0</v>
      </c>
      <c r="BD85" s="1102" t="b">
        <f t="shared" si="2"/>
        <v>0</v>
      </c>
      <c r="BE85" s="1102" t="b">
        <f t="shared" si="2"/>
        <v>0</v>
      </c>
      <c r="BF85" s="1102" t="b">
        <f t="shared" si="2"/>
        <v>0</v>
      </c>
      <c r="BG85" s="1102" t="b">
        <f t="shared" si="2"/>
        <v>0</v>
      </c>
      <c r="BH85" s="1102" t="b">
        <f t="shared" si="2"/>
        <v>0</v>
      </c>
      <c r="BI85" s="1102" t="b">
        <f t="shared" si="2"/>
        <v>0</v>
      </c>
      <c r="BJ85" s="1102" t="b">
        <f t="shared" si="2"/>
        <v>0</v>
      </c>
      <c r="BK85" s="1102" t="b">
        <f t="shared" si="2"/>
        <v>0</v>
      </c>
      <c r="BL85" s="1102" t="b">
        <f t="shared" si="2"/>
        <v>0</v>
      </c>
      <c r="BM85" s="1102" t="b">
        <f t="shared" si="2"/>
        <v>0</v>
      </c>
      <c r="BN85" s="1102" t="b">
        <f t="shared" si="2"/>
        <v>0</v>
      </c>
      <c r="BO85" s="1102">
        <f t="shared" si="2"/>
        <v>15</v>
      </c>
      <c r="BP85" s="1102" t="b">
        <f t="shared" si="2"/>
        <v>0</v>
      </c>
      <c r="BQ85" s="1102" t="b">
        <f t="shared" si="2"/>
        <v>0</v>
      </c>
      <c r="BR85" s="1102" t="b">
        <f t="shared" si="2"/>
        <v>0</v>
      </c>
      <c r="BS85" s="1102" t="b">
        <f t="shared" si="2"/>
        <v>0</v>
      </c>
      <c r="BT85" s="1102" t="b">
        <f t="shared" si="2"/>
        <v>0</v>
      </c>
      <c r="BU85" s="1102" t="b">
        <f t="shared" si="2"/>
        <v>0</v>
      </c>
      <c r="BV85" s="1102" t="b">
        <f t="shared" si="2"/>
        <v>0</v>
      </c>
      <c r="BW85" s="1102" t="b">
        <f t="shared" si="2"/>
        <v>0</v>
      </c>
      <c r="BX85" s="1102" t="b">
        <f t="shared" si="2"/>
        <v>0</v>
      </c>
      <c r="BY85" s="1102" t="b">
        <f t="shared" si="2"/>
        <v>0</v>
      </c>
      <c r="BZ85" s="1102" t="b">
        <f t="shared" si="2"/>
        <v>0</v>
      </c>
      <c r="CA85" s="1102" t="b">
        <f t="shared" si="2"/>
        <v>0</v>
      </c>
      <c r="CB85" s="1102" t="b">
        <f t="shared" si="2"/>
        <v>0</v>
      </c>
      <c r="CC85" s="1102" t="b">
        <f t="shared" si="2"/>
        <v>0</v>
      </c>
      <c r="CD85" s="1102" t="b">
        <f t="shared" si="2"/>
        <v>0</v>
      </c>
      <c r="CE85" s="1093"/>
      <c r="CF85" s="1093"/>
    </row>
    <row r="86" spans="2:86" ht="30" customHeight="1" thickTop="1" thickBot="1" x14ac:dyDescent="0.45">
      <c r="B86" s="1444" t="s">
        <v>170</v>
      </c>
      <c r="C86" s="1454"/>
      <c r="D86" s="1444" t="s">
        <v>171</v>
      </c>
      <c r="E86" s="1444" t="s">
        <v>168</v>
      </c>
      <c r="AQ86" s="489"/>
      <c r="AR86" s="489"/>
      <c r="AS86" s="1099"/>
      <c r="AT86" s="1099"/>
      <c r="AU86" s="1053"/>
      <c r="AV86" s="1053"/>
      <c r="AW86" s="1053"/>
      <c r="AX86" s="1053"/>
      <c r="AY86" s="524"/>
      <c r="AZ86" s="1101" t="s">
        <v>27</v>
      </c>
      <c r="BA86" s="1100" t="str">
        <f>IF(BA85=1,"A ","")</f>
        <v/>
      </c>
      <c r="BB86" s="1017" t="str">
        <f>IF(BB85=2,"B ","")</f>
        <v/>
      </c>
      <c r="BC86" s="1017" t="str">
        <f>IF(BC85=3,"C ","")</f>
        <v/>
      </c>
      <c r="BD86" s="1017" t="str">
        <f>IF(BD85=4,"D ","")</f>
        <v/>
      </c>
      <c r="BE86" s="1017" t="str">
        <f>IF(BE85=5,"E ","")</f>
        <v/>
      </c>
      <c r="BF86" s="1017" t="str">
        <f>IF(BF85=6,"F ","")</f>
        <v/>
      </c>
      <c r="BG86" s="1017" t="str">
        <f>IF(BG85=7,"G ","")</f>
        <v/>
      </c>
      <c r="BH86" s="1017" t="str">
        <f>IF(BH85=8,"H ","")</f>
        <v/>
      </c>
      <c r="BI86" s="1017" t="str">
        <f>IF(BI85=9,"1 ","")</f>
        <v/>
      </c>
      <c r="BJ86" s="1017" t="str">
        <f>IF(BJ85=10,"2 ","")</f>
        <v/>
      </c>
      <c r="BK86" s="1017" t="str">
        <f>IF(BK85=11,"3 ","")</f>
        <v/>
      </c>
      <c r="BL86" s="1017" t="str">
        <f>IF(BL85=12,"4 ","")</f>
        <v/>
      </c>
      <c r="BM86" s="1017" t="str">
        <f>IF(BM85=13,"5 ","")</f>
        <v/>
      </c>
      <c r="BN86" s="1017" t="str">
        <f>IF(BN85=14,"i ","")</f>
        <v/>
      </c>
      <c r="BO86" s="1017" t="str">
        <f>IF(BO85=15,"J ","")</f>
        <v xml:space="preserve">J </v>
      </c>
      <c r="BP86" s="1017" t="str">
        <f>IF(BP85=16,"6 ","")</f>
        <v/>
      </c>
      <c r="BQ86" s="1017" t="str">
        <f>IF(BQ85=17,"7 ","")</f>
        <v/>
      </c>
      <c r="BR86" s="1017" t="str">
        <f>IF(BR85=18,"8 ","")</f>
        <v/>
      </c>
      <c r="BS86" s="1017" t="str">
        <f>IF(BS85=19,"9 ","")</f>
        <v/>
      </c>
      <c r="BT86" s="1017" t="str">
        <f>IF(BT85=20,"10 ","")</f>
        <v/>
      </c>
      <c r="BU86" s="1017" t="str">
        <f>IF(BU85=21,"11 ","")</f>
        <v/>
      </c>
      <c r="BV86" s="1017" t="str">
        <f>IF(BV85=22,"12 ","")</f>
        <v/>
      </c>
      <c r="BW86" s="1017" t="str">
        <f>IF(BW85=23,"K ","")</f>
        <v/>
      </c>
      <c r="BX86" s="1017" t="str">
        <f>IF(BX85=24,"L ","")</f>
        <v/>
      </c>
      <c r="BY86" s="1017" t="str">
        <f>IF(BY85=25,"M ","")</f>
        <v/>
      </c>
      <c r="BZ86" s="1017" t="str">
        <f>IF(BZ85=26,"N ","")</f>
        <v/>
      </c>
      <c r="CA86" s="1017" t="str">
        <f>IF(CA85=27,"O ","")</f>
        <v/>
      </c>
      <c r="CB86" s="1017" t="str">
        <f>IF(CB85=28,"P ","")</f>
        <v/>
      </c>
      <c r="CC86" s="1017" t="str">
        <f>IF(CC85=29,"Q ","")</f>
        <v/>
      </c>
      <c r="CD86" s="1019" t="str">
        <f>IF(CD85=30,"R ","")</f>
        <v/>
      </c>
      <c r="CE86" s="1093"/>
      <c r="CF86" s="1093"/>
    </row>
    <row r="87" spans="2:86" ht="22.2" hidden="1" thickTop="1" thickBot="1" x14ac:dyDescent="0.45">
      <c r="B87" s="1457"/>
      <c r="C87" s="1454"/>
      <c r="D87" s="1458"/>
      <c r="E87" s="1459"/>
      <c r="AQ87" s="489"/>
      <c r="AR87" s="489"/>
      <c r="AS87" s="1099"/>
      <c r="AT87" s="1099"/>
      <c r="AU87" s="1053"/>
      <c r="AV87" s="1053"/>
      <c r="AW87" s="1053"/>
      <c r="AX87" s="1053"/>
      <c r="AY87" s="524"/>
      <c r="AZ87" s="1093"/>
      <c r="BA87" s="1097">
        <v>1</v>
      </c>
      <c r="BB87" s="1097">
        <v>2</v>
      </c>
      <c r="BC87" s="1097">
        <v>3</v>
      </c>
      <c r="BD87" s="1097">
        <v>4</v>
      </c>
      <c r="BE87" s="1097">
        <v>5</v>
      </c>
      <c r="BF87" s="1097">
        <v>6</v>
      </c>
      <c r="BG87" s="1097">
        <v>7</v>
      </c>
      <c r="BH87" s="1097">
        <v>8</v>
      </c>
      <c r="BI87" s="1097">
        <v>9</v>
      </c>
      <c r="BJ87" s="1097">
        <v>10</v>
      </c>
      <c r="BK87" s="1097">
        <v>11</v>
      </c>
      <c r="BL87" s="1097">
        <v>12</v>
      </c>
      <c r="BM87" s="1097">
        <v>13</v>
      </c>
      <c r="BN87" s="1097">
        <v>14</v>
      </c>
      <c r="BO87" s="1097">
        <v>15</v>
      </c>
      <c r="BP87" s="1097">
        <v>16</v>
      </c>
      <c r="BQ87" s="1097">
        <v>17</v>
      </c>
      <c r="BR87" s="1097">
        <v>18</v>
      </c>
      <c r="BS87" s="1097">
        <v>19</v>
      </c>
      <c r="BT87" s="1097">
        <v>20</v>
      </c>
      <c r="BU87" s="1097">
        <v>21</v>
      </c>
      <c r="BV87" s="1097">
        <v>22</v>
      </c>
      <c r="BW87" s="1097">
        <v>23</v>
      </c>
      <c r="BX87" s="1097">
        <v>24</v>
      </c>
      <c r="BY87" s="1097">
        <v>25</v>
      </c>
      <c r="BZ87" s="1097">
        <v>26</v>
      </c>
      <c r="CA87" s="1097">
        <v>27</v>
      </c>
      <c r="CB87" s="1097">
        <v>28</v>
      </c>
      <c r="CC87" s="1097">
        <v>29</v>
      </c>
      <c r="CD87" s="1097">
        <v>30</v>
      </c>
      <c r="CE87" s="1093"/>
      <c r="CF87" s="1093"/>
    </row>
    <row r="88" spans="2:86" ht="22.2" hidden="1" thickTop="1" thickBot="1" x14ac:dyDescent="0.45">
      <c r="B88" s="1457"/>
      <c r="C88" s="1454"/>
      <c r="D88" s="1454"/>
      <c r="E88" s="1459"/>
      <c r="AQ88" s="489"/>
      <c r="AR88" s="489"/>
      <c r="AS88" s="1099"/>
      <c r="AT88" s="1099"/>
      <c r="AU88" s="1053"/>
      <c r="AV88" s="1053"/>
      <c r="AW88" s="1053"/>
      <c r="AX88" s="1053"/>
      <c r="AY88" s="524"/>
      <c r="AZ88" s="1093"/>
      <c r="BA88" s="1097" t="s">
        <v>33</v>
      </c>
      <c r="BB88" s="1097" t="s">
        <v>34</v>
      </c>
      <c r="BC88" s="1097" t="s">
        <v>35</v>
      </c>
      <c r="BD88" s="1097" t="s">
        <v>36</v>
      </c>
      <c r="BE88" s="1097" t="s">
        <v>37</v>
      </c>
      <c r="BF88" s="1097" t="s">
        <v>83</v>
      </c>
      <c r="BG88" s="1097" t="s">
        <v>16</v>
      </c>
      <c r="BH88" s="1097" t="s">
        <v>84</v>
      </c>
      <c r="BI88" s="1097">
        <v>1</v>
      </c>
      <c r="BJ88" s="1097">
        <v>2</v>
      </c>
      <c r="BK88" s="1097">
        <v>3</v>
      </c>
      <c r="BL88" s="1098">
        <v>4</v>
      </c>
      <c r="BM88" s="1097">
        <v>5</v>
      </c>
      <c r="BN88" s="1097" t="s">
        <v>85</v>
      </c>
      <c r="BO88" s="1097" t="s">
        <v>86</v>
      </c>
      <c r="BP88" s="1097">
        <v>6</v>
      </c>
      <c r="BQ88" s="1097">
        <v>7</v>
      </c>
      <c r="BR88" s="1097">
        <v>8</v>
      </c>
      <c r="BS88" s="1097">
        <v>9</v>
      </c>
      <c r="BT88" s="1097">
        <v>10</v>
      </c>
      <c r="BU88" s="1097">
        <v>11</v>
      </c>
      <c r="BV88" s="1097">
        <v>12</v>
      </c>
      <c r="BW88" s="1097" t="s">
        <v>87</v>
      </c>
      <c r="BX88" s="1097" t="s">
        <v>15</v>
      </c>
      <c r="BY88" s="1097" t="s">
        <v>88</v>
      </c>
      <c r="BZ88" s="1097" t="s">
        <v>89</v>
      </c>
      <c r="CA88" s="1097" t="s">
        <v>90</v>
      </c>
      <c r="CB88" s="1097" t="s">
        <v>91</v>
      </c>
      <c r="CC88" s="1097" t="s">
        <v>92</v>
      </c>
      <c r="CD88" s="1097" t="s">
        <v>93</v>
      </c>
    </row>
    <row r="89" spans="2:86" ht="22.2" hidden="1" thickTop="1" thickBot="1" x14ac:dyDescent="0.45">
      <c r="B89" s="1460"/>
      <c r="C89" s="1458"/>
      <c r="D89" s="1458"/>
      <c r="E89" s="1461"/>
      <c r="AQ89" s="489"/>
      <c r="AR89" s="489"/>
      <c r="AS89" s="1099"/>
      <c r="AT89" s="1099"/>
      <c r="AU89" s="1053"/>
      <c r="AV89" s="1053"/>
      <c r="AW89" s="1053"/>
      <c r="AX89" s="1053"/>
      <c r="AY89" s="524"/>
      <c r="AZ89" s="1093"/>
      <c r="BA89" s="1097"/>
      <c r="BB89" s="1097"/>
      <c r="BC89" s="1097"/>
      <c r="BD89" s="1097"/>
      <c r="BE89" s="1097"/>
      <c r="BF89" s="1097"/>
      <c r="BG89" s="1097"/>
      <c r="BH89" s="1097"/>
      <c r="BI89" s="1097"/>
      <c r="BJ89" s="1097"/>
      <c r="BK89" s="1097"/>
      <c r="BL89" s="1098"/>
      <c r="BM89" s="1097"/>
      <c r="BN89" s="1097"/>
      <c r="BO89" s="1097"/>
      <c r="BP89" s="1097"/>
      <c r="BQ89" s="1097"/>
      <c r="BR89" s="1097"/>
      <c r="BS89" s="1097"/>
      <c r="BT89" s="1097"/>
      <c r="BU89" s="1097"/>
      <c r="BV89" s="1097"/>
      <c r="BW89" s="1097"/>
      <c r="BX89" s="1097"/>
      <c r="BY89" s="1097"/>
      <c r="BZ89" s="1097"/>
      <c r="CA89" s="1097"/>
      <c r="CB89" s="1097"/>
      <c r="CC89" s="1097"/>
      <c r="CD89" s="1097"/>
    </row>
    <row r="90" spans="2:86" ht="22.2" hidden="1" thickTop="1" thickBot="1" x14ac:dyDescent="0.45">
      <c r="B90" s="1457"/>
      <c r="C90" s="1458"/>
      <c r="D90" s="1426"/>
      <c r="E90" s="1462"/>
      <c r="AQ90" s="489"/>
      <c r="AR90" s="489"/>
      <c r="AU90" s="1053"/>
      <c r="AV90" s="1053"/>
      <c r="AW90" s="1053"/>
      <c r="AX90" s="1053"/>
      <c r="AY90" s="524"/>
      <c r="AZ90" s="1096"/>
      <c r="BA90" s="1096"/>
      <c r="BB90" s="1096"/>
      <c r="BC90" s="1096"/>
      <c r="BD90" s="1096"/>
      <c r="BE90" s="1096"/>
      <c r="BF90" s="1095"/>
      <c r="BG90" s="1095"/>
      <c r="BH90" s="1095"/>
      <c r="BI90" s="1095"/>
      <c r="BJ90" s="1095"/>
      <c r="BK90" s="1095"/>
      <c r="BL90" s="1095"/>
      <c r="BM90" s="1095"/>
      <c r="BN90" s="1095"/>
      <c r="BO90" s="1095"/>
      <c r="BP90" s="1095"/>
      <c r="BQ90" s="1095"/>
      <c r="BR90" s="1095"/>
      <c r="BS90" s="1095"/>
      <c r="BT90" s="1094"/>
      <c r="BU90" s="1093"/>
      <c r="BV90" s="1093"/>
      <c r="BW90" s="1093"/>
      <c r="BX90" s="1093"/>
      <c r="BY90" s="1093"/>
      <c r="BZ90" s="1093"/>
      <c r="CA90" s="1093"/>
      <c r="CB90" s="1093"/>
      <c r="CC90" s="1093"/>
      <c r="CD90" s="1093"/>
      <c r="CE90" s="1093"/>
      <c r="CF90" s="1093"/>
    </row>
    <row r="91" spans="2:86" ht="18.600000000000001" hidden="1" thickTop="1" thickBot="1" x14ac:dyDescent="0.35">
      <c r="B91" s="1463">
        <f>+B16/AX67</f>
        <v>80.665924026371144</v>
      </c>
      <c r="C91" s="1458"/>
      <c r="D91" s="1463">
        <f>+C16/CF67</f>
        <v>89.837833167225682</v>
      </c>
      <c r="E91" s="1448">
        <f>D16/BA26</f>
        <v>58.694057226705795</v>
      </c>
      <c r="AQ91" s="489"/>
      <c r="AR91" s="489"/>
      <c r="AU91" s="1053"/>
      <c r="AV91" s="1053"/>
      <c r="AW91" s="1053"/>
      <c r="AX91" s="1053"/>
      <c r="AY91" s="524"/>
      <c r="AZ91" s="478"/>
      <c r="BA91" s="478"/>
      <c r="BB91" s="478"/>
      <c r="BC91" s="478"/>
      <c r="BD91" s="478"/>
      <c r="BE91" s="478"/>
      <c r="BF91" s="519"/>
      <c r="BG91" s="519"/>
      <c r="BH91" s="519"/>
      <c r="BI91" s="519"/>
      <c r="BJ91" s="519"/>
      <c r="BK91" s="519"/>
      <c r="BL91" s="519"/>
      <c r="BM91" s="519"/>
      <c r="BN91" s="519"/>
      <c r="BO91" s="519"/>
      <c r="BP91" s="519"/>
      <c r="BQ91" s="519"/>
      <c r="BR91" s="519"/>
      <c r="BS91" s="519"/>
      <c r="BT91" s="506"/>
    </row>
    <row r="92" spans="2:86" ht="29.25" customHeight="1" thickTop="1" thickBot="1" x14ac:dyDescent="0.35">
      <c r="B92" s="1463">
        <f>ABS(B91)</f>
        <v>80.665924026371144</v>
      </c>
      <c r="C92" s="1458"/>
      <c r="D92" s="1463">
        <f>ABS(D91)</f>
        <v>89.837833167225682</v>
      </c>
      <c r="E92" s="1367">
        <f>+IF(AND(D91&lt;&gt;TRUE,B91&lt;&gt;TRUE),E91)</f>
        <v>58.694057226705795</v>
      </c>
      <c r="AQ92" s="489"/>
      <c r="AR92" s="489"/>
      <c r="AU92" s="1053"/>
      <c r="AV92" s="1053"/>
      <c r="AW92" s="1053"/>
      <c r="AX92" s="1053"/>
      <c r="AY92" s="1091" t="s">
        <v>95</v>
      </c>
      <c r="AZ92" s="466"/>
      <c r="BC92" s="478"/>
      <c r="BD92" s="478"/>
      <c r="BE92" s="478"/>
      <c r="BF92" s="519"/>
      <c r="BG92" s="519"/>
      <c r="BH92" s="519"/>
      <c r="BI92" s="519"/>
      <c r="BJ92" s="519"/>
      <c r="BK92" s="519"/>
      <c r="BL92" s="519"/>
      <c r="BM92" s="519"/>
      <c r="BN92" s="519"/>
      <c r="BO92" s="519"/>
      <c r="BP92" s="519"/>
      <c r="BQ92" s="519"/>
      <c r="BR92" s="519"/>
      <c r="BS92" s="519"/>
      <c r="BT92" s="506"/>
      <c r="CB92" s="466"/>
      <c r="CF92" s="1091" t="s">
        <v>94</v>
      </c>
    </row>
    <row r="93" spans="2:86" ht="18.600000000000001" hidden="1" thickTop="1" thickBot="1" x14ac:dyDescent="0.35">
      <c r="B93" s="1092"/>
      <c r="AQ93" s="489"/>
      <c r="AR93" s="489"/>
      <c r="AU93" s="1053"/>
      <c r="AV93" s="1053"/>
      <c r="AW93" s="1053"/>
      <c r="AX93" s="1053"/>
      <c r="AY93" s="1091">
        <f>-+AU110</f>
        <v>686.00007274579139</v>
      </c>
      <c r="AZ93" s="466"/>
      <c r="BC93" s="478"/>
      <c r="BD93" s="478"/>
      <c r="BE93" s="478"/>
      <c r="BF93" s="519"/>
      <c r="BG93" s="519"/>
      <c r="BH93" s="519"/>
      <c r="BI93" s="519"/>
      <c r="BJ93" s="519"/>
      <c r="BK93" s="519"/>
      <c r="BL93" s="519"/>
      <c r="BM93" s="519"/>
      <c r="BN93" s="519"/>
      <c r="BO93" s="519"/>
      <c r="BP93" s="519"/>
      <c r="BQ93" s="519"/>
      <c r="BR93" s="519"/>
      <c r="BS93" s="519"/>
      <c r="BT93" s="506"/>
      <c r="BZ93" s="639"/>
      <c r="CB93" s="466"/>
      <c r="CF93" s="1091">
        <f>+-AU139</f>
        <v>-763.99992725420861</v>
      </c>
    </row>
    <row r="94" spans="2:86" ht="16.2" hidden="1" thickTop="1" x14ac:dyDescent="0.3">
      <c r="C94" s="1088"/>
      <c r="AQ94" s="489"/>
      <c r="AR94" s="489"/>
      <c r="AU94" s="1053"/>
      <c r="AV94" s="1053"/>
      <c r="AW94" s="1053"/>
      <c r="AX94" s="1053"/>
    </row>
    <row r="95" spans="2:86" ht="21" hidden="1" x14ac:dyDescent="0.4">
      <c r="B95" s="772"/>
      <c r="C95" s="1088"/>
      <c r="D95" s="1088"/>
      <c r="E95" s="1090"/>
      <c r="AQ95" s="489"/>
      <c r="AR95" s="489"/>
      <c r="AS95" s="489"/>
      <c r="AT95" s="489"/>
      <c r="AU95" s="489"/>
      <c r="AV95" s="489"/>
      <c r="AW95" s="489"/>
      <c r="AX95" s="489"/>
      <c r="AY95" s="489"/>
      <c r="CH95" s="489"/>
    </row>
    <row r="96" spans="2:86" ht="21" hidden="1" x14ac:dyDescent="0.4">
      <c r="B96" s="772"/>
      <c r="C96" s="1088"/>
      <c r="D96" s="1088"/>
      <c r="E96" s="1090"/>
      <c r="AQ96" s="489"/>
      <c r="AR96" s="489"/>
      <c r="AS96" s="524"/>
      <c r="AT96" s="524"/>
      <c r="AU96" s="524"/>
      <c r="AV96" s="524"/>
      <c r="AW96" s="524"/>
      <c r="AX96" s="524"/>
      <c r="AY96" s="524"/>
      <c r="CH96" s="489"/>
    </row>
    <row r="97" spans="2:110" ht="21" hidden="1" x14ac:dyDescent="0.4">
      <c r="B97" s="772"/>
      <c r="C97" s="1088"/>
      <c r="D97" s="1088"/>
      <c r="E97" s="1090"/>
      <c r="AQ97" s="489"/>
      <c r="AR97" s="489"/>
      <c r="AS97" s="524"/>
      <c r="AT97" s="524"/>
      <c r="AU97" s="524"/>
      <c r="AV97" s="524"/>
      <c r="AW97" s="524"/>
      <c r="AX97" s="524"/>
      <c r="AY97" s="524"/>
      <c r="BA97" s="478"/>
      <c r="BB97" s="478"/>
      <c r="BC97" s="478"/>
      <c r="BD97" s="478"/>
      <c r="BE97" s="478"/>
      <c r="BF97" s="478"/>
      <c r="BG97" s="519"/>
      <c r="BH97" s="519"/>
      <c r="BI97" s="519"/>
      <c r="BJ97" s="519"/>
      <c r="BK97" s="519"/>
      <c r="BL97" s="519"/>
      <c r="BM97" s="519"/>
      <c r="BN97" s="519"/>
      <c r="BO97" s="519"/>
      <c r="BP97" s="519"/>
      <c r="BQ97" s="519"/>
      <c r="BR97" s="519"/>
      <c r="BS97" s="519"/>
      <c r="BT97" s="519"/>
      <c r="BU97" s="506"/>
      <c r="CC97" s="489"/>
      <c r="CD97" s="489"/>
      <c r="CE97" s="489"/>
      <c r="CF97" s="489"/>
      <c r="CG97" s="489"/>
      <c r="CH97" s="489"/>
    </row>
    <row r="98" spans="2:110" ht="21" hidden="1" x14ac:dyDescent="0.4">
      <c r="B98" s="772"/>
      <c r="C98" s="1088"/>
      <c r="D98" s="1088"/>
      <c r="E98" s="1090"/>
      <c r="AQ98" s="489"/>
      <c r="AR98" s="489"/>
      <c r="AS98" s="524"/>
      <c r="AT98" s="524"/>
      <c r="AU98" s="524"/>
      <c r="AV98" s="524"/>
      <c r="AW98" s="524"/>
      <c r="AX98" s="524"/>
      <c r="BE98" s="478"/>
      <c r="BF98" s="478"/>
      <c r="BG98" s="519"/>
      <c r="BH98" s="519"/>
      <c r="BI98" s="519"/>
      <c r="BJ98" s="519"/>
      <c r="BK98" s="519"/>
      <c r="BL98" s="519"/>
      <c r="BM98" s="519"/>
      <c r="BN98" s="519"/>
      <c r="BO98" s="519"/>
      <c r="BP98" s="519"/>
      <c r="BQ98" s="519"/>
      <c r="BR98" s="519"/>
      <c r="BS98" s="519"/>
      <c r="BT98" s="519"/>
      <c r="BU98" s="506"/>
      <c r="CC98" s="489"/>
      <c r="CD98" s="489"/>
      <c r="CE98" s="489"/>
      <c r="CF98" s="489"/>
      <c r="CG98" s="489"/>
      <c r="CH98" s="489"/>
    </row>
    <row r="99" spans="2:110" ht="21" hidden="1" x14ac:dyDescent="0.4">
      <c r="B99" s="772"/>
      <c r="C99" s="1088"/>
      <c r="D99" s="1088"/>
      <c r="E99" s="1090"/>
      <c r="AQ99" s="489"/>
      <c r="AR99" s="489"/>
      <c r="BE99" s="478"/>
      <c r="BF99" s="478"/>
      <c r="BG99" s="519"/>
      <c r="BH99" s="519"/>
      <c r="BI99" s="519"/>
      <c r="BJ99" s="519"/>
      <c r="BK99" s="519"/>
      <c r="BL99" s="519"/>
      <c r="BM99" s="519"/>
      <c r="BN99" s="519"/>
      <c r="BO99" s="519"/>
      <c r="BP99" s="519"/>
      <c r="BQ99" s="519"/>
      <c r="BR99" s="519"/>
      <c r="BS99" s="519"/>
      <c r="BT99" s="519"/>
      <c r="BU99" s="506"/>
      <c r="CC99" s="489"/>
      <c r="CD99" s="489"/>
      <c r="CE99" s="489"/>
      <c r="CF99" s="489"/>
      <c r="CG99" s="489"/>
      <c r="CH99" s="489"/>
    </row>
    <row r="100" spans="2:110" ht="21" hidden="1" x14ac:dyDescent="0.4">
      <c r="B100" s="772"/>
      <c r="C100" s="1088"/>
      <c r="D100" s="1088"/>
      <c r="E100" s="1090"/>
      <c r="AQ100" s="489"/>
      <c r="AR100" s="489"/>
      <c r="BE100" s="478"/>
      <c r="BF100" s="478"/>
      <c r="BG100" s="519"/>
      <c r="BH100" s="519"/>
      <c r="BI100" s="519"/>
      <c r="BJ100" s="519"/>
      <c r="BK100" s="519"/>
      <c r="BL100" s="519"/>
      <c r="BM100" s="519"/>
      <c r="BN100" s="519"/>
      <c r="BO100" s="519"/>
      <c r="BP100" s="519"/>
      <c r="BQ100" s="519"/>
      <c r="BR100" s="519"/>
      <c r="BS100" s="519"/>
      <c r="BT100" s="519"/>
      <c r="BU100" s="506"/>
      <c r="CC100" s="524"/>
      <c r="CD100" s="524"/>
      <c r="CE100" s="524"/>
      <c r="CF100" s="524"/>
      <c r="CG100" s="524"/>
      <c r="CH100" s="524"/>
    </row>
    <row r="101" spans="2:110" ht="21" hidden="1" x14ac:dyDescent="0.4">
      <c r="B101" s="772"/>
      <c r="C101" s="1088"/>
      <c r="D101" s="1088"/>
      <c r="E101" s="1090"/>
      <c r="AQ101" s="489"/>
      <c r="AR101" s="489"/>
      <c r="BT101" s="521"/>
      <c r="BU101" s="521"/>
      <c r="BV101" s="521"/>
      <c r="BW101" s="521"/>
      <c r="BX101" s="521"/>
      <c r="BY101" s="521"/>
      <c r="CC101" s="524"/>
      <c r="CD101" s="524"/>
      <c r="CE101" s="524"/>
      <c r="CF101" s="524"/>
      <c r="CG101" s="524"/>
      <c r="CH101" s="524"/>
    </row>
    <row r="102" spans="2:110" ht="21" hidden="1" x14ac:dyDescent="0.4">
      <c r="B102" s="772"/>
      <c r="C102" s="1088"/>
      <c r="D102" s="1088"/>
      <c r="E102" s="1090"/>
      <c r="AQ102" s="489"/>
      <c r="AR102" s="489"/>
      <c r="CC102" s="524"/>
      <c r="CD102" s="524"/>
      <c r="CE102" s="524"/>
      <c r="CF102" s="524"/>
      <c r="CG102" s="524"/>
      <c r="CH102" s="524"/>
    </row>
    <row r="103" spans="2:110" ht="21" hidden="1" x14ac:dyDescent="0.4">
      <c r="B103" s="772"/>
      <c r="C103" s="1088"/>
      <c r="D103" s="1088"/>
      <c r="E103" s="1090"/>
      <c r="AQ103" s="489"/>
      <c r="AR103" s="489"/>
      <c r="CC103" s="524"/>
      <c r="CD103" s="524"/>
      <c r="CE103" s="524"/>
      <c r="CF103" s="524"/>
      <c r="CG103" s="524"/>
      <c r="CH103" s="524"/>
    </row>
    <row r="104" spans="2:110" ht="22.2" thickTop="1" thickBot="1" x14ac:dyDescent="0.45">
      <c r="B104" s="772"/>
      <c r="C104" s="1088"/>
      <c r="D104" s="1088"/>
      <c r="E104" s="1090"/>
      <c r="AQ104" s="489"/>
      <c r="AR104" s="489"/>
      <c r="CC104" s="524"/>
      <c r="CD104" s="524"/>
      <c r="CE104" s="524"/>
      <c r="CF104" s="524"/>
      <c r="CG104" s="524"/>
      <c r="CH104" s="524"/>
    </row>
    <row r="105" spans="2:110" ht="54" customHeight="1" thickBot="1" x14ac:dyDescent="0.45">
      <c r="B105" s="772"/>
      <c r="C105" s="472"/>
      <c r="D105" s="1020" t="str">
        <f>IF(AY93&gt;0," ","change the angle of frame")</f>
        <v xml:space="preserve"> </v>
      </c>
      <c r="E105" s="526"/>
      <c r="F105" s="526"/>
      <c r="G105" s="506"/>
      <c r="H105" s="506"/>
      <c r="I105" s="506"/>
      <c r="J105" s="506"/>
      <c r="K105" s="506"/>
      <c r="L105" s="506"/>
      <c r="M105" s="506"/>
      <c r="N105" s="506"/>
      <c r="O105" s="506"/>
      <c r="P105" s="506"/>
      <c r="Q105" s="506"/>
      <c r="R105" s="520"/>
      <c r="S105" s="1089"/>
      <c r="T105" s="1089"/>
      <c r="U105" s="473"/>
      <c r="V105" s="516"/>
      <c r="W105" s="516"/>
      <c r="X105" s="516"/>
      <c r="Y105" s="516"/>
      <c r="Z105" s="516"/>
      <c r="AA105" s="516"/>
      <c r="AB105" s="516"/>
      <c r="AC105" s="516"/>
      <c r="AD105" s="516"/>
      <c r="AE105" s="516"/>
      <c r="AF105" s="516"/>
      <c r="AG105" s="516"/>
      <c r="AH105" s="516"/>
      <c r="AI105" s="516"/>
      <c r="AJ105" s="516"/>
      <c r="AK105" s="516"/>
      <c r="AL105" s="516"/>
      <c r="AM105" s="506"/>
      <c r="AN105" s="506"/>
      <c r="AO105" s="506"/>
      <c r="AP105" s="506"/>
      <c r="AQ105" s="489"/>
      <c r="AR105" s="489"/>
      <c r="AS105" s="489"/>
      <c r="AT105" s="489"/>
      <c r="AU105" s="489"/>
      <c r="AV105" s="489"/>
      <c r="AW105" s="489"/>
      <c r="AX105" s="489"/>
      <c r="AY105" s="489"/>
      <c r="CY105" s="524"/>
      <c r="CZ105" s="524"/>
      <c r="DA105" s="524"/>
      <c r="DB105" s="524"/>
      <c r="DC105" s="524"/>
      <c r="DD105" s="524"/>
      <c r="DE105" s="524"/>
      <c r="DF105" s="524"/>
    </row>
    <row r="106" spans="2:110" ht="54" customHeight="1" thickBot="1" x14ac:dyDescent="0.4">
      <c r="B106" s="2062" t="s">
        <v>70</v>
      </c>
      <c r="C106" s="472"/>
      <c r="D106" s="1020" t="str">
        <f>IF(CF93&lt;0," ","change the angle of frame")</f>
        <v xml:space="preserve"> </v>
      </c>
      <c r="E106" s="526"/>
      <c r="F106" s="526"/>
      <c r="G106" s="506"/>
      <c r="H106" s="506"/>
      <c r="I106" s="506"/>
      <c r="J106" s="506"/>
      <c r="K106" s="506"/>
      <c r="L106" s="506"/>
      <c r="M106" s="506"/>
      <c r="N106" s="506"/>
      <c r="O106" s="506"/>
      <c r="P106" s="506"/>
      <c r="Q106" s="506"/>
      <c r="R106" s="520"/>
      <c r="S106" s="1089"/>
      <c r="T106" s="1089"/>
      <c r="U106" s="473"/>
      <c r="V106" s="502"/>
      <c r="W106" s="530"/>
      <c r="X106" s="530"/>
      <c r="Y106" s="530"/>
      <c r="Z106" s="530"/>
      <c r="AA106" s="530"/>
      <c r="AB106" s="530"/>
      <c r="AC106" s="530"/>
      <c r="AD106" s="530"/>
      <c r="AE106" s="530"/>
      <c r="AF106" s="530"/>
      <c r="AG106" s="530"/>
      <c r="AH106" s="530"/>
      <c r="AI106" s="530"/>
      <c r="AJ106" s="530"/>
      <c r="AK106" s="530"/>
      <c r="AL106" s="530"/>
      <c r="AM106" s="530"/>
      <c r="AN106" s="530"/>
      <c r="AO106" s="530"/>
      <c r="AP106" s="530"/>
      <c r="AQ106" s="489"/>
      <c r="AR106" s="489"/>
      <c r="AS106" s="489"/>
      <c r="AT106" s="489"/>
      <c r="AU106" s="489"/>
      <c r="AV106" s="489"/>
      <c r="AW106" s="489"/>
      <c r="AX106" s="489"/>
      <c r="AY106" s="489"/>
      <c r="CY106" s="524"/>
      <c r="CZ106" s="524"/>
      <c r="DA106" s="524"/>
      <c r="DB106" s="524"/>
      <c r="DC106" s="524"/>
      <c r="DD106" s="524"/>
      <c r="DE106" s="524"/>
      <c r="DF106" s="524"/>
    </row>
    <row r="107" spans="2:110" ht="54" customHeight="1" thickBot="1" x14ac:dyDescent="0.4">
      <c r="B107" s="2063"/>
      <c r="C107" s="1087"/>
      <c r="D107" s="1020" t="str">
        <f>IF(AY93&gt;(+COS(($B$108*-1)*3.14159265358979/180)*375)," ","USE EXBAR VR AT THE FRONT")</f>
        <v xml:space="preserve"> </v>
      </c>
      <c r="E107" s="526"/>
      <c r="F107" s="526"/>
      <c r="G107" s="506"/>
      <c r="H107" s="506"/>
      <c r="I107" s="506"/>
      <c r="J107" s="506"/>
      <c r="K107" s="506"/>
      <c r="L107" s="506"/>
      <c r="M107" s="506"/>
      <c r="N107" s="506"/>
      <c r="O107" s="506"/>
      <c r="P107" s="506"/>
      <c r="Q107" s="506"/>
      <c r="R107" s="520"/>
      <c r="S107" s="1089"/>
      <c r="T107" s="1089"/>
      <c r="U107" s="1088"/>
      <c r="V107" s="516"/>
      <c r="W107" s="516"/>
      <c r="X107" s="516"/>
      <c r="Y107" s="516"/>
      <c r="Z107" s="516"/>
      <c r="AA107" s="516"/>
      <c r="AB107" s="516"/>
      <c r="AC107" s="516"/>
      <c r="AD107" s="516"/>
      <c r="AE107" s="516"/>
      <c r="AF107" s="516"/>
      <c r="AG107" s="516"/>
      <c r="AH107" s="516"/>
      <c r="AI107" s="516"/>
      <c r="AJ107" s="516"/>
      <c r="AK107" s="516"/>
      <c r="AL107" s="516"/>
      <c r="AM107" s="506"/>
      <c r="AN107" s="506"/>
      <c r="AO107" s="506"/>
      <c r="AP107" s="506"/>
      <c r="AQ107" s="489"/>
      <c r="AR107" s="489"/>
      <c r="AS107" s="489"/>
      <c r="AT107" s="489"/>
      <c r="AU107" s="489"/>
      <c r="AV107" s="489"/>
      <c r="AW107" s="489"/>
      <c r="AX107" s="489"/>
      <c r="AY107" s="489"/>
      <c r="CV107" s="478"/>
      <c r="CY107" s="524"/>
      <c r="CZ107" s="524"/>
      <c r="DA107" s="524"/>
      <c r="DB107" s="524"/>
      <c r="DC107" s="524"/>
      <c r="DD107" s="524"/>
      <c r="DE107" s="524"/>
      <c r="DF107" s="524"/>
    </row>
    <row r="108" spans="2:110" ht="54" customHeight="1" thickBot="1" x14ac:dyDescent="0.45">
      <c r="B108" s="462">
        <v>0</v>
      </c>
      <c r="C108" s="1087"/>
      <c r="D108" s="1086" t="str">
        <f>IF(CF93&lt;-(+COS(($B$108*-1)*3.14159265358979/180)*375)," ","USE EXBAR VR AT THE BACK")</f>
        <v xml:space="preserve"> </v>
      </c>
      <c r="E108" s="526"/>
      <c r="F108" s="526"/>
      <c r="G108" s="1085" t="s">
        <v>213</v>
      </c>
      <c r="H108" s="1085" t="s">
        <v>213</v>
      </c>
      <c r="S108" s="473"/>
      <c r="T108" s="473"/>
      <c r="U108" s="1084"/>
      <c r="V108" s="1083"/>
      <c r="W108" s="516"/>
      <c r="X108" s="516"/>
      <c r="Y108" s="516"/>
      <c r="Z108" s="516"/>
      <c r="AA108" s="516"/>
      <c r="AB108" s="516"/>
      <c r="AC108" s="516"/>
      <c r="AD108" s="516"/>
      <c r="AE108" s="516"/>
      <c r="AF108" s="516"/>
      <c r="AG108" s="516"/>
      <c r="AH108" s="516"/>
      <c r="AI108" s="516"/>
      <c r="AJ108" s="516"/>
      <c r="AK108" s="516"/>
      <c r="AL108" s="516"/>
      <c r="AM108" s="506"/>
      <c r="AN108" s="506"/>
      <c r="AO108" s="506"/>
      <c r="AP108" s="506"/>
      <c r="AQ108" s="489"/>
      <c r="AR108" s="489"/>
      <c r="AS108" s="489"/>
      <c r="AT108" s="489"/>
      <c r="AU108" s="489"/>
      <c r="AV108" s="489"/>
      <c r="AW108" s="489"/>
      <c r="AX108" s="489"/>
      <c r="AY108" s="489"/>
      <c r="CV108" s="1082" t="e">
        <f>+(#REF!/#REF!)*S63</f>
        <v>#REF!</v>
      </c>
      <c r="CY108" s="524"/>
      <c r="CZ108" s="524"/>
      <c r="DA108" s="524"/>
      <c r="DB108" s="524"/>
      <c r="DC108" s="524"/>
      <c r="DD108" s="524"/>
      <c r="DE108" s="524"/>
      <c r="DF108" s="524"/>
    </row>
    <row r="109" spans="2:110" ht="21.6" thickBot="1" x14ac:dyDescent="0.45">
      <c r="C109" s="472"/>
      <c r="D109" s="473"/>
      <c r="E109" s="473"/>
      <c r="F109" s="473"/>
      <c r="G109" s="1048" t="s">
        <v>172</v>
      </c>
      <c r="H109" s="1048" t="s">
        <v>173</v>
      </c>
      <c r="I109" s="1048" t="s">
        <v>174</v>
      </c>
      <c r="O109" s="1048" t="s">
        <v>175</v>
      </c>
      <c r="P109" s="1048" t="s">
        <v>176</v>
      </c>
      <c r="Q109" s="772"/>
      <c r="R109" s="1048" t="s">
        <v>177</v>
      </c>
      <c r="S109" s="473"/>
      <c r="T109" s="473"/>
      <c r="U109" s="1081"/>
      <c r="V109" s="1080"/>
      <c r="W109" s="516"/>
      <c r="X109" s="516"/>
      <c r="Y109" s="516"/>
      <c r="Z109" s="516"/>
      <c r="AA109" s="516"/>
      <c r="AB109" s="516"/>
      <c r="AC109" s="516"/>
      <c r="AD109" s="516"/>
      <c r="AE109" s="516"/>
      <c r="AF109" s="516"/>
      <c r="AG109" s="516"/>
      <c r="AH109" s="516"/>
      <c r="AI109" s="516"/>
      <c r="AJ109" s="516"/>
      <c r="AK109" s="516"/>
      <c r="AL109" s="516"/>
      <c r="AM109" s="506"/>
      <c r="AN109" s="506"/>
      <c r="AO109" s="506"/>
      <c r="AP109" s="506"/>
      <c r="AQ109" s="489"/>
      <c r="AT109" s="1079" t="s">
        <v>205</v>
      </c>
      <c r="AY109" s="489"/>
      <c r="CV109" s="1078" t="e">
        <f>+#REF!/CV108</f>
        <v>#REF!</v>
      </c>
      <c r="CY109" s="524"/>
      <c r="CZ109" s="524"/>
      <c r="DA109" s="524"/>
      <c r="DB109" s="524"/>
      <c r="DC109" s="524"/>
      <c r="DD109" s="524"/>
      <c r="DE109" s="524"/>
      <c r="DF109" s="524"/>
    </row>
    <row r="110" spans="2:110" ht="75.75" customHeight="1" thickTop="1" thickBot="1" x14ac:dyDescent="0.5">
      <c r="B110" s="1077" t="s">
        <v>253</v>
      </c>
      <c r="C110" s="532"/>
      <c r="D110" s="1888" t="s">
        <v>255</v>
      </c>
      <c r="E110" s="1887"/>
      <c r="F110" s="533"/>
      <c r="S110" s="489"/>
      <c r="T110" s="489"/>
      <c r="U110" s="506"/>
      <c r="V110" s="506"/>
      <c r="W110" s="506"/>
      <c r="X110" s="506"/>
      <c r="Y110" s="506"/>
      <c r="Z110" s="506"/>
      <c r="AA110" s="506"/>
      <c r="AB110" s="506"/>
      <c r="AC110" s="506"/>
      <c r="AD110" s="506"/>
      <c r="AE110" s="506"/>
      <c r="AF110" s="506"/>
      <c r="AG110" s="506"/>
      <c r="AH110" s="506"/>
      <c r="AI110" s="506"/>
      <c r="AJ110" s="506"/>
      <c r="AK110" s="506"/>
      <c r="AL110" s="506"/>
      <c r="AM110" s="506"/>
      <c r="AN110" s="2069" t="s">
        <v>68</v>
      </c>
      <c r="AO110" s="2070"/>
      <c r="AP110" s="506"/>
      <c r="AQ110" s="489"/>
      <c r="AR110" s="1037">
        <v>1</v>
      </c>
      <c r="AS110" s="1036">
        <v>-400</v>
      </c>
      <c r="AT110" s="1035">
        <f>+COS(($B$108*-1)*3.14159265358979/180)*AS110</f>
        <v>-400</v>
      </c>
      <c r="AU110" s="1034">
        <f t="shared" ref="AU110:AU139" si="3">+AT110-$D$3</f>
        <v>-686.00007274579139</v>
      </c>
      <c r="AV110" s="1033">
        <f t="shared" ref="AV110:AV139" si="4">ABS(AU110)</f>
        <v>686.00007274579139</v>
      </c>
      <c r="AW110" s="1033">
        <f>MIN(AV110:AV139)</f>
        <v>13.999927254208615</v>
      </c>
      <c r="AX110" s="1033" t="b">
        <f t="shared" ref="AX110:AX139" si="5">IF(AW110=AV110,AR110)</f>
        <v>0</v>
      </c>
      <c r="AY110" s="489"/>
      <c r="CV110" s="506"/>
      <c r="CZ110" s="524"/>
      <c r="DA110" s="524"/>
      <c r="DB110" s="524"/>
      <c r="DC110" s="524"/>
      <c r="DD110" s="524"/>
      <c r="DE110" s="524"/>
      <c r="DF110" s="524"/>
    </row>
    <row r="111" spans="2:110" ht="25.8" thickBot="1" x14ac:dyDescent="0.5">
      <c r="B111" s="1076">
        <v>1</v>
      </c>
      <c r="C111" s="1075"/>
      <c r="D111" s="1886" t="s">
        <v>24</v>
      </c>
      <c r="E111" s="1889"/>
      <c r="F111" s="772"/>
      <c r="G111" s="772"/>
      <c r="H111" s="772"/>
      <c r="I111" s="772"/>
      <c r="J111" s="772"/>
      <c r="K111" s="772"/>
      <c r="L111" s="772"/>
      <c r="M111" s="772"/>
      <c r="N111" s="772"/>
      <c r="O111" s="772"/>
      <c r="P111" s="772"/>
      <c r="Q111" s="772"/>
      <c r="R111" s="772"/>
      <c r="S111" s="772"/>
      <c r="T111" s="772"/>
      <c r="U111" s="506"/>
      <c r="V111" s="506"/>
      <c r="W111" s="506"/>
      <c r="X111" s="506"/>
      <c r="Y111" s="506"/>
      <c r="Z111" s="506"/>
      <c r="AA111" s="506"/>
      <c r="AB111" s="506"/>
      <c r="AC111" s="506"/>
      <c r="AD111" s="506"/>
      <c r="AE111" s="506"/>
      <c r="AF111" s="506"/>
      <c r="AG111" s="506"/>
      <c r="AH111" s="506"/>
      <c r="AI111" s="506"/>
      <c r="AJ111" s="506"/>
      <c r="AK111" s="506"/>
      <c r="AL111" s="506"/>
      <c r="AM111" s="535"/>
      <c r="AN111" s="1074" t="s">
        <v>25</v>
      </c>
      <c r="AO111" s="1074" t="s">
        <v>26</v>
      </c>
      <c r="AP111" s="506"/>
      <c r="AQ111" s="489"/>
      <c r="AR111" s="1037">
        <v>2</v>
      </c>
      <c r="AS111" s="1036">
        <f t="shared" ref="AS111:AS139" si="6">+AS110+50</f>
        <v>-350</v>
      </c>
      <c r="AT111" s="1035">
        <f t="shared" ref="AT111:AT139" si="7">+AT110+$E$2</f>
        <v>-350</v>
      </c>
      <c r="AU111" s="1034">
        <f t="shared" si="3"/>
        <v>-636.00007274579139</v>
      </c>
      <c r="AV111" s="1033">
        <f t="shared" si="4"/>
        <v>636.00007274579139</v>
      </c>
      <c r="AW111" s="1033">
        <f t="shared" ref="AW111:AW139" si="8">+AW110</f>
        <v>13.999927254208615</v>
      </c>
      <c r="AX111" s="1033" t="b">
        <f t="shared" si="5"/>
        <v>0</v>
      </c>
      <c r="AY111" s="489"/>
      <c r="CV111" s="506"/>
      <c r="CY111" s="524"/>
      <c r="CZ111" s="524"/>
      <c r="DA111" s="524"/>
      <c r="DB111" s="524"/>
      <c r="DC111" s="524"/>
      <c r="DD111" s="524"/>
      <c r="DE111" s="524"/>
      <c r="DF111" s="524"/>
    </row>
    <row r="112" spans="2:110" ht="33.6" hidden="1" thickTop="1" thickBot="1" x14ac:dyDescent="0.5">
      <c r="B112" s="1073"/>
      <c r="C112" s="1072"/>
      <c r="D112" s="1071"/>
      <c r="E112" s="1070"/>
      <c r="F112" s="516"/>
      <c r="G112" s="1022" t="s">
        <v>4</v>
      </c>
      <c r="H112" s="1022" t="s">
        <v>1</v>
      </c>
      <c r="I112" s="1044" t="s">
        <v>119</v>
      </c>
      <c r="J112" s="1033" t="s">
        <v>2</v>
      </c>
      <c r="K112" s="1033" t="s">
        <v>3</v>
      </c>
      <c r="L112" s="1033" t="s">
        <v>8</v>
      </c>
      <c r="M112" s="1033" t="s">
        <v>5</v>
      </c>
      <c r="N112" s="1033" t="s">
        <v>6</v>
      </c>
      <c r="O112" s="1033" t="s">
        <v>7</v>
      </c>
      <c r="P112" s="1033" t="s">
        <v>9</v>
      </c>
      <c r="Q112" s="1066" t="s">
        <v>10</v>
      </c>
      <c r="R112" s="1033" t="s">
        <v>11</v>
      </c>
      <c r="S112" s="1065" t="s">
        <v>12</v>
      </c>
      <c r="T112" s="1064"/>
      <c r="U112" s="540"/>
      <c r="V112" s="541"/>
      <c r="W112" s="541"/>
      <c r="X112" s="541"/>
      <c r="Y112" s="541"/>
      <c r="Z112" s="541"/>
      <c r="AA112" s="541"/>
      <c r="AB112" s="541"/>
      <c r="AC112" s="541"/>
      <c r="AD112" s="541"/>
      <c r="AE112" s="541"/>
      <c r="AF112" s="541"/>
      <c r="AG112" s="541"/>
      <c r="AH112" s="541"/>
      <c r="AI112" s="541"/>
      <c r="AJ112" s="541"/>
      <c r="AK112" s="541"/>
      <c r="AL112" s="535"/>
      <c r="AM112" s="535"/>
      <c r="AN112" s="541"/>
      <c r="AO112" s="541"/>
      <c r="AP112" s="541"/>
      <c r="AQ112" s="489"/>
      <c r="AR112" s="1037">
        <v>3</v>
      </c>
      <c r="AS112" s="1036">
        <f t="shared" si="6"/>
        <v>-300</v>
      </c>
      <c r="AT112" s="1035">
        <f t="shared" si="7"/>
        <v>-300</v>
      </c>
      <c r="AU112" s="1034">
        <f t="shared" si="3"/>
        <v>-586.00007274579139</v>
      </c>
      <c r="AV112" s="1033">
        <f t="shared" si="4"/>
        <v>586.00007274579139</v>
      </c>
      <c r="AW112" s="1033">
        <f t="shared" si="8"/>
        <v>13.999927254208615</v>
      </c>
      <c r="AX112" s="1033" t="b">
        <f t="shared" si="5"/>
        <v>0</v>
      </c>
      <c r="AY112" s="489"/>
      <c r="CZ112" s="524"/>
      <c r="DA112" s="524"/>
      <c r="DB112" s="524"/>
      <c r="DC112" s="524"/>
      <c r="DD112" s="524"/>
      <c r="DE112" s="524"/>
      <c r="DF112" s="524"/>
    </row>
    <row r="113" spans="2:110" ht="63" hidden="1" thickBot="1" x14ac:dyDescent="0.5">
      <c r="B113" s="1069"/>
      <c r="C113" s="544"/>
      <c r="D113" s="1068"/>
      <c r="E113" s="771"/>
      <c r="F113" s="1067"/>
      <c r="G113" s="1022"/>
      <c r="H113" s="1022"/>
      <c r="I113" s="1044"/>
      <c r="J113" s="1033"/>
      <c r="K113" s="1033"/>
      <c r="L113" s="1033"/>
      <c r="M113" s="1033"/>
      <c r="N113" s="1033"/>
      <c r="O113" s="1033"/>
      <c r="P113" s="1033"/>
      <c r="Q113" s="1066"/>
      <c r="R113" s="1033"/>
      <c r="S113" s="1065"/>
      <c r="T113" s="1064"/>
      <c r="U113" s="540"/>
      <c r="V113" s="541"/>
      <c r="W113" s="541"/>
      <c r="X113" s="1064" t="s">
        <v>51</v>
      </c>
      <c r="Y113" s="1063" t="s">
        <v>44</v>
      </c>
      <c r="Z113" s="1062" t="s">
        <v>211</v>
      </c>
      <c r="AA113" s="1061" t="s">
        <v>45</v>
      </c>
      <c r="AB113" s="1060" t="s">
        <v>46</v>
      </c>
      <c r="AC113" s="1059" t="s">
        <v>210</v>
      </c>
      <c r="AD113" s="1058" t="s">
        <v>47</v>
      </c>
      <c r="AE113" s="1057" t="s">
        <v>48</v>
      </c>
      <c r="AF113" s="1056" t="s">
        <v>110</v>
      </c>
      <c r="AG113" s="1056" t="s">
        <v>59</v>
      </c>
      <c r="AH113" s="1056" t="s">
        <v>52</v>
      </c>
      <c r="AI113" s="1056" t="s">
        <v>111</v>
      </c>
      <c r="AJ113" s="1055" t="s">
        <v>54</v>
      </c>
      <c r="AK113" s="1055" t="s">
        <v>55</v>
      </c>
      <c r="AL113" s="1054" t="s">
        <v>25</v>
      </c>
      <c r="AM113" s="1054" t="s">
        <v>26</v>
      </c>
      <c r="AN113" s="1053"/>
      <c r="AO113" s="1053"/>
      <c r="AP113" s="506"/>
      <c r="AQ113" s="489"/>
      <c r="AR113" s="1037">
        <v>4</v>
      </c>
      <c r="AS113" s="1036">
        <f t="shared" si="6"/>
        <v>-250</v>
      </c>
      <c r="AT113" s="1035">
        <f t="shared" si="7"/>
        <v>-250</v>
      </c>
      <c r="AU113" s="1034">
        <f t="shared" si="3"/>
        <v>-536.00007274579139</v>
      </c>
      <c r="AV113" s="1033">
        <f t="shared" si="4"/>
        <v>536.00007274579139</v>
      </c>
      <c r="AW113" s="1033">
        <f t="shared" si="8"/>
        <v>13.999927254208615</v>
      </c>
      <c r="AX113" s="1033" t="b">
        <f t="shared" si="5"/>
        <v>0</v>
      </c>
      <c r="AY113" s="489"/>
      <c r="CV113" s="558"/>
      <c r="CZ113" s="524"/>
      <c r="DA113" s="524"/>
      <c r="DB113" s="524"/>
      <c r="DC113" s="524"/>
      <c r="DD113" s="524"/>
      <c r="DE113" s="524"/>
      <c r="DF113" s="524"/>
    </row>
    <row r="114" spans="2:110" ht="20.399999999999999" thickTop="1" thickBot="1" x14ac:dyDescent="0.5">
      <c r="B114" s="1052">
        <v>1</v>
      </c>
      <c r="C114" s="1051">
        <f>+(B108*-1)+D114</f>
        <v>0</v>
      </c>
      <c r="D114" s="1046">
        <v>0</v>
      </c>
      <c r="E114" s="587" t="s">
        <v>126</v>
      </c>
      <c r="F114" s="1050"/>
      <c r="G114" s="1439">
        <v>414.62658399999998</v>
      </c>
      <c r="H114" s="1440">
        <v>36.220413100000002</v>
      </c>
      <c r="I114" s="1440">
        <f>+H114-C114</f>
        <v>36.220413100000002</v>
      </c>
      <c r="J114" s="1033"/>
      <c r="K114" s="1033"/>
      <c r="L114" s="1033"/>
      <c r="M114" s="1033"/>
      <c r="N114" s="1033"/>
      <c r="O114" s="1440">
        <f>COS(I114*3.14159265358979/180)</f>
        <v>0.80674984242354264</v>
      </c>
      <c r="P114" s="1440">
        <f>+O114*G114</f>
        <v>334.49993130661176</v>
      </c>
      <c r="Q114" s="1049">
        <v>343.5</v>
      </c>
      <c r="R114" s="1441">
        <f>+P114</f>
        <v>334.49993130661176</v>
      </c>
      <c r="S114" s="1033">
        <f t="shared" ref="S114:S125" si="9">+R114</f>
        <v>334.49993130661176</v>
      </c>
      <c r="T114" s="1043"/>
      <c r="U114" s="632"/>
      <c r="V114" s="571">
        <f t="shared" ref="V114:V125" si="10">IF(B114&lt;($B$111+1),S114,0)</f>
        <v>334.49993130661176</v>
      </c>
      <c r="W114" s="1042"/>
      <c r="X114" s="571">
        <f>SUM(V114:V125)/($B$111)</f>
        <v>334.49993130661176</v>
      </c>
      <c r="Y114" s="572">
        <f>+D114+C114</f>
        <v>0</v>
      </c>
      <c r="Z114" s="1040">
        <f>53.779595+Y114</f>
        <v>53.779595</v>
      </c>
      <c r="AA114" s="1041">
        <f t="shared" ref="AA114:AA125" si="11">SIN(Z114*3.14159265358979/180)</f>
        <v>0.8067499259590819</v>
      </c>
      <c r="AB114" s="1040">
        <f>+AA114*414.6266</f>
        <v>334.49997885066585</v>
      </c>
      <c r="AC114" s="1040">
        <f>59.2910885-Y114</f>
        <v>59.291088500000001</v>
      </c>
      <c r="AD114" s="577">
        <f t="shared" ref="AD114:AD125" si="12">SIN(AC114*3.14159265358979/180)</f>
        <v>0.85977285389573432</v>
      </c>
      <c r="AE114" s="1040">
        <f>+AD114*479.7721</f>
        <v>412.49502763654965</v>
      </c>
      <c r="AF114" s="1039">
        <f>72*B111</f>
        <v>72</v>
      </c>
      <c r="AG114" s="580">
        <f t="shared" ref="AG114:AG125" si="13">+AE114+AB114</f>
        <v>746.99500648721551</v>
      </c>
      <c r="AH114" s="581">
        <f t="shared" ref="AH114:AH125" si="14">+V114-AB114</f>
        <v>-4.7544054098125343E-5</v>
      </c>
      <c r="AI114" s="581">
        <f t="shared" ref="AI114:AI125" si="15">+X114-AH114</f>
        <v>334.49997885066585</v>
      </c>
      <c r="AJ114" s="583">
        <f t="shared" ref="AJ114:AJ125" si="16">+((AG114-AI114)/AG114)*AF114</f>
        <v>39.75882265866241</v>
      </c>
      <c r="AK114" s="583">
        <f t="shared" ref="AK114:AK125" si="17">+(AI114/AG114)*AF114</f>
        <v>32.24117734133759</v>
      </c>
      <c r="AL114" s="584">
        <f t="shared" ref="AL114:AL125" si="18">2*$B$15/AJ114</f>
        <v>291.75914235661259</v>
      </c>
      <c r="AM114" s="584">
        <f t="shared" ref="AM114:AM125" si="19">2*$C$15/AK114</f>
        <v>359.788350071423</v>
      </c>
      <c r="AN114" s="1038">
        <f t="shared" ref="AN114:AN125" si="20">ABS(AL114)</f>
        <v>291.75914235661259</v>
      </c>
      <c r="AO114" s="1038">
        <f t="shared" ref="AO114:AO125" si="21">ABS(AM114)</f>
        <v>359.788350071423</v>
      </c>
      <c r="AP114" s="1047"/>
      <c r="AQ114" s="489"/>
      <c r="AR114" s="1037">
        <v>5</v>
      </c>
      <c r="AS114" s="1036">
        <f t="shared" si="6"/>
        <v>-200</v>
      </c>
      <c r="AT114" s="1035">
        <f t="shared" si="7"/>
        <v>-200</v>
      </c>
      <c r="AU114" s="1034">
        <f t="shared" si="3"/>
        <v>-486.00007274579139</v>
      </c>
      <c r="AV114" s="1033">
        <f t="shared" si="4"/>
        <v>486.00007274579139</v>
      </c>
      <c r="AW114" s="1033">
        <f t="shared" si="8"/>
        <v>13.999927254208615</v>
      </c>
      <c r="AX114" s="1033" t="b">
        <f t="shared" si="5"/>
        <v>0</v>
      </c>
      <c r="AY114" s="489"/>
      <c r="CV114" s="558"/>
      <c r="CZ114" s="524"/>
      <c r="DA114" s="524"/>
      <c r="DB114" s="524"/>
      <c r="DC114" s="524"/>
      <c r="DD114" s="524"/>
      <c r="DE114" s="524"/>
      <c r="DF114" s="524"/>
    </row>
    <row r="115" spans="2:110" ht="19.8" thickBot="1" x14ac:dyDescent="0.5">
      <c r="B115" s="560">
        <v>2</v>
      </c>
      <c r="C115" s="560"/>
      <c r="D115" s="1046">
        <v>0</v>
      </c>
      <c r="E115" s="587" t="s">
        <v>126</v>
      </c>
      <c r="F115" s="1045"/>
      <c r="G115" s="1022">
        <v>479.77208100000001</v>
      </c>
      <c r="H115" s="1022">
        <v>61.416098300000002</v>
      </c>
      <c r="I115" s="1044">
        <f t="shared" ref="I115:I125" si="22">+H115+D115</f>
        <v>61.416098300000002</v>
      </c>
      <c r="J115" s="1033">
        <f t="shared" ref="J115:J125" si="23">+I115/2</f>
        <v>30.708049150000001</v>
      </c>
      <c r="K115" s="1033">
        <f t="shared" ref="K115:K125" si="24">SIN(J115*3.14159265358979/180)</f>
        <v>0.51066370850547771</v>
      </c>
      <c r="L115" s="1033">
        <f t="shared" ref="L115:L125" si="25">+K115*G115</f>
        <v>245.00219012085046</v>
      </c>
      <c r="M115" s="1033">
        <f t="shared" ref="M115:M125" si="26">+L115*2</f>
        <v>490.00438024170091</v>
      </c>
      <c r="N115" s="1033">
        <f>+C114+(D115/2)</f>
        <v>0</v>
      </c>
      <c r="O115" s="1033">
        <f t="shared" ref="O115:O125" si="27">SIN(N115*3.14159265358979/180)</f>
        <v>0</v>
      </c>
      <c r="P115" s="1033">
        <f t="shared" ref="P115:P125" si="28">+O115*M115</f>
        <v>0</v>
      </c>
      <c r="Q115" s="1033">
        <f t="shared" ref="Q115:Q125" si="29">+S114</f>
        <v>334.49993130661176</v>
      </c>
      <c r="R115" s="1033">
        <f>+Q115+P115</f>
        <v>334.49993130661176</v>
      </c>
      <c r="S115" s="1033">
        <f t="shared" si="9"/>
        <v>334.49993130661176</v>
      </c>
      <c r="T115" s="1043"/>
      <c r="U115" s="632"/>
      <c r="V115" s="571">
        <f t="shared" si="10"/>
        <v>0</v>
      </c>
      <c r="W115" s="1042"/>
      <c r="X115" s="571" t="e">
        <f>SUM(V115:V125)/($B$111-B114)</f>
        <v>#DIV/0!</v>
      </c>
      <c r="Y115" s="620">
        <f>SUM(D115)+$C$114</f>
        <v>0</v>
      </c>
      <c r="Z115" s="1040">
        <f t="shared" ref="Z115:Z125" si="30">53.779595+Y115</f>
        <v>53.779595</v>
      </c>
      <c r="AA115" s="1041">
        <f t="shared" si="11"/>
        <v>0.8067499259590819</v>
      </c>
      <c r="AB115" s="1040">
        <f t="shared" ref="AB115:AB125" si="31">+AA115*414.6266</f>
        <v>334.49997885066585</v>
      </c>
      <c r="AC115" s="1040">
        <f t="shared" ref="AC115:AC125" si="32">59.2910885-Y115</f>
        <v>59.291088500000001</v>
      </c>
      <c r="AD115" s="577">
        <f t="shared" si="12"/>
        <v>0.85977285389573432</v>
      </c>
      <c r="AE115" s="1040">
        <f t="shared" ref="AE115:AE125" si="33">+AD115*479.7721</f>
        <v>412.49502763654965</v>
      </c>
      <c r="AF115" s="1039">
        <f t="shared" ref="AF115:AF125" si="34">72*($B$111-B114)</f>
        <v>0</v>
      </c>
      <c r="AG115" s="580">
        <f t="shared" si="13"/>
        <v>746.99500648721551</v>
      </c>
      <c r="AH115" s="581">
        <f t="shared" si="14"/>
        <v>-334.49997885066585</v>
      </c>
      <c r="AI115" s="581" t="e">
        <f t="shared" si="15"/>
        <v>#DIV/0!</v>
      </c>
      <c r="AJ115" s="583" t="e">
        <f t="shared" si="16"/>
        <v>#DIV/0!</v>
      </c>
      <c r="AK115" s="583" t="e">
        <f t="shared" si="17"/>
        <v>#DIV/0!</v>
      </c>
      <c r="AL115" s="584" t="e">
        <f t="shared" si="18"/>
        <v>#DIV/0!</v>
      </c>
      <c r="AM115" s="584" t="e">
        <f t="shared" si="19"/>
        <v>#DIV/0!</v>
      </c>
      <c r="AN115" s="1038" t="e">
        <f t="shared" si="20"/>
        <v>#DIV/0!</v>
      </c>
      <c r="AO115" s="1038" t="e">
        <f t="shared" si="21"/>
        <v>#DIV/0!</v>
      </c>
      <c r="AP115" s="1047"/>
      <c r="AQ115" s="489"/>
      <c r="AR115" s="1037">
        <v>6</v>
      </c>
      <c r="AS115" s="1036">
        <f t="shared" si="6"/>
        <v>-150</v>
      </c>
      <c r="AT115" s="1035">
        <f t="shared" si="7"/>
        <v>-150</v>
      </c>
      <c r="AU115" s="1034">
        <f t="shared" si="3"/>
        <v>-436.00007274579139</v>
      </c>
      <c r="AV115" s="1033">
        <f t="shared" si="4"/>
        <v>436.00007274579139</v>
      </c>
      <c r="AW115" s="1033">
        <f t="shared" si="8"/>
        <v>13.999927254208615</v>
      </c>
      <c r="AX115" s="1033" t="b">
        <f t="shared" si="5"/>
        <v>0</v>
      </c>
      <c r="AY115" s="489"/>
      <c r="CV115" s="558"/>
      <c r="CZ115" s="524"/>
      <c r="DA115" s="524"/>
      <c r="DB115" s="524"/>
      <c r="DC115" s="524"/>
      <c r="DD115" s="524"/>
      <c r="DE115" s="524"/>
      <c r="DF115" s="524"/>
    </row>
    <row r="116" spans="2:110" ht="19.8" thickBot="1" x14ac:dyDescent="0.5">
      <c r="B116" s="560">
        <v>3</v>
      </c>
      <c r="C116" s="560"/>
      <c r="D116" s="1046">
        <v>0</v>
      </c>
      <c r="E116" s="587" t="s">
        <v>126</v>
      </c>
      <c r="F116" s="1045"/>
      <c r="G116" s="1022">
        <v>479.77208100000001</v>
      </c>
      <c r="H116" s="1022">
        <v>61.416098300000002</v>
      </c>
      <c r="I116" s="1044">
        <f t="shared" si="22"/>
        <v>61.416098300000002</v>
      </c>
      <c r="J116" s="1033">
        <f t="shared" si="23"/>
        <v>30.708049150000001</v>
      </c>
      <c r="K116" s="1033">
        <f t="shared" si="24"/>
        <v>0.51066370850547771</v>
      </c>
      <c r="L116" s="1033">
        <f t="shared" si="25"/>
        <v>245.00219012085046</v>
      </c>
      <c r="M116" s="1033">
        <f t="shared" si="26"/>
        <v>490.00438024170091</v>
      </c>
      <c r="N116" s="1033">
        <f>+C114+D115+(D116/2)</f>
        <v>0</v>
      </c>
      <c r="O116" s="1033">
        <f t="shared" si="27"/>
        <v>0</v>
      </c>
      <c r="P116" s="1033">
        <f t="shared" si="28"/>
        <v>0</v>
      </c>
      <c r="Q116" s="1033">
        <f t="shared" si="29"/>
        <v>334.49993130661176</v>
      </c>
      <c r="R116" s="1033">
        <f t="shared" ref="R116:R125" si="35">+R115+P116</f>
        <v>334.49993130661176</v>
      </c>
      <c r="S116" s="1033">
        <f t="shared" si="9"/>
        <v>334.49993130661176</v>
      </c>
      <c r="T116" s="1043"/>
      <c r="U116" s="632"/>
      <c r="V116" s="571">
        <f t="shared" si="10"/>
        <v>0</v>
      </c>
      <c r="W116" s="1042"/>
      <c r="X116" s="571">
        <f>SUM(V116:V125)/($B$111-B115)</f>
        <v>0</v>
      </c>
      <c r="Y116" s="620">
        <f>SUM(D115:D116)+$C$114</f>
        <v>0</v>
      </c>
      <c r="Z116" s="1040">
        <f t="shared" si="30"/>
        <v>53.779595</v>
      </c>
      <c r="AA116" s="1041">
        <f t="shared" si="11"/>
        <v>0.8067499259590819</v>
      </c>
      <c r="AB116" s="1040">
        <f t="shared" si="31"/>
        <v>334.49997885066585</v>
      </c>
      <c r="AC116" s="1040">
        <f t="shared" si="32"/>
        <v>59.291088500000001</v>
      </c>
      <c r="AD116" s="577">
        <f t="shared" si="12"/>
        <v>0.85977285389573432</v>
      </c>
      <c r="AE116" s="1040">
        <f t="shared" si="33"/>
        <v>412.49502763654965</v>
      </c>
      <c r="AF116" s="1039">
        <f t="shared" si="34"/>
        <v>-72</v>
      </c>
      <c r="AG116" s="580">
        <f t="shared" si="13"/>
        <v>746.99500648721551</v>
      </c>
      <c r="AH116" s="581">
        <f t="shared" si="14"/>
        <v>-334.49997885066585</v>
      </c>
      <c r="AI116" s="581">
        <f t="shared" si="15"/>
        <v>334.49997885066585</v>
      </c>
      <c r="AJ116" s="583">
        <f t="shared" si="16"/>
        <v>-39.75882265866241</v>
      </c>
      <c r="AK116" s="583">
        <f t="shared" si="17"/>
        <v>-32.24117734133759</v>
      </c>
      <c r="AL116" s="584">
        <f t="shared" si="18"/>
        <v>-291.75914235661259</v>
      </c>
      <c r="AM116" s="584">
        <f t="shared" si="19"/>
        <v>-359.788350071423</v>
      </c>
      <c r="AN116" s="1038">
        <f t="shared" si="20"/>
        <v>291.75914235661259</v>
      </c>
      <c r="AO116" s="1038">
        <f t="shared" si="21"/>
        <v>359.788350071423</v>
      </c>
      <c r="AQ116" s="489"/>
      <c r="AR116" s="1037">
        <v>7</v>
      </c>
      <c r="AS116" s="1036">
        <f t="shared" si="6"/>
        <v>-100</v>
      </c>
      <c r="AT116" s="1035">
        <f t="shared" si="7"/>
        <v>-100</v>
      </c>
      <c r="AU116" s="1034">
        <f t="shared" si="3"/>
        <v>-386.00007274579139</v>
      </c>
      <c r="AV116" s="1033">
        <f t="shared" si="4"/>
        <v>386.00007274579139</v>
      </c>
      <c r="AW116" s="1033">
        <f t="shared" si="8"/>
        <v>13.999927254208615</v>
      </c>
      <c r="AX116" s="1033" t="b">
        <f t="shared" si="5"/>
        <v>0</v>
      </c>
      <c r="AY116" s="489"/>
      <c r="CV116" s="558"/>
      <c r="CZ116" s="524"/>
      <c r="DA116" s="524"/>
      <c r="DB116" s="524"/>
      <c r="DC116" s="524"/>
      <c r="DD116" s="524"/>
      <c r="DE116" s="524"/>
      <c r="DF116" s="524"/>
    </row>
    <row r="117" spans="2:110" ht="19.8" thickBot="1" x14ac:dyDescent="0.5">
      <c r="B117" s="560">
        <v>4</v>
      </c>
      <c r="C117" s="560"/>
      <c r="D117" s="1046">
        <v>0</v>
      </c>
      <c r="E117" s="587" t="s">
        <v>126</v>
      </c>
      <c r="F117" s="1045"/>
      <c r="G117" s="1022">
        <v>479.77208100000001</v>
      </c>
      <c r="H117" s="1022">
        <v>61.416098300000002</v>
      </c>
      <c r="I117" s="1044">
        <f t="shared" si="22"/>
        <v>61.416098300000002</v>
      </c>
      <c r="J117" s="1033">
        <f t="shared" si="23"/>
        <v>30.708049150000001</v>
      </c>
      <c r="K117" s="1033">
        <f t="shared" si="24"/>
        <v>0.51066370850547771</v>
      </c>
      <c r="L117" s="1033">
        <f t="shared" si="25"/>
        <v>245.00219012085046</v>
      </c>
      <c r="M117" s="1033">
        <f t="shared" si="26"/>
        <v>490.00438024170091</v>
      </c>
      <c r="N117" s="1033">
        <f>+C114+D115+D116+(D117/2)</f>
        <v>0</v>
      </c>
      <c r="O117" s="1033">
        <f t="shared" si="27"/>
        <v>0</v>
      </c>
      <c r="P117" s="1033">
        <f t="shared" si="28"/>
        <v>0</v>
      </c>
      <c r="Q117" s="1033">
        <f t="shared" si="29"/>
        <v>334.49993130661176</v>
      </c>
      <c r="R117" s="1033">
        <f t="shared" si="35"/>
        <v>334.49993130661176</v>
      </c>
      <c r="S117" s="1033">
        <f t="shared" si="9"/>
        <v>334.49993130661176</v>
      </c>
      <c r="T117" s="1043"/>
      <c r="U117" s="632"/>
      <c r="V117" s="571">
        <f t="shared" si="10"/>
        <v>0</v>
      </c>
      <c r="W117" s="1042"/>
      <c r="X117" s="571">
        <f>SUM(V117:V125)/($B$111-B116)</f>
        <v>0</v>
      </c>
      <c r="Y117" s="620">
        <f>SUM(D115:D117)+$C$114</f>
        <v>0</v>
      </c>
      <c r="Z117" s="1040">
        <f t="shared" si="30"/>
        <v>53.779595</v>
      </c>
      <c r="AA117" s="1041">
        <f t="shared" si="11"/>
        <v>0.8067499259590819</v>
      </c>
      <c r="AB117" s="1040">
        <f t="shared" si="31"/>
        <v>334.49997885066585</v>
      </c>
      <c r="AC117" s="1040">
        <f t="shared" si="32"/>
        <v>59.291088500000001</v>
      </c>
      <c r="AD117" s="577">
        <f t="shared" si="12"/>
        <v>0.85977285389573432</v>
      </c>
      <c r="AE117" s="1040">
        <f t="shared" si="33"/>
        <v>412.49502763654965</v>
      </c>
      <c r="AF117" s="1039">
        <f t="shared" si="34"/>
        <v>-144</v>
      </c>
      <c r="AG117" s="580">
        <f t="shared" si="13"/>
        <v>746.99500648721551</v>
      </c>
      <c r="AH117" s="581">
        <f t="shared" si="14"/>
        <v>-334.49997885066585</v>
      </c>
      <c r="AI117" s="581">
        <f t="shared" si="15"/>
        <v>334.49997885066585</v>
      </c>
      <c r="AJ117" s="583">
        <f t="shared" si="16"/>
        <v>-79.517645317324821</v>
      </c>
      <c r="AK117" s="583">
        <f t="shared" si="17"/>
        <v>-64.482354682675179</v>
      </c>
      <c r="AL117" s="584">
        <f t="shared" si="18"/>
        <v>-145.87957117830629</v>
      </c>
      <c r="AM117" s="584">
        <f t="shared" si="19"/>
        <v>-179.8941750357115</v>
      </c>
      <c r="AN117" s="1038">
        <f t="shared" si="20"/>
        <v>145.87957117830629</v>
      </c>
      <c r="AO117" s="1038">
        <f t="shared" si="21"/>
        <v>179.8941750357115</v>
      </c>
      <c r="AQ117" s="489"/>
      <c r="AR117" s="1037">
        <v>8</v>
      </c>
      <c r="AS117" s="1036">
        <f t="shared" si="6"/>
        <v>-50</v>
      </c>
      <c r="AT117" s="1035">
        <f t="shared" si="7"/>
        <v>-50</v>
      </c>
      <c r="AU117" s="1034">
        <f t="shared" si="3"/>
        <v>-336.00007274579139</v>
      </c>
      <c r="AV117" s="1033">
        <f t="shared" si="4"/>
        <v>336.00007274579139</v>
      </c>
      <c r="AW117" s="1033">
        <f t="shared" si="8"/>
        <v>13.999927254208615</v>
      </c>
      <c r="AX117" s="1033" t="b">
        <f t="shared" si="5"/>
        <v>0</v>
      </c>
      <c r="AY117" s="489"/>
      <c r="CV117" s="558"/>
      <c r="CZ117" s="524"/>
      <c r="DA117" s="524"/>
      <c r="DB117" s="524"/>
      <c r="DC117" s="524"/>
      <c r="DD117" s="524"/>
      <c r="DE117" s="524"/>
      <c r="DF117" s="524"/>
    </row>
    <row r="118" spans="2:110" ht="19.8" thickBot="1" x14ac:dyDescent="0.5">
      <c r="B118" s="560">
        <v>5</v>
      </c>
      <c r="C118" s="560"/>
      <c r="D118" s="1046">
        <v>0</v>
      </c>
      <c r="E118" s="587" t="s">
        <v>126</v>
      </c>
      <c r="F118" s="1045"/>
      <c r="G118" s="1022">
        <v>479.77208100000001</v>
      </c>
      <c r="H118" s="1022">
        <v>61.416098300000002</v>
      </c>
      <c r="I118" s="1044">
        <f t="shared" si="22"/>
        <v>61.416098300000002</v>
      </c>
      <c r="J118" s="1033">
        <f t="shared" si="23"/>
        <v>30.708049150000001</v>
      </c>
      <c r="K118" s="1033">
        <f t="shared" si="24"/>
        <v>0.51066370850547771</v>
      </c>
      <c r="L118" s="1033">
        <f t="shared" si="25"/>
        <v>245.00219012085046</v>
      </c>
      <c r="M118" s="1033">
        <f t="shared" si="26"/>
        <v>490.00438024170091</v>
      </c>
      <c r="N118" s="1033">
        <f>+C114+D115+D116+D117+(D118/2)</f>
        <v>0</v>
      </c>
      <c r="O118" s="1033">
        <f t="shared" si="27"/>
        <v>0</v>
      </c>
      <c r="P118" s="1033">
        <f t="shared" si="28"/>
        <v>0</v>
      </c>
      <c r="Q118" s="1033">
        <f t="shared" si="29"/>
        <v>334.49993130661176</v>
      </c>
      <c r="R118" s="1033">
        <f t="shared" si="35"/>
        <v>334.49993130661176</v>
      </c>
      <c r="S118" s="1033">
        <f t="shared" si="9"/>
        <v>334.49993130661176</v>
      </c>
      <c r="T118" s="1043"/>
      <c r="U118" s="632"/>
      <c r="V118" s="571">
        <f t="shared" si="10"/>
        <v>0</v>
      </c>
      <c r="W118" s="1042"/>
      <c r="X118" s="571">
        <f>SUM(V118:V125)/($B$111-B117)</f>
        <v>0</v>
      </c>
      <c r="Y118" s="620">
        <f>SUM(D115:D118)+$C$114</f>
        <v>0</v>
      </c>
      <c r="Z118" s="1040">
        <f t="shared" si="30"/>
        <v>53.779595</v>
      </c>
      <c r="AA118" s="1041">
        <f t="shared" si="11"/>
        <v>0.8067499259590819</v>
      </c>
      <c r="AB118" s="1040">
        <f t="shared" si="31"/>
        <v>334.49997885066585</v>
      </c>
      <c r="AC118" s="1040">
        <f t="shared" si="32"/>
        <v>59.291088500000001</v>
      </c>
      <c r="AD118" s="577">
        <f t="shared" si="12"/>
        <v>0.85977285389573432</v>
      </c>
      <c r="AE118" s="1040">
        <f t="shared" si="33"/>
        <v>412.49502763654965</v>
      </c>
      <c r="AF118" s="1039">
        <f t="shared" si="34"/>
        <v>-216</v>
      </c>
      <c r="AG118" s="580">
        <f t="shared" si="13"/>
        <v>746.99500648721551</v>
      </c>
      <c r="AH118" s="581">
        <f t="shared" si="14"/>
        <v>-334.49997885066585</v>
      </c>
      <c r="AI118" s="581">
        <f t="shared" si="15"/>
        <v>334.49997885066585</v>
      </c>
      <c r="AJ118" s="583">
        <f t="shared" si="16"/>
        <v>-119.27646797598722</v>
      </c>
      <c r="AK118" s="583">
        <f t="shared" si="17"/>
        <v>-96.723532024012783</v>
      </c>
      <c r="AL118" s="584">
        <f t="shared" si="18"/>
        <v>-97.2530474522042</v>
      </c>
      <c r="AM118" s="584">
        <f t="shared" si="19"/>
        <v>-119.92945002380765</v>
      </c>
      <c r="AN118" s="1038">
        <f t="shared" si="20"/>
        <v>97.2530474522042</v>
      </c>
      <c r="AO118" s="1038">
        <f t="shared" si="21"/>
        <v>119.92945002380765</v>
      </c>
      <c r="AQ118" s="489"/>
      <c r="AR118" s="1037">
        <v>9</v>
      </c>
      <c r="AS118" s="1036">
        <f t="shared" si="6"/>
        <v>0</v>
      </c>
      <c r="AT118" s="1035">
        <f t="shared" si="7"/>
        <v>0</v>
      </c>
      <c r="AU118" s="1034">
        <f t="shared" si="3"/>
        <v>-286.00007274579139</v>
      </c>
      <c r="AV118" s="1033">
        <f t="shared" si="4"/>
        <v>286.00007274579139</v>
      </c>
      <c r="AW118" s="1033">
        <f t="shared" si="8"/>
        <v>13.999927254208615</v>
      </c>
      <c r="AX118" s="1033" t="b">
        <f t="shared" si="5"/>
        <v>0</v>
      </c>
      <c r="AY118" s="489"/>
      <c r="CV118" s="558"/>
      <c r="CZ118" s="524"/>
      <c r="DA118" s="524"/>
      <c r="DB118" s="524"/>
      <c r="DC118" s="524"/>
      <c r="DD118" s="524"/>
      <c r="DE118" s="524"/>
      <c r="DF118" s="524"/>
    </row>
    <row r="119" spans="2:110" ht="19.8" thickBot="1" x14ac:dyDescent="0.5">
      <c r="B119" s="560">
        <v>6</v>
      </c>
      <c r="C119" s="560"/>
      <c r="D119" s="1046">
        <v>0</v>
      </c>
      <c r="E119" s="587" t="s">
        <v>126</v>
      </c>
      <c r="F119" s="1045"/>
      <c r="G119" s="1022">
        <v>479.77208100000001</v>
      </c>
      <c r="H119" s="1022">
        <v>61.416098300000002</v>
      </c>
      <c r="I119" s="1044">
        <f t="shared" si="22"/>
        <v>61.416098300000002</v>
      </c>
      <c r="J119" s="1033">
        <f t="shared" si="23"/>
        <v>30.708049150000001</v>
      </c>
      <c r="K119" s="1033">
        <f t="shared" si="24"/>
        <v>0.51066370850547771</v>
      </c>
      <c r="L119" s="1033">
        <f t="shared" si="25"/>
        <v>245.00219012085046</v>
      </c>
      <c r="M119" s="1033">
        <f t="shared" si="26"/>
        <v>490.00438024170091</v>
      </c>
      <c r="N119" s="1033">
        <f>+C114+D115+D116+D117+D118+(D119/2)</f>
        <v>0</v>
      </c>
      <c r="O119" s="1033">
        <f t="shared" si="27"/>
        <v>0</v>
      </c>
      <c r="P119" s="1033">
        <f t="shared" si="28"/>
        <v>0</v>
      </c>
      <c r="Q119" s="1033">
        <f t="shared" si="29"/>
        <v>334.49993130661176</v>
      </c>
      <c r="R119" s="1033">
        <f t="shared" si="35"/>
        <v>334.49993130661176</v>
      </c>
      <c r="S119" s="1033">
        <f t="shared" si="9"/>
        <v>334.49993130661176</v>
      </c>
      <c r="T119" s="1043"/>
      <c r="U119" s="632"/>
      <c r="V119" s="571">
        <f t="shared" si="10"/>
        <v>0</v>
      </c>
      <c r="W119" s="1042"/>
      <c r="X119" s="571">
        <f>SUM(V119:V125)/($B$111-B118)</f>
        <v>0</v>
      </c>
      <c r="Y119" s="620">
        <f>SUM(D115:D119)+$C$114</f>
        <v>0</v>
      </c>
      <c r="Z119" s="1040">
        <f t="shared" si="30"/>
        <v>53.779595</v>
      </c>
      <c r="AA119" s="1041">
        <f t="shared" si="11"/>
        <v>0.8067499259590819</v>
      </c>
      <c r="AB119" s="1040">
        <f t="shared" si="31"/>
        <v>334.49997885066585</v>
      </c>
      <c r="AC119" s="1040">
        <f t="shared" si="32"/>
        <v>59.291088500000001</v>
      </c>
      <c r="AD119" s="577">
        <f t="shared" si="12"/>
        <v>0.85977285389573432</v>
      </c>
      <c r="AE119" s="1040">
        <f t="shared" si="33"/>
        <v>412.49502763654965</v>
      </c>
      <c r="AF119" s="1039">
        <f t="shared" si="34"/>
        <v>-288</v>
      </c>
      <c r="AG119" s="580">
        <f t="shared" si="13"/>
        <v>746.99500648721551</v>
      </c>
      <c r="AH119" s="581">
        <f t="shared" si="14"/>
        <v>-334.49997885066585</v>
      </c>
      <c r="AI119" s="581">
        <f t="shared" si="15"/>
        <v>334.49997885066585</v>
      </c>
      <c r="AJ119" s="583">
        <f t="shared" si="16"/>
        <v>-159.03529063464964</v>
      </c>
      <c r="AK119" s="583">
        <f t="shared" si="17"/>
        <v>-128.96470936535036</v>
      </c>
      <c r="AL119" s="584">
        <f t="shared" si="18"/>
        <v>-72.939785589153146</v>
      </c>
      <c r="AM119" s="584">
        <f t="shared" si="19"/>
        <v>-89.947087517855749</v>
      </c>
      <c r="AN119" s="1038">
        <f t="shared" si="20"/>
        <v>72.939785589153146</v>
      </c>
      <c r="AO119" s="1038">
        <f t="shared" si="21"/>
        <v>89.947087517855749</v>
      </c>
      <c r="AQ119" s="489"/>
      <c r="AR119" s="1037">
        <v>10</v>
      </c>
      <c r="AS119" s="1036">
        <f t="shared" si="6"/>
        <v>50</v>
      </c>
      <c r="AT119" s="1035">
        <f t="shared" si="7"/>
        <v>50</v>
      </c>
      <c r="AU119" s="1034">
        <f t="shared" si="3"/>
        <v>-236.00007274579139</v>
      </c>
      <c r="AV119" s="1033">
        <f t="shared" si="4"/>
        <v>236.00007274579139</v>
      </c>
      <c r="AW119" s="1033">
        <f t="shared" si="8"/>
        <v>13.999927254208615</v>
      </c>
      <c r="AX119" s="1033" t="b">
        <f t="shared" si="5"/>
        <v>0</v>
      </c>
      <c r="AY119" s="489"/>
      <c r="CV119" s="558"/>
      <c r="CZ119" s="524"/>
      <c r="DA119" s="524"/>
      <c r="DB119" s="524"/>
      <c r="DC119" s="524"/>
      <c r="DD119" s="524"/>
      <c r="DE119" s="524"/>
      <c r="DF119" s="524"/>
    </row>
    <row r="120" spans="2:110" ht="19.8" thickBot="1" x14ac:dyDescent="0.5">
      <c r="B120" s="560">
        <v>7</v>
      </c>
      <c r="C120" s="560"/>
      <c r="D120" s="1046">
        <v>0</v>
      </c>
      <c r="E120" s="587" t="s">
        <v>126</v>
      </c>
      <c r="F120" s="1045"/>
      <c r="G120" s="1022">
        <v>479.77208100000001</v>
      </c>
      <c r="H120" s="1022">
        <v>61.416098300000002</v>
      </c>
      <c r="I120" s="1044">
        <f t="shared" si="22"/>
        <v>61.416098300000002</v>
      </c>
      <c r="J120" s="1033">
        <f t="shared" si="23"/>
        <v>30.708049150000001</v>
      </c>
      <c r="K120" s="1033">
        <f t="shared" si="24"/>
        <v>0.51066370850547771</v>
      </c>
      <c r="L120" s="1033">
        <f t="shared" si="25"/>
        <v>245.00219012085046</v>
      </c>
      <c r="M120" s="1033">
        <f t="shared" si="26"/>
        <v>490.00438024170091</v>
      </c>
      <c r="N120" s="1033">
        <f>+C114+D115+D116+D117+D118+D119+(D120/2)</f>
        <v>0</v>
      </c>
      <c r="O120" s="1033">
        <f t="shared" si="27"/>
        <v>0</v>
      </c>
      <c r="P120" s="1033">
        <f t="shared" si="28"/>
        <v>0</v>
      </c>
      <c r="Q120" s="1033">
        <f t="shared" si="29"/>
        <v>334.49993130661176</v>
      </c>
      <c r="R120" s="1033">
        <f t="shared" si="35"/>
        <v>334.49993130661176</v>
      </c>
      <c r="S120" s="1033">
        <f t="shared" si="9"/>
        <v>334.49993130661176</v>
      </c>
      <c r="T120" s="1043"/>
      <c r="U120" s="632"/>
      <c r="V120" s="571">
        <f t="shared" si="10"/>
        <v>0</v>
      </c>
      <c r="W120" s="1042"/>
      <c r="X120" s="571">
        <f>SUM(V120:V125)/($B$111-B119)</f>
        <v>0</v>
      </c>
      <c r="Y120" s="620">
        <f>SUM(D115:D120)+$C$114</f>
        <v>0</v>
      </c>
      <c r="Z120" s="1040">
        <f t="shared" si="30"/>
        <v>53.779595</v>
      </c>
      <c r="AA120" s="1041">
        <f t="shared" si="11"/>
        <v>0.8067499259590819</v>
      </c>
      <c r="AB120" s="1040">
        <f t="shared" si="31"/>
        <v>334.49997885066585</v>
      </c>
      <c r="AC120" s="1040">
        <f t="shared" si="32"/>
        <v>59.291088500000001</v>
      </c>
      <c r="AD120" s="577">
        <f t="shared" si="12"/>
        <v>0.85977285389573432</v>
      </c>
      <c r="AE120" s="1040">
        <f t="shared" si="33"/>
        <v>412.49502763654965</v>
      </c>
      <c r="AF120" s="1039">
        <f t="shared" si="34"/>
        <v>-360</v>
      </c>
      <c r="AG120" s="580">
        <f t="shared" si="13"/>
        <v>746.99500648721551</v>
      </c>
      <c r="AH120" s="581">
        <f t="shared" si="14"/>
        <v>-334.49997885066585</v>
      </c>
      <c r="AI120" s="581">
        <f t="shared" si="15"/>
        <v>334.49997885066585</v>
      </c>
      <c r="AJ120" s="583">
        <f t="shared" si="16"/>
        <v>-198.79411329331202</v>
      </c>
      <c r="AK120" s="583">
        <f t="shared" si="17"/>
        <v>-161.20588670668798</v>
      </c>
      <c r="AL120" s="584">
        <f t="shared" si="18"/>
        <v>-58.351828471322527</v>
      </c>
      <c r="AM120" s="584">
        <f t="shared" si="19"/>
        <v>-71.957670014284588</v>
      </c>
      <c r="AN120" s="1038">
        <f t="shared" si="20"/>
        <v>58.351828471322527</v>
      </c>
      <c r="AO120" s="1038">
        <f t="shared" si="21"/>
        <v>71.957670014284588</v>
      </c>
      <c r="AQ120" s="489"/>
      <c r="AR120" s="1037">
        <v>11</v>
      </c>
      <c r="AS120" s="1036">
        <f t="shared" si="6"/>
        <v>100</v>
      </c>
      <c r="AT120" s="1035">
        <f t="shared" si="7"/>
        <v>100</v>
      </c>
      <c r="AU120" s="1034">
        <f t="shared" si="3"/>
        <v>-186.00007274579139</v>
      </c>
      <c r="AV120" s="1033">
        <f t="shared" si="4"/>
        <v>186.00007274579139</v>
      </c>
      <c r="AW120" s="1033">
        <f t="shared" si="8"/>
        <v>13.999927254208615</v>
      </c>
      <c r="AX120" s="1033" t="b">
        <f t="shared" si="5"/>
        <v>0</v>
      </c>
      <c r="AY120" s="489"/>
      <c r="CV120" s="558"/>
      <c r="CZ120" s="524"/>
      <c r="DA120" s="524"/>
      <c r="DB120" s="524"/>
      <c r="DC120" s="524"/>
      <c r="DD120" s="524"/>
      <c r="DE120" s="524"/>
      <c r="DF120" s="524"/>
    </row>
    <row r="121" spans="2:110" ht="19.8" thickBot="1" x14ac:dyDescent="0.5">
      <c r="B121" s="560">
        <v>8</v>
      </c>
      <c r="C121" s="560"/>
      <c r="D121" s="1046">
        <v>0</v>
      </c>
      <c r="E121" s="587" t="s">
        <v>126</v>
      </c>
      <c r="F121" s="1045"/>
      <c r="G121" s="1022">
        <v>479.77208100000001</v>
      </c>
      <c r="H121" s="1022">
        <v>61.416098300000002</v>
      </c>
      <c r="I121" s="1044">
        <f t="shared" si="22"/>
        <v>61.416098300000002</v>
      </c>
      <c r="J121" s="1033">
        <f t="shared" si="23"/>
        <v>30.708049150000001</v>
      </c>
      <c r="K121" s="1033">
        <f t="shared" si="24"/>
        <v>0.51066370850547771</v>
      </c>
      <c r="L121" s="1033">
        <f t="shared" si="25"/>
        <v>245.00219012085046</v>
      </c>
      <c r="M121" s="1033">
        <f t="shared" si="26"/>
        <v>490.00438024170091</v>
      </c>
      <c r="N121" s="1033">
        <f>+C114+D115+D116+D117+D118+D119+D120+(D121/2)</f>
        <v>0</v>
      </c>
      <c r="O121" s="1033">
        <f t="shared" si="27"/>
        <v>0</v>
      </c>
      <c r="P121" s="1033">
        <f t="shared" si="28"/>
        <v>0</v>
      </c>
      <c r="Q121" s="1033">
        <f t="shared" si="29"/>
        <v>334.49993130661176</v>
      </c>
      <c r="R121" s="1033">
        <f t="shared" si="35"/>
        <v>334.49993130661176</v>
      </c>
      <c r="S121" s="1033">
        <f t="shared" si="9"/>
        <v>334.49993130661176</v>
      </c>
      <c r="T121" s="1043"/>
      <c r="U121" s="632"/>
      <c r="V121" s="571">
        <f t="shared" si="10"/>
        <v>0</v>
      </c>
      <c r="W121" s="1042"/>
      <c r="X121" s="571">
        <f>SUM(V121:V125)/($B$111-B120)</f>
        <v>0</v>
      </c>
      <c r="Y121" s="620">
        <f>SUM(D115:D121)+$C$114</f>
        <v>0</v>
      </c>
      <c r="Z121" s="1040">
        <f t="shared" si="30"/>
        <v>53.779595</v>
      </c>
      <c r="AA121" s="1041">
        <f t="shared" si="11"/>
        <v>0.8067499259590819</v>
      </c>
      <c r="AB121" s="1040">
        <f t="shared" si="31"/>
        <v>334.49997885066585</v>
      </c>
      <c r="AC121" s="1040">
        <f t="shared" si="32"/>
        <v>59.291088500000001</v>
      </c>
      <c r="AD121" s="577">
        <f t="shared" si="12"/>
        <v>0.85977285389573432</v>
      </c>
      <c r="AE121" s="1040">
        <f t="shared" si="33"/>
        <v>412.49502763654965</v>
      </c>
      <c r="AF121" s="1039">
        <f t="shared" si="34"/>
        <v>-432</v>
      </c>
      <c r="AG121" s="580">
        <f t="shared" si="13"/>
        <v>746.99500648721551</v>
      </c>
      <c r="AH121" s="581">
        <f t="shared" si="14"/>
        <v>-334.49997885066585</v>
      </c>
      <c r="AI121" s="581">
        <f t="shared" si="15"/>
        <v>334.49997885066585</v>
      </c>
      <c r="AJ121" s="583">
        <f t="shared" si="16"/>
        <v>-238.55293595197443</v>
      </c>
      <c r="AK121" s="583">
        <f t="shared" si="17"/>
        <v>-193.44706404802557</v>
      </c>
      <c r="AL121" s="584">
        <f t="shared" si="18"/>
        <v>-48.6265237261021</v>
      </c>
      <c r="AM121" s="584">
        <f t="shared" si="19"/>
        <v>-59.964725011903823</v>
      </c>
      <c r="AN121" s="1038">
        <f t="shared" si="20"/>
        <v>48.6265237261021</v>
      </c>
      <c r="AO121" s="1038">
        <f t="shared" si="21"/>
        <v>59.964725011903823</v>
      </c>
      <c r="AQ121" s="489"/>
      <c r="AR121" s="1037">
        <v>12</v>
      </c>
      <c r="AS121" s="1036">
        <f t="shared" si="6"/>
        <v>150</v>
      </c>
      <c r="AT121" s="1035">
        <f t="shared" si="7"/>
        <v>150</v>
      </c>
      <c r="AU121" s="1034">
        <f t="shared" si="3"/>
        <v>-136.00007274579139</v>
      </c>
      <c r="AV121" s="1033">
        <f t="shared" si="4"/>
        <v>136.00007274579139</v>
      </c>
      <c r="AW121" s="1033">
        <f t="shared" si="8"/>
        <v>13.999927254208615</v>
      </c>
      <c r="AX121" s="1033" t="b">
        <f t="shared" si="5"/>
        <v>0</v>
      </c>
      <c r="AY121" s="489"/>
      <c r="CV121" s="558"/>
      <c r="CZ121" s="524"/>
      <c r="DA121" s="524"/>
      <c r="DB121" s="524"/>
      <c r="DC121" s="524"/>
      <c r="DD121" s="524"/>
      <c r="DE121" s="524"/>
      <c r="DF121" s="524"/>
    </row>
    <row r="122" spans="2:110" ht="19.8" thickBot="1" x14ac:dyDescent="0.5">
      <c r="B122" s="560">
        <v>9</v>
      </c>
      <c r="C122" s="560"/>
      <c r="D122" s="1046">
        <v>0</v>
      </c>
      <c r="E122" s="587" t="s">
        <v>126</v>
      </c>
      <c r="F122" s="1045"/>
      <c r="G122" s="1022">
        <v>479.77208100000001</v>
      </c>
      <c r="H122" s="1022">
        <v>61.416098300000002</v>
      </c>
      <c r="I122" s="1044">
        <f t="shared" si="22"/>
        <v>61.416098300000002</v>
      </c>
      <c r="J122" s="1033">
        <f t="shared" si="23"/>
        <v>30.708049150000001</v>
      </c>
      <c r="K122" s="1033">
        <f t="shared" si="24"/>
        <v>0.51066370850547771</v>
      </c>
      <c r="L122" s="1033">
        <f t="shared" si="25"/>
        <v>245.00219012085046</v>
      </c>
      <c r="M122" s="1033">
        <f t="shared" si="26"/>
        <v>490.00438024170091</v>
      </c>
      <c r="N122" s="1033">
        <f>+C114+D115+D116+D117+D118+D119+D120+D121+(D122/2)</f>
        <v>0</v>
      </c>
      <c r="O122" s="1033">
        <f t="shared" si="27"/>
        <v>0</v>
      </c>
      <c r="P122" s="1033">
        <f t="shared" si="28"/>
        <v>0</v>
      </c>
      <c r="Q122" s="1033">
        <f t="shared" si="29"/>
        <v>334.49993130661176</v>
      </c>
      <c r="R122" s="1033">
        <f t="shared" si="35"/>
        <v>334.49993130661176</v>
      </c>
      <c r="S122" s="1033">
        <f t="shared" si="9"/>
        <v>334.49993130661176</v>
      </c>
      <c r="T122" s="1043"/>
      <c r="U122" s="632"/>
      <c r="V122" s="571">
        <f t="shared" si="10"/>
        <v>0</v>
      </c>
      <c r="W122" s="1042"/>
      <c r="X122" s="571">
        <f>SUM(V122:V125)/($B$111-B121)</f>
        <v>0</v>
      </c>
      <c r="Y122" s="620">
        <f>SUM(D115:D122)+$C$114</f>
        <v>0</v>
      </c>
      <c r="Z122" s="1040">
        <f t="shared" si="30"/>
        <v>53.779595</v>
      </c>
      <c r="AA122" s="1041">
        <f t="shared" si="11"/>
        <v>0.8067499259590819</v>
      </c>
      <c r="AB122" s="1040">
        <f t="shared" si="31"/>
        <v>334.49997885066585</v>
      </c>
      <c r="AC122" s="1040">
        <f t="shared" si="32"/>
        <v>59.291088500000001</v>
      </c>
      <c r="AD122" s="577">
        <f t="shared" si="12"/>
        <v>0.85977285389573432</v>
      </c>
      <c r="AE122" s="1040">
        <f t="shared" si="33"/>
        <v>412.49502763654965</v>
      </c>
      <c r="AF122" s="1039">
        <f t="shared" si="34"/>
        <v>-504</v>
      </c>
      <c r="AG122" s="580">
        <f t="shared" si="13"/>
        <v>746.99500648721551</v>
      </c>
      <c r="AH122" s="581">
        <f t="shared" si="14"/>
        <v>-334.49997885066585</v>
      </c>
      <c r="AI122" s="581">
        <f t="shared" si="15"/>
        <v>334.49997885066585</v>
      </c>
      <c r="AJ122" s="583">
        <f t="shared" si="16"/>
        <v>-278.31175861063684</v>
      </c>
      <c r="AK122" s="583">
        <f t="shared" si="17"/>
        <v>-225.68824138936316</v>
      </c>
      <c r="AL122" s="584">
        <f t="shared" si="18"/>
        <v>-41.679877479516087</v>
      </c>
      <c r="AM122" s="584">
        <f t="shared" si="19"/>
        <v>-51.398335724488994</v>
      </c>
      <c r="AN122" s="1038">
        <f t="shared" si="20"/>
        <v>41.679877479516087</v>
      </c>
      <c r="AO122" s="1038">
        <f t="shared" si="21"/>
        <v>51.398335724488994</v>
      </c>
      <c r="AQ122" s="489"/>
      <c r="AR122" s="1037">
        <v>13</v>
      </c>
      <c r="AS122" s="1036">
        <f t="shared" si="6"/>
        <v>200</v>
      </c>
      <c r="AT122" s="1035">
        <f t="shared" si="7"/>
        <v>200</v>
      </c>
      <c r="AU122" s="1034">
        <f t="shared" si="3"/>
        <v>-86.000072745791385</v>
      </c>
      <c r="AV122" s="1033">
        <f t="shared" si="4"/>
        <v>86.000072745791385</v>
      </c>
      <c r="AW122" s="1033">
        <f t="shared" si="8"/>
        <v>13.999927254208615</v>
      </c>
      <c r="AX122" s="1033" t="b">
        <f t="shared" si="5"/>
        <v>0</v>
      </c>
      <c r="AY122" s="489"/>
      <c r="CV122" s="558"/>
      <c r="CZ122" s="524"/>
      <c r="DA122" s="524"/>
      <c r="DB122" s="524"/>
      <c r="DC122" s="524"/>
      <c r="DD122" s="524"/>
      <c r="DE122" s="524"/>
      <c r="DF122" s="524"/>
    </row>
    <row r="123" spans="2:110" ht="19.8" thickBot="1" x14ac:dyDescent="0.5">
      <c r="B123" s="560">
        <v>10</v>
      </c>
      <c r="C123" s="560"/>
      <c r="D123" s="1046">
        <v>0</v>
      </c>
      <c r="E123" s="587" t="s">
        <v>126</v>
      </c>
      <c r="F123" s="1045"/>
      <c r="G123" s="1022">
        <v>479.77208100000001</v>
      </c>
      <c r="H123" s="1022">
        <v>61.416098300000002</v>
      </c>
      <c r="I123" s="1044">
        <f t="shared" si="22"/>
        <v>61.416098300000002</v>
      </c>
      <c r="J123" s="1033">
        <f t="shared" si="23"/>
        <v>30.708049150000001</v>
      </c>
      <c r="K123" s="1033">
        <f t="shared" si="24"/>
        <v>0.51066370850547771</v>
      </c>
      <c r="L123" s="1033">
        <f t="shared" si="25"/>
        <v>245.00219012085046</v>
      </c>
      <c r="M123" s="1033">
        <f t="shared" si="26"/>
        <v>490.00438024170091</v>
      </c>
      <c r="N123" s="1033">
        <f>+C114+D115+D116+D117+D118+D119+D120+D121+D122+(D123/2)</f>
        <v>0</v>
      </c>
      <c r="O123" s="1033">
        <f t="shared" si="27"/>
        <v>0</v>
      </c>
      <c r="P123" s="1033">
        <f t="shared" si="28"/>
        <v>0</v>
      </c>
      <c r="Q123" s="1033">
        <f t="shared" si="29"/>
        <v>334.49993130661176</v>
      </c>
      <c r="R123" s="1033">
        <f t="shared" si="35"/>
        <v>334.49993130661176</v>
      </c>
      <c r="S123" s="1033">
        <f t="shared" si="9"/>
        <v>334.49993130661176</v>
      </c>
      <c r="T123" s="1043"/>
      <c r="U123" s="632"/>
      <c r="V123" s="571">
        <f t="shared" si="10"/>
        <v>0</v>
      </c>
      <c r="W123" s="1042"/>
      <c r="X123" s="571">
        <f>SUM(V123:V125)/($B$111-B122)</f>
        <v>0</v>
      </c>
      <c r="Y123" s="620">
        <f>SUM(D115:D123)+$C$114</f>
        <v>0</v>
      </c>
      <c r="Z123" s="1040">
        <f t="shared" si="30"/>
        <v>53.779595</v>
      </c>
      <c r="AA123" s="1041">
        <f t="shared" si="11"/>
        <v>0.8067499259590819</v>
      </c>
      <c r="AB123" s="1040">
        <f t="shared" si="31"/>
        <v>334.49997885066585</v>
      </c>
      <c r="AC123" s="1040">
        <f t="shared" si="32"/>
        <v>59.291088500000001</v>
      </c>
      <c r="AD123" s="577">
        <f t="shared" si="12"/>
        <v>0.85977285389573432</v>
      </c>
      <c r="AE123" s="1040">
        <f t="shared" si="33"/>
        <v>412.49502763654965</v>
      </c>
      <c r="AF123" s="1039">
        <f t="shared" si="34"/>
        <v>-576</v>
      </c>
      <c r="AG123" s="580">
        <f t="shared" si="13"/>
        <v>746.99500648721551</v>
      </c>
      <c r="AH123" s="581">
        <f t="shared" si="14"/>
        <v>-334.49997885066585</v>
      </c>
      <c r="AI123" s="581">
        <f t="shared" si="15"/>
        <v>334.49997885066585</v>
      </c>
      <c r="AJ123" s="583">
        <f t="shared" si="16"/>
        <v>-318.07058126929928</v>
      </c>
      <c r="AK123" s="583">
        <f t="shared" si="17"/>
        <v>-257.92941873070072</v>
      </c>
      <c r="AL123" s="584">
        <f t="shared" si="18"/>
        <v>-36.469892794576573</v>
      </c>
      <c r="AM123" s="584">
        <f t="shared" si="19"/>
        <v>-44.973543758927875</v>
      </c>
      <c r="AN123" s="1038">
        <f t="shared" si="20"/>
        <v>36.469892794576573</v>
      </c>
      <c r="AO123" s="1038">
        <f t="shared" si="21"/>
        <v>44.973543758927875</v>
      </c>
      <c r="AQ123" s="489"/>
      <c r="AR123" s="1037">
        <v>14</v>
      </c>
      <c r="AS123" s="1036">
        <f t="shared" si="6"/>
        <v>250</v>
      </c>
      <c r="AT123" s="1035">
        <f t="shared" si="7"/>
        <v>250</v>
      </c>
      <c r="AU123" s="1034">
        <f t="shared" si="3"/>
        <v>-36.000072745791385</v>
      </c>
      <c r="AV123" s="1033">
        <f t="shared" si="4"/>
        <v>36.000072745791385</v>
      </c>
      <c r="AW123" s="1033">
        <f t="shared" si="8"/>
        <v>13.999927254208615</v>
      </c>
      <c r="AX123" s="1033" t="b">
        <f t="shared" si="5"/>
        <v>0</v>
      </c>
      <c r="AY123" s="489"/>
      <c r="CV123" s="558"/>
      <c r="CZ123" s="524"/>
      <c r="DA123" s="524"/>
      <c r="DB123" s="524"/>
      <c r="DC123" s="524"/>
      <c r="DD123" s="524"/>
      <c r="DE123" s="524"/>
      <c r="DF123" s="524"/>
    </row>
    <row r="124" spans="2:110" ht="19.8" hidden="1" thickBot="1" x14ac:dyDescent="0.5">
      <c r="B124" s="560">
        <v>11</v>
      </c>
      <c r="C124" s="560"/>
      <c r="D124" s="1046">
        <v>0</v>
      </c>
      <c r="E124" s="587" t="s">
        <v>126</v>
      </c>
      <c r="F124" s="1045"/>
      <c r="G124" s="1022">
        <v>479.77208100000001</v>
      </c>
      <c r="H124" s="1022">
        <v>61.416098300000002</v>
      </c>
      <c r="I124" s="1044">
        <f t="shared" si="22"/>
        <v>61.416098300000002</v>
      </c>
      <c r="J124" s="1033">
        <f t="shared" si="23"/>
        <v>30.708049150000001</v>
      </c>
      <c r="K124" s="1033">
        <f t="shared" si="24"/>
        <v>0.51066370850547771</v>
      </c>
      <c r="L124" s="1033">
        <f t="shared" si="25"/>
        <v>245.00219012085046</v>
      </c>
      <c r="M124" s="1033">
        <f t="shared" si="26"/>
        <v>490.00438024170091</v>
      </c>
      <c r="N124" s="1033">
        <f>+C114+D115+D116+D117+D118+D119+D120+D121+D122+D123+(D124/2)</f>
        <v>0</v>
      </c>
      <c r="O124" s="1033">
        <f t="shared" si="27"/>
        <v>0</v>
      </c>
      <c r="P124" s="1033">
        <f t="shared" si="28"/>
        <v>0</v>
      </c>
      <c r="Q124" s="1033">
        <f t="shared" si="29"/>
        <v>334.49993130661176</v>
      </c>
      <c r="R124" s="1033">
        <f t="shared" si="35"/>
        <v>334.49993130661176</v>
      </c>
      <c r="S124" s="1033">
        <f t="shared" si="9"/>
        <v>334.49993130661176</v>
      </c>
      <c r="T124" s="1043"/>
      <c r="U124" s="632"/>
      <c r="V124" s="571">
        <f t="shared" si="10"/>
        <v>0</v>
      </c>
      <c r="W124" s="1042"/>
      <c r="X124" s="571">
        <f>SUM(V124:V125)/($B$111-B123)</f>
        <v>0</v>
      </c>
      <c r="Y124" s="620">
        <f>SUM(D115:D124)+$C$114</f>
        <v>0</v>
      </c>
      <c r="Z124" s="1040">
        <f t="shared" si="30"/>
        <v>53.779595</v>
      </c>
      <c r="AA124" s="1041">
        <f t="shared" si="11"/>
        <v>0.8067499259590819</v>
      </c>
      <c r="AB124" s="1040">
        <f t="shared" si="31"/>
        <v>334.49997885066585</v>
      </c>
      <c r="AC124" s="1040">
        <f t="shared" si="32"/>
        <v>59.291088500000001</v>
      </c>
      <c r="AD124" s="577">
        <f t="shared" si="12"/>
        <v>0.85977285389573432</v>
      </c>
      <c r="AE124" s="1040">
        <f t="shared" si="33"/>
        <v>412.49502763654965</v>
      </c>
      <c r="AF124" s="1039">
        <f t="shared" si="34"/>
        <v>-648</v>
      </c>
      <c r="AG124" s="580">
        <f t="shared" si="13"/>
        <v>746.99500648721551</v>
      </c>
      <c r="AH124" s="581">
        <f t="shared" si="14"/>
        <v>-334.49997885066585</v>
      </c>
      <c r="AI124" s="581">
        <f t="shared" si="15"/>
        <v>334.49997885066585</v>
      </c>
      <c r="AJ124" s="583">
        <f t="shared" si="16"/>
        <v>-357.82940392796166</v>
      </c>
      <c r="AK124" s="583">
        <f t="shared" si="17"/>
        <v>-290.17059607203834</v>
      </c>
      <c r="AL124" s="584">
        <f t="shared" si="18"/>
        <v>-32.417682484068067</v>
      </c>
      <c r="AM124" s="584">
        <f t="shared" si="19"/>
        <v>-39.976483341269216</v>
      </c>
      <c r="AN124" s="1038">
        <f t="shared" si="20"/>
        <v>32.417682484068067</v>
      </c>
      <c r="AO124" s="1038">
        <f t="shared" si="21"/>
        <v>39.976483341269216</v>
      </c>
      <c r="AQ124" s="489"/>
      <c r="AR124" s="1037">
        <v>15</v>
      </c>
      <c r="AS124" s="1036">
        <f t="shared" si="6"/>
        <v>300</v>
      </c>
      <c r="AT124" s="1035">
        <f t="shared" si="7"/>
        <v>300</v>
      </c>
      <c r="AU124" s="1034">
        <f t="shared" si="3"/>
        <v>13.999927254208615</v>
      </c>
      <c r="AV124" s="1033">
        <f t="shared" si="4"/>
        <v>13.999927254208615</v>
      </c>
      <c r="AW124" s="1033">
        <f t="shared" si="8"/>
        <v>13.999927254208615</v>
      </c>
      <c r="AX124" s="1033">
        <f t="shared" si="5"/>
        <v>15</v>
      </c>
      <c r="AY124" s="489"/>
      <c r="CV124" s="558"/>
      <c r="CZ124" s="524"/>
      <c r="DA124" s="524"/>
      <c r="DB124" s="524"/>
      <c r="DC124" s="524"/>
      <c r="DD124" s="524"/>
      <c r="DE124" s="524"/>
      <c r="DF124" s="524"/>
    </row>
    <row r="125" spans="2:110" ht="19.8" hidden="1" thickBot="1" x14ac:dyDescent="0.5">
      <c r="B125" s="560">
        <v>12</v>
      </c>
      <c r="C125" s="560"/>
      <c r="D125" s="1046">
        <v>0</v>
      </c>
      <c r="E125" s="587" t="s">
        <v>126</v>
      </c>
      <c r="F125" s="1045"/>
      <c r="G125" s="1022">
        <v>479.77208100000001</v>
      </c>
      <c r="H125" s="1022">
        <v>61.416098300000002</v>
      </c>
      <c r="I125" s="1044">
        <f t="shared" si="22"/>
        <v>61.416098300000002</v>
      </c>
      <c r="J125" s="1033">
        <f t="shared" si="23"/>
        <v>30.708049150000001</v>
      </c>
      <c r="K125" s="1033">
        <f t="shared" si="24"/>
        <v>0.51066370850547771</v>
      </c>
      <c r="L125" s="1033">
        <f t="shared" si="25"/>
        <v>245.00219012085046</v>
      </c>
      <c r="M125" s="1033">
        <f t="shared" si="26"/>
        <v>490.00438024170091</v>
      </c>
      <c r="N125" s="1033">
        <f>+C114+D115+D116+D117+D118+D119+D120+D121+D122+D123+D124+(D125/2)</f>
        <v>0</v>
      </c>
      <c r="O125" s="1033">
        <f t="shared" si="27"/>
        <v>0</v>
      </c>
      <c r="P125" s="1033">
        <f t="shared" si="28"/>
        <v>0</v>
      </c>
      <c r="Q125" s="1033">
        <f t="shared" si="29"/>
        <v>334.49993130661176</v>
      </c>
      <c r="R125" s="1033">
        <f t="shared" si="35"/>
        <v>334.49993130661176</v>
      </c>
      <c r="S125" s="1033">
        <f t="shared" si="9"/>
        <v>334.49993130661176</v>
      </c>
      <c r="T125" s="1043"/>
      <c r="U125" s="632"/>
      <c r="V125" s="571">
        <f t="shared" si="10"/>
        <v>0</v>
      </c>
      <c r="W125" s="1042"/>
      <c r="X125" s="571">
        <f>SUM(V125)/($B$111-B124)</f>
        <v>0</v>
      </c>
      <c r="Y125" s="620">
        <f>SUM(D115:D125)+$C$114</f>
        <v>0</v>
      </c>
      <c r="Z125" s="1040">
        <f t="shared" si="30"/>
        <v>53.779595</v>
      </c>
      <c r="AA125" s="1041">
        <f t="shared" si="11"/>
        <v>0.8067499259590819</v>
      </c>
      <c r="AB125" s="1040">
        <f t="shared" si="31"/>
        <v>334.49997885066585</v>
      </c>
      <c r="AC125" s="1040">
        <f t="shared" si="32"/>
        <v>59.291088500000001</v>
      </c>
      <c r="AD125" s="577">
        <f t="shared" si="12"/>
        <v>0.85977285389573432</v>
      </c>
      <c r="AE125" s="1040">
        <f t="shared" si="33"/>
        <v>412.49502763654965</v>
      </c>
      <c r="AF125" s="1039">
        <f t="shared" si="34"/>
        <v>-720</v>
      </c>
      <c r="AG125" s="580">
        <f t="shared" si="13"/>
        <v>746.99500648721551</v>
      </c>
      <c r="AH125" s="581">
        <f t="shared" si="14"/>
        <v>-334.49997885066585</v>
      </c>
      <c r="AI125" s="581">
        <f t="shared" si="15"/>
        <v>334.49997885066585</v>
      </c>
      <c r="AJ125" s="583">
        <f t="shared" si="16"/>
        <v>-397.58822658662405</v>
      </c>
      <c r="AK125" s="583">
        <f t="shared" si="17"/>
        <v>-322.41177341337595</v>
      </c>
      <c r="AL125" s="584">
        <f t="shared" si="18"/>
        <v>-29.175914235661264</v>
      </c>
      <c r="AM125" s="584">
        <f t="shared" si="19"/>
        <v>-35.978835007142294</v>
      </c>
      <c r="AN125" s="1038">
        <f t="shared" si="20"/>
        <v>29.175914235661264</v>
      </c>
      <c r="AO125" s="1038">
        <f t="shared" si="21"/>
        <v>35.978835007142294</v>
      </c>
      <c r="AQ125" s="489"/>
      <c r="AR125" s="1037">
        <v>16</v>
      </c>
      <c r="AS125" s="1036">
        <f t="shared" si="6"/>
        <v>350</v>
      </c>
      <c r="AT125" s="1035">
        <f t="shared" si="7"/>
        <v>350</v>
      </c>
      <c r="AU125" s="1034">
        <f t="shared" si="3"/>
        <v>63.999927254208615</v>
      </c>
      <c r="AV125" s="1033">
        <f t="shared" si="4"/>
        <v>63.999927254208615</v>
      </c>
      <c r="AW125" s="1033">
        <f t="shared" si="8"/>
        <v>13.999927254208615</v>
      </c>
      <c r="AX125" s="1033" t="b">
        <f t="shared" si="5"/>
        <v>0</v>
      </c>
      <c r="AY125" s="489"/>
      <c r="CV125" s="558"/>
      <c r="CZ125" s="524"/>
      <c r="DA125" s="524"/>
      <c r="DB125" s="524"/>
      <c r="DC125" s="524"/>
      <c r="DD125" s="524"/>
      <c r="DE125" s="524"/>
      <c r="DF125" s="524"/>
    </row>
    <row r="126" spans="2:110" ht="19.2" x14ac:dyDescent="0.45">
      <c r="G126" s="506"/>
      <c r="H126" s="506"/>
      <c r="I126" s="506"/>
      <c r="AQ126" s="489"/>
      <c r="AR126" s="1037">
        <v>17</v>
      </c>
      <c r="AS126" s="1036">
        <f t="shared" si="6"/>
        <v>400</v>
      </c>
      <c r="AT126" s="1035">
        <f t="shared" si="7"/>
        <v>400</v>
      </c>
      <c r="AU126" s="1034">
        <f t="shared" si="3"/>
        <v>113.99992725420861</v>
      </c>
      <c r="AV126" s="1033">
        <f t="shared" si="4"/>
        <v>113.99992725420861</v>
      </c>
      <c r="AW126" s="1033">
        <f t="shared" si="8"/>
        <v>13.999927254208615</v>
      </c>
      <c r="AX126" s="1033" t="b">
        <f t="shared" si="5"/>
        <v>0</v>
      </c>
      <c r="AY126" s="489"/>
    </row>
    <row r="127" spans="2:110" ht="19.2" x14ac:dyDescent="0.45">
      <c r="G127" s="506"/>
      <c r="H127" s="506"/>
      <c r="I127" s="506"/>
      <c r="AQ127" s="489"/>
      <c r="AR127" s="1037">
        <v>18</v>
      </c>
      <c r="AS127" s="1036">
        <f t="shared" si="6"/>
        <v>450</v>
      </c>
      <c r="AT127" s="1035">
        <f t="shared" si="7"/>
        <v>450</v>
      </c>
      <c r="AU127" s="1034">
        <f t="shared" si="3"/>
        <v>163.99992725420861</v>
      </c>
      <c r="AV127" s="1033">
        <f t="shared" si="4"/>
        <v>163.99992725420861</v>
      </c>
      <c r="AW127" s="1033">
        <f t="shared" si="8"/>
        <v>13.999927254208615</v>
      </c>
      <c r="AX127" s="1033" t="b">
        <f t="shared" si="5"/>
        <v>0</v>
      </c>
      <c r="AY127" s="489"/>
    </row>
    <row r="128" spans="2:110" ht="19.2" x14ac:dyDescent="0.45">
      <c r="G128" s="506"/>
      <c r="H128" s="506"/>
      <c r="I128" s="506"/>
      <c r="AQ128" s="489"/>
      <c r="AR128" s="1037">
        <v>19</v>
      </c>
      <c r="AS128" s="1036">
        <f t="shared" si="6"/>
        <v>500</v>
      </c>
      <c r="AT128" s="1035">
        <f t="shared" si="7"/>
        <v>500</v>
      </c>
      <c r="AU128" s="1034">
        <f t="shared" si="3"/>
        <v>213.99992725420861</v>
      </c>
      <c r="AV128" s="1033">
        <f t="shared" si="4"/>
        <v>213.99992725420861</v>
      </c>
      <c r="AW128" s="1033">
        <f t="shared" si="8"/>
        <v>13.999927254208615</v>
      </c>
      <c r="AX128" s="1033" t="b">
        <f t="shared" si="5"/>
        <v>0</v>
      </c>
      <c r="AY128" s="489"/>
    </row>
    <row r="129" spans="2:51" ht="19.2" x14ac:dyDescent="0.45">
      <c r="B129" s="535"/>
      <c r="AQ129" s="489"/>
      <c r="AR129" s="1037">
        <v>20</v>
      </c>
      <c r="AS129" s="1036">
        <f t="shared" si="6"/>
        <v>550</v>
      </c>
      <c r="AT129" s="1035">
        <f t="shared" si="7"/>
        <v>550</v>
      </c>
      <c r="AU129" s="1034">
        <f t="shared" si="3"/>
        <v>263.99992725420861</v>
      </c>
      <c r="AV129" s="1033">
        <f t="shared" si="4"/>
        <v>263.99992725420861</v>
      </c>
      <c r="AW129" s="1033">
        <f t="shared" si="8"/>
        <v>13.999927254208615</v>
      </c>
      <c r="AX129" s="1033" t="b">
        <f t="shared" si="5"/>
        <v>0</v>
      </c>
      <c r="AY129" s="489"/>
    </row>
    <row r="130" spans="2:51" ht="19.2" x14ac:dyDescent="0.45">
      <c r="AQ130" s="489"/>
      <c r="AR130" s="1037">
        <v>21</v>
      </c>
      <c r="AS130" s="1036">
        <f t="shared" si="6"/>
        <v>600</v>
      </c>
      <c r="AT130" s="1035">
        <f t="shared" si="7"/>
        <v>600</v>
      </c>
      <c r="AU130" s="1034">
        <f t="shared" si="3"/>
        <v>313.99992725420861</v>
      </c>
      <c r="AV130" s="1033">
        <f t="shared" si="4"/>
        <v>313.99992725420861</v>
      </c>
      <c r="AW130" s="1033">
        <f t="shared" si="8"/>
        <v>13.999927254208615</v>
      </c>
      <c r="AX130" s="1033" t="b">
        <f t="shared" si="5"/>
        <v>0</v>
      </c>
      <c r="AY130" s="489"/>
    </row>
    <row r="131" spans="2:51" ht="19.2" x14ac:dyDescent="0.45">
      <c r="AQ131" s="489"/>
      <c r="AR131" s="1037">
        <v>22</v>
      </c>
      <c r="AS131" s="1036">
        <f t="shared" si="6"/>
        <v>650</v>
      </c>
      <c r="AT131" s="1035">
        <f t="shared" si="7"/>
        <v>650</v>
      </c>
      <c r="AU131" s="1034">
        <f t="shared" si="3"/>
        <v>363.99992725420861</v>
      </c>
      <c r="AV131" s="1033">
        <f t="shared" si="4"/>
        <v>363.99992725420861</v>
      </c>
      <c r="AW131" s="1033">
        <f t="shared" si="8"/>
        <v>13.999927254208615</v>
      </c>
      <c r="AX131" s="1033" t="b">
        <f t="shared" si="5"/>
        <v>0</v>
      </c>
      <c r="AY131" s="489"/>
    </row>
    <row r="132" spans="2:51" ht="19.2" x14ac:dyDescent="0.45">
      <c r="AQ132" s="489"/>
      <c r="AR132" s="1037">
        <v>23</v>
      </c>
      <c r="AS132" s="1036">
        <f t="shared" si="6"/>
        <v>700</v>
      </c>
      <c r="AT132" s="1035">
        <f t="shared" si="7"/>
        <v>700</v>
      </c>
      <c r="AU132" s="1034">
        <f t="shared" si="3"/>
        <v>413.99992725420861</v>
      </c>
      <c r="AV132" s="1033">
        <f t="shared" si="4"/>
        <v>413.99992725420861</v>
      </c>
      <c r="AW132" s="1033">
        <f t="shared" si="8"/>
        <v>13.999927254208615</v>
      </c>
      <c r="AX132" s="1033" t="b">
        <f t="shared" si="5"/>
        <v>0</v>
      </c>
      <c r="AY132" s="489"/>
    </row>
    <row r="133" spans="2:51" ht="19.2" x14ac:dyDescent="0.45">
      <c r="AQ133" s="489"/>
      <c r="AR133" s="1037">
        <v>24</v>
      </c>
      <c r="AS133" s="1036">
        <f t="shared" si="6"/>
        <v>750</v>
      </c>
      <c r="AT133" s="1035">
        <f t="shared" si="7"/>
        <v>750</v>
      </c>
      <c r="AU133" s="1034">
        <f t="shared" si="3"/>
        <v>463.99992725420861</v>
      </c>
      <c r="AV133" s="1033">
        <f t="shared" si="4"/>
        <v>463.99992725420861</v>
      </c>
      <c r="AW133" s="1033">
        <f t="shared" si="8"/>
        <v>13.999927254208615</v>
      </c>
      <c r="AX133" s="1033" t="b">
        <f t="shared" si="5"/>
        <v>0</v>
      </c>
      <c r="AY133" s="489"/>
    </row>
    <row r="134" spans="2:51" ht="19.2" x14ac:dyDescent="0.45">
      <c r="AQ134" s="489"/>
      <c r="AR134" s="1037">
        <v>25</v>
      </c>
      <c r="AS134" s="1036">
        <f t="shared" si="6"/>
        <v>800</v>
      </c>
      <c r="AT134" s="1035">
        <f t="shared" si="7"/>
        <v>800</v>
      </c>
      <c r="AU134" s="1034">
        <f t="shared" si="3"/>
        <v>513.99992725420861</v>
      </c>
      <c r="AV134" s="1033">
        <f t="shared" si="4"/>
        <v>513.99992725420861</v>
      </c>
      <c r="AW134" s="1033">
        <f t="shared" si="8"/>
        <v>13.999927254208615</v>
      </c>
      <c r="AX134" s="1033" t="b">
        <f t="shared" si="5"/>
        <v>0</v>
      </c>
      <c r="AY134" s="489"/>
    </row>
    <row r="135" spans="2:51" ht="19.2" x14ac:dyDescent="0.45">
      <c r="AQ135" s="489"/>
      <c r="AR135" s="1037">
        <v>26</v>
      </c>
      <c r="AS135" s="1036">
        <f t="shared" si="6"/>
        <v>850</v>
      </c>
      <c r="AT135" s="1035">
        <f t="shared" si="7"/>
        <v>850</v>
      </c>
      <c r="AU135" s="1034">
        <f t="shared" si="3"/>
        <v>563.99992725420861</v>
      </c>
      <c r="AV135" s="1033">
        <f t="shared" si="4"/>
        <v>563.99992725420861</v>
      </c>
      <c r="AW135" s="1033">
        <f t="shared" si="8"/>
        <v>13.999927254208615</v>
      </c>
      <c r="AX135" s="1033" t="b">
        <f t="shared" si="5"/>
        <v>0</v>
      </c>
      <c r="AY135" s="489"/>
    </row>
    <row r="136" spans="2:51" ht="19.2" x14ac:dyDescent="0.45">
      <c r="AQ136" s="489"/>
      <c r="AR136" s="1037">
        <v>27</v>
      </c>
      <c r="AS136" s="1036">
        <f t="shared" si="6"/>
        <v>900</v>
      </c>
      <c r="AT136" s="1035">
        <f t="shared" si="7"/>
        <v>900</v>
      </c>
      <c r="AU136" s="1034">
        <f t="shared" si="3"/>
        <v>613.99992725420861</v>
      </c>
      <c r="AV136" s="1033">
        <f t="shared" si="4"/>
        <v>613.99992725420861</v>
      </c>
      <c r="AW136" s="1033">
        <f t="shared" si="8"/>
        <v>13.999927254208615</v>
      </c>
      <c r="AX136" s="1033" t="b">
        <f t="shared" si="5"/>
        <v>0</v>
      </c>
      <c r="AY136" s="489"/>
    </row>
    <row r="137" spans="2:51" ht="19.2" x14ac:dyDescent="0.45">
      <c r="AQ137" s="489"/>
      <c r="AR137" s="1037">
        <v>28</v>
      </c>
      <c r="AS137" s="1036">
        <f t="shared" si="6"/>
        <v>950</v>
      </c>
      <c r="AT137" s="1035">
        <f t="shared" si="7"/>
        <v>950</v>
      </c>
      <c r="AU137" s="1034">
        <f t="shared" si="3"/>
        <v>663.99992725420861</v>
      </c>
      <c r="AV137" s="1033">
        <f t="shared" si="4"/>
        <v>663.99992725420861</v>
      </c>
      <c r="AW137" s="1033">
        <f t="shared" si="8"/>
        <v>13.999927254208615</v>
      </c>
      <c r="AX137" s="1033" t="b">
        <f t="shared" si="5"/>
        <v>0</v>
      </c>
      <c r="AY137" s="489"/>
    </row>
    <row r="138" spans="2:51" ht="19.2" x14ac:dyDescent="0.45">
      <c r="AQ138" s="489"/>
      <c r="AR138" s="1037">
        <v>29</v>
      </c>
      <c r="AS138" s="1036">
        <f t="shared" si="6"/>
        <v>1000</v>
      </c>
      <c r="AT138" s="1035">
        <f t="shared" si="7"/>
        <v>1000</v>
      </c>
      <c r="AU138" s="1034">
        <f t="shared" si="3"/>
        <v>713.99992725420861</v>
      </c>
      <c r="AV138" s="1033">
        <f t="shared" si="4"/>
        <v>713.99992725420861</v>
      </c>
      <c r="AW138" s="1033">
        <f t="shared" si="8"/>
        <v>13.999927254208615</v>
      </c>
      <c r="AX138" s="1033" t="b">
        <f t="shared" si="5"/>
        <v>0</v>
      </c>
      <c r="AY138" s="489"/>
    </row>
    <row r="139" spans="2:51" ht="19.2" x14ac:dyDescent="0.45">
      <c r="AQ139" s="489"/>
      <c r="AR139" s="1037">
        <v>30</v>
      </c>
      <c r="AS139" s="1036">
        <f t="shared" si="6"/>
        <v>1050</v>
      </c>
      <c r="AT139" s="1035">
        <f t="shared" si="7"/>
        <v>1050</v>
      </c>
      <c r="AU139" s="1034">
        <f t="shared" si="3"/>
        <v>763.99992725420861</v>
      </c>
      <c r="AV139" s="1033">
        <f t="shared" si="4"/>
        <v>763.99992725420861</v>
      </c>
      <c r="AW139" s="1033">
        <f t="shared" si="8"/>
        <v>13.999927254208615</v>
      </c>
      <c r="AX139" s="1033" t="b">
        <f t="shared" si="5"/>
        <v>0</v>
      </c>
      <c r="AY139" s="489"/>
    </row>
    <row r="140" spans="2:51" x14ac:dyDescent="0.3">
      <c r="AQ140" s="489"/>
      <c r="AR140" s="489"/>
      <c r="AS140" s="489"/>
      <c r="AT140" s="489"/>
      <c r="AU140" s="489"/>
      <c r="AV140" s="489"/>
      <c r="AW140" s="489"/>
      <c r="AX140" s="489"/>
      <c r="AY140" s="489"/>
    </row>
    <row r="141" spans="2:51" x14ac:dyDescent="0.3">
      <c r="AQ141" s="489"/>
      <c r="AR141" s="489"/>
      <c r="AS141" s="489"/>
      <c r="AT141" s="489"/>
      <c r="AU141" s="489"/>
      <c r="AV141" s="489"/>
      <c r="AW141" s="489"/>
      <c r="AX141" s="489"/>
      <c r="AY141" s="489"/>
    </row>
    <row r="142" spans="2:51" x14ac:dyDescent="0.3">
      <c r="AQ142" s="489"/>
      <c r="AR142" s="489"/>
      <c r="AS142" s="489"/>
      <c r="AT142" s="489"/>
      <c r="AU142" s="489"/>
      <c r="AV142" s="489"/>
      <c r="AW142" s="489"/>
      <c r="AX142" s="489"/>
      <c r="AY142" s="489"/>
    </row>
    <row r="143" spans="2:51" x14ac:dyDescent="0.3">
      <c r="AQ143" s="489"/>
      <c r="AR143" s="489"/>
      <c r="AS143" s="489"/>
      <c r="AT143" s="489"/>
      <c r="AU143" s="489"/>
      <c r="AV143" s="489"/>
      <c r="AW143" s="489"/>
      <c r="AX143" s="489"/>
      <c r="AY143" s="489"/>
    </row>
    <row r="144" spans="2:51" x14ac:dyDescent="0.3">
      <c r="AQ144" s="489"/>
      <c r="AR144" s="489"/>
      <c r="AS144" s="489"/>
      <c r="AT144" s="489"/>
      <c r="AU144" s="489"/>
      <c r="AV144" s="489"/>
      <c r="AW144" s="489"/>
      <c r="AX144" s="489"/>
      <c r="AY144" s="489"/>
    </row>
    <row r="145" spans="42:76" ht="17.399999999999999" x14ac:dyDescent="0.3">
      <c r="AQ145" s="524"/>
      <c r="AR145" s="524"/>
      <c r="AS145" s="524"/>
      <c r="AT145" s="524"/>
      <c r="AU145" s="524"/>
      <c r="AV145" s="524"/>
      <c r="AW145" s="524"/>
      <c r="AY145" s="466"/>
    </row>
    <row r="146" spans="42:76" ht="17.399999999999999" x14ac:dyDescent="0.3">
      <c r="AQ146" s="524"/>
      <c r="AR146" s="524"/>
      <c r="AS146" s="524"/>
      <c r="AT146" s="524"/>
      <c r="AU146" s="524"/>
      <c r="AV146" s="524"/>
      <c r="AW146" s="524"/>
      <c r="AX146" s="639"/>
      <c r="AY146" s="466"/>
    </row>
    <row r="147" spans="42:76" x14ac:dyDescent="0.3">
      <c r="AQ147" s="524"/>
      <c r="AR147" s="524"/>
      <c r="AS147" s="524"/>
      <c r="AT147" s="524"/>
      <c r="AU147" s="524"/>
      <c r="AV147" s="524"/>
      <c r="AW147" s="524"/>
      <c r="AX147" s="524"/>
      <c r="AY147" s="524"/>
    </row>
    <row r="148" spans="42:76" x14ac:dyDescent="0.3">
      <c r="AQ148" s="640"/>
      <c r="AR148" s="640"/>
      <c r="AS148" s="640"/>
      <c r="AT148" s="640"/>
      <c r="AU148" s="640"/>
      <c r="AV148" s="640"/>
      <c r="AW148" s="640"/>
      <c r="AX148" s="640"/>
      <c r="AY148" s="640"/>
    </row>
    <row r="149" spans="42:76" x14ac:dyDescent="0.3">
      <c r="AQ149" s="600"/>
      <c r="AR149" s="600"/>
      <c r="AS149" s="600"/>
      <c r="AT149" s="600"/>
      <c r="AU149" s="600"/>
      <c r="AV149" s="600"/>
      <c r="AW149" s="600"/>
      <c r="AX149" s="600"/>
      <c r="AY149" s="600"/>
      <c r="AZ149" s="478"/>
      <c r="BA149" s="478"/>
      <c r="BB149" s="478"/>
      <c r="BC149" s="478"/>
      <c r="BD149" s="478"/>
      <c r="BE149" s="478"/>
      <c r="BF149" s="519"/>
      <c r="BG149" s="519"/>
      <c r="BH149" s="519"/>
      <c r="BI149" s="519"/>
      <c r="BJ149" s="519"/>
      <c r="BK149" s="519"/>
      <c r="BL149" s="519"/>
      <c r="BM149" s="519"/>
      <c r="BN149" s="519"/>
      <c r="BO149" s="519"/>
      <c r="BP149" s="519"/>
      <c r="BQ149" s="519"/>
      <c r="BR149" s="519"/>
      <c r="BS149" s="519"/>
      <c r="BT149" s="506"/>
    </row>
    <row r="150" spans="42:76" x14ac:dyDescent="0.3">
      <c r="AQ150" s="600"/>
      <c r="AR150" s="600"/>
      <c r="AS150" s="600"/>
      <c r="AT150" s="600"/>
      <c r="AU150" s="600"/>
      <c r="AV150" s="600"/>
      <c r="AW150" s="600"/>
      <c r="AX150" s="600"/>
      <c r="AY150" s="600"/>
      <c r="AZ150" s="478"/>
      <c r="BA150" s="478"/>
      <c r="BB150" s="478"/>
      <c r="BC150" s="478"/>
      <c r="BD150" s="478"/>
      <c r="BE150" s="478"/>
      <c r="BF150" s="519"/>
      <c r="BG150" s="519"/>
      <c r="BH150" s="519"/>
      <c r="BI150" s="519"/>
      <c r="BJ150" s="519"/>
      <c r="BK150" s="519"/>
      <c r="BL150" s="519"/>
      <c r="BM150" s="519"/>
      <c r="BN150" s="519"/>
      <c r="BO150" s="519"/>
      <c r="BP150" s="519"/>
      <c r="BQ150" s="519"/>
      <c r="BR150" s="519"/>
      <c r="BS150" s="519"/>
      <c r="BT150" s="506"/>
    </row>
    <row r="151" spans="42:76" x14ac:dyDescent="0.3">
      <c r="AP151" s="516"/>
      <c r="AQ151" s="516"/>
      <c r="AR151" s="516"/>
      <c r="AS151" s="516"/>
      <c r="AT151" s="516"/>
      <c r="AU151" s="516"/>
      <c r="AV151" s="516"/>
      <c r="AW151" s="516"/>
      <c r="AX151" s="516"/>
      <c r="AY151" s="516"/>
      <c r="AZ151" s="478"/>
      <c r="BA151" s="478"/>
      <c r="BB151" s="478"/>
      <c r="BC151" s="478"/>
      <c r="BD151" s="478"/>
      <c r="BE151" s="478"/>
      <c r="BF151" s="519"/>
      <c r="BG151" s="519"/>
      <c r="BH151" s="519"/>
      <c r="BI151" s="519"/>
      <c r="BJ151" s="519"/>
      <c r="BK151" s="519"/>
      <c r="BL151" s="519"/>
      <c r="BM151" s="519"/>
      <c r="BN151" s="519"/>
      <c r="BO151" s="519"/>
      <c r="BP151" s="519"/>
      <c r="BQ151" s="519"/>
      <c r="BR151" s="519"/>
      <c r="BS151" s="519"/>
      <c r="BT151" s="506"/>
    </row>
    <row r="152" spans="42:76" x14ac:dyDescent="0.3">
      <c r="AP152" s="516"/>
      <c r="AQ152" s="644"/>
      <c r="AR152" s="516"/>
      <c r="AS152" s="516"/>
      <c r="AT152" s="516"/>
      <c r="AU152" s="516"/>
      <c r="AV152" s="516"/>
      <c r="AW152" s="516"/>
      <c r="AX152" s="516"/>
      <c r="AY152" s="516"/>
      <c r="BS152" s="521"/>
      <c r="BT152" s="521"/>
      <c r="BU152" s="521"/>
      <c r="BV152" s="521"/>
      <c r="BW152" s="521"/>
      <c r="BX152" s="521"/>
    </row>
    <row r="153" spans="42:76" ht="18.600000000000001" x14ac:dyDescent="0.45">
      <c r="AP153" s="516"/>
      <c r="AQ153" s="1031"/>
      <c r="AR153" s="515"/>
      <c r="AS153" s="540"/>
      <c r="AT153" s="540"/>
      <c r="AU153" s="540"/>
      <c r="AV153" s="540"/>
      <c r="AW153" s="540"/>
      <c r="AX153" s="540"/>
      <c r="AY153" s="1032"/>
    </row>
    <row r="154" spans="42:76" ht="18.600000000000001" x14ac:dyDescent="0.45">
      <c r="AP154" s="516"/>
      <c r="AQ154" s="1031"/>
      <c r="AR154" s="515"/>
      <c r="AS154" s="540"/>
      <c r="AT154" s="540"/>
      <c r="AU154" s="540"/>
      <c r="AV154" s="540"/>
      <c r="AW154" s="540"/>
      <c r="AX154" s="540"/>
      <c r="AY154" s="1032"/>
    </row>
    <row r="155" spans="42:76" ht="18.600000000000001" x14ac:dyDescent="0.45">
      <c r="AP155" s="516"/>
      <c r="AQ155" s="1031"/>
      <c r="AR155" s="515"/>
      <c r="AS155" s="540"/>
      <c r="AT155" s="540"/>
      <c r="AU155" s="540"/>
      <c r="AV155" s="540"/>
      <c r="AW155" s="540"/>
      <c r="AX155" s="540"/>
      <c r="AY155" s="1032"/>
    </row>
    <row r="156" spans="42:76" ht="18.600000000000001" x14ac:dyDescent="0.45">
      <c r="AP156" s="516"/>
      <c r="AQ156" s="1031"/>
      <c r="AR156" s="515"/>
      <c r="AS156" s="540"/>
      <c r="AT156" s="540"/>
      <c r="AU156" s="540"/>
      <c r="AV156" s="540"/>
      <c r="AW156" s="540"/>
      <c r="AX156" s="540"/>
      <c r="AY156" s="1032"/>
    </row>
    <row r="157" spans="42:76" ht="18.600000000000001" x14ac:dyDescent="0.45">
      <c r="AP157" s="516"/>
      <c r="AQ157" s="1031"/>
      <c r="AR157" s="515"/>
      <c r="AS157" s="540"/>
      <c r="AT157" s="540"/>
      <c r="AU157" s="540"/>
      <c r="AV157" s="540"/>
      <c r="AW157" s="540"/>
      <c r="AX157" s="540"/>
      <c r="AY157" s="1032"/>
    </row>
    <row r="158" spans="42:76" ht="18.600000000000001" x14ac:dyDescent="0.45">
      <c r="AP158" s="516"/>
      <c r="AQ158" s="1031"/>
      <c r="AR158" s="515"/>
      <c r="AS158" s="540"/>
      <c r="AT158" s="540"/>
      <c r="AU158" s="540"/>
      <c r="AV158" s="540"/>
      <c r="AW158" s="540"/>
      <c r="AX158" s="540"/>
      <c r="AY158" s="1032"/>
    </row>
    <row r="159" spans="42:76" ht="18.600000000000001" x14ac:dyDescent="0.45">
      <c r="AP159" s="516"/>
      <c r="AQ159" s="1031"/>
      <c r="AR159" s="515"/>
      <c r="AS159" s="540"/>
      <c r="AT159" s="540"/>
      <c r="AU159" s="540"/>
      <c r="AV159" s="540"/>
      <c r="AW159" s="540"/>
      <c r="AX159" s="540"/>
      <c r="AY159" s="1032"/>
    </row>
    <row r="160" spans="42:76" ht="18.600000000000001" x14ac:dyDescent="0.45">
      <c r="AP160" s="516"/>
      <c r="AQ160" s="1031"/>
      <c r="AR160" s="515"/>
      <c r="AS160" s="540"/>
      <c r="AT160" s="540"/>
      <c r="AU160" s="540"/>
      <c r="AV160" s="540"/>
      <c r="AW160" s="540"/>
      <c r="AX160" s="540"/>
      <c r="AY160" s="1032"/>
    </row>
    <row r="161" spans="42:51" ht="18.600000000000001" x14ac:dyDescent="0.45">
      <c r="AP161" s="516"/>
      <c r="AQ161" s="1031"/>
      <c r="AR161" s="515"/>
      <c r="AS161" s="540"/>
      <c r="AT161" s="540"/>
      <c r="AU161" s="540"/>
      <c r="AV161" s="540"/>
      <c r="AW161" s="540"/>
      <c r="AX161" s="540"/>
      <c r="AY161" s="1032"/>
    </row>
    <row r="162" spans="42:51" ht="18.600000000000001" x14ac:dyDescent="0.45">
      <c r="AP162" s="516"/>
      <c r="AQ162" s="1031"/>
      <c r="AR162" s="515"/>
      <c r="AS162" s="540"/>
      <c r="AT162" s="540"/>
      <c r="AU162" s="540"/>
      <c r="AV162" s="540"/>
      <c r="AW162" s="540"/>
      <c r="AX162" s="540"/>
      <c r="AY162" s="1032"/>
    </row>
    <row r="163" spans="42:51" ht="18.600000000000001" x14ac:dyDescent="0.45">
      <c r="AP163" s="516"/>
      <c r="AQ163" s="1031"/>
      <c r="AR163" s="515"/>
      <c r="AS163" s="540"/>
      <c r="AT163" s="540"/>
      <c r="AU163" s="540"/>
      <c r="AV163" s="540"/>
      <c r="AW163" s="540"/>
      <c r="AX163" s="540"/>
      <c r="AY163" s="1032"/>
    </row>
    <row r="164" spans="42:51" ht="18.600000000000001" x14ac:dyDescent="0.45">
      <c r="AP164" s="516"/>
      <c r="AQ164" s="1031"/>
      <c r="AR164" s="515"/>
      <c r="AS164" s="540"/>
      <c r="AT164" s="540"/>
      <c r="AU164" s="540"/>
      <c r="AV164" s="540"/>
      <c r="AW164" s="540"/>
      <c r="AX164" s="540"/>
      <c r="AY164" s="516"/>
    </row>
    <row r="165" spans="42:51" ht="18.600000000000001" x14ac:dyDescent="0.45">
      <c r="AP165" s="516"/>
      <c r="AQ165" s="1031"/>
      <c r="AR165" s="515"/>
      <c r="AS165" s="540"/>
      <c r="AT165" s="540"/>
      <c r="AU165" s="540"/>
      <c r="AV165" s="540"/>
      <c r="AW165" s="540"/>
      <c r="AX165" s="540"/>
      <c r="AY165" s="516"/>
    </row>
    <row r="166" spans="42:51" ht="18.600000000000001" x14ac:dyDescent="0.45">
      <c r="AP166" s="516"/>
      <c r="AQ166" s="1031"/>
      <c r="AR166" s="515"/>
      <c r="AS166" s="540"/>
      <c r="AT166" s="540"/>
      <c r="AU166" s="540"/>
      <c r="AV166" s="540"/>
      <c r="AW166" s="540"/>
      <c r="AX166" s="540"/>
      <c r="AY166" s="516"/>
    </row>
    <row r="167" spans="42:51" ht="18.600000000000001" x14ac:dyDescent="0.45">
      <c r="AP167" s="516"/>
      <c r="AQ167" s="1031"/>
      <c r="AR167" s="515"/>
      <c r="AS167" s="540"/>
      <c r="AT167" s="540"/>
      <c r="AU167" s="540"/>
      <c r="AV167" s="540"/>
      <c r="AW167" s="540"/>
      <c r="AX167" s="540"/>
      <c r="AY167" s="516"/>
    </row>
    <row r="168" spans="42:51" ht="18.600000000000001" x14ac:dyDescent="0.45">
      <c r="AP168" s="516"/>
      <c r="AQ168" s="1031"/>
      <c r="AR168" s="515"/>
      <c r="AS168" s="540"/>
      <c r="AT168" s="540"/>
      <c r="AU168" s="540"/>
      <c r="AV168" s="540"/>
      <c r="AW168" s="540"/>
      <c r="AX168" s="540"/>
      <c r="AY168" s="516"/>
    </row>
    <row r="169" spans="42:51" ht="18.600000000000001" x14ac:dyDescent="0.45">
      <c r="AP169" s="516"/>
      <c r="AQ169" s="1031"/>
      <c r="AR169" s="515"/>
      <c r="AS169" s="540"/>
      <c r="AT169" s="540"/>
      <c r="AU169" s="540"/>
      <c r="AV169" s="540"/>
      <c r="AW169" s="540"/>
      <c r="AX169" s="540"/>
      <c r="AY169" s="516"/>
    </row>
    <row r="170" spans="42:51" ht="18.600000000000001" x14ac:dyDescent="0.45">
      <c r="AP170" s="516"/>
      <c r="AQ170" s="1031"/>
      <c r="AR170" s="515"/>
      <c r="AS170" s="540"/>
      <c r="AT170" s="540"/>
      <c r="AU170" s="540"/>
      <c r="AV170" s="540"/>
      <c r="AW170" s="540"/>
      <c r="AX170" s="540"/>
      <c r="AY170" s="516"/>
    </row>
    <row r="171" spans="42:51" ht="18.600000000000001" x14ac:dyDescent="0.45">
      <c r="AP171" s="516"/>
      <c r="AQ171" s="1031"/>
      <c r="AR171" s="515"/>
      <c r="AS171" s="540"/>
      <c r="AT171" s="540"/>
      <c r="AU171" s="540"/>
      <c r="AV171" s="540"/>
      <c r="AW171" s="540"/>
      <c r="AX171" s="540"/>
      <c r="AY171" s="516"/>
    </row>
    <row r="172" spans="42:51" ht="18.600000000000001" x14ac:dyDescent="0.45">
      <c r="AP172" s="516"/>
      <c r="AQ172" s="1031"/>
      <c r="AR172" s="515"/>
      <c r="AS172" s="540"/>
      <c r="AT172" s="540"/>
      <c r="AU172" s="540"/>
      <c r="AV172" s="540"/>
      <c r="AW172" s="540"/>
      <c r="AX172" s="540"/>
      <c r="AY172" s="516"/>
    </row>
    <row r="173" spans="42:51" ht="18.600000000000001" x14ac:dyDescent="0.45">
      <c r="AP173" s="516"/>
      <c r="AQ173" s="1031"/>
      <c r="AR173" s="515"/>
      <c r="AS173" s="540"/>
      <c r="AT173" s="540"/>
      <c r="AU173" s="540"/>
      <c r="AV173" s="540"/>
      <c r="AW173" s="540"/>
      <c r="AX173" s="540"/>
      <c r="AY173" s="516"/>
    </row>
    <row r="174" spans="42:51" ht="18.600000000000001" x14ac:dyDescent="0.45">
      <c r="AP174" s="516"/>
      <c r="AQ174" s="1031"/>
      <c r="AR174" s="515"/>
      <c r="AS174" s="540"/>
      <c r="AT174" s="540"/>
      <c r="AU174" s="540"/>
      <c r="AV174" s="540"/>
      <c r="AW174" s="540"/>
      <c r="AX174" s="540"/>
      <c r="AY174" s="516"/>
    </row>
    <row r="175" spans="42:51" ht="18.600000000000001" x14ac:dyDescent="0.45">
      <c r="AP175" s="516"/>
      <c r="AQ175" s="1031"/>
      <c r="AR175" s="515"/>
      <c r="AS175" s="540"/>
      <c r="AT175" s="540"/>
      <c r="AU175" s="540"/>
      <c r="AV175" s="540"/>
      <c r="AW175" s="540"/>
      <c r="AX175" s="540"/>
      <c r="AY175" s="516"/>
    </row>
    <row r="176" spans="42:51" ht="18.600000000000001" x14ac:dyDescent="0.45">
      <c r="AP176" s="516"/>
      <c r="AQ176" s="1031"/>
      <c r="AR176" s="515"/>
      <c r="AS176" s="540"/>
      <c r="AT176" s="540"/>
      <c r="AU176" s="540"/>
      <c r="AV176" s="540"/>
      <c r="AW176" s="540"/>
      <c r="AX176" s="540"/>
      <c r="AY176" s="516"/>
    </row>
    <row r="177" spans="42:51" ht="18.600000000000001" x14ac:dyDescent="0.45">
      <c r="AP177" s="516"/>
      <c r="AQ177" s="1031"/>
      <c r="AR177" s="515"/>
      <c r="AS177" s="540"/>
      <c r="AT177" s="540"/>
      <c r="AU177" s="540"/>
      <c r="AV177" s="540"/>
      <c r="AW177" s="540"/>
      <c r="AX177" s="1030"/>
      <c r="AY177" s="1030"/>
    </row>
    <row r="178" spans="42:51" ht="18.600000000000001" x14ac:dyDescent="0.45">
      <c r="AP178" s="516"/>
      <c r="AQ178" s="1031"/>
      <c r="AR178" s="515"/>
      <c r="AS178" s="540"/>
      <c r="AT178" s="540"/>
      <c r="AU178" s="540"/>
      <c r="AV178" s="540"/>
      <c r="AW178" s="540"/>
      <c r="AX178" s="1030"/>
      <c r="AY178" s="1030"/>
    </row>
    <row r="179" spans="42:51" ht="18.600000000000001" x14ac:dyDescent="0.45">
      <c r="AP179" s="516"/>
      <c r="AQ179" s="1031"/>
      <c r="AR179" s="515"/>
      <c r="AS179" s="540"/>
      <c r="AT179" s="540"/>
      <c r="AU179" s="540"/>
      <c r="AV179" s="540"/>
      <c r="AW179" s="540"/>
      <c r="AX179" s="1030"/>
      <c r="AY179" s="1030"/>
    </row>
    <row r="180" spans="42:51" ht="18.600000000000001" x14ac:dyDescent="0.45">
      <c r="AP180" s="516"/>
      <c r="AQ180" s="1031"/>
      <c r="AR180" s="515"/>
      <c r="AS180" s="540"/>
      <c r="AT180" s="540"/>
      <c r="AU180" s="540"/>
      <c r="AV180" s="540"/>
      <c r="AW180" s="540"/>
      <c r="AX180" s="1030"/>
      <c r="AY180" s="1030"/>
    </row>
    <row r="181" spans="42:51" ht="18.600000000000001" x14ac:dyDescent="0.45">
      <c r="AP181" s="516"/>
      <c r="AQ181" s="1031"/>
      <c r="AR181" s="515"/>
      <c r="AS181" s="540"/>
      <c r="AT181" s="540"/>
      <c r="AU181" s="540"/>
      <c r="AV181" s="540"/>
      <c r="AW181" s="540"/>
      <c r="AX181" s="1030"/>
      <c r="AY181" s="1030"/>
    </row>
    <row r="182" spans="42:51" ht="18.600000000000001" x14ac:dyDescent="0.45">
      <c r="AP182" s="516"/>
      <c r="AQ182" s="1031"/>
      <c r="AR182" s="515"/>
      <c r="AS182" s="540"/>
      <c r="AT182" s="540"/>
      <c r="AU182" s="540"/>
      <c r="AV182" s="540"/>
      <c r="AW182" s="540"/>
      <c r="AX182" s="1030"/>
      <c r="AY182" s="1030"/>
    </row>
    <row r="183" spans="42:51" x14ac:dyDescent="0.3">
      <c r="AP183" s="516"/>
      <c r="AQ183" s="1030"/>
      <c r="AR183" s="1030"/>
      <c r="AS183" s="1030"/>
      <c r="AT183" s="1030"/>
      <c r="AU183" s="1030"/>
      <c r="AV183" s="1030"/>
      <c r="AW183" s="1030"/>
      <c r="AX183" s="1030"/>
      <c r="AY183" s="1030"/>
    </row>
    <row r="184" spans="42:51" x14ac:dyDescent="0.3">
      <c r="AP184" s="516"/>
      <c r="AQ184" s="1030"/>
      <c r="AR184" s="1030"/>
      <c r="AS184" s="1030"/>
      <c r="AT184" s="1030"/>
      <c r="AU184" s="1030"/>
      <c r="AV184" s="1030"/>
      <c r="AW184" s="1030"/>
      <c r="AX184" s="1030"/>
      <c r="AY184" s="1030"/>
    </row>
    <row r="185" spans="42:51" x14ac:dyDescent="0.3">
      <c r="AQ185" s="524"/>
      <c r="AR185" s="524"/>
      <c r="AS185" s="524"/>
      <c r="AT185" s="524"/>
      <c r="AU185" s="524"/>
      <c r="AV185" s="524"/>
      <c r="AW185" s="524"/>
      <c r="AX185" s="524"/>
      <c r="AY185" s="524"/>
    </row>
    <row r="186" spans="42:51" x14ac:dyDescent="0.3">
      <c r="AQ186" s="524"/>
      <c r="AR186" s="524"/>
      <c r="AS186" s="524"/>
      <c r="AT186" s="524"/>
      <c r="AU186" s="524"/>
      <c r="AV186" s="524"/>
      <c r="AW186" s="524"/>
      <c r="AX186" s="524"/>
      <c r="AY186" s="524"/>
    </row>
    <row r="187" spans="42:51" x14ac:dyDescent="0.3">
      <c r="AQ187" s="524"/>
      <c r="AR187" s="524"/>
      <c r="AS187" s="524"/>
      <c r="AT187" s="524"/>
      <c r="AU187" s="524"/>
      <c r="AV187" s="524"/>
      <c r="AW187" s="524"/>
      <c r="AX187" s="524"/>
      <c r="AY187" s="524"/>
    </row>
    <row r="188" spans="42:51" x14ac:dyDescent="0.3">
      <c r="AQ188" s="524"/>
      <c r="AR188" s="524"/>
      <c r="AS188" s="524"/>
      <c r="AT188" s="524"/>
      <c r="AU188" s="524"/>
      <c r="AV188" s="524"/>
      <c r="AW188" s="524"/>
      <c r="AX188" s="524"/>
      <c r="AY188" s="524"/>
    </row>
    <row r="189" spans="42:51" x14ac:dyDescent="0.3">
      <c r="AQ189" s="524"/>
      <c r="AR189" s="524"/>
      <c r="AS189" s="524"/>
      <c r="AT189" s="524"/>
      <c r="AU189" s="524"/>
      <c r="AV189" s="524"/>
      <c r="AW189" s="524"/>
      <c r="AX189" s="524"/>
      <c r="AY189" s="524"/>
    </row>
    <row r="190" spans="42:51" x14ac:dyDescent="0.3">
      <c r="AQ190" s="524"/>
      <c r="AR190" s="524"/>
      <c r="AS190" s="524"/>
      <c r="AT190" s="524"/>
      <c r="AU190" s="524"/>
      <c r="AV190" s="524"/>
      <c r="AW190" s="524"/>
      <c r="AX190" s="524"/>
      <c r="AY190" s="524"/>
    </row>
    <row r="191" spans="42:51" x14ac:dyDescent="0.3">
      <c r="AQ191" s="524"/>
      <c r="AR191" s="524"/>
      <c r="AS191" s="524"/>
      <c r="AT191" s="524"/>
      <c r="AU191" s="524"/>
      <c r="AV191" s="524"/>
      <c r="AW191" s="524"/>
      <c r="AX191" s="524"/>
      <c r="AY191" s="524"/>
    </row>
    <row r="192" spans="42:51" x14ac:dyDescent="0.3">
      <c r="AQ192" s="524"/>
      <c r="AR192" s="524"/>
      <c r="AS192" s="524"/>
      <c r="AT192" s="524"/>
      <c r="AU192" s="524"/>
      <c r="AV192" s="524"/>
      <c r="AW192" s="524"/>
      <c r="AX192" s="524"/>
      <c r="AY192" s="524"/>
    </row>
    <row r="193" spans="43:79" x14ac:dyDescent="0.3">
      <c r="AQ193" s="524"/>
      <c r="AR193" s="524"/>
      <c r="AS193" s="524"/>
      <c r="AT193" s="524"/>
      <c r="AU193" s="524"/>
      <c r="AV193" s="524"/>
      <c r="AW193" s="524"/>
      <c r="AX193" s="524"/>
      <c r="AY193" s="524"/>
    </row>
    <row r="194" spans="43:79" x14ac:dyDescent="0.3">
      <c r="AQ194" s="524"/>
      <c r="AR194" s="524"/>
      <c r="AS194" s="524"/>
      <c r="AT194" s="524"/>
      <c r="AU194" s="524"/>
      <c r="AV194" s="524"/>
      <c r="AW194" s="524"/>
      <c r="AX194" s="524"/>
      <c r="AY194" s="524"/>
    </row>
    <row r="195" spans="43:79" x14ac:dyDescent="0.3">
      <c r="AQ195" s="524"/>
      <c r="AR195" s="524"/>
      <c r="AS195" s="524"/>
      <c r="AT195" s="524"/>
      <c r="AU195" s="524"/>
      <c r="AV195" s="524"/>
      <c r="AW195" s="524"/>
      <c r="AX195" s="524"/>
      <c r="AY195" s="524"/>
    </row>
    <row r="196" spans="43:79" x14ac:dyDescent="0.3">
      <c r="AQ196" s="524"/>
      <c r="AR196" s="524"/>
      <c r="AS196" s="524"/>
      <c r="AT196" s="524"/>
      <c r="AU196" s="524"/>
      <c r="AV196" s="524"/>
      <c r="AW196" s="524"/>
      <c r="AX196" s="524"/>
      <c r="AY196" s="524"/>
    </row>
    <row r="197" spans="43:79" x14ac:dyDescent="0.3">
      <c r="AQ197" s="524"/>
      <c r="AR197" s="524"/>
      <c r="AS197" s="524"/>
      <c r="AT197" s="524"/>
      <c r="AU197" s="524"/>
      <c r="AV197" s="524"/>
      <c r="AW197" s="524"/>
      <c r="AX197" s="524"/>
      <c r="AY197" s="524"/>
    </row>
    <row r="198" spans="43:79" x14ac:dyDescent="0.3">
      <c r="AQ198" s="524"/>
      <c r="AR198" s="524"/>
      <c r="AS198" s="524"/>
      <c r="AT198" s="524"/>
      <c r="AU198" s="524"/>
      <c r="AV198" s="524"/>
      <c r="AW198" s="524"/>
      <c r="AX198" s="524"/>
      <c r="AY198" s="524"/>
    </row>
    <row r="199" spans="43:79" x14ac:dyDescent="0.3">
      <c r="AQ199" s="524"/>
      <c r="AR199" s="524"/>
      <c r="AS199" s="524"/>
      <c r="AT199" s="524"/>
      <c r="AU199" s="524"/>
      <c r="AV199" s="524"/>
      <c r="AW199" s="524"/>
      <c r="AX199" s="524"/>
      <c r="AY199" s="524"/>
    </row>
    <row r="200" spans="43:79" x14ac:dyDescent="0.3">
      <c r="AQ200" s="524"/>
      <c r="AR200" s="524"/>
      <c r="AS200" s="524"/>
      <c r="AT200" s="524"/>
      <c r="AU200" s="524"/>
      <c r="AV200" s="524"/>
      <c r="AW200" s="524"/>
      <c r="AX200" s="524"/>
      <c r="AY200" s="524"/>
    </row>
    <row r="201" spans="43:79" x14ac:dyDescent="0.3">
      <c r="AQ201" s="524"/>
      <c r="AR201" s="524"/>
      <c r="AS201" s="524"/>
      <c r="AT201" s="524"/>
      <c r="AU201" s="524"/>
      <c r="AV201" s="524"/>
      <c r="AW201" s="524"/>
      <c r="AX201" s="524"/>
      <c r="AY201" s="524"/>
    </row>
    <row r="202" spans="43:79" x14ac:dyDescent="0.3">
      <c r="AQ202" s="524"/>
      <c r="AR202" s="524"/>
      <c r="AS202" s="524"/>
      <c r="AT202" s="524"/>
      <c r="AU202" s="524"/>
      <c r="AV202" s="524"/>
      <c r="AW202" s="524"/>
      <c r="AX202" s="524"/>
      <c r="AY202" s="524"/>
    </row>
    <row r="203" spans="43:79" x14ac:dyDescent="0.3">
      <c r="AQ203" s="524"/>
      <c r="AR203" s="524"/>
      <c r="AS203" s="524"/>
      <c r="AT203" s="524"/>
      <c r="AU203" s="524"/>
      <c r="AV203" s="524"/>
      <c r="AW203" s="524"/>
      <c r="AX203" s="524"/>
      <c r="AY203" s="524"/>
    </row>
    <row r="204" spans="43:79" x14ac:dyDescent="0.3">
      <c r="AQ204" s="524"/>
      <c r="AR204" s="524"/>
      <c r="AS204" s="524"/>
      <c r="AT204" s="524"/>
      <c r="AU204" s="524"/>
      <c r="AV204" s="524"/>
      <c r="AW204" s="524"/>
      <c r="AX204" s="524"/>
      <c r="AY204" s="524"/>
    </row>
    <row r="205" spans="43:79" x14ac:dyDescent="0.3">
      <c r="AQ205" s="524"/>
      <c r="AR205" s="524"/>
      <c r="AS205" s="524"/>
      <c r="AT205" s="524"/>
      <c r="AU205" s="524"/>
      <c r="AV205" s="524"/>
      <c r="AW205" s="524"/>
      <c r="AX205" s="524"/>
      <c r="AY205" s="524"/>
    </row>
    <row r="206" spans="43:79" x14ac:dyDescent="0.3">
      <c r="AQ206" s="524"/>
      <c r="AR206" s="524"/>
      <c r="AS206" s="524"/>
      <c r="AT206" s="524"/>
      <c r="AU206" s="524"/>
      <c r="AV206" s="524"/>
      <c r="AW206" s="524"/>
      <c r="AX206" s="524"/>
      <c r="AY206" s="524"/>
    </row>
    <row r="207" spans="43:79" ht="17.399999999999999" x14ac:dyDescent="0.3">
      <c r="CA207" s="466"/>
    </row>
    <row r="208" spans="43:79" ht="17.399999999999999" x14ac:dyDescent="0.3">
      <c r="CA208" s="466" t="s">
        <v>20</v>
      </c>
    </row>
    <row r="259" spans="52:77" x14ac:dyDescent="0.3">
      <c r="AZ259" s="661"/>
      <c r="BA259" s="661"/>
      <c r="BB259" s="661"/>
      <c r="BC259" s="661"/>
      <c r="BD259" s="661"/>
      <c r="BE259" s="661"/>
      <c r="BF259" s="2065"/>
      <c r="BG259" s="2065"/>
      <c r="BH259" s="2065"/>
      <c r="BI259" s="478"/>
      <c r="BJ259" s="506"/>
      <c r="BK259" s="506"/>
      <c r="BL259" s="506"/>
      <c r="BM259" s="506"/>
      <c r="BN259" s="506"/>
      <c r="BO259" s="506"/>
      <c r="BP259" s="506"/>
      <c r="BQ259" s="506"/>
      <c r="BR259" s="506"/>
      <c r="BS259" s="506"/>
      <c r="BT259" s="506"/>
      <c r="BU259" s="506"/>
      <c r="BV259" s="506"/>
      <c r="BW259" s="506"/>
      <c r="BX259" s="506"/>
      <c r="BY259" s="506"/>
    </row>
    <row r="260" spans="52:77" x14ac:dyDescent="0.3">
      <c r="AZ260" s="506"/>
      <c r="BA260" s="506"/>
      <c r="BB260" s="506"/>
      <c r="BC260" s="506"/>
      <c r="BD260" s="506"/>
      <c r="BE260" s="506"/>
      <c r="BF260" s="662"/>
      <c r="BG260" s="506"/>
      <c r="BH260" s="506"/>
      <c r="BI260" s="506"/>
      <c r="BJ260" s="506"/>
      <c r="BK260" s="506"/>
      <c r="BL260" s="506"/>
      <c r="BM260" s="506"/>
      <c r="BN260" s="506"/>
      <c r="BO260" s="506"/>
      <c r="BP260" s="506"/>
      <c r="BQ260" s="506"/>
      <c r="BR260" s="506"/>
      <c r="BS260" s="662"/>
      <c r="BT260" s="506"/>
      <c r="BU260" s="506"/>
      <c r="BV260" s="506"/>
      <c r="BW260" s="506"/>
      <c r="BX260" s="506"/>
      <c r="BY260" s="506"/>
    </row>
    <row r="261" spans="52:77" x14ac:dyDescent="0.3">
      <c r="AZ261" s="663"/>
      <c r="BA261" s="663"/>
      <c r="BB261" s="663"/>
      <c r="BC261" s="663"/>
      <c r="BD261" s="663"/>
      <c r="BE261" s="663"/>
      <c r="BF261" s="2066"/>
      <c r="BG261" s="2066"/>
      <c r="BH261" s="506"/>
      <c r="BI261" s="506"/>
      <c r="BJ261" s="506"/>
      <c r="BK261" s="506"/>
      <c r="BL261" s="506"/>
      <c r="BM261" s="506"/>
      <c r="BN261" s="506"/>
      <c r="BO261" s="506"/>
      <c r="BP261" s="506"/>
      <c r="BQ261" s="506"/>
      <c r="BR261" s="2061"/>
      <c r="BS261" s="2061"/>
      <c r="BT261" s="506"/>
      <c r="BU261" s="506"/>
      <c r="BV261" s="506"/>
      <c r="BW261" s="506"/>
      <c r="BX261" s="506"/>
      <c r="BY261" s="506"/>
    </row>
    <row r="262" spans="52:77" x14ac:dyDescent="0.3">
      <c r="AZ262" s="506"/>
      <c r="BA262" s="506"/>
      <c r="BB262" s="506"/>
      <c r="BC262" s="506"/>
      <c r="BD262" s="506"/>
      <c r="BE262" s="506"/>
      <c r="BF262" s="506"/>
      <c r="BG262" s="506"/>
      <c r="BH262" s="506"/>
      <c r="BI262" s="506"/>
      <c r="BJ262" s="506"/>
      <c r="BK262" s="506"/>
      <c r="BL262" s="506"/>
      <c r="BM262" s="506"/>
      <c r="BN262" s="506"/>
      <c r="BO262" s="506"/>
      <c r="BP262" s="506"/>
      <c r="BQ262" s="506"/>
      <c r="BR262" s="506"/>
      <c r="BS262" s="506"/>
      <c r="BT262" s="506"/>
      <c r="BU262" s="506"/>
      <c r="BV262" s="506"/>
      <c r="BW262" s="506"/>
      <c r="BX262" s="506"/>
      <c r="BY262" s="506"/>
    </row>
    <row r="263" spans="52:77" x14ac:dyDescent="0.3">
      <c r="AZ263" s="506"/>
      <c r="BA263" s="506"/>
      <c r="BB263" s="506"/>
      <c r="BC263" s="506"/>
      <c r="BD263" s="506"/>
      <c r="BE263" s="506"/>
      <c r="BF263" s="506"/>
      <c r="BG263" s="506"/>
      <c r="BH263" s="506"/>
      <c r="BI263" s="506"/>
      <c r="BJ263" s="506"/>
      <c r="BK263" s="506"/>
      <c r="BL263" s="506"/>
      <c r="BM263" s="506"/>
      <c r="BN263" s="506"/>
      <c r="BO263" s="506"/>
      <c r="BP263" s="506"/>
      <c r="BQ263" s="506"/>
      <c r="BR263" s="506"/>
      <c r="BS263" s="506"/>
      <c r="BT263" s="506"/>
      <c r="BU263" s="506"/>
      <c r="BV263" s="506"/>
      <c r="BW263" s="506"/>
      <c r="BX263" s="506"/>
      <c r="BY263" s="506"/>
    </row>
    <row r="264" spans="52:77" x14ac:dyDescent="0.3">
      <c r="AZ264" s="506"/>
      <c r="BA264" s="506"/>
      <c r="BB264" s="506"/>
      <c r="BC264" s="506"/>
      <c r="BD264" s="506"/>
      <c r="BE264" s="506"/>
      <c r="BF264" s="506"/>
      <c r="BG264" s="506"/>
      <c r="BH264" s="506"/>
      <c r="BI264" s="506"/>
      <c r="BJ264" s="506"/>
      <c r="BK264" s="506"/>
      <c r="BL264" s="506"/>
      <c r="BM264" s="506"/>
      <c r="BN264" s="506"/>
      <c r="BO264" s="506"/>
      <c r="BP264" s="506"/>
      <c r="BQ264" s="506"/>
      <c r="BR264" s="506"/>
      <c r="BS264" s="506"/>
      <c r="BT264" s="506"/>
      <c r="BU264" s="506"/>
      <c r="BV264" s="506"/>
      <c r="BW264" s="506"/>
      <c r="BX264" s="506"/>
      <c r="BY264" s="506"/>
    </row>
    <row r="265" spans="52:77" x14ac:dyDescent="0.3">
      <c r="AZ265" s="506"/>
      <c r="BA265" s="506"/>
      <c r="BB265" s="506"/>
      <c r="BC265" s="506"/>
      <c r="BD265" s="506"/>
      <c r="BE265" s="506"/>
      <c r="BF265" s="506"/>
      <c r="BG265" s="506"/>
      <c r="BH265" s="506"/>
      <c r="BI265" s="506"/>
      <c r="BJ265" s="506"/>
      <c r="BK265" s="506"/>
      <c r="BL265" s="506"/>
      <c r="BM265" s="506"/>
      <c r="BN265" s="506"/>
      <c r="BO265" s="506"/>
      <c r="BP265" s="506"/>
      <c r="BQ265" s="506"/>
      <c r="BR265" s="506"/>
      <c r="BS265" s="506"/>
      <c r="BT265" s="506"/>
      <c r="BU265" s="506"/>
      <c r="BV265" s="506"/>
      <c r="BW265" s="506"/>
      <c r="BX265" s="506"/>
      <c r="BY265" s="506"/>
    </row>
    <row r="266" spans="52:77" x14ac:dyDescent="0.3">
      <c r="AZ266" s="506"/>
      <c r="BA266" s="506"/>
      <c r="BB266" s="506"/>
      <c r="BC266" s="506"/>
      <c r="BD266" s="506"/>
      <c r="BE266" s="506"/>
      <c r="BF266" s="506"/>
      <c r="BG266" s="506"/>
      <c r="BH266" s="506"/>
      <c r="BI266" s="506"/>
      <c r="BJ266" s="506"/>
      <c r="BK266" s="506"/>
      <c r="BL266" s="506"/>
      <c r="BM266" s="506"/>
      <c r="BN266" s="506"/>
      <c r="BO266" s="506"/>
      <c r="BP266" s="506"/>
      <c r="BQ266" s="506"/>
      <c r="BR266" s="506"/>
      <c r="BS266" s="506"/>
      <c r="BT266" s="506"/>
      <c r="BU266" s="506"/>
      <c r="BV266" s="506"/>
      <c r="BW266" s="506"/>
      <c r="BX266" s="506"/>
      <c r="BY266" s="506"/>
    </row>
    <row r="267" spans="52:77" x14ac:dyDescent="0.3">
      <c r="AZ267" s="506"/>
      <c r="BA267" s="506"/>
      <c r="BB267" s="506"/>
      <c r="BC267" s="506"/>
      <c r="BD267" s="506"/>
      <c r="BE267" s="506"/>
      <c r="BF267" s="506"/>
      <c r="BG267" s="506"/>
      <c r="BH267" s="506"/>
      <c r="BI267" s="506"/>
      <c r="BJ267" s="506"/>
      <c r="BK267" s="506"/>
      <c r="BL267" s="506"/>
      <c r="BM267" s="506"/>
      <c r="BN267" s="506"/>
      <c r="BO267" s="506"/>
      <c r="BP267" s="506"/>
      <c r="BQ267" s="506"/>
      <c r="BR267" s="506"/>
      <c r="BS267" s="506"/>
      <c r="BT267" s="506"/>
      <c r="BU267" s="506"/>
      <c r="BV267" s="506"/>
      <c r="BW267" s="506"/>
      <c r="BX267" s="506"/>
      <c r="BY267" s="506"/>
    </row>
    <row r="268" spans="52:77" x14ac:dyDescent="0.3">
      <c r="AZ268" s="506"/>
      <c r="BA268" s="506"/>
      <c r="BB268" s="506"/>
      <c r="BC268" s="506"/>
      <c r="BD268" s="506"/>
      <c r="BE268" s="506"/>
      <c r="BF268" s="506"/>
      <c r="BG268" s="506"/>
      <c r="BH268" s="506"/>
      <c r="BI268" s="506"/>
      <c r="BJ268" s="506"/>
      <c r="BK268" s="506"/>
      <c r="BL268" s="506"/>
      <c r="BM268" s="506"/>
      <c r="BN268" s="506"/>
      <c r="BO268" s="506"/>
      <c r="BP268" s="506"/>
      <c r="BQ268" s="506"/>
      <c r="BR268" s="506"/>
      <c r="BS268" s="506"/>
      <c r="BT268" s="506"/>
      <c r="BU268" s="506"/>
      <c r="BV268" s="506"/>
      <c r="BW268" s="506"/>
      <c r="BX268" s="506"/>
      <c r="BY268" s="506"/>
    </row>
    <row r="269" spans="52:77" x14ac:dyDescent="0.3">
      <c r="AZ269" s="506"/>
      <c r="BA269" s="506"/>
      <c r="BB269" s="506"/>
      <c r="BC269" s="506"/>
      <c r="BD269" s="506"/>
      <c r="BE269" s="506"/>
      <c r="BF269" s="506"/>
      <c r="BG269" s="506"/>
      <c r="BH269" s="506"/>
      <c r="BI269" s="506"/>
      <c r="BJ269" s="506"/>
      <c r="BK269" s="506"/>
      <c r="BL269" s="506"/>
      <c r="BM269" s="506"/>
      <c r="BN269" s="506"/>
      <c r="BO269" s="506"/>
      <c r="BP269" s="506"/>
      <c r="BQ269" s="506"/>
      <c r="BR269" s="506"/>
      <c r="BS269" s="506"/>
      <c r="BT269" s="506"/>
      <c r="BU269" s="506"/>
      <c r="BV269" s="506"/>
      <c r="BW269" s="506"/>
      <c r="BX269" s="506"/>
      <c r="BY269" s="506"/>
    </row>
    <row r="270" spans="52:77" x14ac:dyDescent="0.3">
      <c r="AZ270" s="506"/>
      <c r="BA270" s="506"/>
      <c r="BB270" s="506"/>
      <c r="BC270" s="506"/>
      <c r="BD270" s="506"/>
      <c r="BE270" s="506"/>
      <c r="BF270" s="506"/>
      <c r="BG270" s="506"/>
      <c r="BH270" s="506"/>
      <c r="BI270" s="506"/>
      <c r="BJ270" s="506"/>
      <c r="BK270" s="506"/>
      <c r="BL270" s="506"/>
      <c r="BM270" s="506"/>
      <c r="BN270" s="506"/>
      <c r="BO270" s="506"/>
      <c r="BP270" s="506"/>
      <c r="BQ270" s="506"/>
      <c r="BR270" s="506"/>
      <c r="BS270" s="506"/>
      <c r="BT270" s="506"/>
      <c r="BU270" s="506"/>
      <c r="BV270" s="506"/>
      <c r="BW270" s="506"/>
      <c r="BX270" s="506"/>
      <c r="BY270" s="506"/>
    </row>
    <row r="271" spans="52:77" x14ac:dyDescent="0.3">
      <c r="AZ271" s="506"/>
      <c r="BA271" s="506"/>
      <c r="BB271" s="506"/>
      <c r="BC271" s="506"/>
      <c r="BD271" s="506"/>
      <c r="BE271" s="506"/>
      <c r="BF271" s="506"/>
      <c r="BG271" s="506"/>
      <c r="BH271" s="506"/>
      <c r="BI271" s="506"/>
      <c r="BJ271" s="506"/>
      <c r="BK271" s="506"/>
      <c r="BL271" s="506"/>
      <c r="BM271" s="506"/>
      <c r="BN271" s="506"/>
      <c r="BO271" s="506"/>
      <c r="BP271" s="506"/>
      <c r="BQ271" s="506"/>
      <c r="BR271" s="506"/>
      <c r="BS271" s="506"/>
      <c r="BT271" s="506"/>
      <c r="BU271" s="506"/>
      <c r="BV271" s="506"/>
      <c r="BW271" s="506"/>
      <c r="BX271" s="506"/>
      <c r="BY271" s="506"/>
    </row>
    <row r="272" spans="52:77" x14ac:dyDescent="0.3">
      <c r="AZ272" s="506"/>
      <c r="BA272" s="506"/>
      <c r="BB272" s="506"/>
      <c r="BC272" s="506"/>
      <c r="BD272" s="506"/>
      <c r="BE272" s="506"/>
      <c r="BF272" s="506"/>
      <c r="BG272" s="506"/>
      <c r="BH272" s="506"/>
      <c r="BI272" s="506"/>
      <c r="BJ272" s="506"/>
      <c r="BK272" s="506"/>
      <c r="BL272" s="506"/>
      <c r="BM272" s="506"/>
      <c r="BN272" s="506"/>
      <c r="BO272" s="506"/>
      <c r="BP272" s="506"/>
      <c r="BQ272" s="506"/>
      <c r="BR272" s="506"/>
      <c r="BS272" s="506"/>
      <c r="BT272" s="506"/>
      <c r="BU272" s="506"/>
      <c r="BV272" s="506"/>
      <c r="BW272" s="506"/>
      <c r="BX272" s="506"/>
      <c r="BY272" s="506"/>
    </row>
    <row r="273" spans="52:77" x14ac:dyDescent="0.3">
      <c r="AZ273" s="506"/>
      <c r="BA273" s="506"/>
      <c r="BB273" s="506"/>
      <c r="BC273" s="506"/>
      <c r="BD273" s="506"/>
      <c r="BE273" s="506"/>
      <c r="BF273" s="506"/>
      <c r="BG273" s="506"/>
      <c r="BH273" s="506"/>
      <c r="BI273" s="506"/>
      <c r="BJ273" s="506"/>
      <c r="BK273" s="506"/>
      <c r="BL273" s="506"/>
      <c r="BM273" s="506"/>
      <c r="BN273" s="506"/>
      <c r="BO273" s="506"/>
      <c r="BP273" s="506"/>
      <c r="BQ273" s="506"/>
      <c r="BR273" s="506"/>
      <c r="BS273" s="506"/>
      <c r="BT273" s="506"/>
      <c r="BU273" s="506"/>
      <c r="BV273" s="506"/>
      <c r="BW273" s="506"/>
      <c r="BX273" s="506"/>
      <c r="BY273" s="506"/>
    </row>
    <row r="274" spans="52:77" x14ac:dyDescent="0.3">
      <c r="AZ274" s="506"/>
      <c r="BA274" s="506"/>
      <c r="BB274" s="506"/>
      <c r="BC274" s="506"/>
      <c r="BD274" s="506"/>
      <c r="BE274" s="506"/>
      <c r="BF274" s="506"/>
      <c r="BG274" s="506"/>
      <c r="BH274" s="506"/>
      <c r="BI274" s="506"/>
      <c r="BJ274" s="506"/>
      <c r="BK274" s="506"/>
      <c r="BL274" s="506"/>
      <c r="BM274" s="506"/>
      <c r="BN274" s="506"/>
      <c r="BO274" s="506"/>
      <c r="BP274" s="506"/>
      <c r="BQ274" s="506"/>
      <c r="BR274" s="506"/>
      <c r="BS274" s="506"/>
      <c r="BT274" s="506"/>
      <c r="BU274" s="506"/>
      <c r="BV274" s="506"/>
      <c r="BW274" s="506"/>
      <c r="BX274" s="506"/>
      <c r="BY274" s="506"/>
    </row>
    <row r="275" spans="52:77" x14ac:dyDescent="0.3">
      <c r="AZ275" s="506"/>
      <c r="BA275" s="506"/>
      <c r="BB275" s="506"/>
      <c r="BC275" s="506"/>
      <c r="BD275" s="506"/>
      <c r="BE275" s="506"/>
      <c r="BF275" s="506"/>
      <c r="BG275" s="506"/>
      <c r="BH275" s="506"/>
      <c r="BI275" s="506"/>
      <c r="BJ275" s="506"/>
      <c r="BK275" s="506"/>
      <c r="BL275" s="506"/>
      <c r="BM275" s="506"/>
      <c r="BN275" s="506"/>
      <c r="BO275" s="506"/>
      <c r="BP275" s="506"/>
      <c r="BQ275" s="506"/>
      <c r="BR275" s="506"/>
      <c r="BS275" s="506"/>
      <c r="BT275" s="506"/>
      <c r="BU275" s="506"/>
      <c r="BV275" s="506"/>
      <c r="BW275" s="506"/>
      <c r="BX275" s="506"/>
      <c r="BY275" s="506"/>
    </row>
    <row r="276" spans="52:77" x14ac:dyDescent="0.3">
      <c r="AZ276" s="506"/>
      <c r="BA276" s="506"/>
      <c r="BB276" s="506"/>
      <c r="BC276" s="506"/>
      <c r="BD276" s="506"/>
      <c r="BE276" s="506"/>
      <c r="BF276" s="506"/>
      <c r="BG276" s="506"/>
      <c r="BH276" s="506"/>
      <c r="BI276" s="506"/>
      <c r="BJ276" s="506"/>
      <c r="BK276" s="506"/>
      <c r="BL276" s="506"/>
      <c r="BM276" s="506"/>
      <c r="BN276" s="506"/>
      <c r="BO276" s="506"/>
      <c r="BP276" s="506"/>
      <c r="BQ276" s="506"/>
      <c r="BR276" s="506"/>
      <c r="BS276" s="506"/>
      <c r="BT276" s="506"/>
      <c r="BU276" s="506"/>
      <c r="BV276" s="506"/>
      <c r="BW276" s="506"/>
      <c r="BX276" s="506"/>
      <c r="BY276" s="506"/>
    </row>
    <row r="277" spans="52:77" x14ac:dyDescent="0.3">
      <c r="AZ277" s="506"/>
      <c r="BA277" s="506"/>
      <c r="BB277" s="506"/>
      <c r="BC277" s="506"/>
      <c r="BD277" s="506"/>
      <c r="BE277" s="506"/>
      <c r="BF277" s="506"/>
      <c r="BG277" s="506"/>
      <c r="BH277" s="506"/>
      <c r="BI277" s="1029"/>
      <c r="BJ277" s="1029"/>
      <c r="BK277" s="506"/>
      <c r="BL277" s="1029"/>
      <c r="BM277" s="506"/>
      <c r="BN277" s="506"/>
      <c r="BO277" s="506"/>
      <c r="BP277" s="506"/>
      <c r="BQ277" s="506"/>
      <c r="BR277" s="506"/>
      <c r="BS277" s="506"/>
      <c r="BT277" s="506"/>
      <c r="BU277" s="506"/>
      <c r="BV277" s="506"/>
      <c r="BW277" s="506"/>
      <c r="BX277" s="506"/>
      <c r="BY277" s="506"/>
    </row>
    <row r="278" spans="52:77" x14ac:dyDescent="0.3">
      <c r="AZ278" s="478"/>
      <c r="BA278" s="506"/>
      <c r="BB278" s="478"/>
      <c r="BC278" s="506"/>
      <c r="BD278" s="478"/>
      <c r="BE278" s="506"/>
      <c r="BF278" s="506"/>
      <c r="BG278" s="506"/>
      <c r="BH278" s="506"/>
      <c r="BI278" s="506"/>
      <c r="BJ278" s="506"/>
      <c r="BK278" s="506"/>
      <c r="BL278" s="506"/>
      <c r="BM278" s="506"/>
      <c r="BN278" s="506"/>
      <c r="BO278" s="506"/>
      <c r="BP278" s="506"/>
      <c r="BQ278" s="506"/>
      <c r="BR278" s="506"/>
      <c r="BS278" s="506"/>
      <c r="BT278" s="506"/>
      <c r="BU278" s="506"/>
      <c r="BV278" s="506"/>
      <c r="BW278" s="506"/>
      <c r="BX278" s="506"/>
      <c r="BY278" s="506"/>
    </row>
    <row r="279" spans="52:77" x14ac:dyDescent="0.3">
      <c r="AZ279" s="478"/>
      <c r="BA279" s="506"/>
      <c r="BB279" s="506"/>
      <c r="BC279" s="506"/>
      <c r="BD279" s="478"/>
      <c r="BE279" s="506"/>
      <c r="BF279" s="506"/>
      <c r="BG279" s="506"/>
      <c r="BH279" s="506"/>
      <c r="BI279" s="506"/>
      <c r="BJ279" s="506"/>
      <c r="BK279" s="506"/>
      <c r="BL279" s="506"/>
      <c r="BM279" s="506"/>
      <c r="BN279" s="506"/>
      <c r="BO279" s="506"/>
      <c r="BP279" s="506"/>
      <c r="BQ279" s="506"/>
      <c r="BR279" s="506"/>
      <c r="BS279" s="506"/>
      <c r="BT279" s="506"/>
      <c r="BU279" s="506"/>
      <c r="BV279" s="506"/>
      <c r="BW279" s="506"/>
      <c r="BX279" s="506"/>
      <c r="BY279" s="506"/>
    </row>
    <row r="280" spans="52:77" x14ac:dyDescent="0.3">
      <c r="AZ280" s="478"/>
      <c r="BA280" s="503"/>
      <c r="BB280" s="503"/>
      <c r="BC280" s="503"/>
      <c r="BD280" s="503"/>
      <c r="BE280" s="503"/>
      <c r="BF280" s="503"/>
      <c r="BG280" s="503"/>
      <c r="BH280" s="503"/>
      <c r="BI280" s="503"/>
      <c r="BJ280" s="503"/>
      <c r="BK280" s="503"/>
      <c r="BL280" s="503"/>
      <c r="BM280" s="503"/>
      <c r="BN280" s="503"/>
      <c r="BO280" s="503"/>
      <c r="BP280" s="503"/>
      <c r="BQ280" s="503"/>
      <c r="BR280" s="503"/>
      <c r="BS280" s="503"/>
      <c r="BT280" s="503"/>
      <c r="BU280" s="503"/>
      <c r="BV280" s="503"/>
      <c r="BW280" s="503"/>
      <c r="BX280" s="503"/>
      <c r="BY280" s="506"/>
    </row>
    <row r="281" spans="52:77" x14ac:dyDescent="0.3">
      <c r="AZ281" s="478"/>
      <c r="BA281" s="506"/>
      <c r="BB281" s="506"/>
      <c r="BC281" s="506"/>
      <c r="BD281" s="506"/>
      <c r="BE281" s="506"/>
      <c r="BF281" s="506"/>
      <c r="BG281" s="506"/>
      <c r="BH281" s="506"/>
      <c r="BI281" s="506"/>
      <c r="BJ281" s="506"/>
      <c r="BK281" s="506"/>
      <c r="BL281" s="506"/>
      <c r="BM281" s="506"/>
      <c r="BN281" s="506"/>
      <c r="BO281" s="506"/>
      <c r="BP281" s="506"/>
      <c r="BQ281" s="506"/>
      <c r="BR281" s="506"/>
      <c r="BS281" s="506"/>
      <c r="BT281" s="506"/>
      <c r="BU281" s="506"/>
      <c r="BV281" s="506"/>
      <c r="BW281" s="506"/>
      <c r="BX281" s="506"/>
      <c r="BY281" s="506"/>
    </row>
    <row r="282" spans="52:77" x14ac:dyDescent="0.3">
      <c r="AZ282" s="520"/>
      <c r="BA282" s="664"/>
      <c r="BB282" s="664"/>
      <c r="BC282" s="664"/>
      <c r="BD282" s="664"/>
      <c r="BE282" s="664"/>
      <c r="BF282" s="664"/>
      <c r="BG282" s="664"/>
      <c r="BH282" s="664"/>
      <c r="BI282" s="664"/>
      <c r="BJ282" s="664"/>
      <c r="BK282" s="664"/>
      <c r="BL282" s="664"/>
      <c r="BM282" s="664"/>
      <c r="BN282" s="664"/>
      <c r="BO282" s="664"/>
      <c r="BP282" s="664"/>
      <c r="BQ282" s="664"/>
      <c r="BR282" s="664"/>
      <c r="BS282" s="664"/>
      <c r="BT282" s="664"/>
      <c r="BU282" s="664"/>
      <c r="BV282" s="664"/>
      <c r="BW282" s="664"/>
      <c r="BX282" s="664"/>
      <c r="BY282" s="506"/>
    </row>
    <row r="283" spans="52:77" x14ac:dyDescent="0.3">
      <c r="AZ283" s="478"/>
      <c r="BA283" s="519"/>
      <c r="BB283" s="519"/>
      <c r="BC283" s="519"/>
      <c r="BD283" s="519"/>
      <c r="BE283" s="519"/>
      <c r="BF283" s="519"/>
      <c r="BG283" s="519"/>
      <c r="BH283" s="519"/>
      <c r="BI283" s="519"/>
      <c r="BJ283" s="519"/>
      <c r="BK283" s="519"/>
      <c r="BL283" s="519"/>
      <c r="BM283" s="519"/>
      <c r="BN283" s="519"/>
      <c r="BO283" s="519"/>
      <c r="BP283" s="519"/>
      <c r="BQ283" s="519"/>
      <c r="BR283" s="519"/>
      <c r="BS283" s="519"/>
      <c r="BT283" s="519"/>
      <c r="BU283" s="519"/>
      <c r="BV283" s="519"/>
      <c r="BW283" s="519"/>
      <c r="BX283" s="519"/>
      <c r="BY283" s="506"/>
    </row>
    <row r="284" spans="52:77" x14ac:dyDescent="0.3">
      <c r="AZ284" s="506"/>
      <c r="BA284" s="506"/>
      <c r="BB284" s="506"/>
      <c r="BC284" s="506"/>
      <c r="BD284" s="506"/>
      <c r="BE284" s="506"/>
      <c r="BF284" s="506"/>
      <c r="BG284" s="506"/>
      <c r="BH284" s="506"/>
      <c r="BI284" s="506"/>
      <c r="BJ284" s="506"/>
      <c r="BK284" s="506"/>
      <c r="BL284" s="506"/>
      <c r="BM284" s="506"/>
      <c r="BN284" s="506"/>
      <c r="BO284" s="506"/>
      <c r="BP284" s="506"/>
      <c r="BQ284" s="506"/>
      <c r="BR284" s="506"/>
      <c r="BS284" s="506"/>
      <c r="BT284" s="506"/>
      <c r="BU284" s="506"/>
      <c r="BV284" s="506"/>
      <c r="BW284" s="506"/>
      <c r="BX284" s="506"/>
      <c r="BY284" s="506"/>
    </row>
    <row r="285" spans="52:77" x14ac:dyDescent="0.3">
      <c r="AZ285" s="506"/>
      <c r="BA285" s="665"/>
      <c r="BB285" s="665"/>
      <c r="BC285" s="665"/>
      <c r="BD285" s="665"/>
      <c r="BE285" s="665"/>
      <c r="BF285" s="665"/>
      <c r="BG285" s="478"/>
      <c r="BH285" s="478"/>
      <c r="BI285" s="478"/>
      <c r="BJ285" s="478"/>
      <c r="BK285" s="478"/>
      <c r="BL285" s="665"/>
      <c r="BM285" s="665"/>
      <c r="BN285" s="665"/>
      <c r="BO285" s="478"/>
      <c r="BP285" s="478"/>
      <c r="BQ285" s="478"/>
      <c r="BR285" s="478"/>
      <c r="BS285" s="478"/>
      <c r="BT285" s="478"/>
      <c r="BU285" s="478"/>
      <c r="BV285" s="478"/>
      <c r="BW285" s="478"/>
      <c r="BX285" s="478"/>
      <c r="BY285" s="506"/>
    </row>
    <row r="286" spans="52:77" x14ac:dyDescent="0.3">
      <c r="AZ286" s="506"/>
      <c r="BA286" s="665"/>
      <c r="BB286" s="665"/>
      <c r="BC286" s="665"/>
      <c r="BD286" s="665"/>
      <c r="BE286" s="665"/>
      <c r="BF286" s="665"/>
      <c r="BG286" s="506"/>
      <c r="BH286" s="506"/>
      <c r="BI286" s="506"/>
      <c r="BJ286" s="506"/>
      <c r="BK286" s="665"/>
      <c r="BL286" s="665"/>
      <c r="BM286" s="665"/>
      <c r="BN286" s="665"/>
      <c r="BO286" s="506"/>
      <c r="BP286" s="506"/>
      <c r="BQ286" s="506"/>
      <c r="BR286" s="506"/>
      <c r="BS286" s="665"/>
      <c r="BT286" s="665"/>
      <c r="BU286" s="665"/>
      <c r="BV286" s="665"/>
      <c r="BW286" s="665"/>
      <c r="BX286" s="665"/>
      <c r="BY286" s="506"/>
    </row>
    <row r="287" spans="52:77" x14ac:dyDescent="0.3">
      <c r="AZ287" s="506"/>
      <c r="BA287" s="506"/>
      <c r="BB287" s="506"/>
      <c r="BC287" s="506"/>
      <c r="BD287" s="506"/>
      <c r="BE287" s="506"/>
      <c r="BF287" s="506"/>
      <c r="BG287" s="506"/>
      <c r="BH287" s="506"/>
      <c r="BI287" s="506"/>
      <c r="BJ287" s="506"/>
      <c r="BK287" s="506"/>
      <c r="BL287" s="506"/>
      <c r="BM287" s="506"/>
      <c r="BN287" s="506"/>
      <c r="BO287" s="506"/>
      <c r="BP287" s="506"/>
      <c r="BQ287" s="506"/>
      <c r="BR287" s="506"/>
      <c r="BS287" s="506"/>
      <c r="BT287" s="506"/>
      <c r="BU287" s="506"/>
      <c r="BV287" s="506"/>
      <c r="BW287" s="506"/>
      <c r="BX287" s="506"/>
      <c r="BY287" s="506"/>
    </row>
    <row r="288" spans="52:77" x14ac:dyDescent="0.3">
      <c r="AZ288" s="506"/>
      <c r="BA288" s="506"/>
      <c r="BB288" s="506"/>
      <c r="BC288" s="506"/>
      <c r="BD288" s="506"/>
      <c r="BE288" s="506"/>
      <c r="BF288" s="506"/>
      <c r="BG288" s="506"/>
      <c r="BH288" s="506"/>
      <c r="BI288" s="506"/>
      <c r="BJ288" s="506"/>
      <c r="BK288" s="506"/>
      <c r="BL288" s="506"/>
      <c r="BM288" s="506"/>
      <c r="BN288" s="506"/>
      <c r="BO288" s="506"/>
      <c r="BP288" s="506"/>
      <c r="BQ288" s="506"/>
      <c r="BR288" s="506"/>
      <c r="BS288" s="506"/>
      <c r="BT288" s="506"/>
      <c r="BU288" s="506"/>
      <c r="BV288" s="506"/>
      <c r="BW288" s="506"/>
      <c r="BX288" s="506"/>
      <c r="BY288" s="506"/>
    </row>
  </sheetData>
  <sheetProtection algorithmName="SHA-512" hashValue="C/2fX/VyJ2cp+DArkdGsHkgVLSxAqc6nKCRriFnTQLg1T2YhVCzKfMJ9Ja8hP3pnrTcmet5AJHP685cyJyRkxA==" saltValue="+/kAgIPAdPFlKh3jGr7BOA==" spinCount="100000" sheet="1" objects="1" scenarios="1"/>
  <protectedRanges>
    <protectedRange sqref="B108 B111 D114:D125" name="Range1"/>
  </protectedRanges>
  <mergeCells count="23">
    <mergeCell ref="BU28:BV28"/>
    <mergeCell ref="BA28:BB28"/>
    <mergeCell ref="BW82:CD82"/>
    <mergeCell ref="D68:D82"/>
    <mergeCell ref="BI67:BJ67"/>
    <mergeCell ref="BU67:BV67"/>
    <mergeCell ref="CC31:CD31"/>
    <mergeCell ref="BI31:BJ31"/>
    <mergeCell ref="BW66:CD67"/>
    <mergeCell ref="BW27:CD28"/>
    <mergeCell ref="BR261:BS261"/>
    <mergeCell ref="B106:B107"/>
    <mergeCell ref="BA26:BB26"/>
    <mergeCell ref="BF259:BH259"/>
    <mergeCell ref="BF261:BG261"/>
    <mergeCell ref="Z55:AA55"/>
    <mergeCell ref="M26:O26"/>
    <mergeCell ref="M55:N55"/>
    <mergeCell ref="AN110:AO110"/>
    <mergeCell ref="BA30:BH31"/>
    <mergeCell ref="B83:E83"/>
    <mergeCell ref="BA82:BH82"/>
    <mergeCell ref="BA66:BH67"/>
  </mergeCells>
  <conditionalFormatting sqref="AQ152:AQ159 CV113:CV125">
    <cfRule type="cellIs" dxfId="440" priority="27" stopIfTrue="1" operator="between">
      <formula>"заяка"</formula>
      <formula>"заявка"</formula>
    </cfRule>
  </conditionalFormatting>
  <conditionalFormatting sqref="AX110:AX139 AX153:AX176 AY153:AY163 AW153:AW182 AX71:AX94">
    <cfRule type="cellIs" dxfId="439" priority="28" stopIfTrue="1" operator="equal">
      <formula>FALSE</formula>
    </cfRule>
  </conditionalFormatting>
  <conditionalFormatting sqref="BG97:BT100 AZ80:BW81 BN82:BR82 BE84:BR90 BA84:BD85 BS84:CD85 BF91:BR93 BS90:BS93 M62:AA62 BF149:BS151 BA282:BX283 BI82:BJ82">
    <cfRule type="cellIs" dxfId="438" priority="25" stopIfTrue="1" operator="equal">
      <formula>FALSE</formula>
    </cfRule>
  </conditionalFormatting>
  <conditionalFormatting sqref="BE78:BR78 BI82:BV82 BA64:BX64 M56:AA56 BA280:BX280 BA62:CD62">
    <cfRule type="cellIs" dxfId="437" priority="4" stopIfTrue="1" operator="equal">
      <formula>0</formula>
    </cfRule>
  </conditionalFormatting>
  <conditionalFormatting sqref="E105:F106">
    <cfRule type="cellIs" dxfId="436" priority="29" stopIfTrue="1" operator="equal">
      <formula>"change the angle of frame or of cabinets"</formula>
    </cfRule>
  </conditionalFormatting>
  <conditionalFormatting sqref="E108:F108 E107">
    <cfRule type="cellIs" dxfId="435" priority="30" stopIfTrue="1" operator="equal">
      <formula>"USE EXBAR VR AT THE BACK"</formula>
    </cfRule>
  </conditionalFormatting>
  <conditionalFormatting sqref="E107:F107 E108">
    <cfRule type="cellIs" dxfId="434" priority="31" stopIfTrue="1" operator="equal">
      <formula>"USE EXBAR VR AT THE FRONT"</formula>
    </cfRule>
  </conditionalFormatting>
  <conditionalFormatting sqref="B114:B125">
    <cfRule type="cellIs" dxfId="433" priority="22" stopIfTrue="1" operator="greaterThan">
      <formula>$B$111</formula>
    </cfRule>
  </conditionalFormatting>
  <conditionalFormatting sqref="U114 AL114:AO114 D114:E114">
    <cfRule type="expression" dxfId="432" priority="21" stopIfTrue="1">
      <formula>$B$111&lt;1</formula>
    </cfRule>
  </conditionalFormatting>
  <conditionalFormatting sqref="U115 AL115:AO115 D115:E115">
    <cfRule type="expression" dxfId="431" priority="20" stopIfTrue="1">
      <formula>$B$111&lt;2</formula>
    </cfRule>
  </conditionalFormatting>
  <conditionalFormatting sqref="U116 AL116:AO116 D116:E116">
    <cfRule type="expression" dxfId="430" priority="19" stopIfTrue="1">
      <formula>$B$111&lt;3</formula>
    </cfRule>
  </conditionalFormatting>
  <conditionalFormatting sqref="U117 AL117:AO117 D117:E117">
    <cfRule type="expression" dxfId="429" priority="18" stopIfTrue="1">
      <formula>$B$111&lt;4</formula>
    </cfRule>
  </conditionalFormatting>
  <conditionalFormatting sqref="U118 AL118:AO118 D118:E118">
    <cfRule type="expression" dxfId="428" priority="17" stopIfTrue="1">
      <formula>$B$111&lt;5</formula>
    </cfRule>
  </conditionalFormatting>
  <conditionalFormatting sqref="D119 U119 AL119:AO119 E119:E120">
    <cfRule type="expression" dxfId="427" priority="16" stopIfTrue="1">
      <formula>$B$111&lt;6</formula>
    </cfRule>
  </conditionalFormatting>
  <conditionalFormatting sqref="U120 AL120:AO120 D120:E120">
    <cfRule type="expression" dxfId="426" priority="15" stopIfTrue="1">
      <formula>$B$111&lt;7</formula>
    </cfRule>
  </conditionalFormatting>
  <conditionalFormatting sqref="U121 AL121:AO121 D121:E121">
    <cfRule type="expression" dxfId="425" priority="14" stopIfTrue="1">
      <formula>$B$111&lt;8</formula>
    </cfRule>
  </conditionalFormatting>
  <conditionalFormatting sqref="U122 AL122:AO122 D122:E122">
    <cfRule type="expression" dxfId="424" priority="13" stopIfTrue="1">
      <formula>$B$111&lt;9</formula>
    </cfRule>
  </conditionalFormatting>
  <conditionalFormatting sqref="U123 AL123:AO123 D123:E123">
    <cfRule type="expression" dxfId="423" priority="12" stopIfTrue="1">
      <formula>$B$111&lt;10</formula>
    </cfRule>
  </conditionalFormatting>
  <conditionalFormatting sqref="U124 AL124:AO124 D124:E124">
    <cfRule type="expression" dxfId="422" priority="11" stopIfTrue="1">
      <formula>$B$111&lt;11</formula>
    </cfRule>
  </conditionalFormatting>
  <conditionalFormatting sqref="U125 AL125:AO125 D125:E125">
    <cfRule type="expression" dxfId="421" priority="10" stopIfTrue="1">
      <formula>$B$111&lt;12</formula>
    </cfRule>
  </conditionalFormatting>
  <conditionalFormatting sqref="D105:D106">
    <cfRule type="cellIs" dxfId="420" priority="32" stopIfTrue="1" operator="equal">
      <formula>"change the angle of frame"</formula>
    </cfRule>
  </conditionalFormatting>
  <conditionalFormatting sqref="AN114:AO125 B92 D92">
    <cfRule type="cellIs" dxfId="419" priority="24" stopIfTrue="1" operator="lessThan">
      <formula>10</formula>
    </cfRule>
  </conditionalFormatting>
  <conditionalFormatting sqref="D114:D125">
    <cfRule type="cellIs" dxfId="418" priority="23" stopIfTrue="1" operator="notEqual">
      <formula>0</formula>
    </cfRule>
  </conditionalFormatting>
  <conditionalFormatting sqref="E92">
    <cfRule type="cellIs" dxfId="417" priority="9" stopIfTrue="1" operator="lessThan">
      <formula>10</formula>
    </cfRule>
  </conditionalFormatting>
  <conditionalFormatting sqref="B82">
    <cfRule type="cellIs" dxfId="416" priority="8" stopIfTrue="1" operator="equal">
      <formula>"overload"</formula>
    </cfRule>
  </conditionalFormatting>
  <conditionalFormatting sqref="E82">
    <cfRule type="cellIs" dxfId="415" priority="7" stopIfTrue="1" operator="between">
      <formula>"OVERLOAD"</formula>
      <formula>"OVERLOAD"</formula>
    </cfRule>
  </conditionalFormatting>
  <conditionalFormatting sqref="D108">
    <cfRule type="cellIs" dxfId="414" priority="5" stopIfTrue="1" operator="equal">
      <formula>"USE EXBAR VR AT THE BACK"</formula>
    </cfRule>
  </conditionalFormatting>
  <conditionalFormatting sqref="D107">
    <cfRule type="cellIs" dxfId="413" priority="6" stopIfTrue="1" operator="equal">
      <formula>"USE EXBAR VR AT THE FRONT"</formula>
    </cfRule>
  </conditionalFormatting>
  <conditionalFormatting sqref="BA63:CD63 BI82:BV82">
    <cfRule type="expression" dxfId="412" priority="26">
      <formula>$B$108=0</formula>
    </cfRule>
  </conditionalFormatting>
  <conditionalFormatting sqref="BI82:BV82">
    <cfRule type="expression" dxfId="411" priority="3">
      <formula>$B$108=0</formula>
    </cfRule>
  </conditionalFormatting>
  <conditionalFormatting sqref="B82 E82 D92:E92 B92">
    <cfRule type="expression" dxfId="410" priority="1">
      <formula>$AX$67=0</formula>
    </cfRule>
  </conditionalFormatting>
  <dataValidations count="5">
    <dataValidation type="decimal" allowBlank="1" showInputMessage="1" showErrorMessage="1" sqref="B108" xr:uid="{00000000-0002-0000-0B00-000000000000}">
      <formula1>-89.9</formula1>
      <formula2>89.9</formula2>
    </dataValidation>
    <dataValidation type="custom" allowBlank="1" showInputMessage="1" showErrorMessage="1" sqref="D114:D125" xr:uid="{00000000-0002-0000-0B00-000001000000}">
      <formula1>OR(D114=0,D114=2.5,D114=5)</formula1>
    </dataValidation>
    <dataValidation type="decimal" allowBlank="1" showInputMessage="1" showErrorMessage="1" sqref="F114" xr:uid="{00000000-0002-0000-0B00-000002000000}">
      <formula1>0</formula1>
      <formula2>4</formula2>
    </dataValidation>
    <dataValidation type="decimal" allowBlank="1" showInputMessage="1" showErrorMessage="1" sqref="F115:F125" xr:uid="{00000000-0002-0000-0B00-000003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11" xr:uid="{00000000-0002-0000-0B00-000004000000}">
      <formula1>0</formula1>
      <formula2>10</formula2>
    </dataValidation>
  </dataValidations>
  <pageMargins left="0.75" right="0.75" top="1" bottom="1" header="0.5" footer="0.5"/>
  <pageSetup orientation="portrait" r:id="rId1"/>
  <headerFooter alignWithMargins="0"/>
  <drawing r:id="rId2"/>
  <legacy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EF232"/>
  <sheetViews>
    <sheetView topLeftCell="A26" zoomScale="50" zoomScaleNormal="50" workbookViewId="0">
      <selection activeCell="B101" sqref="B101"/>
    </sheetView>
  </sheetViews>
  <sheetFormatPr baseColWidth="10" defaultColWidth="9.109375" defaultRowHeight="17.399999999999999" x14ac:dyDescent="0.3"/>
  <cols>
    <col min="1" max="1" width="1.5546875" style="474" customWidth="1"/>
    <col min="2" max="2" width="27.44140625" style="472" customWidth="1"/>
    <col min="3" max="3" width="19.5546875" style="472" hidden="1" customWidth="1"/>
    <col min="4" max="5" width="27.44140625" style="473" customWidth="1"/>
    <col min="6" max="6" width="48.6640625" style="473" hidden="1" customWidth="1"/>
    <col min="7" max="7" width="10" style="473" hidden="1" customWidth="1"/>
    <col min="8" max="11" width="17.5546875" style="466" hidden="1" customWidth="1"/>
    <col min="12" max="14" width="19.44140625" style="466" hidden="1" customWidth="1"/>
    <col min="15" max="15" width="8.6640625" style="466" hidden="1" customWidth="1"/>
    <col min="16" max="16" width="18.33203125" style="466" hidden="1" customWidth="1"/>
    <col min="17" max="17" width="19.5546875" style="466" hidden="1" customWidth="1"/>
    <col min="18" max="18" width="28" style="466" hidden="1" customWidth="1"/>
    <col min="19" max="19" width="18.33203125" style="466" hidden="1" customWidth="1"/>
    <col min="20" max="20" width="22.33203125" style="466" hidden="1" customWidth="1"/>
    <col min="21" max="21" width="14.88671875" style="466" hidden="1" customWidth="1"/>
    <col min="22" max="22" width="16.33203125" style="466" hidden="1" customWidth="1"/>
    <col min="23" max="23" width="17.5546875" style="466" hidden="1" customWidth="1"/>
    <col min="24" max="24" width="15" style="466" hidden="1" customWidth="1"/>
    <col min="25" max="25" width="14.44140625" style="466" hidden="1" customWidth="1"/>
    <col min="26" max="26" width="15" style="466" hidden="1" customWidth="1"/>
    <col min="27" max="27" width="17.33203125" style="466" hidden="1" customWidth="1"/>
    <col min="28" max="28" width="37.5546875" style="466" bestFit="1" customWidth="1"/>
    <col min="29" max="31" width="16.5546875" style="466" hidden="1" customWidth="1"/>
    <col min="32" max="32" width="46.5546875" style="466" hidden="1" customWidth="1"/>
    <col min="33" max="34" width="17" style="466" hidden="1" customWidth="1"/>
    <col min="35" max="35" width="20.88671875" style="466" hidden="1" customWidth="1"/>
    <col min="36" max="36" width="19.44140625" style="466" hidden="1" customWidth="1"/>
    <col min="37" max="37" width="22.44140625" style="466" hidden="1" customWidth="1"/>
    <col min="38" max="38" width="20.88671875" style="466" hidden="1" customWidth="1"/>
    <col min="39" max="39" width="19.44140625" style="466" hidden="1" customWidth="1"/>
    <col min="40" max="40" width="22.6640625" style="466" hidden="1" customWidth="1"/>
    <col min="41" max="41" width="33.6640625" style="466" hidden="1" customWidth="1"/>
    <col min="42" max="42" width="27.109375" style="466" hidden="1" customWidth="1"/>
    <col min="43" max="43" width="68.33203125" style="466" hidden="1" customWidth="1"/>
    <col min="44" max="44" width="22.6640625" style="466" hidden="1" customWidth="1"/>
    <col min="45" max="45" width="24.5546875" style="466" hidden="1" customWidth="1"/>
    <col min="46" max="46" width="33.6640625" style="466" hidden="1" customWidth="1"/>
    <col min="47" max="47" width="22.6640625" style="466" hidden="1" customWidth="1"/>
    <col min="48" max="49" width="24.5546875" style="466" hidden="1" customWidth="1"/>
    <col min="50" max="50" width="39" style="466" hidden="1" customWidth="1"/>
    <col min="51" max="51" width="13.88671875" style="466" hidden="1" customWidth="1"/>
    <col min="52" max="53" width="14" style="466" customWidth="1"/>
    <col min="54" max="54" width="91" style="474" hidden="1" customWidth="1"/>
    <col min="55" max="55" width="14.44140625" style="474" hidden="1" customWidth="1"/>
    <col min="56" max="57" width="9.33203125" style="474" hidden="1" customWidth="1"/>
    <col min="58" max="58" width="4" style="474" hidden="1" customWidth="1"/>
    <col min="59" max="59" width="4.88671875" style="474" hidden="1" customWidth="1"/>
    <col min="60" max="60" width="9.44140625" style="474" hidden="1" customWidth="1"/>
    <col min="61" max="62" width="17" style="474" hidden="1" customWidth="1"/>
    <col min="63" max="64" width="16.33203125" style="474" hidden="1" customWidth="1"/>
    <col min="65" max="65" width="17.88671875" style="474" hidden="1" customWidth="1"/>
    <col min="66" max="66" width="20.109375" style="474" hidden="1" customWidth="1"/>
    <col min="67" max="67" width="43.88671875" style="474" customWidth="1"/>
    <col min="68" max="97" width="7.88671875" style="474" customWidth="1"/>
    <col min="98" max="98" width="10.44140625" style="474" hidden="1" customWidth="1"/>
    <col min="99" max="99" width="17.6640625" style="474" hidden="1" customWidth="1"/>
    <col min="100" max="100" width="21.88671875" style="474" hidden="1" customWidth="1"/>
    <col min="101" max="101" width="9.109375" style="474" hidden="1" customWidth="1"/>
    <col min="102" max="102" width="41.44140625" style="474" hidden="1" customWidth="1"/>
    <col min="103" max="126" width="6.5546875" style="474" hidden="1" customWidth="1"/>
    <col min="127" max="132" width="6.5546875" style="474" customWidth="1"/>
    <col min="133" max="135" width="9.109375" style="474"/>
    <col min="136" max="136" width="11.44140625" style="474" customWidth="1"/>
    <col min="137" max="137" width="9.33203125" style="474" customWidth="1"/>
    <col min="138" max="16384" width="9.109375" style="474"/>
  </cols>
  <sheetData>
    <row r="1" spans="2:6" ht="18" hidden="1" customHeight="1" x14ac:dyDescent="0.3">
      <c r="D1" s="1183" t="s">
        <v>202</v>
      </c>
      <c r="E1" s="1183" t="s">
        <v>203</v>
      </c>
      <c r="F1" s="1183" t="s">
        <v>204</v>
      </c>
    </row>
    <row r="2" spans="2:6" ht="20.25" hidden="1" customHeight="1" x14ac:dyDescent="0.4">
      <c r="B2" s="1005" t="s">
        <v>29</v>
      </c>
      <c r="C2" s="1284">
        <v>650</v>
      </c>
      <c r="D2" s="1177">
        <f>+COS(($B$100*-1)*3.14159265358979/180)*C2</f>
        <v>650</v>
      </c>
      <c r="E2" s="1035">
        <f>+COS(($B$100*-1)*3.14159265358979/180)*50</f>
        <v>50</v>
      </c>
      <c r="F2" s="1035">
        <f>+COS((($B$100*-1)+58.1516306)*3.14159265358979/180)*91.9127</f>
        <v>48.499858560820385</v>
      </c>
    </row>
    <row r="3" spans="2:6" ht="20.25" hidden="1" customHeight="1" x14ac:dyDescent="0.4">
      <c r="B3" s="1005" t="s">
        <v>99</v>
      </c>
      <c r="C3" s="1284">
        <f>+C9-48.5</f>
        <v>169.69407832640624</v>
      </c>
      <c r="D3" s="1177">
        <f>+C9-F2</f>
        <v>169.69421976558584</v>
      </c>
    </row>
    <row r="4" spans="2:6" ht="54.75" hidden="1" customHeight="1" x14ac:dyDescent="0.4">
      <c r="B4" s="1007" t="s">
        <v>40</v>
      </c>
      <c r="C4" s="1283">
        <v>1050</v>
      </c>
      <c r="D4" s="1177">
        <f>+COS(($B$100*-1)*3.14159265358979/180)*C4</f>
        <v>1050</v>
      </c>
    </row>
    <row r="5" spans="2:6" ht="54.75" hidden="1" customHeight="1" x14ac:dyDescent="0.4">
      <c r="B5" s="1007" t="s">
        <v>206</v>
      </c>
      <c r="C5" s="1283">
        <f>+C9+401.5</f>
        <v>619.69407832640627</v>
      </c>
      <c r="D5" s="1177">
        <f>+(COS(($B$100*-1)*3.14159265358979/180)*400)+$D$3</f>
        <v>569.69421976558579</v>
      </c>
    </row>
    <row r="6" spans="2:6" hidden="1" x14ac:dyDescent="0.3">
      <c r="B6" s="464"/>
      <c r="C6" s="464"/>
    </row>
    <row r="7" spans="2:6" hidden="1" x14ac:dyDescent="0.3">
      <c r="B7" s="1281" t="s">
        <v>18</v>
      </c>
      <c r="C7" s="1282">
        <f>+C11+C14+30+4.3</f>
        <v>191.8</v>
      </c>
    </row>
    <row r="8" spans="2:6" hidden="1" x14ac:dyDescent="0.3">
      <c r="B8" s="1281" t="s">
        <v>19</v>
      </c>
      <c r="C8" s="1281">
        <f>+AR106</f>
        <v>746.99500648721551</v>
      </c>
    </row>
    <row r="9" spans="2:6" hidden="1" x14ac:dyDescent="0.3">
      <c r="B9" s="1281" t="s">
        <v>14</v>
      </c>
      <c r="C9" s="1281">
        <f>+AO106</f>
        <v>218.19407832640624</v>
      </c>
    </row>
    <row r="10" spans="2:6" hidden="1" x14ac:dyDescent="0.3"/>
    <row r="11" spans="2:6" hidden="1" x14ac:dyDescent="0.3">
      <c r="B11" s="1279" t="s">
        <v>219</v>
      </c>
      <c r="C11" s="1280">
        <f>+B103*72+30</f>
        <v>102</v>
      </c>
    </row>
    <row r="12" spans="2:6" hidden="1" x14ac:dyDescent="0.3">
      <c r="B12" s="1279" t="s">
        <v>218</v>
      </c>
      <c r="C12" s="1278">
        <v>747</v>
      </c>
      <c r="D12" s="490"/>
    </row>
    <row r="13" spans="2:6" hidden="1" x14ac:dyDescent="0.3">
      <c r="D13" s="490"/>
    </row>
    <row r="14" spans="2:6" hidden="1" x14ac:dyDescent="0.3">
      <c r="B14" s="1091" t="s">
        <v>101</v>
      </c>
      <c r="C14" s="1277">
        <f>(+B124*25.5)+30</f>
        <v>55.5</v>
      </c>
      <c r="D14" s="490"/>
    </row>
    <row r="15" spans="2:6" hidden="1" x14ac:dyDescent="0.3">
      <c r="B15" s="1091" t="s">
        <v>103</v>
      </c>
      <c r="C15" s="1277">
        <v>326.60000000000002</v>
      </c>
      <c r="D15" s="490"/>
    </row>
    <row r="16" spans="2:6" hidden="1" x14ac:dyDescent="0.3">
      <c r="B16" s="491"/>
      <c r="C16" s="491"/>
      <c r="D16" s="490"/>
    </row>
    <row r="17" spans="2:136" hidden="1" x14ac:dyDescent="0.3">
      <c r="B17" s="491"/>
      <c r="C17" s="491"/>
      <c r="D17" s="490"/>
    </row>
    <row r="18" spans="2:136" ht="34.799999999999997" hidden="1" x14ac:dyDescent="0.3">
      <c r="B18" s="1026" t="s">
        <v>120</v>
      </c>
      <c r="C18" s="1091">
        <v>5800</v>
      </c>
      <c r="D18" s="1091">
        <v>10000</v>
      </c>
    </row>
    <row r="19" spans="2:136" ht="34.799999999999997" hidden="1" x14ac:dyDescent="0.3">
      <c r="B19" s="1026" t="s">
        <v>121</v>
      </c>
      <c r="C19" s="1091">
        <v>5800</v>
      </c>
      <c r="D19" s="1091">
        <v>5800</v>
      </c>
    </row>
    <row r="20" spans="2:136" ht="34.799999999999997" hidden="1" x14ac:dyDescent="0.3">
      <c r="B20" s="1026" t="s">
        <v>169</v>
      </c>
      <c r="C20" s="1091">
        <v>8000</v>
      </c>
      <c r="D20" s="1091">
        <v>8000</v>
      </c>
      <c r="E20" s="1170">
        <v>8000</v>
      </c>
    </row>
    <row r="21" spans="2:136" hidden="1" x14ac:dyDescent="0.3">
      <c r="B21" s="1091"/>
      <c r="C21" s="1091" t="s">
        <v>22</v>
      </c>
      <c r="D21" s="1091" t="s">
        <v>23</v>
      </c>
    </row>
    <row r="22" spans="2:136" hidden="1" x14ac:dyDescent="0.3">
      <c r="B22" s="1276" t="s">
        <v>102</v>
      </c>
      <c r="C22" s="1091">
        <f>+((C8-C9)/C8)*C7</f>
        <v>135.77603215608517</v>
      </c>
      <c r="D22" s="1091">
        <f>+(C9/C8)*C7</f>
        <v>56.023967843914839</v>
      </c>
    </row>
    <row r="23" spans="2:136" hidden="1" x14ac:dyDescent="0.3"/>
    <row r="24" spans="2:136" hidden="1" x14ac:dyDescent="0.3"/>
    <row r="25" spans="2:136" hidden="1" x14ac:dyDescent="0.3"/>
    <row r="26" spans="2:136" s="466" customFormat="1" ht="31.5" customHeight="1" thickBot="1" x14ac:dyDescent="0.45">
      <c r="B26" s="464"/>
      <c r="C26" s="464"/>
      <c r="D26" s="465"/>
      <c r="E26" s="465"/>
      <c r="F26" s="465"/>
      <c r="G26" s="465"/>
      <c r="BC26" s="1275"/>
      <c r="BD26" s="471"/>
      <c r="BE26" s="465"/>
      <c r="BF26" s="465"/>
      <c r="BG26" s="465"/>
      <c r="BH26" s="465"/>
      <c r="BI26" s="465"/>
      <c r="BJ26" s="465"/>
      <c r="BK26" s="465"/>
      <c r="BL26" s="465"/>
      <c r="BM26" s="465"/>
      <c r="BN26" s="465"/>
      <c r="BO26" s="1169" t="s">
        <v>28</v>
      </c>
      <c r="BP26" s="2064">
        <f>+C7</f>
        <v>191.8</v>
      </c>
      <c r="BQ26" s="2064"/>
      <c r="BR26" s="1096" t="s">
        <v>17</v>
      </c>
      <c r="BS26" s="1093"/>
      <c r="BT26" s="1168" t="s">
        <v>217</v>
      </c>
      <c r="BU26" s="1094"/>
      <c r="BV26" s="1094"/>
      <c r="BW26" s="1094"/>
      <c r="BX26" s="1094"/>
      <c r="BY26" s="1094"/>
      <c r="BZ26" s="1094"/>
      <c r="CA26" s="1094"/>
      <c r="CB26" s="1094"/>
      <c r="CC26" s="1094"/>
      <c r="CD26" s="1094"/>
      <c r="CE26" s="1094"/>
      <c r="CF26" s="1094"/>
      <c r="CG26" s="1094"/>
      <c r="CH26" s="1094"/>
      <c r="CI26" s="1094"/>
      <c r="CJ26" s="1094"/>
      <c r="CK26" s="1094"/>
      <c r="CL26" s="1043"/>
      <c r="CM26" s="1043"/>
      <c r="CN26" s="1053"/>
      <c r="CQ26" s="474"/>
      <c r="CR26" s="474"/>
      <c r="CS26" s="474"/>
      <c r="CT26" s="474"/>
      <c r="CU26" s="474"/>
      <c r="CV26" s="474"/>
      <c r="CW26" s="474"/>
      <c r="CX26" s="474"/>
      <c r="CY26" s="474"/>
      <c r="CZ26" s="474"/>
      <c r="DA26" s="474"/>
      <c r="DB26" s="474"/>
      <c r="DC26" s="474"/>
      <c r="DD26" s="474"/>
      <c r="DE26" s="474"/>
      <c r="DF26" s="474"/>
      <c r="DG26" s="474"/>
      <c r="DH26" s="474"/>
      <c r="DI26" s="474"/>
      <c r="DJ26" s="474"/>
      <c r="DK26" s="474"/>
      <c r="DL26" s="474"/>
      <c r="DM26" s="474"/>
      <c r="DN26" s="474"/>
      <c r="DO26" s="474"/>
      <c r="DP26" s="474"/>
      <c r="DQ26" s="474"/>
      <c r="DR26" s="474"/>
      <c r="DS26" s="474"/>
      <c r="DT26" s="474"/>
      <c r="DU26" s="474"/>
      <c r="DV26" s="474"/>
      <c r="DW26" s="474"/>
      <c r="DX26" s="474"/>
      <c r="DY26" s="474"/>
      <c r="DZ26" s="474"/>
      <c r="EA26" s="474"/>
      <c r="EB26" s="474"/>
      <c r="EC26" s="474"/>
      <c r="ED26" s="474"/>
      <c r="EE26" s="474"/>
      <c r="EF26" s="474"/>
    </row>
    <row r="27" spans="2:136" ht="25.2" x14ac:dyDescent="0.45">
      <c r="U27" s="493"/>
      <c r="BC27" s="475"/>
      <c r="BE27" s="473"/>
      <c r="BF27" s="475"/>
      <c r="BG27" s="475"/>
      <c r="BH27" s="475"/>
      <c r="BI27" s="475"/>
      <c r="BJ27" s="475"/>
      <c r="BK27" s="475"/>
      <c r="BL27" s="475"/>
      <c r="BM27" s="475"/>
      <c r="BN27" s="475"/>
      <c r="BO27" s="1167" t="s">
        <v>30</v>
      </c>
      <c r="BP27" s="1166" t="s">
        <v>31</v>
      </c>
      <c r="BQ27" s="1001"/>
      <c r="BR27" s="1001"/>
      <c r="BS27" s="1001"/>
      <c r="BT27" s="1001"/>
      <c r="BU27" s="1001"/>
      <c r="BV27" s="1001"/>
      <c r="BW27" s="1001"/>
      <c r="BX27" s="1001"/>
      <c r="BY27" s="1001"/>
      <c r="BZ27" s="1001"/>
      <c r="CA27" s="1001"/>
      <c r="CB27" s="1001"/>
      <c r="CC27" s="1001"/>
      <c r="CD27" s="1001"/>
      <c r="CE27" s="1001"/>
      <c r="CF27" s="1001"/>
      <c r="CG27" s="1001"/>
      <c r="CH27" s="594"/>
      <c r="CI27" s="1274"/>
      <c r="CJ27" s="1274"/>
      <c r="CK27" s="1162" t="s">
        <v>32</v>
      </c>
      <c r="CL27" s="2071"/>
      <c r="CM27" s="2072"/>
      <c r="CN27" s="2072"/>
      <c r="CO27" s="2072"/>
      <c r="CP27" s="2072"/>
      <c r="CQ27" s="2072"/>
      <c r="CR27" s="2072"/>
      <c r="CS27" s="2073"/>
    </row>
    <row r="28" spans="2:136" ht="32.25" customHeight="1" thickBot="1" x14ac:dyDescent="0.5">
      <c r="BE28" s="473"/>
      <c r="BF28" s="475"/>
      <c r="BG28" s="475"/>
      <c r="BH28" s="475"/>
      <c r="BI28" s="475"/>
      <c r="BJ28" s="475"/>
      <c r="BK28" s="475"/>
      <c r="BL28" s="475"/>
      <c r="BM28" s="475"/>
      <c r="BN28" s="1347">
        <f>+IF(AND(CJ28&gt;0,BP28&gt;0),BP28)</f>
        <v>87.735855856152995</v>
      </c>
      <c r="BO28" s="1890" t="s">
        <v>78</v>
      </c>
      <c r="BP28" s="2083">
        <f>+((D4-D5)/D4)*C7</f>
        <v>87.735855856152995</v>
      </c>
      <c r="BQ28" s="2084"/>
      <c r="BR28" s="1273"/>
      <c r="BS28" s="1273"/>
      <c r="BT28" s="1273"/>
      <c r="BU28" s="1273"/>
      <c r="BV28" s="1273"/>
      <c r="BW28" s="1273"/>
      <c r="BX28" s="1273"/>
      <c r="BY28" s="1273"/>
      <c r="BZ28" s="1273"/>
      <c r="CA28" s="1273"/>
      <c r="CB28" s="1273"/>
      <c r="CC28" s="1273"/>
      <c r="CD28" s="1273"/>
      <c r="CE28" s="1273"/>
      <c r="CF28" s="1273"/>
      <c r="CG28" s="1273"/>
      <c r="CH28" s="586"/>
      <c r="CI28" s="1272"/>
      <c r="CJ28" s="2081">
        <f>+(D5/D4)*C7</f>
        <v>104.06414414384702</v>
      </c>
      <c r="CK28" s="2082"/>
      <c r="CL28" s="2074"/>
      <c r="CM28" s="2075"/>
      <c r="CN28" s="2075"/>
      <c r="CO28" s="2075"/>
      <c r="CP28" s="2075"/>
      <c r="CQ28" s="2075"/>
      <c r="CR28" s="2075"/>
      <c r="CS28" s="2076"/>
      <c r="CT28" s="1352">
        <f>+IF(AND(BP28&gt;0,CJ28&gt;0),CJ28)</f>
        <v>104.06414414384702</v>
      </c>
    </row>
    <row r="29" spans="2:136" ht="25.2" x14ac:dyDescent="0.45">
      <c r="F29" s="479"/>
      <c r="G29" s="479"/>
      <c r="BE29" s="473"/>
      <c r="BF29" s="475"/>
      <c r="BG29" s="475"/>
      <c r="BH29" s="475"/>
      <c r="BI29" s="475"/>
      <c r="BJ29" s="475"/>
      <c r="BK29" s="475"/>
      <c r="BL29" s="475"/>
      <c r="BM29" s="475"/>
      <c r="BN29" s="475"/>
      <c r="BO29" s="1159" t="s">
        <v>30</v>
      </c>
      <c r="BP29" s="2071"/>
      <c r="BQ29" s="2072"/>
      <c r="BR29" s="2072"/>
      <c r="BS29" s="2072"/>
      <c r="BT29" s="2072"/>
      <c r="BU29" s="2072"/>
      <c r="BV29" s="2072"/>
      <c r="BW29" s="2073"/>
      <c r="BX29" s="1158" t="s">
        <v>31</v>
      </c>
      <c r="BY29" s="1003"/>
      <c r="BZ29" s="1003"/>
      <c r="CA29" s="1003"/>
      <c r="CB29" s="1003"/>
      <c r="CC29" s="1003"/>
      <c r="CD29" s="1003"/>
      <c r="CE29" s="1003"/>
      <c r="CF29" s="1003"/>
      <c r="CG29" s="1003"/>
      <c r="CH29" s="1003"/>
      <c r="CI29" s="1003"/>
      <c r="CJ29" s="1003"/>
      <c r="CK29" s="594"/>
      <c r="CL29" s="1003"/>
      <c r="CM29" s="594"/>
      <c r="CN29" s="1271"/>
      <c r="CO29" s="594"/>
      <c r="CP29" s="594"/>
      <c r="CQ29" s="594"/>
      <c r="CR29" s="594"/>
      <c r="CS29" s="1155" t="s">
        <v>32</v>
      </c>
    </row>
    <row r="30" spans="2:136" ht="33" customHeight="1" thickBot="1" x14ac:dyDescent="0.5">
      <c r="H30" s="465"/>
      <c r="I30" s="465"/>
      <c r="J30" s="465"/>
      <c r="K30" s="465"/>
      <c r="L30" s="465"/>
      <c r="M30" s="465"/>
      <c r="N30" s="465"/>
      <c r="O30" s="465"/>
      <c r="P30" s="465"/>
      <c r="Q30" s="465"/>
      <c r="R30" s="465"/>
      <c r="S30" s="465"/>
      <c r="T30" s="465"/>
      <c r="AF30" s="465"/>
      <c r="AG30" s="465"/>
      <c r="AH30" s="465"/>
      <c r="AI30" s="465"/>
      <c r="AJ30" s="465"/>
      <c r="AK30" s="465"/>
      <c r="AL30" s="465"/>
      <c r="AM30" s="465"/>
      <c r="AN30" s="465"/>
      <c r="AO30" s="465"/>
      <c r="AP30" s="465"/>
      <c r="AQ30" s="465"/>
      <c r="AR30" s="465"/>
      <c r="AS30" s="465"/>
      <c r="AT30" s="465"/>
      <c r="AU30" s="465"/>
      <c r="AV30" s="465"/>
      <c r="AW30" s="465"/>
      <c r="AX30" s="465"/>
      <c r="AY30" s="465"/>
      <c r="AZ30" s="465"/>
      <c r="BA30" s="465"/>
      <c r="BB30" s="473"/>
      <c r="BE30" s="473"/>
      <c r="BF30" s="473"/>
      <c r="BG30" s="473"/>
      <c r="BH30" s="473"/>
      <c r="BI30" s="473"/>
      <c r="BJ30" s="473"/>
      <c r="BK30" s="473"/>
      <c r="BL30" s="473"/>
      <c r="BM30" s="473"/>
      <c r="BN30" s="1347">
        <f>+IF(AND(CR30&gt;0,BX30&gt;0),BX30)</f>
        <v>160.80252252281966</v>
      </c>
      <c r="BO30" s="1891" t="s">
        <v>79</v>
      </c>
      <c r="BP30" s="2074"/>
      <c r="BQ30" s="2075"/>
      <c r="BR30" s="2075"/>
      <c r="BS30" s="2075"/>
      <c r="BT30" s="2075"/>
      <c r="BU30" s="2075"/>
      <c r="BV30" s="2075"/>
      <c r="BW30" s="2076"/>
      <c r="BX30" s="2094">
        <f>+((D4-D3)/D4)*C7</f>
        <v>160.80252252281966</v>
      </c>
      <c r="BY30" s="2095"/>
      <c r="BZ30" s="1004"/>
      <c r="CA30" s="1004"/>
      <c r="CB30" s="1004"/>
      <c r="CC30" s="1004"/>
      <c r="CD30" s="1004"/>
      <c r="CE30" s="1004"/>
      <c r="CF30" s="1004"/>
      <c r="CG30" s="1004"/>
      <c r="CH30" s="1004"/>
      <c r="CI30" s="1004"/>
      <c r="CJ30" s="1004"/>
      <c r="CK30" s="586"/>
      <c r="CL30" s="1004"/>
      <c r="CM30" s="586"/>
      <c r="CN30" s="1270"/>
      <c r="CO30" s="586"/>
      <c r="CP30" s="586"/>
      <c r="CQ30" s="586"/>
      <c r="CR30" s="2092">
        <f>+(D3/D4)*C7</f>
        <v>30.997477477180347</v>
      </c>
      <c r="CS30" s="2093"/>
      <c r="CT30" s="1347">
        <f>+IF(AND(BX30&gt;0,CR30&gt;0),CR30)</f>
        <v>30.997477477180347</v>
      </c>
    </row>
    <row r="31" spans="2:136" ht="10.5" customHeight="1" thickBot="1" x14ac:dyDescent="0.4">
      <c r="H31" s="465"/>
      <c r="I31" s="465"/>
      <c r="J31" s="465"/>
      <c r="K31" s="465"/>
      <c r="L31" s="465"/>
      <c r="M31" s="465"/>
      <c r="N31" s="465"/>
      <c r="O31" s="465"/>
      <c r="P31" s="465"/>
      <c r="Q31" s="465"/>
      <c r="R31" s="465"/>
      <c r="S31" s="465"/>
      <c r="T31" s="465"/>
      <c r="AF31" s="465"/>
      <c r="AG31" s="465"/>
      <c r="AH31" s="465"/>
      <c r="AI31" s="465"/>
      <c r="AJ31" s="465"/>
      <c r="AK31" s="465"/>
      <c r="AL31" s="465"/>
      <c r="AM31" s="465"/>
      <c r="AN31" s="465"/>
      <c r="AO31" s="465"/>
      <c r="AP31" s="465"/>
      <c r="AQ31" s="465"/>
      <c r="AR31" s="465"/>
      <c r="AS31" s="465"/>
      <c r="AT31" s="465"/>
      <c r="AU31" s="465"/>
      <c r="AV31" s="465"/>
      <c r="AW31" s="465"/>
      <c r="AX31" s="465"/>
      <c r="AY31" s="465"/>
      <c r="AZ31" s="465"/>
      <c r="BA31" s="465"/>
      <c r="BB31" s="473"/>
      <c r="BE31" s="473"/>
      <c r="BF31" s="493"/>
      <c r="BG31" s="493"/>
      <c r="BH31" s="493"/>
      <c r="BI31" s="493"/>
      <c r="BJ31" s="493"/>
      <c r="BK31" s="493"/>
      <c r="BL31" s="493"/>
      <c r="BM31" s="493"/>
      <c r="BN31" s="493"/>
      <c r="BO31" s="1093"/>
      <c r="BP31" s="1053"/>
      <c r="BQ31" s="1053"/>
      <c r="BR31" s="1053"/>
      <c r="BS31" s="1053"/>
      <c r="BT31" s="1053"/>
      <c r="BU31" s="1053"/>
      <c r="BV31" s="1053"/>
      <c r="BW31" s="1053"/>
      <c r="BX31" s="1053"/>
      <c r="BY31" s="1053"/>
      <c r="BZ31" s="1053"/>
      <c r="CA31" s="1053"/>
      <c r="CB31" s="1053"/>
      <c r="CC31" s="1053"/>
      <c r="CD31" s="1053"/>
      <c r="CE31" s="1053"/>
      <c r="CF31" s="1053"/>
      <c r="CG31" s="1053"/>
      <c r="CH31" s="1053"/>
      <c r="CI31" s="1053"/>
      <c r="CJ31" s="1053"/>
      <c r="CK31" s="1053"/>
      <c r="CL31" s="1053"/>
      <c r="CM31" s="1053"/>
      <c r="CN31" s="1053"/>
      <c r="CQ31" s="473"/>
      <c r="CR31" s="473"/>
      <c r="CS31" s="473"/>
      <c r="CT31" s="473"/>
      <c r="CU31" s="473"/>
      <c r="CV31" s="473"/>
      <c r="CW31" s="473"/>
      <c r="CX31" s="473"/>
      <c r="CY31" s="473"/>
      <c r="CZ31" s="473"/>
      <c r="DA31" s="473"/>
      <c r="DB31" s="473"/>
      <c r="DC31" s="473"/>
      <c r="DD31" s="473"/>
      <c r="DE31" s="473"/>
      <c r="DF31" s="473"/>
      <c r="DG31" s="473"/>
      <c r="DH31" s="473"/>
      <c r="DI31" s="473"/>
      <c r="DJ31" s="473"/>
      <c r="DK31" s="473"/>
      <c r="DL31" s="473"/>
      <c r="DM31" s="473"/>
      <c r="DN31" s="473"/>
      <c r="DO31" s="473"/>
      <c r="DP31" s="473"/>
      <c r="DQ31" s="473"/>
      <c r="DR31" s="473"/>
      <c r="DS31" s="473"/>
      <c r="DT31" s="473"/>
      <c r="DU31" s="473"/>
      <c r="DV31" s="473"/>
      <c r="DW31" s="473"/>
      <c r="DX31" s="473"/>
      <c r="DY31" s="473"/>
      <c r="DZ31" s="473"/>
      <c r="EA31" s="473"/>
      <c r="EB31" s="473"/>
      <c r="EC31" s="473"/>
      <c r="ED31" s="473"/>
      <c r="EE31" s="473"/>
      <c r="EF31" s="473"/>
    </row>
    <row r="32" spans="2:136" ht="26.25" hidden="1" customHeight="1" thickBot="1" x14ac:dyDescent="0.4">
      <c r="E32" s="490"/>
      <c r="F32" s="490"/>
      <c r="G32" s="490"/>
      <c r="H32" s="465"/>
      <c r="I32" s="465"/>
      <c r="J32" s="465"/>
      <c r="K32" s="465"/>
      <c r="L32" s="465"/>
      <c r="M32" s="465"/>
      <c r="N32" s="465"/>
      <c r="O32" s="465"/>
      <c r="P32" s="465"/>
      <c r="Q32" s="465"/>
      <c r="R32" s="465"/>
      <c r="S32" s="465"/>
      <c r="T32" s="465"/>
      <c r="U32" s="465"/>
      <c r="V32" s="465"/>
      <c r="W32" s="465"/>
      <c r="X32" s="465"/>
      <c r="Y32" s="465"/>
      <c r="Z32" s="465"/>
      <c r="AA32" s="465"/>
      <c r="AB32" s="465"/>
      <c r="AC32" s="465"/>
      <c r="AD32" s="465"/>
      <c r="AE32" s="465"/>
      <c r="AF32" s="465"/>
      <c r="AG32" s="465"/>
      <c r="AH32" s="465"/>
      <c r="AI32" s="465"/>
      <c r="AJ32" s="465"/>
      <c r="AK32" s="465"/>
      <c r="AL32" s="465"/>
      <c r="AM32" s="465"/>
      <c r="AN32" s="465"/>
      <c r="AO32" s="465"/>
      <c r="AP32" s="465"/>
      <c r="AQ32" s="465"/>
      <c r="AR32" s="465"/>
      <c r="AS32" s="465"/>
      <c r="AT32" s="465"/>
      <c r="AU32" s="465"/>
      <c r="AV32" s="465"/>
      <c r="AW32" s="465"/>
      <c r="AX32" s="465"/>
      <c r="AY32" s="465"/>
      <c r="AZ32" s="465"/>
      <c r="BA32" s="465"/>
      <c r="BB32" s="473"/>
      <c r="BE32" s="473"/>
      <c r="BF32" s="1269"/>
      <c r="BG32" s="1269"/>
      <c r="BH32" s="1269"/>
      <c r="BI32" s="1269"/>
      <c r="BJ32" s="1269"/>
      <c r="BK32" s="1269"/>
      <c r="BL32" s="1269"/>
      <c r="BM32" s="1269"/>
      <c r="BN32" s="1269"/>
      <c r="BO32" s="1093"/>
      <c r="CN32" s="1053"/>
    </row>
    <row r="33" spans="5:97" ht="26.25" hidden="1" customHeight="1" thickBot="1" x14ac:dyDescent="0.45">
      <c r="E33" s="490"/>
      <c r="F33" s="490"/>
      <c r="G33" s="490"/>
      <c r="H33" s="465"/>
      <c r="I33" s="465"/>
      <c r="J33" s="465"/>
      <c r="K33" s="465"/>
      <c r="L33" s="465"/>
      <c r="M33" s="465"/>
      <c r="N33" s="465"/>
      <c r="O33" s="465"/>
      <c r="P33" s="465"/>
      <c r="Q33" s="465"/>
      <c r="R33" s="465"/>
      <c r="S33" s="465"/>
      <c r="T33" s="465"/>
      <c r="U33" s="465"/>
      <c r="V33" s="465"/>
      <c r="W33" s="465"/>
      <c r="X33" s="465"/>
      <c r="Y33" s="465"/>
      <c r="Z33" s="465"/>
      <c r="AA33" s="465"/>
      <c r="AB33" s="465"/>
      <c r="AC33" s="465"/>
      <c r="AD33" s="465"/>
      <c r="AE33" s="465"/>
      <c r="AF33" s="465"/>
      <c r="AG33" s="465"/>
      <c r="AH33" s="465"/>
      <c r="AI33" s="465"/>
      <c r="AJ33" s="465"/>
      <c r="AK33" s="465"/>
      <c r="AL33" s="465"/>
      <c r="AM33" s="465"/>
      <c r="AN33" s="465"/>
      <c r="AO33" s="465"/>
      <c r="AP33" s="465"/>
      <c r="AQ33" s="465"/>
      <c r="AR33" s="465"/>
      <c r="AS33" s="465"/>
      <c r="AT33" s="465"/>
      <c r="AU33" s="465"/>
      <c r="AV33" s="465"/>
      <c r="AW33" s="465"/>
      <c r="AX33" s="465"/>
      <c r="AY33" s="465"/>
      <c r="AZ33" s="465"/>
      <c r="BA33" s="465"/>
      <c r="BB33" s="473"/>
      <c r="BF33" s="489"/>
      <c r="BG33" s="489"/>
      <c r="BH33" s="489"/>
      <c r="BI33" s="489"/>
      <c r="BJ33" s="489"/>
      <c r="BK33" s="489"/>
      <c r="BL33" s="489"/>
      <c r="BM33" s="489"/>
      <c r="BN33" s="489"/>
      <c r="BO33" s="1892" t="s">
        <v>93</v>
      </c>
      <c r="BP33" s="1104"/>
      <c r="BQ33" s="1104"/>
      <c r="BR33" s="1104"/>
      <c r="BS33" s="1104"/>
      <c r="BT33" s="1104"/>
      <c r="BU33" s="1105"/>
      <c r="BV33" s="1104"/>
      <c r="BW33" s="1104"/>
      <c r="BX33" s="1104"/>
      <c r="BY33" s="1104"/>
      <c r="BZ33" s="1104"/>
      <c r="CA33" s="1104"/>
      <c r="CB33" s="1104"/>
      <c r="CC33" s="1104"/>
      <c r="CD33" s="1104"/>
      <c r="CE33" s="1104"/>
      <c r="CF33" s="1104"/>
      <c r="CG33" s="1104"/>
      <c r="CH33" s="1104"/>
      <c r="CI33" s="1104"/>
      <c r="CJ33" s="1104"/>
      <c r="CK33" s="1104"/>
      <c r="CL33" s="1104"/>
      <c r="CM33" s="1105"/>
      <c r="CN33" s="1093"/>
      <c r="CO33" s="1093"/>
      <c r="CP33" s="1093"/>
      <c r="CQ33" s="1093"/>
      <c r="CR33" s="1093"/>
      <c r="CS33" s="1093"/>
    </row>
    <row r="34" spans="5:97" ht="26.25" hidden="1" customHeight="1" thickBot="1" x14ac:dyDescent="0.45">
      <c r="E34" s="490"/>
      <c r="F34" s="490"/>
      <c r="G34" s="490"/>
      <c r="H34" s="465"/>
      <c r="I34" s="465"/>
      <c r="J34" s="465"/>
      <c r="K34" s="465"/>
      <c r="L34" s="465"/>
      <c r="M34" s="465"/>
      <c r="N34" s="465"/>
      <c r="O34" s="465"/>
      <c r="P34" s="465"/>
      <c r="Q34" s="465"/>
      <c r="R34" s="465"/>
      <c r="S34" s="465"/>
      <c r="T34" s="465"/>
      <c r="U34" s="465"/>
      <c r="V34" s="465"/>
      <c r="W34" s="465"/>
      <c r="X34" s="465"/>
      <c r="Y34" s="465"/>
      <c r="Z34" s="465"/>
      <c r="AA34" s="465"/>
      <c r="AB34" s="465"/>
      <c r="AC34" s="465"/>
      <c r="AD34" s="465"/>
      <c r="AE34" s="465"/>
      <c r="AF34" s="465"/>
      <c r="AG34" s="465"/>
      <c r="AH34" s="465"/>
      <c r="AI34" s="465"/>
      <c r="AJ34" s="465"/>
      <c r="AK34" s="465"/>
      <c r="AL34" s="465"/>
      <c r="AM34" s="465"/>
      <c r="AN34" s="465"/>
      <c r="AO34" s="465"/>
      <c r="AP34" s="465"/>
      <c r="AQ34" s="465"/>
      <c r="AR34" s="465"/>
      <c r="AS34" s="465"/>
      <c r="AT34" s="465"/>
      <c r="AU34" s="465"/>
      <c r="AV34" s="465"/>
      <c r="AW34" s="465"/>
      <c r="AX34" s="465"/>
      <c r="AY34" s="465"/>
      <c r="AZ34" s="465"/>
      <c r="BA34" s="465"/>
      <c r="BB34" s="473"/>
      <c r="BF34" s="489"/>
      <c r="BG34" s="489"/>
      <c r="BH34" s="489"/>
      <c r="BI34" s="489"/>
      <c r="BJ34" s="489"/>
      <c r="BK34" s="489"/>
      <c r="BL34" s="489"/>
      <c r="BM34" s="489"/>
      <c r="BN34" s="489"/>
      <c r="BO34" s="1892" t="s">
        <v>92</v>
      </c>
      <c r="BP34" s="1093"/>
      <c r="BQ34" s="1093"/>
      <c r="BR34" s="1093"/>
      <c r="BS34" s="1093"/>
      <c r="BT34" s="1093"/>
      <c r="BU34" s="1093"/>
      <c r="BV34" s="1093"/>
      <c r="BW34" s="1093"/>
      <c r="BX34" s="1093"/>
      <c r="BY34" s="1093"/>
      <c r="BZ34" s="1093"/>
      <c r="CA34" s="1093"/>
      <c r="CB34" s="1093"/>
      <c r="CC34" s="1093"/>
      <c r="CD34" s="1093"/>
      <c r="CE34" s="1093"/>
      <c r="CF34" s="1093"/>
      <c r="CG34" s="1093"/>
      <c r="CH34" s="1093"/>
      <c r="CI34" s="1093"/>
      <c r="CJ34" s="1093"/>
      <c r="CK34" s="1093"/>
      <c r="CL34" s="1093"/>
      <c r="CM34" s="1093"/>
      <c r="CN34" s="1093"/>
      <c r="CO34" s="1093"/>
      <c r="CP34" s="1093"/>
      <c r="CQ34" s="1101" t="b">
        <f>IF(CR84=29,28)</f>
        <v>0</v>
      </c>
      <c r="CR34" s="1150"/>
      <c r="CS34" s="1116" t="b">
        <f>IF(CR84=29,30)</f>
        <v>0</v>
      </c>
    </row>
    <row r="35" spans="5:97" ht="26.25" hidden="1" customHeight="1" thickBot="1" x14ac:dyDescent="0.45">
      <c r="E35" s="490"/>
      <c r="F35" s="490"/>
      <c r="G35" s="490"/>
      <c r="H35" s="465"/>
      <c r="I35" s="465"/>
      <c r="J35" s="465"/>
      <c r="K35" s="465"/>
      <c r="L35" s="465"/>
      <c r="M35" s="465"/>
      <c r="N35" s="465"/>
      <c r="O35" s="465"/>
      <c r="P35" s="465"/>
      <c r="Q35" s="465"/>
      <c r="R35" s="465"/>
      <c r="S35" s="465"/>
      <c r="T35" s="465"/>
      <c r="U35" s="465"/>
      <c r="V35" s="465"/>
      <c r="W35" s="465"/>
      <c r="X35" s="465"/>
      <c r="Y35" s="465"/>
      <c r="Z35" s="465"/>
      <c r="AA35" s="465"/>
      <c r="AB35" s="465"/>
      <c r="AC35" s="465"/>
      <c r="AD35" s="465"/>
      <c r="AE35" s="465"/>
      <c r="AF35" s="465"/>
      <c r="AG35" s="465"/>
      <c r="AH35" s="465"/>
      <c r="AI35" s="465"/>
      <c r="AJ35" s="465"/>
      <c r="AK35" s="465"/>
      <c r="AL35" s="465"/>
      <c r="AM35" s="465"/>
      <c r="AN35" s="465"/>
      <c r="AO35" s="465"/>
      <c r="AP35" s="465"/>
      <c r="AQ35" s="465"/>
      <c r="AR35" s="465"/>
      <c r="AS35" s="465"/>
      <c r="AT35" s="465"/>
      <c r="AU35" s="465"/>
      <c r="AV35" s="465"/>
      <c r="AW35" s="465"/>
      <c r="AX35" s="465"/>
      <c r="AY35" s="465"/>
      <c r="AZ35" s="465"/>
      <c r="BA35" s="465"/>
      <c r="BB35" s="473"/>
      <c r="BF35" s="489"/>
      <c r="BG35" s="489"/>
      <c r="BH35" s="489"/>
      <c r="BI35" s="489"/>
      <c r="BJ35" s="489"/>
      <c r="BK35" s="489"/>
      <c r="BL35" s="489"/>
      <c r="BM35" s="489"/>
      <c r="BN35" s="489"/>
      <c r="BO35" s="1892" t="s">
        <v>91</v>
      </c>
      <c r="BP35" s="1093"/>
      <c r="BQ35" s="1093"/>
      <c r="BR35" s="1093"/>
      <c r="BS35" s="1093"/>
      <c r="BT35" s="1093"/>
      <c r="BU35" s="1093"/>
      <c r="BV35" s="1093"/>
      <c r="BW35" s="1093"/>
      <c r="BX35" s="1093"/>
      <c r="BY35" s="1093"/>
      <c r="BZ35" s="1093"/>
      <c r="CA35" s="1093"/>
      <c r="CB35" s="1093"/>
      <c r="CC35" s="1093"/>
      <c r="CD35" s="1093"/>
      <c r="CE35" s="1093"/>
      <c r="CF35" s="1093"/>
      <c r="CG35" s="1093"/>
      <c r="CH35" s="1093"/>
      <c r="CI35" s="1093"/>
      <c r="CJ35" s="1093"/>
      <c r="CK35" s="1093"/>
      <c r="CL35" s="1093"/>
      <c r="CM35" s="1093"/>
      <c r="CN35" s="1093"/>
      <c r="CO35" s="1101" t="b">
        <f>IF(CQ84=28,26)</f>
        <v>0</v>
      </c>
      <c r="CP35" s="1150"/>
      <c r="CQ35" s="1150"/>
      <c r="CR35" s="1150"/>
      <c r="CS35" s="1116" t="b">
        <f>IF(CQ84=28,30)</f>
        <v>0</v>
      </c>
    </row>
    <row r="36" spans="5:97" ht="26.25" hidden="1" customHeight="1" thickBot="1" x14ac:dyDescent="0.45">
      <c r="E36" s="490"/>
      <c r="F36" s="490"/>
      <c r="G36" s="490"/>
      <c r="H36" s="465"/>
      <c r="I36" s="465"/>
      <c r="J36" s="465"/>
      <c r="K36" s="465"/>
      <c r="L36" s="465"/>
      <c r="M36" s="465"/>
      <c r="N36" s="465"/>
      <c r="O36" s="465"/>
      <c r="P36" s="465"/>
      <c r="Q36" s="465"/>
      <c r="R36" s="465"/>
      <c r="S36" s="465"/>
      <c r="T36" s="465"/>
      <c r="U36" s="465"/>
      <c r="V36" s="465"/>
      <c r="W36" s="465"/>
      <c r="X36" s="465"/>
      <c r="Y36" s="465"/>
      <c r="Z36" s="465"/>
      <c r="AA36" s="465"/>
      <c r="AB36" s="465"/>
      <c r="AC36" s="465"/>
      <c r="AD36" s="465"/>
      <c r="AE36" s="465"/>
      <c r="AF36" s="465"/>
      <c r="AG36" s="465"/>
      <c r="AH36" s="465"/>
      <c r="AI36" s="465"/>
      <c r="AJ36" s="465"/>
      <c r="AK36" s="465"/>
      <c r="AL36" s="465"/>
      <c r="AM36" s="465"/>
      <c r="AN36" s="465"/>
      <c r="AO36" s="465"/>
      <c r="AP36" s="465"/>
      <c r="AQ36" s="465"/>
      <c r="AR36" s="465"/>
      <c r="AS36" s="465"/>
      <c r="AT36" s="465"/>
      <c r="AU36" s="465"/>
      <c r="AV36" s="465"/>
      <c r="AW36" s="465"/>
      <c r="AX36" s="465"/>
      <c r="AY36" s="465"/>
      <c r="AZ36" s="465"/>
      <c r="BA36" s="465"/>
      <c r="BB36" s="473"/>
      <c r="BF36" s="489"/>
      <c r="BG36" s="489"/>
      <c r="BH36" s="489"/>
      <c r="BI36" s="489"/>
      <c r="BJ36" s="489"/>
      <c r="BK36" s="489"/>
      <c r="BL36" s="489"/>
      <c r="BM36" s="489"/>
      <c r="BN36" s="489"/>
      <c r="BO36" s="1892" t="s">
        <v>90</v>
      </c>
      <c r="BP36" s="1093"/>
      <c r="BQ36" s="1093"/>
      <c r="BR36" s="1093"/>
      <c r="BS36" s="1093"/>
      <c r="BT36" s="1093"/>
      <c r="BU36" s="1093"/>
      <c r="BV36" s="1093"/>
      <c r="BW36" s="1093"/>
      <c r="BX36" s="1093"/>
      <c r="BY36" s="1093"/>
      <c r="BZ36" s="1093"/>
      <c r="CA36" s="1093"/>
      <c r="CB36" s="1093"/>
      <c r="CC36" s="1093"/>
      <c r="CD36" s="1093"/>
      <c r="CE36" s="1093"/>
      <c r="CF36" s="1093"/>
      <c r="CG36" s="1093"/>
      <c r="CH36" s="1093"/>
      <c r="CI36" s="1093"/>
      <c r="CJ36" s="1093"/>
      <c r="CK36" s="1093"/>
      <c r="CL36" s="1093"/>
      <c r="CM36" s="1101" t="b">
        <f>IF(CP84=27,24)</f>
        <v>0</v>
      </c>
      <c r="CN36" s="1150"/>
      <c r="CO36" s="1150"/>
      <c r="CP36" s="1150"/>
      <c r="CQ36" s="1150"/>
      <c r="CR36" s="1150"/>
      <c r="CS36" s="1116" t="b">
        <f>IF(CP84=27,30)</f>
        <v>0</v>
      </c>
    </row>
    <row r="37" spans="5:97" ht="26.25" hidden="1" customHeight="1" thickBot="1" x14ac:dyDescent="0.45">
      <c r="E37" s="490"/>
      <c r="F37" s="490"/>
      <c r="G37" s="490"/>
      <c r="H37" s="465"/>
      <c r="I37" s="465"/>
      <c r="J37" s="465"/>
      <c r="K37" s="465"/>
      <c r="L37" s="465"/>
      <c r="M37" s="465"/>
      <c r="N37" s="465"/>
      <c r="O37" s="465"/>
      <c r="P37" s="465"/>
      <c r="Q37" s="465"/>
      <c r="R37" s="465"/>
      <c r="S37" s="465"/>
      <c r="T37" s="465"/>
      <c r="U37" s="465"/>
      <c r="V37" s="465"/>
      <c r="W37" s="465"/>
      <c r="X37" s="465"/>
      <c r="Y37" s="465"/>
      <c r="Z37" s="465"/>
      <c r="AA37" s="465"/>
      <c r="AB37" s="465"/>
      <c r="AC37" s="465"/>
      <c r="AD37" s="465"/>
      <c r="AE37" s="465"/>
      <c r="AF37" s="465"/>
      <c r="AG37" s="465"/>
      <c r="AH37" s="465"/>
      <c r="AI37" s="465"/>
      <c r="AJ37" s="465"/>
      <c r="AK37" s="465"/>
      <c r="AL37" s="465"/>
      <c r="AM37" s="465"/>
      <c r="AN37" s="465"/>
      <c r="AO37" s="465"/>
      <c r="AP37" s="465"/>
      <c r="AQ37" s="465"/>
      <c r="AR37" s="465"/>
      <c r="AS37" s="465"/>
      <c r="AT37" s="465"/>
      <c r="AU37" s="465"/>
      <c r="AV37" s="465"/>
      <c r="AW37" s="465"/>
      <c r="AX37" s="465"/>
      <c r="AY37" s="465"/>
      <c r="AZ37" s="465"/>
      <c r="BA37" s="465"/>
      <c r="BB37" s="473"/>
      <c r="BF37" s="489"/>
      <c r="BG37" s="489"/>
      <c r="BH37" s="489"/>
      <c r="BI37" s="489"/>
      <c r="BJ37" s="489"/>
      <c r="BK37" s="489"/>
      <c r="BL37" s="489"/>
      <c r="BM37" s="489"/>
      <c r="BN37" s="489"/>
      <c r="BO37" s="1892" t="s">
        <v>89</v>
      </c>
      <c r="BP37" s="1093"/>
      <c r="BQ37" s="1093"/>
      <c r="BR37" s="1093"/>
      <c r="BS37" s="1093"/>
      <c r="BT37" s="1093"/>
      <c r="BU37" s="1093"/>
      <c r="BV37" s="1093"/>
      <c r="BW37" s="1093"/>
      <c r="BX37" s="1093"/>
      <c r="BY37" s="1093"/>
      <c r="BZ37" s="1093"/>
      <c r="CA37" s="1093"/>
      <c r="CB37" s="1093"/>
      <c r="CC37" s="1093"/>
      <c r="CD37" s="1093"/>
      <c r="CE37" s="1093"/>
      <c r="CF37" s="1093"/>
      <c r="CG37" s="1093"/>
      <c r="CH37" s="1093"/>
      <c r="CI37" s="1093"/>
      <c r="CJ37" s="1093"/>
      <c r="CK37" s="1101" t="b">
        <f>IF(CO84=26,22)</f>
        <v>0</v>
      </c>
      <c r="CL37" s="1150"/>
      <c r="CM37" s="1150"/>
      <c r="CN37" s="1150"/>
      <c r="CO37" s="1150"/>
      <c r="CP37" s="1150"/>
      <c r="CQ37" s="1150"/>
      <c r="CR37" s="1150"/>
      <c r="CS37" s="1116" t="b">
        <f>IF(CO84=26,30)</f>
        <v>0</v>
      </c>
    </row>
    <row r="38" spans="5:97" ht="26.25" hidden="1" customHeight="1" thickBot="1" x14ac:dyDescent="0.45">
      <c r="E38" s="490"/>
      <c r="F38" s="490"/>
      <c r="G38" s="490"/>
      <c r="H38" s="465"/>
      <c r="I38" s="465"/>
      <c r="J38" s="465"/>
      <c r="K38" s="465"/>
      <c r="L38" s="465"/>
      <c r="M38" s="465"/>
      <c r="N38" s="465"/>
      <c r="O38" s="465"/>
      <c r="P38" s="465"/>
      <c r="Q38" s="465"/>
      <c r="R38" s="465"/>
      <c r="S38" s="465"/>
      <c r="T38" s="465"/>
      <c r="U38" s="465"/>
      <c r="V38" s="465"/>
      <c r="W38" s="465"/>
      <c r="X38" s="465"/>
      <c r="Y38" s="465"/>
      <c r="Z38" s="465"/>
      <c r="AA38" s="465"/>
      <c r="AB38" s="465"/>
      <c r="AC38" s="465"/>
      <c r="AD38" s="465"/>
      <c r="AE38" s="465"/>
      <c r="AF38" s="465"/>
      <c r="AG38" s="465"/>
      <c r="AH38" s="465"/>
      <c r="AI38" s="465"/>
      <c r="AJ38" s="465"/>
      <c r="AK38" s="465"/>
      <c r="AL38" s="465"/>
      <c r="AM38" s="465"/>
      <c r="AN38" s="465"/>
      <c r="AO38" s="465"/>
      <c r="AP38" s="465"/>
      <c r="AQ38" s="465"/>
      <c r="AR38" s="465"/>
      <c r="AS38" s="465"/>
      <c r="AT38" s="465"/>
      <c r="AU38" s="465"/>
      <c r="AV38" s="465"/>
      <c r="AW38" s="465"/>
      <c r="AX38" s="465"/>
      <c r="AY38" s="465"/>
      <c r="AZ38" s="465"/>
      <c r="BA38" s="465"/>
      <c r="BB38" s="473"/>
      <c r="BF38" s="489"/>
      <c r="BG38" s="489"/>
      <c r="BH38" s="489"/>
      <c r="BI38" s="489"/>
      <c r="BJ38" s="489"/>
      <c r="BK38" s="489"/>
      <c r="BL38" s="489"/>
      <c r="BM38" s="489"/>
      <c r="BN38" s="489"/>
      <c r="BO38" s="1892" t="s">
        <v>88</v>
      </c>
      <c r="BP38" s="1093"/>
      <c r="BQ38" s="1093"/>
      <c r="BR38" s="1093"/>
      <c r="BS38" s="1093"/>
      <c r="BT38" s="1093"/>
      <c r="BU38" s="1093"/>
      <c r="BV38" s="1093"/>
      <c r="BW38" s="1093"/>
      <c r="BX38" s="1093"/>
      <c r="BY38" s="1093"/>
      <c r="BZ38" s="1093"/>
      <c r="CA38" s="1093"/>
      <c r="CB38" s="1093"/>
      <c r="CC38" s="1093"/>
      <c r="CD38" s="1093"/>
      <c r="CE38" s="1093"/>
      <c r="CF38" s="1093"/>
      <c r="CG38" s="1093"/>
      <c r="CH38" s="1093"/>
      <c r="CI38" s="1101" t="b">
        <f>IF(CN84=25,20)</f>
        <v>0</v>
      </c>
      <c r="CJ38" s="1150"/>
      <c r="CK38" s="1150"/>
      <c r="CL38" s="1150"/>
      <c r="CM38" s="1150"/>
      <c r="CN38" s="1150"/>
      <c r="CO38" s="1150"/>
      <c r="CP38" s="1150"/>
      <c r="CQ38" s="1150"/>
      <c r="CR38" s="1150"/>
      <c r="CS38" s="1116" t="b">
        <f>IF(CN84=25,30)</f>
        <v>0</v>
      </c>
    </row>
    <row r="39" spans="5:97" ht="26.25" hidden="1" customHeight="1" thickBot="1" x14ac:dyDescent="0.45">
      <c r="E39" s="490"/>
      <c r="F39" s="490"/>
      <c r="G39" s="490"/>
      <c r="H39" s="465"/>
      <c r="I39" s="465"/>
      <c r="J39" s="465"/>
      <c r="K39" s="465"/>
      <c r="L39" s="465"/>
      <c r="M39" s="465"/>
      <c r="N39" s="465"/>
      <c r="O39" s="465"/>
      <c r="P39" s="465"/>
      <c r="Q39" s="465"/>
      <c r="R39" s="465"/>
      <c r="S39" s="465"/>
      <c r="T39" s="465"/>
      <c r="U39" s="465"/>
      <c r="V39" s="465"/>
      <c r="W39" s="465"/>
      <c r="X39" s="465"/>
      <c r="Y39" s="465"/>
      <c r="Z39" s="465"/>
      <c r="AA39" s="465"/>
      <c r="AB39" s="465"/>
      <c r="AC39" s="465"/>
      <c r="AD39" s="465"/>
      <c r="AE39" s="465"/>
      <c r="AF39" s="465"/>
      <c r="AG39" s="465"/>
      <c r="AH39" s="465"/>
      <c r="AI39" s="465"/>
      <c r="AJ39" s="465"/>
      <c r="AK39" s="465"/>
      <c r="AL39" s="465"/>
      <c r="AM39" s="465"/>
      <c r="AN39" s="465"/>
      <c r="AO39" s="465"/>
      <c r="AP39" s="465"/>
      <c r="AQ39" s="465"/>
      <c r="AR39" s="465"/>
      <c r="AS39" s="465"/>
      <c r="AT39" s="465"/>
      <c r="AU39" s="465"/>
      <c r="AV39" s="465"/>
      <c r="AW39" s="465"/>
      <c r="AX39" s="465"/>
      <c r="AY39" s="465"/>
      <c r="AZ39" s="465"/>
      <c r="BA39" s="465"/>
      <c r="BB39" s="473"/>
      <c r="BF39" s="489"/>
      <c r="BG39" s="489"/>
      <c r="BH39" s="489"/>
      <c r="BI39" s="489"/>
      <c r="BJ39" s="489"/>
      <c r="BK39" s="489"/>
      <c r="BL39" s="489"/>
      <c r="BM39" s="489"/>
      <c r="BN39" s="489"/>
      <c r="BO39" s="1169" t="s">
        <v>15</v>
      </c>
      <c r="BP39" s="1093"/>
      <c r="BQ39" s="1093"/>
      <c r="BR39" s="1093"/>
      <c r="BS39" s="1093"/>
      <c r="BT39" s="1093"/>
      <c r="BU39" s="1093"/>
      <c r="BV39" s="1093"/>
      <c r="BW39" s="1093"/>
      <c r="BX39" s="1093"/>
      <c r="BY39" s="1093"/>
      <c r="BZ39" s="1093"/>
      <c r="CA39" s="1093"/>
      <c r="CB39" s="1093"/>
      <c r="CC39" s="1093"/>
      <c r="CD39" s="1093"/>
      <c r="CE39" s="1093"/>
      <c r="CF39" s="1093"/>
      <c r="CG39" s="1101" t="b">
        <f>IF(CM84=24,18)</f>
        <v>0</v>
      </c>
      <c r="CH39" s="1150"/>
      <c r="CI39" s="1150"/>
      <c r="CJ39" s="1150"/>
      <c r="CK39" s="1150"/>
      <c r="CL39" s="1150"/>
      <c r="CM39" s="1150"/>
      <c r="CN39" s="1150"/>
      <c r="CO39" s="1150"/>
      <c r="CP39" s="1150"/>
      <c r="CQ39" s="1150"/>
      <c r="CR39" s="1150"/>
      <c r="CS39" s="1116" t="b">
        <f>IF(CM84=24,30)</f>
        <v>0</v>
      </c>
    </row>
    <row r="40" spans="5:97" ht="26.25" hidden="1" customHeight="1" thickBot="1" x14ac:dyDescent="0.45">
      <c r="E40" s="490"/>
      <c r="F40" s="490"/>
      <c r="G40" s="490"/>
      <c r="H40" s="465"/>
      <c r="I40" s="465"/>
      <c r="J40" s="465"/>
      <c r="K40" s="465"/>
      <c r="L40" s="465"/>
      <c r="M40" s="465"/>
      <c r="N40" s="465"/>
      <c r="O40" s="465"/>
      <c r="P40" s="465"/>
      <c r="Q40" s="465"/>
      <c r="R40" s="465"/>
      <c r="S40" s="465"/>
      <c r="T40" s="465"/>
      <c r="U40" s="465"/>
      <c r="V40" s="465"/>
      <c r="W40" s="465"/>
      <c r="X40" s="465"/>
      <c r="Y40" s="465"/>
      <c r="Z40" s="465"/>
      <c r="AA40" s="465"/>
      <c r="AB40" s="465"/>
      <c r="AC40" s="465"/>
      <c r="AD40" s="465"/>
      <c r="AE40" s="465"/>
      <c r="AF40" s="465"/>
      <c r="AG40" s="465"/>
      <c r="AH40" s="465"/>
      <c r="AI40" s="465"/>
      <c r="AJ40" s="465"/>
      <c r="AK40" s="465"/>
      <c r="AL40" s="465"/>
      <c r="AM40" s="465"/>
      <c r="AN40" s="465"/>
      <c r="AO40" s="465"/>
      <c r="AP40" s="465"/>
      <c r="AQ40" s="465"/>
      <c r="AR40" s="465"/>
      <c r="AS40" s="465"/>
      <c r="AT40" s="465"/>
      <c r="AU40" s="465"/>
      <c r="AV40" s="465"/>
      <c r="AW40" s="465"/>
      <c r="AX40" s="465"/>
      <c r="AY40" s="465"/>
      <c r="AZ40" s="465"/>
      <c r="BA40" s="465"/>
      <c r="BB40" s="473"/>
      <c r="BF40" s="489"/>
      <c r="BG40" s="489"/>
      <c r="BH40" s="489"/>
      <c r="BI40" s="489"/>
      <c r="BJ40" s="489"/>
      <c r="BK40" s="489"/>
      <c r="BL40" s="489"/>
      <c r="BM40" s="489"/>
      <c r="BN40" s="489"/>
      <c r="BO40" s="1169" t="s">
        <v>87</v>
      </c>
      <c r="BP40" s="1093"/>
      <c r="BQ40" s="1093"/>
      <c r="BR40" s="1093"/>
      <c r="BS40" s="1093"/>
      <c r="BT40" s="1093"/>
      <c r="BU40" s="1093"/>
      <c r="BV40" s="1093"/>
      <c r="BW40" s="1093"/>
      <c r="BX40" s="1093"/>
      <c r="BY40" s="1093"/>
      <c r="BZ40" s="1093"/>
      <c r="CA40" s="1093"/>
      <c r="CB40" s="1093"/>
      <c r="CC40" s="1093"/>
      <c r="CD40" s="1093"/>
      <c r="CE40" s="1101" t="b">
        <f>IF(CL84=23,16)</f>
        <v>0</v>
      </c>
      <c r="CF40" s="1150"/>
      <c r="CG40" s="1150"/>
      <c r="CH40" s="1150"/>
      <c r="CI40" s="1150"/>
      <c r="CJ40" s="1150"/>
      <c r="CK40" s="1150"/>
      <c r="CL40" s="1150"/>
      <c r="CM40" s="1150"/>
      <c r="CN40" s="1150"/>
      <c r="CO40" s="1150"/>
      <c r="CP40" s="1150"/>
      <c r="CQ40" s="1150"/>
      <c r="CR40" s="1150"/>
      <c r="CS40" s="1116" t="b">
        <f>IF(CL84=23,30)</f>
        <v>0</v>
      </c>
    </row>
    <row r="41" spans="5:97" ht="26.25" hidden="1" customHeight="1" thickBot="1" x14ac:dyDescent="0.45">
      <c r="E41" s="490"/>
      <c r="F41" s="490"/>
      <c r="G41" s="490"/>
      <c r="H41" s="465"/>
      <c r="I41" s="465"/>
      <c r="J41" s="465"/>
      <c r="K41" s="465"/>
      <c r="L41" s="465"/>
      <c r="M41" s="465"/>
      <c r="N41" s="465"/>
      <c r="O41" s="465"/>
      <c r="P41" s="465"/>
      <c r="Q41" s="465"/>
      <c r="R41" s="465"/>
      <c r="S41" s="465"/>
      <c r="T41" s="465"/>
      <c r="U41" s="465"/>
      <c r="V41" s="465"/>
      <c r="W41" s="465"/>
      <c r="X41" s="465"/>
      <c r="Y41" s="465"/>
      <c r="Z41" s="465"/>
      <c r="AA41" s="465"/>
      <c r="AB41" s="465"/>
      <c r="AC41" s="465"/>
      <c r="AD41" s="465"/>
      <c r="AE41" s="465"/>
      <c r="AF41" s="465"/>
      <c r="AG41" s="465"/>
      <c r="AH41" s="465"/>
      <c r="AI41" s="465"/>
      <c r="AJ41" s="465"/>
      <c r="AK41" s="465"/>
      <c r="AL41" s="465"/>
      <c r="AM41" s="465"/>
      <c r="AN41" s="465"/>
      <c r="AO41" s="465"/>
      <c r="AP41" s="465"/>
      <c r="AQ41" s="465"/>
      <c r="AR41" s="465"/>
      <c r="AS41" s="465"/>
      <c r="AT41" s="465"/>
      <c r="AU41" s="465"/>
      <c r="AV41" s="465"/>
      <c r="AW41" s="465"/>
      <c r="AX41" s="465"/>
      <c r="AY41" s="465"/>
      <c r="AZ41" s="465"/>
      <c r="BA41" s="465"/>
      <c r="BB41" s="473"/>
      <c r="BF41" s="489"/>
      <c r="BG41" s="489"/>
      <c r="BH41" s="489"/>
      <c r="BI41" s="489"/>
      <c r="BJ41" s="489"/>
      <c r="BK41" s="489"/>
      <c r="BL41" s="489"/>
      <c r="BM41" s="489"/>
      <c r="BN41" s="489"/>
      <c r="BO41" s="1169">
        <v>12</v>
      </c>
      <c r="BP41" s="1096"/>
      <c r="BQ41" s="1096"/>
      <c r="BR41" s="1096"/>
      <c r="BS41" s="1096"/>
      <c r="BT41" s="1096"/>
      <c r="BU41" s="1096"/>
      <c r="BV41" s="1096"/>
      <c r="BW41" s="1096"/>
      <c r="BX41" s="1096"/>
      <c r="BY41" s="1096"/>
      <c r="BZ41" s="1096"/>
      <c r="CA41" s="1096"/>
      <c r="CB41" s="1096"/>
      <c r="CC41" s="1096"/>
      <c r="CD41" s="1096"/>
      <c r="CE41" s="1115" t="b">
        <f>IF(CK84=22,16)</f>
        <v>0</v>
      </c>
      <c r="CF41" s="1139"/>
      <c r="CG41" s="1139"/>
      <c r="CH41" s="1139"/>
      <c r="CI41" s="1139"/>
      <c r="CJ41" s="1139"/>
      <c r="CK41" s="1139"/>
      <c r="CL41" s="1139"/>
      <c r="CM41" s="1139"/>
      <c r="CN41" s="1126"/>
      <c r="CO41" s="1126"/>
      <c r="CP41" s="1113" t="b">
        <f>IF(CK84=22,27)</f>
        <v>0</v>
      </c>
      <c r="CQ41" s="1093"/>
      <c r="CR41" s="1093"/>
      <c r="CS41" s="1093"/>
    </row>
    <row r="42" spans="5:97" ht="26.25" hidden="1" customHeight="1" thickBot="1" x14ac:dyDescent="0.45">
      <c r="E42" s="490"/>
      <c r="F42" s="490"/>
      <c r="G42" s="490"/>
      <c r="H42" s="465"/>
      <c r="I42" s="465"/>
      <c r="J42" s="465"/>
      <c r="K42" s="465"/>
      <c r="L42" s="465"/>
      <c r="M42" s="465"/>
      <c r="N42" s="465"/>
      <c r="O42" s="465"/>
      <c r="P42" s="465"/>
      <c r="Q42" s="465"/>
      <c r="R42" s="465"/>
      <c r="S42" s="465"/>
      <c r="T42" s="465"/>
      <c r="U42" s="465"/>
      <c r="V42" s="465"/>
      <c r="W42" s="465"/>
      <c r="X42" s="465"/>
      <c r="Y42" s="465"/>
      <c r="Z42" s="465"/>
      <c r="AA42" s="465"/>
      <c r="AB42" s="465"/>
      <c r="AC42" s="465"/>
      <c r="AD42" s="465"/>
      <c r="AE42" s="465"/>
      <c r="AF42" s="465"/>
      <c r="AG42" s="465"/>
      <c r="AH42" s="465"/>
      <c r="AI42" s="465"/>
      <c r="AJ42" s="465"/>
      <c r="AK42" s="465"/>
      <c r="AL42" s="465"/>
      <c r="AM42" s="465"/>
      <c r="AN42" s="465"/>
      <c r="AO42" s="465"/>
      <c r="AP42" s="465"/>
      <c r="AQ42" s="465"/>
      <c r="AR42" s="465"/>
      <c r="AS42" s="465"/>
      <c r="AT42" s="465"/>
      <c r="AU42" s="465"/>
      <c r="AV42" s="465"/>
      <c r="AW42" s="465"/>
      <c r="AX42" s="465"/>
      <c r="AY42" s="465"/>
      <c r="AZ42" s="465"/>
      <c r="BA42" s="465"/>
      <c r="BB42" s="473"/>
      <c r="BF42" s="489"/>
      <c r="BG42" s="489"/>
      <c r="BH42" s="489"/>
      <c r="BI42" s="489"/>
      <c r="BJ42" s="489"/>
      <c r="BK42" s="489"/>
      <c r="BL42" s="489"/>
      <c r="BM42" s="489"/>
      <c r="BN42" s="489"/>
      <c r="BO42" s="1169">
        <v>11</v>
      </c>
      <c r="BP42" s="1093"/>
      <c r="BQ42" s="1093"/>
      <c r="BR42" s="1093"/>
      <c r="BS42" s="1093"/>
      <c r="BT42" s="1093"/>
      <c r="BU42" s="1093"/>
      <c r="BV42" s="1093"/>
      <c r="BW42" s="1093"/>
      <c r="BX42" s="1093"/>
      <c r="BY42" s="1093"/>
      <c r="BZ42" s="1093"/>
      <c r="CA42" s="1101" t="b">
        <f>IF(CJ84=21,12)</f>
        <v>0</v>
      </c>
      <c r="CB42" s="1150"/>
      <c r="CC42" s="1150"/>
      <c r="CD42" s="1150"/>
      <c r="CE42" s="1150"/>
      <c r="CF42" s="1150"/>
      <c r="CG42" s="1150"/>
      <c r="CH42" s="1150"/>
      <c r="CI42" s="1150"/>
      <c r="CJ42" s="1150"/>
      <c r="CK42" s="1150"/>
      <c r="CL42" s="1150"/>
      <c r="CM42" s="1150"/>
      <c r="CN42" s="1150"/>
      <c r="CO42" s="1150"/>
      <c r="CP42" s="1150"/>
      <c r="CQ42" s="1150"/>
      <c r="CR42" s="1150"/>
      <c r="CS42" s="1116" t="b">
        <f>IF(CJ84=21,30)</f>
        <v>0</v>
      </c>
    </row>
    <row r="43" spans="5:97" ht="26.25" hidden="1" customHeight="1" thickBot="1" x14ac:dyDescent="0.45">
      <c r="E43" s="490"/>
      <c r="F43" s="490"/>
      <c r="G43" s="490"/>
      <c r="H43" s="465"/>
      <c r="I43" s="465"/>
      <c r="J43" s="465"/>
      <c r="K43" s="465"/>
      <c r="L43" s="465"/>
      <c r="M43" s="465"/>
      <c r="N43" s="465"/>
      <c r="O43" s="465"/>
      <c r="P43" s="465"/>
      <c r="Q43" s="465"/>
      <c r="R43" s="465"/>
      <c r="S43" s="465"/>
      <c r="T43" s="465"/>
      <c r="U43" s="465"/>
      <c r="V43" s="465"/>
      <c r="W43" s="465"/>
      <c r="X43" s="465"/>
      <c r="Y43" s="465"/>
      <c r="Z43" s="465"/>
      <c r="AA43" s="465"/>
      <c r="AB43" s="465"/>
      <c r="AC43" s="465"/>
      <c r="AD43" s="465"/>
      <c r="AE43" s="465"/>
      <c r="AF43" s="465"/>
      <c r="AG43" s="465"/>
      <c r="AH43" s="465"/>
      <c r="AI43" s="465"/>
      <c r="AJ43" s="465"/>
      <c r="AK43" s="465"/>
      <c r="AL43" s="465"/>
      <c r="AM43" s="465"/>
      <c r="AN43" s="465"/>
      <c r="AO43" s="465"/>
      <c r="AP43" s="465"/>
      <c r="AQ43" s="465"/>
      <c r="AR43" s="465"/>
      <c r="AS43" s="465"/>
      <c r="AT43" s="465"/>
      <c r="AU43" s="465"/>
      <c r="AV43" s="465"/>
      <c r="AW43" s="465"/>
      <c r="AX43" s="465"/>
      <c r="AY43" s="465"/>
      <c r="AZ43" s="465"/>
      <c r="BA43" s="465"/>
      <c r="BB43" s="473"/>
      <c r="BF43" s="489"/>
      <c r="BG43" s="489"/>
      <c r="BH43" s="489"/>
      <c r="BI43" s="489"/>
      <c r="BJ43" s="489"/>
      <c r="BK43" s="489"/>
      <c r="BL43" s="489"/>
      <c r="BM43" s="489"/>
      <c r="BN43" s="489"/>
      <c r="BO43" s="1169">
        <v>10</v>
      </c>
      <c r="BP43" s="1093"/>
      <c r="BQ43" s="1093"/>
      <c r="BR43" s="1093"/>
      <c r="BS43" s="1093"/>
      <c r="BT43" s="1093"/>
      <c r="BU43" s="1093"/>
      <c r="BV43" s="1093"/>
      <c r="BW43" s="1093"/>
      <c r="BY43" s="1101" t="b">
        <f>IF(CI84=20,10)</f>
        <v>0</v>
      </c>
      <c r="BZ43" s="1150"/>
      <c r="CA43" s="1150"/>
      <c r="CB43" s="1150"/>
      <c r="CC43" s="1150"/>
      <c r="CD43" s="1150"/>
      <c r="CE43" s="1150"/>
      <c r="CF43" s="1150"/>
      <c r="CG43" s="1150"/>
      <c r="CH43" s="1150"/>
      <c r="CI43" s="1150"/>
      <c r="CJ43" s="1150"/>
      <c r="CK43" s="1150"/>
      <c r="CL43" s="1150"/>
      <c r="CM43" s="1150"/>
      <c r="CN43" s="1150"/>
      <c r="CO43" s="1150"/>
      <c r="CP43" s="1150"/>
      <c r="CQ43" s="1150"/>
      <c r="CR43" s="1150"/>
      <c r="CS43" s="1116" t="b">
        <f>IF(CI84=20,30)</f>
        <v>0</v>
      </c>
    </row>
    <row r="44" spans="5:97" ht="26.25" hidden="1" customHeight="1" thickBot="1" x14ac:dyDescent="0.45">
      <c r="E44" s="490"/>
      <c r="F44" s="490"/>
      <c r="G44" s="490"/>
      <c r="H44" s="465"/>
      <c r="I44" s="465"/>
      <c r="J44" s="465"/>
      <c r="K44" s="465"/>
      <c r="L44" s="465"/>
      <c r="M44" s="465"/>
      <c r="N44" s="465"/>
      <c r="O44" s="465"/>
      <c r="P44" s="465"/>
      <c r="Q44" s="465"/>
      <c r="R44" s="465"/>
      <c r="S44" s="465"/>
      <c r="T44" s="465"/>
      <c r="U44" s="465"/>
      <c r="V44" s="465"/>
      <c r="W44" s="465"/>
      <c r="X44" s="465"/>
      <c r="Y44" s="465"/>
      <c r="Z44" s="465"/>
      <c r="AA44" s="465"/>
      <c r="AB44" s="465"/>
      <c r="AC44" s="465"/>
      <c r="AD44" s="465"/>
      <c r="AE44" s="465"/>
      <c r="AF44" s="465"/>
      <c r="AG44" s="465"/>
      <c r="AH44" s="465"/>
      <c r="AI44" s="465"/>
      <c r="AJ44" s="465"/>
      <c r="AK44" s="465"/>
      <c r="AL44" s="465"/>
      <c r="AM44" s="465"/>
      <c r="AN44" s="465"/>
      <c r="AO44" s="465"/>
      <c r="AP44" s="465"/>
      <c r="AQ44" s="465"/>
      <c r="AR44" s="465"/>
      <c r="AS44" s="465"/>
      <c r="AT44" s="465"/>
      <c r="AU44" s="465"/>
      <c r="AV44" s="465"/>
      <c r="AW44" s="465"/>
      <c r="AX44" s="465"/>
      <c r="AY44" s="465"/>
      <c r="AZ44" s="465"/>
      <c r="BA44" s="465"/>
      <c r="BB44" s="473"/>
      <c r="BF44" s="489"/>
      <c r="BG44" s="489"/>
      <c r="BH44" s="489"/>
      <c r="BI44" s="489"/>
      <c r="BJ44" s="489"/>
      <c r="BK44" s="489"/>
      <c r="BL44" s="489"/>
      <c r="BM44" s="489"/>
      <c r="BN44" s="489"/>
      <c r="BO44" s="1169">
        <v>9</v>
      </c>
      <c r="BP44" s="1093"/>
      <c r="BQ44" s="1093"/>
      <c r="BR44" s="1093"/>
      <c r="BS44" s="1093"/>
      <c r="BT44" s="1093"/>
      <c r="BU44" s="1093"/>
      <c r="BV44" s="1093"/>
      <c r="BW44" s="1093"/>
      <c r="BX44" s="1101" t="b">
        <f>IF(CH84=19,9)</f>
        <v>0</v>
      </c>
      <c r="BY44" s="1142"/>
      <c r="BZ44" s="1142"/>
      <c r="CA44" s="1142"/>
      <c r="CB44" s="1142"/>
      <c r="CC44" s="1142"/>
      <c r="CD44" s="1118"/>
      <c r="CE44" s="1142"/>
      <c r="CF44" s="1142"/>
      <c r="CG44" s="1142"/>
      <c r="CH44" s="1142"/>
      <c r="CI44" s="1142"/>
      <c r="CJ44" s="1118"/>
      <c r="CK44" s="1142"/>
      <c r="CL44" s="1142"/>
      <c r="CM44" s="1142"/>
      <c r="CN44" s="1150"/>
      <c r="CO44" s="1150"/>
      <c r="CP44" s="1118"/>
      <c r="CQ44" s="1150"/>
      <c r="CR44" s="1116" t="b">
        <f>IF(CH84=19,29)</f>
        <v>0</v>
      </c>
      <c r="CS44" s="1093"/>
    </row>
    <row r="45" spans="5:97" ht="26.25" hidden="1" customHeight="1" thickBot="1" x14ac:dyDescent="0.45">
      <c r="E45" s="490"/>
      <c r="F45" s="490"/>
      <c r="G45" s="490"/>
      <c r="H45" s="465"/>
      <c r="I45" s="465"/>
      <c r="J45" s="465"/>
      <c r="K45" s="465"/>
      <c r="L45" s="465"/>
      <c r="M45" s="465"/>
      <c r="N45" s="465"/>
      <c r="O45" s="465"/>
      <c r="P45" s="465"/>
      <c r="Q45" s="465"/>
      <c r="R45" s="465"/>
      <c r="S45" s="465"/>
      <c r="AF45" s="465"/>
      <c r="AG45" s="465"/>
      <c r="AH45" s="465"/>
      <c r="AI45" s="465"/>
      <c r="AJ45" s="465"/>
      <c r="AK45" s="465"/>
      <c r="AL45" s="465"/>
      <c r="AM45" s="465"/>
      <c r="AN45" s="465"/>
      <c r="AO45" s="465"/>
      <c r="AP45" s="465"/>
      <c r="AQ45" s="465"/>
      <c r="AR45" s="465"/>
      <c r="AS45" s="465"/>
      <c r="AT45" s="465"/>
      <c r="AU45" s="465"/>
      <c r="AV45" s="465"/>
      <c r="AW45" s="465"/>
      <c r="AX45" s="465"/>
      <c r="AY45" s="465"/>
      <c r="AZ45" s="465"/>
      <c r="BA45" s="465"/>
      <c r="BB45" s="473"/>
      <c r="BF45" s="489"/>
      <c r="BG45" s="489"/>
      <c r="BH45" s="489"/>
      <c r="BI45" s="489"/>
      <c r="BJ45" s="489"/>
      <c r="BK45" s="489"/>
      <c r="BL45" s="489"/>
      <c r="BM45" s="489"/>
      <c r="BN45" s="489"/>
      <c r="BO45" s="1169">
        <v>8</v>
      </c>
      <c r="BP45" s="1096"/>
      <c r="BQ45" s="1096"/>
      <c r="BR45" s="1096"/>
      <c r="BS45" s="1096"/>
      <c r="BT45" s="1096"/>
      <c r="BU45" s="1096"/>
      <c r="BV45" s="1096"/>
      <c r="BW45" s="1096"/>
      <c r="BX45" s="1115" t="b">
        <f>IF(CG84=18,9)</f>
        <v>0</v>
      </c>
      <c r="BY45" s="1139"/>
      <c r="BZ45" s="1139"/>
      <c r="CA45" s="1139"/>
      <c r="CB45" s="1139"/>
      <c r="CC45" s="1139"/>
      <c r="CD45" s="586"/>
      <c r="CE45" s="1139"/>
      <c r="CF45" s="1139"/>
      <c r="CG45" s="1139"/>
      <c r="CH45" s="1139"/>
      <c r="CI45" s="1139"/>
      <c r="CJ45" s="586"/>
      <c r="CK45" s="1139"/>
      <c r="CL45" s="1139"/>
      <c r="CM45" s="1139"/>
      <c r="CN45" s="1126"/>
      <c r="CO45" s="1126"/>
      <c r="CP45" s="1113" t="b">
        <f>IF(CG84=18,27)</f>
        <v>0</v>
      </c>
      <c r="CQ45" s="1093"/>
      <c r="CR45" s="1093"/>
      <c r="CS45" s="1093"/>
    </row>
    <row r="46" spans="5:97" ht="26.25" hidden="1" customHeight="1" thickBot="1" x14ac:dyDescent="0.45">
      <c r="E46" s="490"/>
      <c r="F46" s="490"/>
      <c r="G46" s="490"/>
      <c r="H46" s="465"/>
      <c r="I46" s="465"/>
      <c r="J46" s="465"/>
      <c r="K46" s="465"/>
      <c r="L46" s="465"/>
      <c r="M46" s="465"/>
      <c r="N46" s="465"/>
      <c r="O46" s="465"/>
      <c r="P46" s="465"/>
      <c r="Q46" s="465"/>
      <c r="R46" s="465"/>
      <c r="S46" s="465"/>
      <c r="AF46" s="465"/>
      <c r="AG46" s="465"/>
      <c r="AH46" s="465"/>
      <c r="AI46" s="465"/>
      <c r="AJ46" s="465"/>
      <c r="AK46" s="465"/>
      <c r="AL46" s="465"/>
      <c r="AM46" s="465"/>
      <c r="AN46" s="465"/>
      <c r="AO46" s="465"/>
      <c r="AP46" s="465"/>
      <c r="AQ46" s="465"/>
      <c r="AR46" s="465"/>
      <c r="AS46" s="465"/>
      <c r="AT46" s="465"/>
      <c r="AU46" s="465"/>
      <c r="AV46" s="465"/>
      <c r="AW46" s="465"/>
      <c r="AX46" s="465"/>
      <c r="AY46" s="465"/>
      <c r="AZ46" s="465"/>
      <c r="BA46" s="465"/>
      <c r="BB46" s="473"/>
      <c r="BF46" s="489"/>
      <c r="BG46" s="489"/>
      <c r="BH46" s="489"/>
      <c r="BI46" s="489"/>
      <c r="BJ46" s="489"/>
      <c r="BK46" s="489"/>
      <c r="BL46" s="489"/>
      <c r="BM46" s="489"/>
      <c r="BN46" s="489"/>
      <c r="BO46" s="1893">
        <v>7</v>
      </c>
      <c r="BP46" s="1096"/>
      <c r="BQ46" s="1096"/>
      <c r="BR46" s="1096"/>
      <c r="BS46" s="1096"/>
      <c r="BT46" s="1096"/>
      <c r="BU46" s="1096"/>
      <c r="BV46" s="1096"/>
      <c r="BW46" s="1096"/>
      <c r="BX46" s="1115" t="b">
        <f>IF(CF84=17,9)</f>
        <v>0</v>
      </c>
      <c r="BY46" s="586"/>
      <c r="BZ46" s="1139"/>
      <c r="CA46" s="1139"/>
      <c r="CB46" s="1139"/>
      <c r="CC46" s="1139"/>
      <c r="CD46" s="1139"/>
      <c r="CE46" s="1139"/>
      <c r="CF46" s="1139"/>
      <c r="CG46" s="1139"/>
      <c r="CH46" s="1139"/>
      <c r="CI46" s="1139"/>
      <c r="CJ46" s="1139"/>
      <c r="CK46" s="1139"/>
      <c r="CL46" s="1139"/>
      <c r="CM46" s="586"/>
      <c r="CN46" s="1113" t="b">
        <f>IF(CF84=17,25)</f>
        <v>0</v>
      </c>
      <c r="CO46" s="1093"/>
      <c r="CP46" s="1093"/>
      <c r="CQ46" s="1093"/>
      <c r="CR46" s="1093"/>
      <c r="CS46" s="1093"/>
    </row>
    <row r="47" spans="5:97" ht="26.25" hidden="1" customHeight="1" thickBot="1" x14ac:dyDescent="0.45">
      <c r="E47" s="490"/>
      <c r="F47" s="490"/>
      <c r="G47" s="490"/>
      <c r="H47" s="465"/>
      <c r="I47" s="465"/>
      <c r="J47" s="465"/>
      <c r="K47" s="465"/>
      <c r="L47" s="465"/>
      <c r="M47" s="465"/>
      <c r="N47" s="465"/>
      <c r="O47" s="465"/>
      <c r="P47" s="465"/>
      <c r="Q47" s="465"/>
      <c r="R47" s="465"/>
      <c r="S47" s="465"/>
      <c r="AF47" s="465"/>
      <c r="AG47" s="465"/>
      <c r="AH47" s="465"/>
      <c r="AI47" s="465"/>
      <c r="AJ47" s="465"/>
      <c r="AK47" s="465"/>
      <c r="AL47" s="465"/>
      <c r="AM47" s="465"/>
      <c r="AN47" s="465"/>
      <c r="AO47" s="465"/>
      <c r="AP47" s="465"/>
      <c r="AQ47" s="465"/>
      <c r="AR47" s="465"/>
      <c r="AS47" s="465"/>
      <c r="AT47" s="465"/>
      <c r="AU47" s="465"/>
      <c r="AV47" s="465"/>
      <c r="AW47" s="465"/>
      <c r="AX47" s="465"/>
      <c r="AY47" s="465"/>
      <c r="AZ47" s="465"/>
      <c r="BA47" s="465"/>
      <c r="BB47" s="473"/>
      <c r="BF47" s="489"/>
      <c r="BG47" s="489"/>
      <c r="BH47" s="489"/>
      <c r="BI47" s="489"/>
      <c r="BJ47" s="489"/>
      <c r="BK47" s="489"/>
      <c r="BL47" s="489"/>
      <c r="BM47" s="489"/>
      <c r="BN47" s="489"/>
      <c r="BO47" s="1893">
        <v>6</v>
      </c>
      <c r="BP47" s="1096"/>
      <c r="BQ47" s="1096"/>
      <c r="BR47" s="1096"/>
      <c r="BS47" s="1096"/>
      <c r="BT47" s="1096"/>
      <c r="BU47" s="1096"/>
      <c r="BV47" s="1096"/>
      <c r="BX47" s="1148" t="b">
        <f>IF(CE84=16,9)</f>
        <v>0</v>
      </c>
      <c r="BY47" s="1096"/>
      <c r="BZ47" s="1096"/>
      <c r="CA47" s="1096"/>
      <c r="CB47" s="1096"/>
      <c r="CC47" s="1096"/>
      <c r="CD47" s="1096"/>
      <c r="CE47" s="1096"/>
      <c r="CF47" s="1096"/>
      <c r="CG47" s="1096"/>
      <c r="CH47" s="1096"/>
      <c r="CI47" s="1096"/>
      <c r="CJ47" s="1096"/>
      <c r="CK47" s="1096"/>
      <c r="CL47" s="1113" t="b">
        <f>IF(CE84=16,23)</f>
        <v>0</v>
      </c>
      <c r="CN47" s="1093"/>
      <c r="CO47" s="1093"/>
      <c r="CP47" s="1093"/>
      <c r="CQ47" s="1093"/>
      <c r="CR47" s="1093"/>
      <c r="CS47" s="1093"/>
    </row>
    <row r="48" spans="5:97" ht="26.25" hidden="1" customHeight="1" thickBot="1" x14ac:dyDescent="0.45">
      <c r="E48" s="490"/>
      <c r="F48" s="490"/>
      <c r="G48" s="490"/>
      <c r="H48" s="465"/>
      <c r="I48" s="465"/>
      <c r="J48" s="465"/>
      <c r="K48" s="465"/>
      <c r="L48" s="465"/>
      <c r="M48" s="465"/>
      <c r="N48" s="465"/>
      <c r="O48" s="465"/>
      <c r="P48" s="465"/>
      <c r="Q48" s="465"/>
      <c r="R48" s="465"/>
      <c r="S48" s="465"/>
      <c r="AF48" s="465"/>
      <c r="AG48" s="465"/>
      <c r="AH48" s="465"/>
      <c r="AI48" s="465"/>
      <c r="AJ48" s="465"/>
      <c r="AK48" s="465"/>
      <c r="AL48" s="465"/>
      <c r="AM48" s="465"/>
      <c r="AN48" s="465"/>
      <c r="AO48" s="465"/>
      <c r="AP48" s="465"/>
      <c r="AQ48" s="465"/>
      <c r="AR48" s="465"/>
      <c r="AS48" s="465"/>
      <c r="AT48" s="465"/>
      <c r="AU48" s="465"/>
      <c r="AV48" s="465"/>
      <c r="AW48" s="465"/>
      <c r="AX48" s="465"/>
      <c r="AY48" s="465"/>
      <c r="AZ48" s="465"/>
      <c r="BA48" s="465"/>
      <c r="BB48" s="473"/>
      <c r="BF48" s="489"/>
      <c r="BG48" s="489"/>
      <c r="BH48" s="489"/>
      <c r="BI48" s="489"/>
      <c r="BJ48" s="489"/>
      <c r="BK48" s="489"/>
      <c r="BL48" s="489"/>
      <c r="BM48" s="489"/>
      <c r="BN48" s="489"/>
      <c r="BO48" s="1169" t="s">
        <v>86</v>
      </c>
      <c r="BP48" s="1096"/>
      <c r="BQ48" s="1096"/>
      <c r="BR48" s="1096"/>
      <c r="BS48" s="1096"/>
      <c r="BT48" s="1096"/>
      <c r="BU48" s="1096"/>
      <c r="BV48" s="1096"/>
      <c r="BW48" s="1101" t="b">
        <f>IF(CD84=15,8)</f>
        <v>0</v>
      </c>
      <c r="BX48" s="1142"/>
      <c r="BY48" s="1142"/>
      <c r="BZ48" s="1118"/>
      <c r="CA48" s="1142"/>
      <c r="CB48" s="1142"/>
      <c r="CC48" s="1142"/>
      <c r="CD48" s="1142"/>
      <c r="CE48" s="1142"/>
      <c r="CF48" s="1142"/>
      <c r="CG48" s="1142"/>
      <c r="CH48" s="1118"/>
      <c r="CI48" s="1142"/>
      <c r="CJ48" s="1142"/>
      <c r="CK48" s="1116" t="b">
        <f>IF(CD84=15,22)</f>
        <v>0</v>
      </c>
      <c r="CL48" s="1096"/>
      <c r="CM48" s="1096"/>
      <c r="CN48" s="1093"/>
      <c r="CO48" s="1093"/>
      <c r="CP48" s="1093"/>
      <c r="CQ48" s="1093"/>
      <c r="CR48" s="1093"/>
      <c r="CS48" s="1093"/>
    </row>
    <row r="49" spans="2:97" ht="26.25" hidden="1" customHeight="1" thickBot="1" x14ac:dyDescent="0.45">
      <c r="E49" s="490"/>
      <c r="F49" s="490"/>
      <c r="G49" s="490"/>
      <c r="H49" s="465"/>
      <c r="I49" s="465"/>
      <c r="J49" s="465"/>
      <c r="K49" s="465"/>
      <c r="L49" s="465"/>
      <c r="M49" s="465"/>
      <c r="N49" s="465"/>
      <c r="O49" s="465"/>
      <c r="P49" s="465"/>
      <c r="Q49" s="465"/>
      <c r="R49" s="465"/>
      <c r="S49" s="465"/>
      <c r="AF49" s="465"/>
      <c r="AG49" s="465"/>
      <c r="AH49" s="465"/>
      <c r="AI49" s="465"/>
      <c r="AJ49" s="465"/>
      <c r="AK49" s="465"/>
      <c r="AL49" s="465"/>
      <c r="AM49" s="465"/>
      <c r="AN49" s="465"/>
      <c r="AO49" s="465"/>
      <c r="AP49" s="465"/>
      <c r="AQ49" s="465"/>
      <c r="AR49" s="465"/>
      <c r="AS49" s="465"/>
      <c r="AT49" s="465"/>
      <c r="AU49" s="465"/>
      <c r="AV49" s="465"/>
      <c r="AW49" s="465"/>
      <c r="AX49" s="465"/>
      <c r="AY49" s="465"/>
      <c r="AZ49" s="465"/>
      <c r="BA49" s="465"/>
      <c r="BB49" s="473"/>
      <c r="BF49" s="489"/>
      <c r="BG49" s="489"/>
      <c r="BH49" s="489"/>
      <c r="BI49" s="489"/>
      <c r="BJ49" s="489"/>
      <c r="BK49" s="489"/>
      <c r="BL49" s="489"/>
      <c r="BM49" s="489"/>
      <c r="BN49" s="489"/>
      <c r="BO49" s="1169" t="s">
        <v>85</v>
      </c>
      <c r="BP49" s="1096"/>
      <c r="BQ49" s="1096"/>
      <c r="BR49" s="1096"/>
      <c r="BS49" s="1096"/>
      <c r="BT49" s="1096"/>
      <c r="BU49" s="1101" t="b">
        <f>IF(CC84=14,6)</f>
        <v>0</v>
      </c>
      <c r="BV49" s="1142"/>
      <c r="BW49" s="1142"/>
      <c r="BX49" s="1118"/>
      <c r="BY49" s="1142"/>
      <c r="BZ49" s="1142"/>
      <c r="CA49" s="1142"/>
      <c r="CB49" s="1142"/>
      <c r="CC49" s="1142"/>
      <c r="CD49" s="1142"/>
      <c r="CE49" s="1142"/>
      <c r="CF49" s="1142"/>
      <c r="CG49" s="1142"/>
      <c r="CH49" s="1118"/>
      <c r="CI49" s="1142"/>
      <c r="CJ49" s="1142"/>
      <c r="CK49" s="1116" t="b">
        <f>IF(CC84=14,22)</f>
        <v>0</v>
      </c>
      <c r="CL49" s="1096"/>
      <c r="CM49" s="1096"/>
      <c r="CN49" s="1093"/>
      <c r="CO49" s="1093"/>
      <c r="CP49" s="1093"/>
      <c r="CQ49" s="1093"/>
      <c r="CR49" s="1093"/>
      <c r="CS49" s="1093"/>
    </row>
    <row r="50" spans="2:97" ht="21.6" hidden="1" thickBot="1" x14ac:dyDescent="0.45">
      <c r="E50" s="490"/>
      <c r="F50" s="490"/>
      <c r="G50" s="490"/>
      <c r="H50" s="465"/>
      <c r="I50" s="465"/>
      <c r="J50" s="465"/>
      <c r="K50" s="465"/>
      <c r="L50" s="465"/>
      <c r="M50" s="465"/>
      <c r="N50" s="465"/>
      <c r="O50" s="465"/>
      <c r="P50" s="465"/>
      <c r="Q50" s="465"/>
      <c r="R50" s="465"/>
      <c r="S50" s="465"/>
      <c r="T50" s="465"/>
      <c r="U50" s="493"/>
      <c r="V50" s="465"/>
      <c r="W50" s="465"/>
      <c r="X50" s="465"/>
      <c r="Y50" s="465"/>
      <c r="Z50" s="465"/>
      <c r="AA50" s="465"/>
      <c r="AB50" s="493"/>
      <c r="AC50" s="493"/>
      <c r="AD50" s="493"/>
      <c r="AE50" s="493"/>
      <c r="AF50" s="465"/>
      <c r="AG50" s="465"/>
      <c r="AH50" s="465"/>
      <c r="AI50" s="465"/>
      <c r="AJ50" s="465"/>
      <c r="AK50" s="465"/>
      <c r="AL50" s="465"/>
      <c r="AM50" s="465"/>
      <c r="AN50" s="465"/>
      <c r="AO50" s="465"/>
      <c r="AP50" s="465"/>
      <c r="AQ50" s="465"/>
      <c r="AR50" s="465"/>
      <c r="AS50" s="465"/>
      <c r="AT50" s="465"/>
      <c r="AU50" s="465"/>
      <c r="AV50" s="465"/>
      <c r="AW50" s="465"/>
      <c r="AX50" s="465"/>
      <c r="AY50" s="465"/>
      <c r="AZ50" s="465"/>
      <c r="BA50" s="465"/>
      <c r="BB50" s="473"/>
      <c r="BF50" s="489"/>
      <c r="BG50" s="489"/>
      <c r="BH50" s="489"/>
      <c r="BI50" s="489"/>
      <c r="BJ50" s="489"/>
      <c r="BK50" s="489"/>
      <c r="BL50" s="489"/>
      <c r="BM50" s="489"/>
      <c r="BN50" s="489"/>
      <c r="BO50" s="1169">
        <v>5</v>
      </c>
      <c r="BP50" s="1096"/>
      <c r="BQ50" s="1096"/>
      <c r="BR50" s="1096"/>
      <c r="BS50" s="1101" t="b">
        <f>IF(CB84=13,4)</f>
        <v>0</v>
      </c>
      <c r="BT50" s="1142"/>
      <c r="BU50" s="1142"/>
      <c r="BV50" s="1118"/>
      <c r="BW50" s="1142"/>
      <c r="BX50" s="1142"/>
      <c r="BY50" s="1142"/>
      <c r="BZ50" s="1142"/>
      <c r="CA50" s="1142"/>
      <c r="CB50" s="1142"/>
      <c r="CC50" s="1142"/>
      <c r="CD50" s="1142"/>
      <c r="CE50" s="1142"/>
      <c r="CF50" s="1142"/>
      <c r="CG50" s="1142"/>
      <c r="CH50" s="1118"/>
      <c r="CI50" s="1142"/>
      <c r="CJ50" s="1142"/>
      <c r="CK50" s="1116" t="b">
        <f>IF(CB84=13,22)</f>
        <v>0</v>
      </c>
      <c r="CL50" s="1096"/>
      <c r="CM50" s="1096"/>
      <c r="CN50" s="1093"/>
      <c r="CO50" s="1093"/>
      <c r="CP50" s="1093"/>
      <c r="CQ50" s="1093"/>
      <c r="CR50" s="1093"/>
      <c r="CS50" s="1093"/>
    </row>
    <row r="51" spans="2:97" ht="21.6" hidden="1" thickBot="1" x14ac:dyDescent="0.45">
      <c r="E51" s="490"/>
      <c r="F51" s="490"/>
      <c r="G51" s="490"/>
      <c r="H51" s="465"/>
      <c r="I51" s="465"/>
      <c r="J51" s="465"/>
      <c r="K51" s="465"/>
      <c r="L51" s="465"/>
      <c r="M51" s="465"/>
      <c r="N51" s="465"/>
      <c r="O51" s="465"/>
      <c r="P51" s="465"/>
      <c r="Q51" s="465"/>
      <c r="R51" s="465"/>
      <c r="S51" s="1214"/>
      <c r="T51" s="471"/>
      <c r="U51" s="471"/>
      <c r="AF51" s="465"/>
      <c r="AG51" s="465"/>
      <c r="AH51" s="465"/>
      <c r="AI51" s="465"/>
      <c r="AJ51" s="465"/>
      <c r="AK51" s="465"/>
      <c r="AL51" s="465"/>
      <c r="AM51" s="465"/>
      <c r="AN51" s="465"/>
      <c r="AO51" s="465"/>
      <c r="AP51" s="465"/>
      <c r="AQ51" s="465"/>
      <c r="AR51" s="465"/>
      <c r="AS51" s="465"/>
      <c r="AT51" s="465"/>
      <c r="AU51" s="465"/>
      <c r="AV51" s="465"/>
      <c r="AW51" s="465"/>
      <c r="AX51" s="465"/>
      <c r="AY51" s="465"/>
      <c r="AZ51" s="465"/>
      <c r="BA51" s="465"/>
      <c r="BB51" s="473"/>
      <c r="BF51" s="489"/>
      <c r="BG51" s="489"/>
      <c r="BH51" s="489"/>
      <c r="BI51" s="489"/>
      <c r="BJ51" s="489"/>
      <c r="BK51" s="489"/>
      <c r="BL51" s="489"/>
      <c r="BM51" s="489"/>
      <c r="BN51" s="489"/>
      <c r="BO51" s="1169">
        <v>4</v>
      </c>
      <c r="BP51" s="1096"/>
      <c r="BQ51" s="1101">
        <f>IF(CA84=12,2)</f>
        <v>2</v>
      </c>
      <c r="BR51" s="1142"/>
      <c r="BS51" s="1142"/>
      <c r="BT51" s="1118"/>
      <c r="BU51" s="1142"/>
      <c r="BV51" s="1142"/>
      <c r="BW51" s="1142"/>
      <c r="BX51" s="1142"/>
      <c r="BY51" s="1142"/>
      <c r="BZ51" s="1142"/>
      <c r="CA51" s="1142"/>
      <c r="CB51" s="1142"/>
      <c r="CC51" s="1142"/>
      <c r="CD51" s="1142"/>
      <c r="CE51" s="1142"/>
      <c r="CF51" s="1142"/>
      <c r="CG51" s="1142"/>
      <c r="CH51" s="1118"/>
      <c r="CI51" s="1142"/>
      <c r="CJ51" s="1142"/>
      <c r="CK51" s="1116">
        <f>IF(CA84=12,22)</f>
        <v>22</v>
      </c>
      <c r="CL51" s="1096"/>
      <c r="CM51" s="1096"/>
      <c r="CN51" s="1093"/>
      <c r="CO51" s="1093"/>
      <c r="CP51" s="1093"/>
      <c r="CQ51" s="1093"/>
      <c r="CR51" s="1093"/>
      <c r="CS51" s="1093"/>
    </row>
    <row r="52" spans="2:97" ht="21.6" hidden="1" thickBot="1" x14ac:dyDescent="0.45">
      <c r="E52" s="490"/>
      <c r="F52" s="490"/>
      <c r="G52" s="490"/>
      <c r="H52" s="465"/>
      <c r="I52" s="465"/>
      <c r="J52" s="465"/>
      <c r="K52" s="465"/>
      <c r="L52" s="465"/>
      <c r="M52" s="465"/>
      <c r="N52" s="465"/>
      <c r="O52" s="465"/>
      <c r="P52" s="465"/>
      <c r="Q52" s="465"/>
      <c r="R52" s="465"/>
      <c r="S52" s="1214"/>
      <c r="T52" s="1227"/>
      <c r="U52" s="471"/>
      <c r="AF52" s="465"/>
      <c r="AG52" s="465"/>
      <c r="AH52" s="465"/>
      <c r="AI52" s="465"/>
      <c r="AJ52" s="465"/>
      <c r="AK52" s="465"/>
      <c r="AL52" s="465"/>
      <c r="AM52" s="465"/>
      <c r="AN52" s="465"/>
      <c r="AO52" s="465"/>
      <c r="AP52" s="465"/>
      <c r="AQ52" s="465"/>
      <c r="AR52" s="465"/>
      <c r="AS52" s="465"/>
      <c r="AT52" s="465"/>
      <c r="AU52" s="465"/>
      <c r="AV52" s="465"/>
      <c r="AW52" s="465"/>
      <c r="AX52" s="465"/>
      <c r="AY52" s="465"/>
      <c r="AZ52" s="465"/>
      <c r="BA52" s="465"/>
      <c r="BB52" s="473"/>
      <c r="BF52" s="489"/>
      <c r="BG52" s="489"/>
      <c r="BH52" s="489"/>
      <c r="BI52" s="489"/>
      <c r="BJ52" s="489"/>
      <c r="BK52" s="489"/>
      <c r="BL52" s="489"/>
      <c r="BM52" s="489"/>
      <c r="BN52" s="489"/>
      <c r="BO52" s="1169">
        <v>3</v>
      </c>
      <c r="BP52" s="1101" t="b">
        <f>IF(BZ84=11,1)</f>
        <v>0</v>
      </c>
      <c r="BQ52" s="1139"/>
      <c r="BR52" s="586"/>
      <c r="BS52" s="1139"/>
      <c r="BT52" s="1139"/>
      <c r="BU52" s="1139"/>
      <c r="BV52" s="1139"/>
      <c r="BW52" s="1139"/>
      <c r="BX52" s="1139"/>
      <c r="BY52" s="1139"/>
      <c r="BZ52" s="1139"/>
      <c r="CA52" s="1139"/>
      <c r="CB52" s="1139"/>
      <c r="CC52" s="1139"/>
      <c r="CD52" s="1139"/>
      <c r="CE52" s="1139"/>
      <c r="CF52" s="1139"/>
      <c r="CG52" s="1139"/>
      <c r="CH52" s="586"/>
      <c r="CI52" s="1139"/>
      <c r="CJ52" s="1113" t="b">
        <f>IF(BZ84=11,21)</f>
        <v>0</v>
      </c>
      <c r="CK52" s="1096"/>
      <c r="CL52" s="1096"/>
      <c r="CM52" s="1096"/>
      <c r="CN52" s="1093"/>
      <c r="CO52" s="1093"/>
      <c r="CP52" s="1093"/>
      <c r="CQ52" s="1093"/>
      <c r="CR52" s="1093"/>
      <c r="CS52" s="1093"/>
    </row>
    <row r="53" spans="2:97" ht="21.6" hidden="1" thickBot="1" x14ac:dyDescent="0.45">
      <c r="E53" s="490"/>
      <c r="F53" s="490"/>
      <c r="G53" s="490"/>
      <c r="H53" s="465"/>
      <c r="I53" s="465"/>
      <c r="J53" s="465"/>
      <c r="K53" s="465"/>
      <c r="L53" s="465"/>
      <c r="M53" s="465"/>
      <c r="N53" s="465"/>
      <c r="O53" s="465"/>
      <c r="P53" s="465"/>
      <c r="Q53" s="465"/>
      <c r="R53" s="465"/>
      <c r="S53" s="1214"/>
      <c r="T53" s="1214"/>
      <c r="U53" s="493"/>
      <c r="V53" s="465"/>
      <c r="W53" s="465"/>
      <c r="X53" s="465"/>
      <c r="Y53" s="465"/>
      <c r="Z53" s="465"/>
      <c r="AA53" s="465"/>
      <c r="AB53" s="493"/>
      <c r="AC53" s="493"/>
      <c r="AD53" s="493"/>
      <c r="AE53" s="493"/>
      <c r="AF53" s="465"/>
      <c r="AG53" s="465"/>
      <c r="AH53" s="465"/>
      <c r="AI53" s="465"/>
      <c r="AJ53" s="465"/>
      <c r="AK53" s="465"/>
      <c r="AL53" s="465"/>
      <c r="AM53" s="465"/>
      <c r="AN53" s="465"/>
      <c r="AO53" s="465"/>
      <c r="AP53" s="465"/>
      <c r="AQ53" s="465"/>
      <c r="AR53" s="465"/>
      <c r="AS53" s="465"/>
      <c r="AT53" s="465"/>
      <c r="AU53" s="465"/>
      <c r="AV53" s="465"/>
      <c r="AW53" s="465"/>
      <c r="AX53" s="465"/>
      <c r="AY53" s="465"/>
      <c r="AZ53" s="465"/>
      <c r="BA53" s="465"/>
      <c r="BB53" s="473"/>
      <c r="BF53" s="489"/>
      <c r="BG53" s="489"/>
      <c r="BH53" s="489"/>
      <c r="BI53" s="489"/>
      <c r="BJ53" s="489"/>
      <c r="BK53" s="489"/>
      <c r="BL53" s="489"/>
      <c r="BM53" s="489"/>
      <c r="BN53" s="489"/>
      <c r="BO53" s="1169">
        <v>2</v>
      </c>
      <c r="BP53" s="1115" t="b">
        <f>IF(BY84=10,1)</f>
        <v>0</v>
      </c>
      <c r="BQ53" s="1139"/>
      <c r="BR53" s="1139"/>
      <c r="BS53" s="1139"/>
      <c r="BT53" s="1139"/>
      <c r="BU53" s="1139"/>
      <c r="BV53" s="1139"/>
      <c r="BW53" s="1139"/>
      <c r="BX53" s="1139"/>
      <c r="BY53" s="1139"/>
      <c r="BZ53" s="1139"/>
      <c r="CA53" s="1139"/>
      <c r="CB53" s="1139"/>
      <c r="CC53" s="1139"/>
      <c r="CD53" s="1139"/>
      <c r="CE53" s="1139"/>
      <c r="CF53" s="1139"/>
      <c r="CG53" s="1139"/>
      <c r="CH53" s="1113" t="b">
        <f>IF(BY84=10,19)</f>
        <v>0</v>
      </c>
      <c r="CI53" s="1096"/>
      <c r="CJ53" s="1096"/>
      <c r="CK53" s="1096"/>
      <c r="CL53" s="1096"/>
      <c r="CM53" s="1096"/>
      <c r="CN53" s="1093"/>
      <c r="CO53" s="1093"/>
      <c r="CP53" s="1093"/>
      <c r="CQ53" s="1093"/>
      <c r="CR53" s="1093"/>
      <c r="CS53" s="1093"/>
    </row>
    <row r="54" spans="2:97" ht="21.6" hidden="1" thickBot="1" x14ac:dyDescent="0.45">
      <c r="E54" s="490"/>
      <c r="F54" s="490"/>
      <c r="G54" s="490"/>
      <c r="H54" s="465"/>
      <c r="I54" s="465"/>
      <c r="J54" s="465"/>
      <c r="K54" s="465"/>
      <c r="L54" s="465"/>
      <c r="M54" s="465"/>
      <c r="N54" s="465"/>
      <c r="O54" s="465"/>
      <c r="P54" s="465"/>
      <c r="Q54" s="465"/>
      <c r="R54" s="465"/>
      <c r="U54" s="493"/>
      <c r="V54" s="465"/>
      <c r="W54" s="465"/>
      <c r="X54" s="465"/>
      <c r="Y54" s="465"/>
      <c r="Z54" s="465"/>
      <c r="AA54" s="465"/>
      <c r="AB54" s="493"/>
      <c r="AC54" s="493"/>
      <c r="AD54" s="493"/>
      <c r="AE54" s="493"/>
      <c r="AF54" s="465"/>
      <c r="AG54" s="465"/>
      <c r="AH54" s="465"/>
      <c r="AI54" s="465"/>
      <c r="AJ54" s="465"/>
      <c r="AK54" s="465"/>
      <c r="AL54" s="465"/>
      <c r="AM54" s="465"/>
      <c r="AN54" s="465"/>
      <c r="AO54" s="465"/>
      <c r="AP54" s="465"/>
      <c r="AQ54" s="465"/>
      <c r="AR54" s="465"/>
      <c r="AS54" s="465"/>
      <c r="AT54" s="465"/>
      <c r="AU54" s="465"/>
      <c r="AV54" s="465"/>
      <c r="AW54" s="465"/>
      <c r="AX54" s="465"/>
      <c r="AY54" s="465"/>
      <c r="AZ54" s="465"/>
      <c r="BA54" s="465"/>
      <c r="BB54" s="473"/>
      <c r="BF54" s="489"/>
      <c r="BG54" s="489"/>
      <c r="BH54" s="489"/>
      <c r="BI54" s="489"/>
      <c r="BJ54" s="489"/>
      <c r="BK54" s="489"/>
      <c r="BL54" s="489"/>
      <c r="BM54" s="489"/>
      <c r="BN54" s="489"/>
      <c r="BO54" s="1169">
        <v>1</v>
      </c>
      <c r="BP54" s="1115" t="b">
        <f>IF(BX84=9,1)</f>
        <v>0</v>
      </c>
      <c r="BQ54" s="1139"/>
      <c r="BR54" s="1139"/>
      <c r="BS54" s="1139"/>
      <c r="BT54" s="1139"/>
      <c r="BU54" s="1139"/>
      <c r="BV54" s="1139"/>
      <c r="BW54" s="1139"/>
      <c r="BX54" s="1139"/>
      <c r="BY54" s="1139"/>
      <c r="BZ54" s="1139"/>
      <c r="CA54" s="1139"/>
      <c r="CB54" s="1139"/>
      <c r="CC54" s="1139"/>
      <c r="CD54" s="1139"/>
      <c r="CE54" s="1139"/>
      <c r="CF54" s="1113" t="b">
        <f>IF(BX84=9,17)</f>
        <v>0</v>
      </c>
      <c r="CG54" s="1096"/>
      <c r="CH54" s="1096"/>
      <c r="CI54" s="1096"/>
      <c r="CJ54" s="1096"/>
      <c r="CK54" s="1096"/>
      <c r="CL54" s="1096"/>
      <c r="CM54" s="1096"/>
      <c r="CN54" s="1093"/>
      <c r="CO54" s="1093"/>
      <c r="CP54" s="1093"/>
      <c r="CQ54" s="1093"/>
      <c r="CR54" s="1093"/>
      <c r="CS54" s="1093"/>
    </row>
    <row r="55" spans="2:97" ht="21.6" hidden="1" thickBot="1" x14ac:dyDescent="0.45">
      <c r="E55" s="490"/>
      <c r="F55" s="490"/>
      <c r="G55" s="490"/>
      <c r="H55" s="465"/>
      <c r="I55" s="465"/>
      <c r="J55" s="465"/>
      <c r="K55" s="465"/>
      <c r="L55" s="465"/>
      <c r="M55" s="465"/>
      <c r="N55" s="465"/>
      <c r="O55" s="465"/>
      <c r="P55" s="465"/>
      <c r="Q55" s="465"/>
      <c r="R55" s="465"/>
      <c r="U55" s="493"/>
      <c r="V55" s="465"/>
      <c r="W55" s="465"/>
      <c r="X55" s="465"/>
      <c r="Y55" s="465"/>
      <c r="Z55" s="465"/>
      <c r="AA55" s="465"/>
      <c r="AB55" s="493"/>
      <c r="AC55" s="493"/>
      <c r="AD55" s="493"/>
      <c r="AE55" s="493"/>
      <c r="AF55" s="465"/>
      <c r="AG55" s="465"/>
      <c r="AH55" s="465"/>
      <c r="AI55" s="465"/>
      <c r="AJ55" s="465"/>
      <c r="AK55" s="465"/>
      <c r="AL55" s="465"/>
      <c r="AM55" s="465"/>
      <c r="AN55" s="465"/>
      <c r="AO55" s="465"/>
      <c r="AP55" s="465"/>
      <c r="AQ55" s="465"/>
      <c r="AR55" s="465"/>
      <c r="AS55" s="465"/>
      <c r="AT55" s="465"/>
      <c r="AU55" s="465"/>
      <c r="AV55" s="465"/>
      <c r="AW55" s="465"/>
      <c r="AX55" s="465"/>
      <c r="AY55" s="465"/>
      <c r="AZ55" s="465"/>
      <c r="BA55" s="465"/>
      <c r="BB55" s="473"/>
      <c r="BF55" s="489"/>
      <c r="BG55" s="489"/>
      <c r="BH55" s="489"/>
      <c r="BI55" s="489"/>
      <c r="BJ55" s="489"/>
      <c r="BK55" s="489"/>
      <c r="BL55" s="489"/>
      <c r="BM55" s="489"/>
      <c r="BN55" s="489"/>
      <c r="BO55" s="1169" t="s">
        <v>84</v>
      </c>
      <c r="BQ55" s="1096"/>
      <c r="BR55" s="1115" t="b">
        <f>IF(BW84=8,3)</f>
        <v>0</v>
      </c>
      <c r="BS55" s="1139"/>
      <c r="BT55" s="1139"/>
      <c r="BU55" s="1139"/>
      <c r="BV55" s="1139"/>
      <c r="BW55" s="1139"/>
      <c r="BX55" s="1139"/>
      <c r="BY55" s="1139"/>
      <c r="BZ55" s="1139"/>
      <c r="CA55" s="1139"/>
      <c r="CB55" s="1113" t="b">
        <f>IF(BW84=8,5)</f>
        <v>0</v>
      </c>
      <c r="CC55" s="1096"/>
      <c r="CE55" s="1096"/>
      <c r="CF55" s="1096"/>
      <c r="CG55" s="1096"/>
      <c r="CH55" s="1096"/>
      <c r="CI55" s="1096"/>
      <c r="CJ55" s="1096"/>
      <c r="CK55" s="1096"/>
      <c r="CL55" s="1096"/>
      <c r="CM55" s="1096"/>
      <c r="CN55" s="1093"/>
      <c r="CO55" s="1093"/>
      <c r="CP55" s="1093"/>
      <c r="CQ55" s="1093"/>
      <c r="CR55" s="1093"/>
      <c r="CS55" s="1093"/>
    </row>
    <row r="56" spans="2:97" ht="21.6" hidden="1" thickBot="1" x14ac:dyDescent="0.45">
      <c r="E56" s="490"/>
      <c r="F56" s="490"/>
      <c r="G56" s="490"/>
      <c r="H56" s="465"/>
      <c r="I56" s="465"/>
      <c r="J56" s="465"/>
      <c r="K56" s="465"/>
      <c r="L56" s="465"/>
      <c r="M56" s="465"/>
      <c r="N56" s="465"/>
      <c r="O56" s="465"/>
      <c r="P56" s="465"/>
      <c r="Q56" s="465"/>
      <c r="R56" s="465"/>
      <c r="U56" s="493"/>
      <c r="V56" s="465"/>
      <c r="W56" s="465"/>
      <c r="X56" s="465"/>
      <c r="Y56" s="465"/>
      <c r="Z56" s="465"/>
      <c r="AA56" s="465"/>
      <c r="AB56" s="493"/>
      <c r="AC56" s="493"/>
      <c r="AD56" s="493"/>
      <c r="AE56" s="493"/>
      <c r="AF56" s="465"/>
      <c r="AG56" s="465"/>
      <c r="AH56" s="465"/>
      <c r="AI56" s="465"/>
      <c r="AJ56" s="465"/>
      <c r="AK56" s="465"/>
      <c r="AL56" s="465"/>
      <c r="AM56" s="465"/>
      <c r="AN56" s="465"/>
      <c r="AO56" s="465"/>
      <c r="AP56" s="465"/>
      <c r="AQ56" s="465"/>
      <c r="AR56" s="465"/>
      <c r="AS56" s="465"/>
      <c r="AT56" s="465"/>
      <c r="AU56" s="465"/>
      <c r="AV56" s="465"/>
      <c r="AW56" s="465"/>
      <c r="AX56" s="465"/>
      <c r="AY56" s="465"/>
      <c r="AZ56" s="465"/>
      <c r="BA56" s="465"/>
      <c r="BB56" s="473"/>
      <c r="BF56" s="489"/>
      <c r="BG56" s="489"/>
      <c r="BH56" s="489"/>
      <c r="BI56" s="489"/>
      <c r="BJ56" s="489"/>
      <c r="BK56" s="489"/>
      <c r="BL56" s="489"/>
      <c r="BM56" s="489"/>
      <c r="BN56" s="489"/>
      <c r="BO56" s="1169" t="s">
        <v>16</v>
      </c>
      <c r="BP56" s="1096"/>
      <c r="BQ56" s="1101" t="b">
        <f>IF(BV84=7,2)</f>
        <v>0</v>
      </c>
      <c r="BR56" s="1139"/>
      <c r="BS56" s="1139"/>
      <c r="BT56" s="1139"/>
      <c r="BU56" s="1139"/>
      <c r="BV56" s="1139"/>
      <c r="BW56" s="1139"/>
      <c r="BX56" s="1139"/>
      <c r="BY56" s="1139"/>
      <c r="BZ56" s="586"/>
      <c r="CA56" s="1113" t="b">
        <f>IF(BV84=7,12)</f>
        <v>0</v>
      </c>
      <c r="CB56" s="1096"/>
      <c r="CC56" s="1096"/>
      <c r="CD56" s="1096"/>
      <c r="CE56" s="1096"/>
      <c r="CF56" s="1096"/>
      <c r="CG56" s="1096"/>
      <c r="CH56" s="1096"/>
      <c r="CI56" s="1096"/>
      <c r="CJ56" s="1096"/>
      <c r="CK56" s="1096"/>
      <c r="CL56" s="1096"/>
      <c r="CM56" s="1096"/>
      <c r="CN56" s="1093"/>
      <c r="CO56" s="1093"/>
      <c r="CP56" s="1093"/>
      <c r="CQ56" s="1093"/>
      <c r="CR56" s="1093"/>
      <c r="CS56" s="1093"/>
    </row>
    <row r="57" spans="2:97" ht="21.6" hidden="1" thickBot="1" x14ac:dyDescent="0.45">
      <c r="E57" s="490"/>
      <c r="F57" s="490"/>
      <c r="G57" s="490"/>
      <c r="H57" s="465"/>
      <c r="I57" s="465"/>
      <c r="J57" s="465"/>
      <c r="K57" s="465"/>
      <c r="L57" s="465"/>
      <c r="M57" s="465"/>
      <c r="N57" s="465"/>
      <c r="O57" s="465"/>
      <c r="P57" s="465"/>
      <c r="Q57" s="465"/>
      <c r="R57" s="465"/>
      <c r="S57" s="465"/>
      <c r="T57" s="465"/>
      <c r="U57" s="493"/>
      <c r="V57" s="465"/>
      <c r="W57" s="465"/>
      <c r="X57" s="465"/>
      <c r="Y57" s="465"/>
      <c r="Z57" s="465"/>
      <c r="AA57" s="465"/>
      <c r="AB57" s="493"/>
      <c r="AC57" s="493"/>
      <c r="AD57" s="493"/>
      <c r="AE57" s="493"/>
      <c r="AF57" s="465"/>
      <c r="AG57" s="465"/>
      <c r="AH57" s="465"/>
      <c r="AI57" s="465"/>
      <c r="AJ57" s="465"/>
      <c r="AK57" s="465"/>
      <c r="AL57" s="465"/>
      <c r="AM57" s="465"/>
      <c r="AN57" s="465"/>
      <c r="AO57" s="465"/>
      <c r="AP57" s="465"/>
      <c r="AQ57" s="465"/>
      <c r="AR57" s="465"/>
      <c r="AS57" s="465"/>
      <c r="AT57" s="465"/>
      <c r="AU57" s="465"/>
      <c r="AV57" s="465"/>
      <c r="AW57" s="465"/>
      <c r="AX57" s="465"/>
      <c r="AY57" s="465"/>
      <c r="AZ57" s="465"/>
      <c r="BA57" s="465"/>
      <c r="BB57" s="473"/>
      <c r="BF57" s="489"/>
      <c r="BG57" s="489"/>
      <c r="BH57" s="489"/>
      <c r="BI57" s="489"/>
      <c r="BJ57" s="489"/>
      <c r="BK57" s="489"/>
      <c r="BL57" s="489"/>
      <c r="BM57" s="489"/>
      <c r="BN57" s="489"/>
      <c r="BO57" s="1169" t="s">
        <v>83</v>
      </c>
      <c r="BP57" s="1101" t="b">
        <f>IF(BU84=6,1)</f>
        <v>0</v>
      </c>
      <c r="BQ57" s="1142"/>
      <c r="BR57" s="1142"/>
      <c r="BS57" s="1142"/>
      <c r="BT57" s="1142"/>
      <c r="BU57" s="1142"/>
      <c r="BV57" s="1142"/>
      <c r="BW57" s="1142"/>
      <c r="BX57" s="1142"/>
      <c r="BY57" s="1142"/>
      <c r="BZ57" s="1116" t="b">
        <f>IF(BU84=6,11)</f>
        <v>0</v>
      </c>
      <c r="CA57" s="1096"/>
      <c r="CB57" s="1096"/>
      <c r="CC57" s="1096"/>
      <c r="CD57" s="1096"/>
      <c r="CE57" s="1096"/>
      <c r="CF57" s="1096"/>
      <c r="CG57" s="1096"/>
      <c r="CH57" s="1096"/>
      <c r="CI57" s="1096"/>
      <c r="CJ57" s="1096"/>
      <c r="CK57" s="1096"/>
      <c r="CL57" s="1096"/>
      <c r="CM57" s="1096"/>
      <c r="CN57" s="1093"/>
      <c r="CO57" s="1093"/>
      <c r="CP57" s="1093"/>
      <c r="CQ57" s="1093"/>
      <c r="CR57" s="1093"/>
      <c r="CS57" s="1093"/>
    </row>
    <row r="58" spans="2:97" ht="21.6" hidden="1" thickBot="1" x14ac:dyDescent="0.45">
      <c r="E58" s="490"/>
      <c r="F58" s="490"/>
      <c r="G58" s="490"/>
      <c r="H58" s="465"/>
      <c r="I58" s="465"/>
      <c r="J58" s="465"/>
      <c r="K58" s="465"/>
      <c r="L58" s="465"/>
      <c r="M58" s="465"/>
      <c r="N58" s="465"/>
      <c r="O58" s="465"/>
      <c r="P58" s="465"/>
      <c r="Q58" s="465"/>
      <c r="R58" s="465"/>
      <c r="S58" s="465"/>
      <c r="T58" s="465"/>
      <c r="U58" s="493"/>
      <c r="V58" s="465"/>
      <c r="W58" s="465"/>
      <c r="X58" s="465"/>
      <c r="Y58" s="465"/>
      <c r="Z58" s="465"/>
      <c r="AA58" s="465"/>
      <c r="AB58" s="493"/>
      <c r="AC58" s="493"/>
      <c r="AD58" s="493"/>
      <c r="AE58" s="493"/>
      <c r="AF58" s="465"/>
      <c r="AG58" s="465"/>
      <c r="AH58" s="465"/>
      <c r="AI58" s="465"/>
      <c r="AJ58" s="465"/>
      <c r="AK58" s="465"/>
      <c r="AL58" s="465"/>
      <c r="AM58" s="465"/>
      <c r="AN58" s="465"/>
      <c r="AO58" s="465"/>
      <c r="AP58" s="465"/>
      <c r="AQ58" s="465"/>
      <c r="AR58" s="465"/>
      <c r="AS58" s="465"/>
      <c r="AT58" s="465"/>
      <c r="AU58" s="465"/>
      <c r="AV58" s="465"/>
      <c r="AW58" s="465"/>
      <c r="AX58" s="465"/>
      <c r="AY58" s="465"/>
      <c r="AZ58" s="465"/>
      <c r="BA58" s="465"/>
      <c r="BB58" s="473"/>
      <c r="BF58" s="489"/>
      <c r="BG58" s="489"/>
      <c r="BH58" s="489"/>
      <c r="BI58" s="489"/>
      <c r="BJ58" s="489"/>
      <c r="BK58" s="489"/>
      <c r="BL58" s="489"/>
      <c r="BM58" s="489"/>
      <c r="BN58" s="489"/>
      <c r="BO58" s="1169" t="s">
        <v>37</v>
      </c>
      <c r="BP58" s="1115" t="b">
        <f>IF(BT84=5,1)</f>
        <v>0</v>
      </c>
      <c r="BQ58" s="586"/>
      <c r="BR58" s="1139"/>
      <c r="BS58" s="1139"/>
      <c r="BT58" s="1139"/>
      <c r="BU58" s="1139"/>
      <c r="BV58" s="1139"/>
      <c r="BW58" s="586"/>
      <c r="BX58" s="1113" t="b">
        <f>IF(BT84=5,9)</f>
        <v>0</v>
      </c>
      <c r="BY58" s="1096"/>
      <c r="BZ58" s="1096"/>
      <c r="CA58" s="1096"/>
      <c r="CB58" s="1096"/>
      <c r="CC58" s="1096"/>
      <c r="CD58" s="1096"/>
      <c r="CE58" s="1096"/>
      <c r="CF58" s="1096"/>
      <c r="CG58" s="1096"/>
      <c r="CH58" s="1096"/>
      <c r="CI58" s="1096"/>
      <c r="CJ58" s="1096"/>
      <c r="CK58" s="1096"/>
      <c r="CL58" s="1096"/>
      <c r="CM58" s="1096"/>
      <c r="CN58" s="1093"/>
      <c r="CO58" s="1093"/>
      <c r="CP58" s="1093"/>
      <c r="CQ58" s="1093"/>
      <c r="CR58" s="1093"/>
      <c r="CS58" s="1093"/>
    </row>
    <row r="59" spans="2:97" ht="21.6" hidden="1" thickBot="1" x14ac:dyDescent="0.45">
      <c r="E59" s="490"/>
      <c r="F59" s="490"/>
      <c r="G59" s="490"/>
      <c r="H59" s="465"/>
      <c r="I59" s="465"/>
      <c r="J59" s="465"/>
      <c r="K59" s="465"/>
      <c r="L59" s="465"/>
      <c r="M59" s="465"/>
      <c r="N59" s="465"/>
      <c r="O59" s="465"/>
      <c r="P59" s="465"/>
      <c r="Q59" s="465"/>
      <c r="R59" s="465"/>
      <c r="S59" s="465"/>
      <c r="T59" s="465"/>
      <c r="U59" s="493"/>
      <c r="V59" s="465"/>
      <c r="W59" s="465"/>
      <c r="X59" s="465"/>
      <c r="Y59" s="465"/>
      <c r="Z59" s="465"/>
      <c r="AA59" s="465"/>
      <c r="AB59" s="493"/>
      <c r="AC59" s="493"/>
      <c r="AD59" s="493"/>
      <c r="AE59" s="493"/>
      <c r="AF59" s="465"/>
      <c r="AG59" s="465"/>
      <c r="AH59" s="465"/>
      <c r="AI59" s="465"/>
      <c r="AJ59" s="465"/>
      <c r="AK59" s="465"/>
      <c r="AL59" s="465"/>
      <c r="AM59" s="465"/>
      <c r="AN59" s="465"/>
      <c r="AO59" s="465"/>
      <c r="AP59" s="465"/>
      <c r="AQ59" s="465"/>
      <c r="AR59" s="465"/>
      <c r="AS59" s="465"/>
      <c r="AT59" s="465"/>
      <c r="AU59" s="465"/>
      <c r="AV59" s="465"/>
      <c r="AW59" s="465"/>
      <c r="AX59" s="465"/>
      <c r="AY59" s="465"/>
      <c r="AZ59" s="465"/>
      <c r="BA59" s="465"/>
      <c r="BB59" s="473"/>
      <c r="BF59" s="489"/>
      <c r="BG59" s="489"/>
      <c r="BH59" s="489"/>
      <c r="BI59" s="489"/>
      <c r="BJ59" s="489"/>
      <c r="BK59" s="489"/>
      <c r="BL59" s="489"/>
      <c r="BM59" s="489"/>
      <c r="BN59" s="489"/>
      <c r="BO59" s="1169" t="s">
        <v>36</v>
      </c>
      <c r="BP59" s="1115" t="b">
        <f>IF(BS84=4,1)</f>
        <v>0</v>
      </c>
      <c r="BQ59" s="1139"/>
      <c r="BR59" s="1139"/>
      <c r="BS59" s="1139"/>
      <c r="BT59" s="1139"/>
      <c r="BU59" s="1139"/>
      <c r="BV59" s="1113" t="b">
        <f>IF(BS84=4,7)</f>
        <v>0</v>
      </c>
      <c r="BW59" s="1096"/>
      <c r="BX59" s="1141"/>
      <c r="BY59" s="1141"/>
      <c r="BZ59" s="1096"/>
      <c r="CA59" s="1141"/>
      <c r="CB59" s="1096"/>
      <c r="CC59" s="1096"/>
      <c r="CD59" s="1096"/>
      <c r="CE59" s="1096"/>
      <c r="CF59" s="1096"/>
      <c r="CG59" s="1096"/>
      <c r="CH59" s="1096"/>
      <c r="CI59" s="1096"/>
      <c r="CJ59" s="1096"/>
      <c r="CK59" s="1096"/>
      <c r="CL59" s="1096"/>
      <c r="CM59" s="1096"/>
      <c r="CN59" s="1093"/>
      <c r="CO59" s="1093"/>
      <c r="CP59" s="1093"/>
      <c r="CQ59" s="1093"/>
      <c r="CR59" s="1093"/>
      <c r="CS59" s="1093"/>
    </row>
    <row r="60" spans="2:97" ht="21.6" hidden="1" thickBot="1" x14ac:dyDescent="0.45">
      <c r="D60" s="490"/>
      <c r="E60" s="490"/>
      <c r="F60" s="490"/>
      <c r="G60" s="490"/>
      <c r="H60" s="465"/>
      <c r="I60" s="465"/>
      <c r="J60" s="465"/>
      <c r="K60" s="465"/>
      <c r="L60" s="465"/>
      <c r="M60" s="465"/>
      <c r="N60" s="465"/>
      <c r="O60" s="465"/>
      <c r="P60" s="465"/>
      <c r="Q60" s="465"/>
      <c r="R60" s="465"/>
      <c r="S60" s="465"/>
      <c r="T60" s="465"/>
      <c r="U60" s="493"/>
      <c r="V60" s="465"/>
      <c r="W60" s="465"/>
      <c r="X60" s="465"/>
      <c r="Y60" s="465"/>
      <c r="Z60" s="465"/>
      <c r="AA60" s="465"/>
      <c r="AB60" s="493"/>
      <c r="AC60" s="493"/>
      <c r="AD60" s="493"/>
      <c r="AE60" s="493"/>
      <c r="AF60" s="465"/>
      <c r="AG60" s="465"/>
      <c r="AH60" s="465"/>
      <c r="AI60" s="465"/>
      <c r="AJ60" s="465"/>
      <c r="AK60" s="465"/>
      <c r="AL60" s="465"/>
      <c r="AM60" s="465"/>
      <c r="AN60" s="465"/>
      <c r="AO60" s="465"/>
      <c r="AP60" s="465"/>
      <c r="AQ60" s="465"/>
      <c r="AR60" s="465"/>
      <c r="AS60" s="465"/>
      <c r="AT60" s="465"/>
      <c r="AU60" s="465"/>
      <c r="AV60" s="465"/>
      <c r="AW60" s="465"/>
      <c r="AX60" s="465"/>
      <c r="AY60" s="465"/>
      <c r="AZ60" s="465"/>
      <c r="BA60" s="465"/>
      <c r="BB60" s="473"/>
      <c r="BF60" s="489"/>
      <c r="BG60" s="489"/>
      <c r="BH60" s="489"/>
      <c r="BI60" s="489"/>
      <c r="BJ60" s="489"/>
      <c r="BK60" s="489"/>
      <c r="BL60" s="489"/>
      <c r="BM60" s="489"/>
      <c r="BN60" s="489"/>
      <c r="BO60" s="1169" t="s">
        <v>35</v>
      </c>
      <c r="BP60" s="1115" t="b">
        <f>IF(BR84=3,1)</f>
        <v>0</v>
      </c>
      <c r="BQ60" s="1139"/>
      <c r="BR60" s="1139"/>
      <c r="BS60" s="1139"/>
      <c r="BT60" s="1113" t="b">
        <f>IF(BR84=3,5)</f>
        <v>0</v>
      </c>
      <c r="BU60" s="1096"/>
      <c r="BV60" s="1096"/>
      <c r="BW60" s="1096"/>
      <c r="BX60" s="1096"/>
      <c r="BY60" s="1096"/>
      <c r="BZ60" s="1096"/>
      <c r="CA60" s="1096"/>
      <c r="CB60" s="1096"/>
      <c r="CC60" s="1096"/>
      <c r="CD60" s="1096"/>
      <c r="CE60" s="1096"/>
      <c r="CF60" s="1096"/>
      <c r="CG60" s="1096"/>
      <c r="CH60" s="1096"/>
      <c r="CI60" s="1096"/>
      <c r="CJ60" s="1096"/>
      <c r="CK60" s="1096"/>
      <c r="CL60" s="1096"/>
      <c r="CM60" s="1096"/>
      <c r="CN60" s="1093"/>
      <c r="CO60" s="1093"/>
      <c r="CP60" s="1093"/>
      <c r="CQ60" s="1093"/>
      <c r="CR60" s="1093"/>
      <c r="CS60" s="1093"/>
    </row>
    <row r="61" spans="2:97" ht="21.6" hidden="1" thickBot="1" x14ac:dyDescent="0.45">
      <c r="D61" s="490"/>
      <c r="E61" s="490"/>
      <c r="F61" s="490"/>
      <c r="G61" s="490"/>
      <c r="H61" s="465"/>
      <c r="I61" s="465"/>
      <c r="J61" s="465"/>
      <c r="K61" s="465"/>
      <c r="L61" s="465"/>
      <c r="M61" s="465"/>
      <c r="N61" s="465"/>
      <c r="O61" s="465"/>
      <c r="P61" s="465"/>
      <c r="Q61" s="465"/>
      <c r="R61" s="465"/>
      <c r="S61" s="465"/>
      <c r="T61" s="465"/>
      <c r="U61" s="493"/>
      <c r="V61" s="465"/>
      <c r="W61" s="465"/>
      <c r="X61" s="465"/>
      <c r="Y61" s="465"/>
      <c r="Z61" s="465"/>
      <c r="AA61" s="465"/>
      <c r="AB61" s="493"/>
      <c r="AC61" s="493"/>
      <c r="AD61" s="493"/>
      <c r="AE61" s="493"/>
      <c r="AF61" s="465"/>
      <c r="AG61" s="465"/>
      <c r="AH61" s="465"/>
      <c r="AI61" s="465"/>
      <c r="AJ61" s="465"/>
      <c r="AK61" s="465"/>
      <c r="AL61" s="465"/>
      <c r="AM61" s="465"/>
      <c r="AN61" s="465"/>
      <c r="AO61" s="465"/>
      <c r="AP61" s="465"/>
      <c r="AQ61" s="465"/>
      <c r="AR61" s="465"/>
      <c r="AS61" s="465"/>
      <c r="AT61" s="465"/>
      <c r="AU61" s="465"/>
      <c r="AV61" s="465"/>
      <c r="AW61" s="465"/>
      <c r="AX61" s="465"/>
      <c r="AY61" s="465"/>
      <c r="AZ61" s="465"/>
      <c r="BA61" s="465"/>
      <c r="BB61" s="473"/>
      <c r="BF61" s="489"/>
      <c r="BG61" s="489"/>
      <c r="BH61" s="489"/>
      <c r="BI61" s="489"/>
      <c r="BJ61" s="489"/>
      <c r="BK61" s="489"/>
      <c r="BL61" s="489"/>
      <c r="BM61" s="489"/>
      <c r="BN61" s="489"/>
      <c r="BO61" s="1169" t="s">
        <v>34</v>
      </c>
      <c r="BP61" s="1115" t="b">
        <f>IF(BQ84=2,1)</f>
        <v>0</v>
      </c>
      <c r="BQ61" s="1139"/>
      <c r="BR61" s="1113" t="b">
        <f>IF(BQ84=2,3)</f>
        <v>0</v>
      </c>
      <c r="BS61" s="1096"/>
      <c r="BT61" s="1096"/>
      <c r="BU61" s="1096"/>
      <c r="BV61" s="1096"/>
      <c r="BW61" s="1096"/>
      <c r="BX61" s="1096"/>
      <c r="BY61" s="1096"/>
      <c r="BZ61" s="1096"/>
      <c r="CA61" s="1096"/>
      <c r="CB61" s="1096"/>
      <c r="CC61" s="1096"/>
      <c r="CD61" s="1096"/>
      <c r="CE61" s="1096"/>
      <c r="CF61" s="1096"/>
      <c r="CG61" s="1096"/>
      <c r="CH61" s="1096"/>
      <c r="CI61" s="1096"/>
      <c r="CJ61" s="1096"/>
      <c r="CK61" s="1096"/>
      <c r="CL61" s="1096"/>
      <c r="CM61" s="1096"/>
      <c r="CN61" s="1093"/>
      <c r="CO61" s="1093"/>
      <c r="CP61" s="1093"/>
      <c r="CQ61" s="1093"/>
      <c r="CR61" s="1093"/>
      <c r="CS61" s="1093"/>
    </row>
    <row r="62" spans="2:97" ht="21.6" hidden="1" thickBot="1" x14ac:dyDescent="0.45">
      <c r="B62" s="491"/>
      <c r="C62" s="491"/>
      <c r="D62" s="490"/>
      <c r="E62" s="490"/>
      <c r="F62" s="490"/>
      <c r="G62" s="490"/>
      <c r="H62" s="465"/>
      <c r="I62" s="465"/>
      <c r="J62" s="465"/>
      <c r="K62" s="465"/>
      <c r="L62" s="465"/>
      <c r="M62" s="465"/>
      <c r="N62" s="465"/>
      <c r="O62" s="465"/>
      <c r="P62" s="465"/>
      <c r="Q62" s="465"/>
      <c r="R62" s="465"/>
      <c r="S62" s="465"/>
      <c r="T62" s="465"/>
      <c r="U62" s="493"/>
      <c r="V62" s="465"/>
      <c r="W62" s="465"/>
      <c r="X62" s="465"/>
      <c r="Y62" s="465"/>
      <c r="Z62" s="465"/>
      <c r="AA62" s="465"/>
      <c r="AB62" s="493"/>
      <c r="AC62" s="493"/>
      <c r="AD62" s="493"/>
      <c r="AE62" s="493"/>
      <c r="AF62" s="465"/>
      <c r="AG62" s="465"/>
      <c r="AH62" s="465"/>
      <c r="AI62" s="465"/>
      <c r="AJ62" s="465"/>
      <c r="AK62" s="465"/>
      <c r="AL62" s="465"/>
      <c r="AM62" s="465"/>
      <c r="AN62" s="465"/>
      <c r="AO62" s="465"/>
      <c r="AP62" s="465"/>
      <c r="AQ62" s="465"/>
      <c r="AR62" s="465"/>
      <c r="AS62" s="465"/>
      <c r="AT62" s="465"/>
      <c r="AU62" s="465"/>
      <c r="AV62" s="465"/>
      <c r="AW62" s="465"/>
      <c r="AX62" s="465"/>
      <c r="AY62" s="465"/>
      <c r="AZ62" s="465"/>
      <c r="BA62" s="465"/>
      <c r="BB62" s="473"/>
      <c r="BF62" s="489"/>
      <c r="BG62" s="489"/>
      <c r="BH62" s="489"/>
      <c r="BI62" s="489"/>
      <c r="BJ62" s="489"/>
      <c r="BK62" s="489"/>
      <c r="BL62" s="489"/>
      <c r="BM62" s="489"/>
      <c r="BN62" s="489"/>
      <c r="BO62" s="1135"/>
      <c r="BP62" s="1133">
        <f t="shared" ref="BP62:CS62" si="0">SUM(BP33:BP61)</f>
        <v>0</v>
      </c>
      <c r="BQ62" s="1133">
        <f t="shared" si="0"/>
        <v>2</v>
      </c>
      <c r="BR62" s="1133">
        <f t="shared" si="0"/>
        <v>0</v>
      </c>
      <c r="BS62" s="1133">
        <f t="shared" si="0"/>
        <v>0</v>
      </c>
      <c r="BT62" s="1133">
        <f t="shared" si="0"/>
        <v>0</v>
      </c>
      <c r="BU62" s="1133">
        <f t="shared" si="0"/>
        <v>0</v>
      </c>
      <c r="BV62" s="1133">
        <f t="shared" si="0"/>
        <v>0</v>
      </c>
      <c r="BW62" s="1133">
        <f t="shared" si="0"/>
        <v>0</v>
      </c>
      <c r="BX62" s="1133">
        <f t="shared" si="0"/>
        <v>0</v>
      </c>
      <c r="BY62" s="1133">
        <f t="shared" si="0"/>
        <v>0</v>
      </c>
      <c r="BZ62" s="1133">
        <f t="shared" si="0"/>
        <v>0</v>
      </c>
      <c r="CA62" s="1133">
        <f t="shared" si="0"/>
        <v>0</v>
      </c>
      <c r="CB62" s="1133">
        <f t="shared" si="0"/>
        <v>0</v>
      </c>
      <c r="CC62" s="1133">
        <f t="shared" si="0"/>
        <v>0</v>
      </c>
      <c r="CD62" s="1133">
        <f t="shared" si="0"/>
        <v>0</v>
      </c>
      <c r="CE62" s="1133">
        <f t="shared" si="0"/>
        <v>0</v>
      </c>
      <c r="CF62" s="1133">
        <f t="shared" si="0"/>
        <v>0</v>
      </c>
      <c r="CG62" s="1133">
        <f t="shared" si="0"/>
        <v>0</v>
      </c>
      <c r="CH62" s="1133">
        <f t="shared" si="0"/>
        <v>0</v>
      </c>
      <c r="CI62" s="1133">
        <f t="shared" si="0"/>
        <v>0</v>
      </c>
      <c r="CJ62" s="1133">
        <f t="shared" si="0"/>
        <v>0</v>
      </c>
      <c r="CK62" s="1133">
        <f t="shared" si="0"/>
        <v>22</v>
      </c>
      <c r="CL62" s="1133">
        <f t="shared" si="0"/>
        <v>0</v>
      </c>
      <c r="CM62" s="1133">
        <f t="shared" si="0"/>
        <v>0</v>
      </c>
      <c r="CN62" s="1133">
        <f t="shared" si="0"/>
        <v>0</v>
      </c>
      <c r="CO62" s="1133">
        <f t="shared" si="0"/>
        <v>0</v>
      </c>
      <c r="CP62" s="1133">
        <f t="shared" si="0"/>
        <v>0</v>
      </c>
      <c r="CQ62" s="1133">
        <f t="shared" si="0"/>
        <v>0</v>
      </c>
      <c r="CR62" s="1133">
        <f t="shared" si="0"/>
        <v>0</v>
      </c>
      <c r="CS62" s="1133">
        <f t="shared" si="0"/>
        <v>0</v>
      </c>
    </row>
    <row r="63" spans="2:97" ht="42.6" thickBot="1" x14ac:dyDescent="0.45">
      <c r="B63" s="491"/>
      <c r="C63" s="491"/>
      <c r="D63" s="490"/>
      <c r="E63" s="490"/>
      <c r="F63" s="490"/>
      <c r="G63" s="490"/>
      <c r="H63" s="465"/>
      <c r="I63" s="465"/>
      <c r="J63" s="465"/>
      <c r="K63" s="465"/>
      <c r="L63" s="465"/>
      <c r="M63" s="465"/>
      <c r="N63" s="465"/>
      <c r="O63" s="465"/>
      <c r="P63" s="465"/>
      <c r="Q63" s="465"/>
      <c r="R63" s="465"/>
      <c r="S63" s="465"/>
      <c r="T63" s="465"/>
      <c r="U63" s="493"/>
      <c r="V63" s="465"/>
      <c r="W63" s="465"/>
      <c r="X63" s="465"/>
      <c r="Y63" s="465"/>
      <c r="Z63" s="465"/>
      <c r="AA63" s="465"/>
      <c r="AB63" s="493"/>
      <c r="AC63" s="493"/>
      <c r="AD63" s="493"/>
      <c r="AE63" s="493"/>
      <c r="AF63" s="465"/>
      <c r="AG63" s="465"/>
      <c r="AH63" s="465"/>
      <c r="AI63" s="465"/>
      <c r="AJ63" s="465"/>
      <c r="AK63" s="465"/>
      <c r="AL63" s="465"/>
      <c r="AM63" s="465"/>
      <c r="AN63" s="465"/>
      <c r="AO63" s="465"/>
      <c r="AP63" s="465"/>
      <c r="AQ63" s="465"/>
      <c r="AR63" s="465"/>
      <c r="AS63" s="465"/>
      <c r="AT63" s="465"/>
      <c r="AU63" s="465"/>
      <c r="AV63" s="465"/>
      <c r="AW63" s="465"/>
      <c r="AX63" s="465"/>
      <c r="AY63" s="465"/>
      <c r="AZ63" s="465"/>
      <c r="BA63" s="465"/>
      <c r="BB63" s="473"/>
      <c r="BF63" s="489"/>
      <c r="BG63" s="489"/>
      <c r="BH63" s="489"/>
      <c r="BI63" s="489"/>
      <c r="BJ63" s="489"/>
      <c r="BK63" s="489"/>
      <c r="BL63" s="489"/>
      <c r="BM63" s="489"/>
      <c r="BN63" s="489"/>
      <c r="BO63" s="1134" t="s">
        <v>80</v>
      </c>
      <c r="BP63" s="1109" t="str">
        <f>IF(BP62=1,"A ","")</f>
        <v/>
      </c>
      <c r="BQ63" s="1108" t="str">
        <f>IF(BQ62=2,"B ","")</f>
        <v xml:space="preserve">B </v>
      </c>
      <c r="BR63" s="1108" t="str">
        <f>IF(BR62=3,"C ","")</f>
        <v/>
      </c>
      <c r="BS63" s="1108" t="str">
        <f>IF(BS62=4,"D ","")</f>
        <v/>
      </c>
      <c r="BT63" s="1108" t="str">
        <f>IF(BT62=5,"E ","")</f>
        <v/>
      </c>
      <c r="BU63" s="1108" t="str">
        <f>IF(BU62=6,"F ","")</f>
        <v/>
      </c>
      <c r="BV63" s="1108" t="str">
        <f>IF(BV62=7,"G ","")</f>
        <v/>
      </c>
      <c r="BW63" s="1108" t="str">
        <f>IF(BW62=8,"H ","")</f>
        <v/>
      </c>
      <c r="BX63" s="1108" t="str">
        <f>IF(BX62=9,"1 ","")</f>
        <v/>
      </c>
      <c r="BY63" s="1108" t="str">
        <f>IF(BY62=10,"2 ","")</f>
        <v/>
      </c>
      <c r="BZ63" s="1108" t="str">
        <f>IF(BZ62=11,"3 ","")</f>
        <v/>
      </c>
      <c r="CA63" s="1108" t="str">
        <f>IF(CA62=12,"4 ","")</f>
        <v/>
      </c>
      <c r="CB63" s="1108" t="str">
        <f>IF(CB62=13,"5 ","")</f>
        <v/>
      </c>
      <c r="CC63" s="1108" t="str">
        <f>IF(CC62=14,"i ","")</f>
        <v/>
      </c>
      <c r="CD63" s="1108" t="str">
        <f>IF(CD62=15,"J ","")</f>
        <v/>
      </c>
      <c r="CE63" s="1108" t="str">
        <f>IF(CE62=16,"6 ","")</f>
        <v/>
      </c>
      <c r="CF63" s="1108" t="str">
        <f>IF(CF62=17,"7 ","")</f>
        <v/>
      </c>
      <c r="CG63" s="1108" t="str">
        <f>IF(CG62=18,"8 ","")</f>
        <v/>
      </c>
      <c r="CH63" s="1108" t="str">
        <f>IF(CH62=19,"9 ","")</f>
        <v/>
      </c>
      <c r="CI63" s="1108" t="str">
        <f>IF(CI62=20,"10 ","")</f>
        <v/>
      </c>
      <c r="CJ63" s="1108" t="str">
        <f>IF(CJ62=21,"11 ","")</f>
        <v/>
      </c>
      <c r="CK63" s="1108" t="str">
        <f>IF(CK62=22,"12 ","")</f>
        <v xml:space="preserve">12 </v>
      </c>
      <c r="CL63" s="1108" t="str">
        <f>IF(CL62=23,"K ","")</f>
        <v/>
      </c>
      <c r="CM63" s="1108" t="str">
        <f>IF(CM62=24,"L ","")</f>
        <v/>
      </c>
      <c r="CN63" s="1108" t="str">
        <f>IF(CN62=25,"M ","")</f>
        <v/>
      </c>
      <c r="CO63" s="1108" t="str">
        <f>IF(CO62=26,"N ","")</f>
        <v/>
      </c>
      <c r="CP63" s="1108" t="str">
        <f>IF(CP62=27,"O ","")</f>
        <v/>
      </c>
      <c r="CQ63" s="1108" t="str">
        <f>IF(CQ62=28,"P ","")</f>
        <v/>
      </c>
      <c r="CR63" s="1108" t="str">
        <f>IF(CR62=29,"Q ","")</f>
        <v/>
      </c>
      <c r="CS63" s="1107" t="str">
        <f>IF(CS62=30,"R ","")</f>
        <v/>
      </c>
    </row>
    <row r="64" spans="2:97" ht="10.5" customHeight="1" thickBot="1" x14ac:dyDescent="0.45">
      <c r="B64" s="1227"/>
      <c r="E64" s="490"/>
      <c r="F64" s="490"/>
      <c r="G64" s="490"/>
      <c r="H64" s="465"/>
      <c r="I64" s="465"/>
      <c r="J64" s="465"/>
      <c r="K64" s="465"/>
      <c r="L64" s="465"/>
      <c r="M64" s="465"/>
      <c r="N64" s="465"/>
      <c r="O64" s="465"/>
      <c r="P64" s="465"/>
      <c r="Q64" s="465"/>
      <c r="R64" s="465"/>
      <c r="S64" s="465"/>
      <c r="T64" s="465"/>
      <c r="U64" s="493"/>
      <c r="V64" s="465"/>
      <c r="W64" s="465"/>
      <c r="X64" s="465"/>
      <c r="Y64" s="465"/>
      <c r="Z64" s="465"/>
      <c r="AA64" s="465"/>
      <c r="AB64" s="493"/>
      <c r="AC64" s="493"/>
      <c r="AD64" s="493"/>
      <c r="AE64" s="493"/>
      <c r="AF64" s="465"/>
      <c r="AG64" s="465"/>
      <c r="AH64" s="465"/>
      <c r="AI64" s="465"/>
      <c r="AJ64" s="465"/>
      <c r="AK64" s="465"/>
      <c r="AL64" s="465"/>
      <c r="AM64" s="465"/>
      <c r="AN64" s="465"/>
      <c r="AO64" s="465"/>
      <c r="AP64" s="465"/>
      <c r="AQ64" s="465"/>
      <c r="AR64" s="465"/>
      <c r="AS64" s="465"/>
      <c r="AT64" s="465"/>
      <c r="AU64" s="465"/>
      <c r="AV64" s="465"/>
      <c r="AW64" s="465"/>
      <c r="AX64" s="465"/>
      <c r="AY64" s="465"/>
      <c r="AZ64" s="465"/>
      <c r="BA64" s="465"/>
      <c r="BB64" s="473"/>
      <c r="BF64" s="489"/>
      <c r="BG64" s="489"/>
      <c r="BH64" s="489"/>
      <c r="BI64" s="489"/>
      <c r="BJ64" s="489"/>
      <c r="BK64" s="489"/>
      <c r="BL64" s="489"/>
      <c r="BM64" s="489"/>
      <c r="BN64" s="489"/>
      <c r="BO64" s="1093"/>
      <c r="BP64" s="1093"/>
      <c r="BQ64" s="1093"/>
      <c r="BR64" s="1093"/>
      <c r="BS64" s="1093"/>
      <c r="BT64" s="1093"/>
      <c r="BU64" s="1093"/>
      <c r="BV64" s="1093"/>
      <c r="BW64" s="1093"/>
      <c r="BX64" s="1093"/>
      <c r="BY64" s="1093"/>
      <c r="BZ64" s="1093"/>
      <c r="CA64" s="1093"/>
      <c r="CB64" s="1093"/>
      <c r="CC64" s="1093"/>
      <c r="CD64" s="1093"/>
      <c r="CE64" s="1093"/>
      <c r="CF64" s="1093"/>
      <c r="CG64" s="1093"/>
      <c r="CH64" s="1093"/>
      <c r="CI64" s="1104"/>
      <c r="CJ64" s="1104"/>
      <c r="CK64" s="1104"/>
      <c r="CL64" s="1104"/>
      <c r="CM64" s="1105"/>
      <c r="CN64" s="1093"/>
      <c r="CO64" s="1093"/>
      <c r="CP64" s="1093"/>
      <c r="CQ64" s="1093"/>
      <c r="CR64" s="1093"/>
      <c r="CS64" s="1093"/>
    </row>
    <row r="65" spans="2:136" ht="21" hidden="1" thickBot="1" x14ac:dyDescent="0.4">
      <c r="B65" s="1025" t="b">
        <f>AND(B86&gt;=10,D86&gt;=10,AZ106&gt;=10,BA106&gt;=10)</f>
        <v>1</v>
      </c>
      <c r="C65" s="491"/>
      <c r="D65" s="490"/>
      <c r="E65" s="1025" t="b">
        <f>AND(B86&gt;=10,D86&gt;=10,E86&gt;=10,AZ106&gt;=10,BA106&gt;=10)</f>
        <v>1</v>
      </c>
      <c r="G65" s="490"/>
      <c r="H65" s="465"/>
      <c r="I65" s="465"/>
      <c r="J65" s="465"/>
      <c r="K65" s="465"/>
      <c r="L65" s="465"/>
      <c r="M65" s="465"/>
      <c r="N65" s="465"/>
      <c r="O65" s="465"/>
      <c r="P65" s="465"/>
      <c r="Q65" s="465"/>
      <c r="R65" s="465"/>
      <c r="S65" s="465"/>
      <c r="T65" s="465"/>
      <c r="U65" s="493"/>
      <c r="V65" s="465"/>
      <c r="W65" s="465"/>
      <c r="X65" s="465"/>
      <c r="Y65" s="465"/>
      <c r="Z65" s="465"/>
      <c r="AA65" s="465"/>
      <c r="AB65" s="493"/>
      <c r="AC65" s="493"/>
      <c r="AD65" s="493"/>
      <c r="AE65" s="493"/>
      <c r="AF65" s="465"/>
      <c r="AG65" s="465"/>
      <c r="AH65" s="465"/>
      <c r="AI65" s="465"/>
      <c r="AJ65" s="465"/>
      <c r="AK65" s="465"/>
      <c r="AL65" s="465"/>
      <c r="AM65" s="465"/>
      <c r="AN65" s="465"/>
      <c r="AO65" s="465"/>
      <c r="AP65" s="465"/>
      <c r="AQ65" s="465"/>
      <c r="AR65" s="465"/>
      <c r="AS65" s="465"/>
      <c r="AT65" s="465"/>
      <c r="AU65" s="465"/>
      <c r="AV65" s="465"/>
      <c r="AW65" s="465"/>
      <c r="AX65" s="465"/>
      <c r="AY65" s="465"/>
      <c r="AZ65" s="465"/>
      <c r="BA65" s="465"/>
      <c r="BB65" s="473"/>
      <c r="BF65" s="489"/>
      <c r="BG65" s="489"/>
      <c r="BH65" s="489"/>
      <c r="BI65" s="489"/>
      <c r="BJ65" s="489"/>
      <c r="BK65" s="489"/>
      <c r="BL65" s="489"/>
      <c r="BM65" s="489"/>
      <c r="BN65" s="489"/>
      <c r="BO65" s="1093"/>
      <c r="BP65" s="1053"/>
      <c r="BQ65" s="1053"/>
      <c r="BR65" s="1053"/>
      <c r="BS65" s="1053"/>
      <c r="BT65" s="1053"/>
      <c r="BU65" s="1053"/>
      <c r="BV65" s="1053"/>
      <c r="BW65" s="1053"/>
      <c r="BX65" s="1053"/>
      <c r="BY65" s="1053"/>
      <c r="BZ65" s="1053"/>
      <c r="CA65" s="1053"/>
      <c r="CB65" s="1053"/>
      <c r="CC65" s="1053"/>
      <c r="CD65" s="1053"/>
      <c r="CE65" s="1053"/>
      <c r="CF65" s="1053"/>
      <c r="CG65" s="1053"/>
      <c r="CH65" s="1053"/>
      <c r="CI65" s="1267"/>
      <c r="CJ65" s="1267"/>
      <c r="CK65" s="1267"/>
      <c r="CL65" s="1267"/>
      <c r="CM65" s="505"/>
      <c r="CN65" s="1053"/>
    </row>
    <row r="66" spans="2:136" ht="21.6" thickBot="1" x14ac:dyDescent="0.45">
      <c r="B66" s="491"/>
      <c r="C66" s="491"/>
      <c r="D66" s="490"/>
      <c r="E66" s="490"/>
      <c r="F66" s="490"/>
      <c r="G66" s="490"/>
      <c r="H66" s="465"/>
      <c r="I66" s="465"/>
      <c r="J66" s="465"/>
      <c r="K66" s="465"/>
      <c r="L66" s="465"/>
      <c r="M66" s="465"/>
      <c r="N66" s="465"/>
      <c r="O66" s="465"/>
      <c r="P66" s="465"/>
      <c r="Q66" s="465"/>
      <c r="R66" s="465"/>
      <c r="S66" s="465"/>
      <c r="T66" s="465"/>
      <c r="U66" s="493"/>
      <c r="V66" s="465"/>
      <c r="W66" s="465"/>
      <c r="X66" s="465"/>
      <c r="Y66" s="465"/>
      <c r="Z66" s="465"/>
      <c r="AA66" s="465"/>
      <c r="AB66" s="493"/>
      <c r="AC66" s="493"/>
      <c r="AD66" s="493"/>
      <c r="AE66" s="493"/>
      <c r="AF66" s="465"/>
      <c r="AG66" s="465"/>
      <c r="AH66" s="465"/>
      <c r="AI66" s="465"/>
      <c r="AJ66" s="465"/>
      <c r="AK66" s="465"/>
      <c r="AL66" s="465"/>
      <c r="AM66" s="465"/>
      <c r="AN66" s="465"/>
      <c r="AO66" s="465"/>
      <c r="AP66" s="465"/>
      <c r="AQ66" s="465"/>
      <c r="AR66" s="465"/>
      <c r="AS66" s="465"/>
      <c r="AT66" s="465"/>
      <c r="AU66" s="465"/>
      <c r="AV66" s="465"/>
      <c r="AW66" s="465"/>
      <c r="AX66" s="465"/>
      <c r="AY66" s="465"/>
      <c r="AZ66" s="465"/>
      <c r="BA66" s="465"/>
      <c r="BB66" s="473"/>
      <c r="BF66" s="489"/>
      <c r="BG66" s="489"/>
      <c r="BH66" s="489"/>
      <c r="BI66" s="489"/>
      <c r="BJ66" s="489"/>
      <c r="BK66" s="489"/>
      <c r="BL66" s="489"/>
      <c r="BM66" s="489"/>
      <c r="BN66" s="489"/>
      <c r="BO66" s="1132" t="s">
        <v>30</v>
      </c>
      <c r="BP66" s="2071"/>
      <c r="BQ66" s="2072"/>
      <c r="BR66" s="2072"/>
      <c r="BS66" s="2072"/>
      <c r="BT66" s="2072"/>
      <c r="BU66" s="2072"/>
      <c r="BV66" s="2072"/>
      <c r="BW66" s="2073"/>
      <c r="BX66" s="1131" t="s">
        <v>31</v>
      </c>
      <c r="BY66" s="1014"/>
      <c r="BZ66" s="1014"/>
      <c r="CA66" s="1014"/>
      <c r="CB66" s="1014"/>
      <c r="CC66" s="1014"/>
      <c r="CD66" s="1014"/>
      <c r="CE66" s="1014"/>
      <c r="CF66" s="1014"/>
      <c r="CG66" s="1014"/>
      <c r="CH66" s="594"/>
      <c r="CI66" s="1003"/>
      <c r="CJ66" s="1003"/>
      <c r="CK66" s="1128" t="s">
        <v>32</v>
      </c>
      <c r="CL66" s="2071"/>
      <c r="CM66" s="2072"/>
      <c r="CN66" s="2072"/>
      <c r="CO66" s="2072"/>
      <c r="CP66" s="2072"/>
      <c r="CQ66" s="2072"/>
      <c r="CR66" s="2072"/>
      <c r="CS66" s="2073"/>
    </row>
    <row r="67" spans="2:136" ht="24.75" customHeight="1" thickTop="1" thickBot="1" x14ac:dyDescent="0.5">
      <c r="B67" s="1356" t="s">
        <v>190</v>
      </c>
      <c r="C67" s="1423"/>
      <c r="D67" s="1450"/>
      <c r="E67" s="1356" t="s">
        <v>191</v>
      </c>
      <c r="G67" s="490"/>
      <c r="H67" s="465"/>
      <c r="I67" s="465"/>
      <c r="J67" s="465"/>
      <c r="K67" s="465"/>
      <c r="L67" s="465"/>
      <c r="M67" s="465"/>
      <c r="N67" s="465"/>
      <c r="O67" s="465"/>
      <c r="P67" s="465"/>
      <c r="Q67" s="465"/>
      <c r="R67" s="465"/>
      <c r="S67" s="465"/>
      <c r="T67" s="465"/>
      <c r="U67" s="493"/>
      <c r="V67" s="465"/>
      <c r="W67" s="465"/>
      <c r="X67" s="465"/>
      <c r="Y67" s="465"/>
      <c r="Z67" s="465"/>
      <c r="AA67" s="465"/>
      <c r="AB67" s="493"/>
      <c r="AC67" s="493"/>
      <c r="AD67" s="493"/>
      <c r="AE67" s="493"/>
      <c r="AF67" s="465"/>
      <c r="AG67" s="465"/>
      <c r="AH67" s="465"/>
      <c r="AI67" s="465"/>
      <c r="AJ67" s="465"/>
      <c r="AK67" s="465"/>
      <c r="AL67" s="465"/>
      <c r="AM67" s="465"/>
      <c r="AN67" s="465"/>
      <c r="AO67" s="465"/>
      <c r="AP67" s="465"/>
      <c r="AQ67" s="465"/>
      <c r="AR67" s="465"/>
      <c r="AS67" s="465"/>
      <c r="AT67" s="465"/>
      <c r="AU67" s="465"/>
      <c r="AV67" s="465"/>
      <c r="AW67" s="465"/>
      <c r="AX67" s="465"/>
      <c r="AY67" s="465"/>
      <c r="AZ67" s="465"/>
      <c r="BA67" s="465"/>
      <c r="BB67" s="473"/>
      <c r="BE67" s="644"/>
      <c r="BF67" s="1099"/>
      <c r="BG67" s="1099"/>
      <c r="BH67" s="1053"/>
      <c r="BI67" s="1053"/>
      <c r="BJ67" s="1053"/>
      <c r="BK67" s="1053"/>
      <c r="BL67" s="1348" t="s">
        <v>223</v>
      </c>
      <c r="BM67" s="1348">
        <f>+MAX(BN28,BN30,BN67)</f>
        <v>160.80252252281966</v>
      </c>
      <c r="BN67" s="1347">
        <f>+IF(AND(CJ67&gt;0,BX67&gt;0),BX67)</f>
        <v>141.72715176763177</v>
      </c>
      <c r="BO67" s="1127" t="s">
        <v>41</v>
      </c>
      <c r="BP67" s="2074"/>
      <c r="BQ67" s="2075"/>
      <c r="BR67" s="2075"/>
      <c r="BS67" s="2075"/>
      <c r="BT67" s="2075"/>
      <c r="BU67" s="2075"/>
      <c r="BV67" s="2075"/>
      <c r="BW67" s="2076"/>
      <c r="BX67" s="2088">
        <f>+((D2-D3)/D2)*C7</f>
        <v>141.72715176763177</v>
      </c>
      <c r="BY67" s="2089"/>
      <c r="BZ67" s="1015"/>
      <c r="CA67" s="1015"/>
      <c r="CB67" s="1015"/>
      <c r="CC67" s="1015"/>
      <c r="CD67" s="1015"/>
      <c r="CE67" s="1015"/>
      <c r="CF67" s="1015"/>
      <c r="CG67" s="1015"/>
      <c r="CH67" s="586"/>
      <c r="CI67" s="1004"/>
      <c r="CJ67" s="2090">
        <f>+(D3/D2)*C7</f>
        <v>50.072848232368258</v>
      </c>
      <c r="CK67" s="2091"/>
      <c r="CL67" s="2074"/>
      <c r="CM67" s="2075"/>
      <c r="CN67" s="2075"/>
      <c r="CO67" s="2075"/>
      <c r="CP67" s="2075"/>
      <c r="CQ67" s="2075"/>
      <c r="CR67" s="2075"/>
      <c r="CS67" s="2076"/>
      <c r="CT67" s="1347">
        <f>+IF(AND(BX67&gt;0,CJ67&gt;0),CJ67)</f>
        <v>50.072848232368258</v>
      </c>
      <c r="CU67" s="1348">
        <f>+MAX(CT28,CT30,CT67)</f>
        <v>104.06414414384702</v>
      </c>
      <c r="CV67" s="1348" t="s">
        <v>224</v>
      </c>
    </row>
    <row r="68" spans="2:136" ht="31.2" thickTop="1" thickBot="1" x14ac:dyDescent="0.55000000000000004">
      <c r="B68" s="1443" t="str">
        <f>IF(B65=TRUE,"O K","OVERLOAD")</f>
        <v>O K</v>
      </c>
      <c r="C68" s="1423"/>
      <c r="D68" s="1422"/>
      <c r="E68" s="1420" t="str">
        <f>IF(E65=TRUE,"O K ","OVERLOAD")</f>
        <v xml:space="preserve">O K </v>
      </c>
      <c r="G68" s="490"/>
      <c r="H68" s="465"/>
      <c r="I68" s="465"/>
      <c r="J68" s="465"/>
      <c r="K68" s="465"/>
      <c r="L68" s="465"/>
      <c r="M68" s="465"/>
      <c r="N68" s="465"/>
      <c r="O68" s="465"/>
      <c r="P68" s="465"/>
      <c r="Q68" s="465"/>
      <c r="R68" s="465"/>
      <c r="S68" s="465"/>
      <c r="T68" s="465"/>
      <c r="U68" s="493"/>
      <c r="V68" s="465"/>
      <c r="W68" s="465"/>
      <c r="X68" s="465"/>
      <c r="Y68" s="465"/>
      <c r="Z68" s="465"/>
      <c r="AA68" s="465"/>
      <c r="AB68" s="493"/>
      <c r="AC68" s="493"/>
      <c r="AD68" s="493"/>
      <c r="AE68" s="493"/>
      <c r="AF68" s="465"/>
      <c r="AG68" s="465"/>
      <c r="AH68" s="465"/>
      <c r="AI68" s="465"/>
      <c r="AJ68" s="465"/>
      <c r="AK68" s="465"/>
      <c r="AL68" s="465"/>
      <c r="AM68" s="465"/>
      <c r="AN68" s="465"/>
      <c r="AO68" s="465"/>
      <c r="AP68" s="465"/>
      <c r="AQ68" s="465"/>
      <c r="AR68" s="465"/>
      <c r="AS68" s="465"/>
      <c r="AT68" s="465"/>
      <c r="AU68" s="465"/>
      <c r="AV68" s="465"/>
      <c r="AW68" s="465"/>
      <c r="AX68" s="465"/>
      <c r="AY68" s="465"/>
      <c r="AZ68" s="465"/>
      <c r="BA68" s="465"/>
      <c r="BB68" s="473"/>
      <c r="BE68" s="644"/>
      <c r="BF68" s="1099"/>
      <c r="BG68" s="1099"/>
      <c r="BH68" s="1053"/>
      <c r="BI68" s="1053"/>
      <c r="BJ68" s="1053"/>
      <c r="BK68" s="1053"/>
      <c r="BL68" s="1053"/>
      <c r="BM68" s="489"/>
      <c r="BN68" s="489"/>
      <c r="BO68" s="1112"/>
      <c r="BP68" s="1268"/>
      <c r="BQ68" s="509"/>
      <c r="BR68" s="1268"/>
      <c r="BS68" s="1268"/>
      <c r="BT68" s="1268"/>
      <c r="BU68" s="509"/>
      <c r="BV68" s="1268"/>
      <c r="BW68" s="1268"/>
      <c r="BX68" s="1268"/>
      <c r="BY68" s="1268"/>
      <c r="BZ68" s="1268"/>
      <c r="CA68" s="1268"/>
      <c r="CB68" s="1268"/>
      <c r="CC68" s="1268"/>
      <c r="CD68" s="1268"/>
      <c r="CE68" s="1268"/>
      <c r="CF68" s="495"/>
      <c r="CG68" s="1268"/>
      <c r="CH68" s="495"/>
      <c r="CI68" s="1267"/>
      <c r="CJ68" s="1267"/>
      <c r="CK68" s="1267"/>
      <c r="CL68" s="1267"/>
      <c r="CM68" s="1043"/>
      <c r="CN68" s="1043"/>
    </row>
    <row r="69" spans="2:136" ht="22.2" hidden="1" thickTop="1" thickBot="1" x14ac:dyDescent="0.45">
      <c r="B69" s="1423"/>
      <c r="C69" s="1423"/>
      <c r="D69" s="1425"/>
      <c r="E69" s="1425"/>
      <c r="F69" s="490"/>
      <c r="G69" s="490"/>
      <c r="H69" s="465"/>
      <c r="I69" s="465"/>
      <c r="J69" s="465"/>
      <c r="K69" s="465"/>
      <c r="L69" s="465"/>
      <c r="M69" s="465"/>
      <c r="N69" s="465"/>
      <c r="O69" s="465"/>
      <c r="P69" s="465"/>
      <c r="Q69" s="465"/>
      <c r="R69" s="465"/>
      <c r="S69" s="465"/>
      <c r="T69" s="465"/>
      <c r="U69" s="493"/>
      <c r="V69" s="465"/>
      <c r="W69" s="465"/>
      <c r="X69" s="465"/>
      <c r="Y69" s="465"/>
      <c r="Z69" s="465"/>
      <c r="AA69" s="465"/>
      <c r="AB69" s="493"/>
      <c r="AC69" s="493"/>
      <c r="AD69" s="493"/>
      <c r="AE69" s="493"/>
      <c r="AF69" s="465"/>
      <c r="AG69" s="465"/>
      <c r="AH69" s="465"/>
      <c r="AI69" s="465"/>
      <c r="AJ69" s="465"/>
      <c r="AK69" s="465"/>
      <c r="AL69" s="465"/>
      <c r="AM69" s="465"/>
      <c r="AN69" s="465"/>
      <c r="AO69" s="465"/>
      <c r="AP69" s="465"/>
      <c r="AQ69" s="465"/>
      <c r="AR69" s="465"/>
      <c r="AS69" s="465"/>
      <c r="AT69" s="465"/>
      <c r="AU69" s="465"/>
      <c r="AV69" s="465"/>
      <c r="AW69" s="465"/>
      <c r="AX69" s="465"/>
      <c r="AY69" s="465"/>
      <c r="AZ69" s="465"/>
      <c r="BA69" s="465"/>
      <c r="BB69" s="473"/>
      <c r="BE69" s="644"/>
      <c r="BF69" s="1099"/>
      <c r="BG69" s="1099"/>
      <c r="BH69" s="1053"/>
      <c r="BI69" s="1053"/>
      <c r="BJ69" s="1053"/>
      <c r="BK69" s="1053"/>
      <c r="BL69" s="1053"/>
      <c r="BM69" s="489"/>
      <c r="BN69" s="524"/>
      <c r="BO69" s="1112"/>
      <c r="BP69" s="1112"/>
      <c r="BQ69" s="1111"/>
      <c r="BR69" s="1112"/>
      <c r="BS69" s="1112"/>
      <c r="BT69" s="1112"/>
      <c r="BW69" s="474">
        <v>11</v>
      </c>
      <c r="BX69" s="1111"/>
      <c r="BY69" s="1112"/>
      <c r="BZ69" s="1112"/>
      <c r="CA69" s="1112"/>
      <c r="CB69" s="1112"/>
      <c r="CC69" s="1112"/>
      <c r="CD69" s="1112"/>
      <c r="CE69" s="1112"/>
      <c r="CF69" s="1112"/>
      <c r="CG69" s="1112"/>
      <c r="CH69" s="1112"/>
      <c r="CI69" s="1115" t="b">
        <f>IF(CJ84=21,10)</f>
        <v>0</v>
      </c>
      <c r="CJ69" s="1114"/>
      <c r="CK69" s="1113" t="b">
        <f>IF(CJ84=21,12)</f>
        <v>0</v>
      </c>
      <c r="CL69" s="1104"/>
      <c r="CM69" s="1094"/>
      <c r="CN69" s="1093"/>
      <c r="CO69" s="1093"/>
      <c r="CP69" s="1093"/>
      <c r="CQ69" s="1093"/>
      <c r="CR69" s="1093"/>
      <c r="CS69" s="1093"/>
      <c r="CT69" s="1093"/>
      <c r="CU69" s="1093"/>
    </row>
    <row r="70" spans="2:136" ht="22.2" hidden="1" thickTop="1" thickBot="1" x14ac:dyDescent="0.45">
      <c r="B70" s="1423"/>
      <c r="C70" s="1423"/>
      <c r="D70" s="1425"/>
      <c r="E70" s="1425"/>
      <c r="F70" s="490"/>
      <c r="G70" s="490"/>
      <c r="H70" s="465"/>
      <c r="I70" s="465"/>
      <c r="J70" s="465"/>
      <c r="K70" s="465"/>
      <c r="L70" s="465"/>
      <c r="M70" s="465"/>
      <c r="N70" s="465"/>
      <c r="O70" s="465"/>
      <c r="P70" s="465"/>
      <c r="Q70" s="465"/>
      <c r="R70" s="465"/>
      <c r="S70" s="465"/>
      <c r="T70" s="465"/>
      <c r="U70" s="493"/>
      <c r="V70" s="465"/>
      <c r="W70" s="465"/>
      <c r="X70" s="465"/>
      <c r="Y70" s="465"/>
      <c r="Z70" s="465"/>
      <c r="AA70" s="465"/>
      <c r="AB70" s="493"/>
      <c r="AC70" s="493"/>
      <c r="AD70" s="493"/>
      <c r="AE70" s="493"/>
      <c r="AF70" s="465"/>
      <c r="AG70" s="465"/>
      <c r="AH70" s="465"/>
      <c r="AI70" s="465"/>
      <c r="AJ70" s="465"/>
      <c r="AK70" s="465"/>
      <c r="AL70" s="465"/>
      <c r="AM70" s="465"/>
      <c r="AN70" s="465"/>
      <c r="AO70" s="465"/>
      <c r="AP70" s="465"/>
      <c r="AQ70" s="465"/>
      <c r="AR70" s="465"/>
      <c r="AS70" s="465"/>
      <c r="AT70" s="465"/>
      <c r="AU70" s="465"/>
      <c r="AV70" s="465"/>
      <c r="AW70" s="465"/>
      <c r="AX70" s="465"/>
      <c r="AY70" s="465"/>
      <c r="AZ70" s="465"/>
      <c r="BA70" s="465"/>
      <c r="BB70" s="473"/>
      <c r="BE70" s="644"/>
      <c r="BF70" s="1099"/>
      <c r="BG70" s="1099"/>
      <c r="BH70" s="1053"/>
      <c r="BI70" s="1053"/>
      <c r="BJ70" s="1053"/>
      <c r="BK70" s="1053"/>
      <c r="BL70" s="1053"/>
      <c r="BM70" s="489"/>
      <c r="BN70" s="524"/>
      <c r="BO70" s="1112"/>
      <c r="BP70" s="1112"/>
      <c r="BQ70" s="1111"/>
      <c r="BR70" s="1112"/>
      <c r="BS70" s="1112"/>
      <c r="BT70" s="1112"/>
      <c r="BW70" s="474">
        <v>10</v>
      </c>
      <c r="BX70" s="1111"/>
      <c r="BY70" s="1112"/>
      <c r="BZ70" s="1112"/>
      <c r="CA70" s="1112"/>
      <c r="CB70" s="1112"/>
      <c r="CC70" s="1112"/>
      <c r="CD70" s="1112"/>
      <c r="CE70" s="1112"/>
      <c r="CF70" s="1112"/>
      <c r="CG70" s="1121" t="b">
        <f>IF(CI84=20,8)</f>
        <v>0</v>
      </c>
      <c r="CH70" s="1120"/>
      <c r="CI70" s="1120"/>
      <c r="CJ70" s="1120"/>
      <c r="CK70" s="1119" t="b">
        <f>IF(CI84=20,12)</f>
        <v>0</v>
      </c>
      <c r="CL70" s="1104"/>
      <c r="CM70" s="1094"/>
      <c r="CN70" s="1093"/>
      <c r="CO70" s="1093"/>
      <c r="CP70" s="1093"/>
      <c r="CQ70" s="1093"/>
      <c r="CR70" s="1093"/>
      <c r="CS70" s="1093"/>
      <c r="CT70" s="1093"/>
      <c r="CU70" s="1093"/>
    </row>
    <row r="71" spans="2:136" ht="22.2" hidden="1" thickTop="1" thickBot="1" x14ac:dyDescent="0.45">
      <c r="B71" s="1423"/>
      <c r="C71" s="1423"/>
      <c r="D71" s="1425"/>
      <c r="E71" s="1425"/>
      <c r="F71" s="490"/>
      <c r="G71" s="490"/>
      <c r="H71" s="465"/>
      <c r="I71" s="465"/>
      <c r="J71" s="465"/>
      <c r="K71" s="465"/>
      <c r="L71" s="465"/>
      <c r="M71" s="465"/>
      <c r="N71" s="465"/>
      <c r="O71" s="465"/>
      <c r="P71" s="465"/>
      <c r="Q71" s="465"/>
      <c r="R71" s="465"/>
      <c r="S71" s="465"/>
      <c r="T71" s="465"/>
      <c r="U71" s="493"/>
      <c r="V71" s="465"/>
      <c r="W71" s="465"/>
      <c r="X71" s="465"/>
      <c r="Y71" s="465"/>
      <c r="Z71" s="465"/>
      <c r="AA71" s="465"/>
      <c r="AB71" s="493"/>
      <c r="AC71" s="493"/>
      <c r="AD71" s="493"/>
      <c r="AE71" s="493"/>
      <c r="AF71" s="465"/>
      <c r="AG71" s="465"/>
      <c r="AH71" s="465"/>
      <c r="AI71" s="465"/>
      <c r="AJ71" s="465"/>
      <c r="AK71" s="465"/>
      <c r="AL71" s="465"/>
      <c r="AM71" s="465"/>
      <c r="AN71" s="465"/>
      <c r="AO71" s="465"/>
      <c r="AP71" s="465"/>
      <c r="AQ71" s="465"/>
      <c r="AR71" s="465"/>
      <c r="AS71" s="465"/>
      <c r="AT71" s="465"/>
      <c r="AU71" s="465"/>
      <c r="AV71" s="465"/>
      <c r="AW71" s="465"/>
      <c r="AX71" s="465"/>
      <c r="AY71" s="465"/>
      <c r="AZ71" s="465"/>
      <c r="BA71" s="465"/>
      <c r="BB71" s="473"/>
      <c r="BE71" s="644"/>
      <c r="BF71" s="1099"/>
      <c r="BG71" s="1099"/>
      <c r="BH71" s="1053"/>
      <c r="BI71" s="1053"/>
      <c r="BJ71" s="1053"/>
      <c r="BK71" s="1053"/>
      <c r="BL71" s="1053"/>
      <c r="BM71" s="489"/>
      <c r="BN71" s="524"/>
      <c r="BO71" s="1112"/>
      <c r="BP71" s="1112"/>
      <c r="BQ71" s="1111"/>
      <c r="BR71" s="1112"/>
      <c r="BS71" s="1112"/>
      <c r="BT71" s="1112"/>
      <c r="BW71" s="474">
        <v>9</v>
      </c>
      <c r="BX71" s="1111"/>
      <c r="BY71" s="1112"/>
      <c r="BZ71" s="1112"/>
      <c r="CA71" s="1112"/>
      <c r="CB71" s="1112"/>
      <c r="CC71" s="1112"/>
      <c r="CD71" s="1112"/>
      <c r="CE71" s="1101" t="b">
        <f>IF(CH84=19,6)</f>
        <v>0</v>
      </c>
      <c r="CF71" s="1117"/>
      <c r="CG71" s="1118"/>
      <c r="CH71" s="1117"/>
      <c r="CI71" s="1118"/>
      <c r="CJ71" s="1117"/>
      <c r="CK71" s="1116" t="b">
        <f>IF(CH84=19,12)</f>
        <v>0</v>
      </c>
      <c r="CL71" s="1104"/>
      <c r="CM71" s="1094"/>
      <c r="CN71" s="1093"/>
      <c r="CO71" s="1093"/>
      <c r="CP71" s="1093"/>
      <c r="CQ71" s="1093"/>
      <c r="CR71" s="1093"/>
      <c r="CS71" s="1093"/>
      <c r="CT71" s="1093"/>
      <c r="CU71" s="1093"/>
    </row>
    <row r="72" spans="2:136" ht="22.2" hidden="1" thickTop="1" thickBot="1" x14ac:dyDescent="0.45">
      <c r="B72" s="1423"/>
      <c r="C72" s="1423"/>
      <c r="D72" s="1425"/>
      <c r="E72" s="1425"/>
      <c r="F72" s="490"/>
      <c r="G72" s="490"/>
      <c r="H72" s="465"/>
      <c r="I72" s="465"/>
      <c r="J72" s="465"/>
      <c r="K72" s="465"/>
      <c r="L72" s="465"/>
      <c r="M72" s="465"/>
      <c r="N72" s="465"/>
      <c r="O72" s="465"/>
      <c r="P72" s="465"/>
      <c r="Q72" s="465"/>
      <c r="R72" s="465"/>
      <c r="S72" s="465"/>
      <c r="T72" s="465"/>
      <c r="U72" s="493"/>
      <c r="V72" s="465"/>
      <c r="W72" s="465"/>
      <c r="X72" s="465"/>
      <c r="Y72" s="465"/>
      <c r="Z72" s="465"/>
      <c r="AA72" s="465"/>
      <c r="AB72" s="493"/>
      <c r="AC72" s="493"/>
      <c r="AD72" s="493"/>
      <c r="AE72" s="493"/>
      <c r="AF72" s="465"/>
      <c r="AG72" s="465"/>
      <c r="AH72" s="465"/>
      <c r="AI72" s="465"/>
      <c r="AJ72" s="465"/>
      <c r="AK72" s="465"/>
      <c r="AL72" s="465"/>
      <c r="AM72" s="465"/>
      <c r="AN72" s="465"/>
      <c r="AO72" s="465"/>
      <c r="AP72" s="465"/>
      <c r="AQ72" s="465"/>
      <c r="AR72" s="465"/>
      <c r="AS72" s="465"/>
      <c r="AT72" s="465"/>
      <c r="AU72" s="465"/>
      <c r="AV72" s="465"/>
      <c r="AW72" s="465"/>
      <c r="AX72" s="465"/>
      <c r="AY72" s="465"/>
      <c r="AZ72" s="465"/>
      <c r="BA72" s="465"/>
      <c r="BB72" s="473"/>
      <c r="BE72" s="644"/>
      <c r="BF72" s="1099"/>
      <c r="BG72" s="1099"/>
      <c r="BH72" s="1053"/>
      <c r="BI72" s="1053"/>
      <c r="BJ72" s="1053"/>
      <c r="BK72" s="1053"/>
      <c r="BL72" s="1053"/>
      <c r="BM72" s="489"/>
      <c r="BN72" s="524"/>
      <c r="BO72" s="1112"/>
      <c r="BP72" s="1112"/>
      <c r="BQ72" s="1111"/>
      <c r="BR72" s="1112"/>
      <c r="BS72" s="1112"/>
      <c r="BT72" s="1112"/>
      <c r="BW72" s="474">
        <v>8</v>
      </c>
      <c r="BX72" s="1111"/>
      <c r="BY72" s="1112"/>
      <c r="BZ72" s="1112"/>
      <c r="CA72" s="1112"/>
      <c r="CB72" s="1112"/>
      <c r="CE72" s="1115" t="b">
        <f>IF(CG84=18,6)</f>
        <v>0</v>
      </c>
      <c r="CF72" s="1114"/>
      <c r="CG72" s="1114"/>
      <c r="CH72" s="1114"/>
      <c r="CI72" s="1113" t="b">
        <f>IF(CG84=18,10)</f>
        <v>0</v>
      </c>
      <c r="CJ72" s="1112"/>
      <c r="CL72" s="1104"/>
      <c r="CM72" s="1094"/>
      <c r="CN72" s="1093"/>
      <c r="CO72" s="1093"/>
      <c r="CP72" s="1093"/>
      <c r="CQ72" s="1093"/>
      <c r="CR72" s="1093"/>
      <c r="CS72" s="1093"/>
      <c r="CT72" s="1093"/>
      <c r="CU72" s="1093"/>
    </row>
    <row r="73" spans="2:136" ht="22.2" hidden="1" thickTop="1" thickBot="1" x14ac:dyDescent="0.45">
      <c r="B73" s="1423"/>
      <c r="C73" s="1423"/>
      <c r="D73" s="1425"/>
      <c r="E73" s="1425"/>
      <c r="F73" s="490"/>
      <c r="G73" s="490"/>
      <c r="H73" s="465"/>
      <c r="I73" s="465"/>
      <c r="J73" s="465"/>
      <c r="K73" s="465"/>
      <c r="L73" s="465"/>
      <c r="M73" s="465"/>
      <c r="N73" s="465"/>
      <c r="O73" s="465"/>
      <c r="P73" s="465"/>
      <c r="Q73" s="465"/>
      <c r="R73" s="465"/>
      <c r="S73" s="465"/>
      <c r="T73" s="465"/>
      <c r="U73" s="493"/>
      <c r="V73" s="465"/>
      <c r="W73" s="465"/>
      <c r="X73" s="465"/>
      <c r="Y73" s="465"/>
      <c r="Z73" s="465"/>
      <c r="AA73" s="465"/>
      <c r="AB73" s="493"/>
      <c r="AC73" s="493"/>
      <c r="AD73" s="493"/>
      <c r="AE73" s="493"/>
      <c r="AF73" s="465"/>
      <c r="AG73" s="465"/>
      <c r="AH73" s="465"/>
      <c r="AI73" s="465"/>
      <c r="AJ73" s="465"/>
      <c r="AK73" s="465"/>
      <c r="AL73" s="465"/>
      <c r="AM73" s="465"/>
      <c r="AN73" s="465"/>
      <c r="AO73" s="465"/>
      <c r="AP73" s="465"/>
      <c r="AQ73" s="465"/>
      <c r="AR73" s="465"/>
      <c r="AS73" s="465"/>
      <c r="AT73" s="465"/>
      <c r="AU73" s="465"/>
      <c r="AV73" s="465"/>
      <c r="AW73" s="465"/>
      <c r="AX73" s="465"/>
      <c r="AY73" s="465"/>
      <c r="AZ73" s="465"/>
      <c r="BA73" s="465"/>
      <c r="BB73" s="473"/>
      <c r="BE73" s="644"/>
      <c r="BF73" s="1099"/>
      <c r="BG73" s="1099"/>
      <c r="BH73" s="1053"/>
      <c r="BI73" s="1053"/>
      <c r="BJ73" s="1053"/>
      <c r="BK73" s="1053"/>
      <c r="BL73" s="1053"/>
      <c r="BM73" s="489"/>
      <c r="BN73" s="524"/>
      <c r="BO73" s="1112"/>
      <c r="BP73" s="1112"/>
      <c r="BQ73" s="1111"/>
      <c r="BR73" s="1112"/>
      <c r="BS73" s="1112"/>
      <c r="BT73" s="1112"/>
      <c r="BW73" s="474">
        <v>7</v>
      </c>
      <c r="BX73" s="1111"/>
      <c r="BY73" s="1112"/>
      <c r="BZ73" s="1112"/>
      <c r="CA73" s="1101" t="b">
        <f>IF(CF84=17,4)</f>
        <v>0</v>
      </c>
      <c r="CB73" s="1117"/>
      <c r="CC73" s="1117"/>
      <c r="CD73" s="1117"/>
      <c r="CE73" s="1117"/>
      <c r="CF73" s="1117"/>
      <c r="CG73" s="1117"/>
      <c r="CH73" s="1117"/>
      <c r="CI73" s="1117"/>
      <c r="CJ73" s="1114"/>
      <c r="CK73" s="1116" t="b">
        <f>IF(CF84=17,12)</f>
        <v>0</v>
      </c>
      <c r="CL73" s="1104"/>
      <c r="CM73" s="1094"/>
      <c r="CN73" s="1093"/>
      <c r="CO73" s="1093"/>
      <c r="CP73" s="1093"/>
      <c r="CQ73" s="1093"/>
      <c r="CR73" s="1093"/>
      <c r="CS73" s="1093"/>
      <c r="CT73" s="1093"/>
      <c r="CU73" s="1093"/>
    </row>
    <row r="74" spans="2:136" ht="22.2" hidden="1" thickTop="1" thickBot="1" x14ac:dyDescent="0.45">
      <c r="B74" s="1423"/>
      <c r="C74" s="1423"/>
      <c r="D74" s="1425"/>
      <c r="E74" s="1425"/>
      <c r="F74" s="490"/>
      <c r="G74" s="490"/>
      <c r="H74" s="465"/>
      <c r="I74" s="465"/>
      <c r="J74" s="465"/>
      <c r="K74" s="465"/>
      <c r="L74" s="465"/>
      <c r="M74" s="465"/>
      <c r="N74" s="465"/>
      <c r="O74" s="465"/>
      <c r="P74" s="465"/>
      <c r="Q74" s="465"/>
      <c r="R74" s="465"/>
      <c r="S74" s="465"/>
      <c r="T74" s="465"/>
      <c r="U74" s="493"/>
      <c r="V74" s="465"/>
      <c r="W74" s="465"/>
      <c r="X74" s="465"/>
      <c r="Y74" s="465"/>
      <c r="Z74" s="465"/>
      <c r="AA74" s="465"/>
      <c r="AB74" s="493"/>
      <c r="AC74" s="493"/>
      <c r="AD74" s="493"/>
      <c r="AE74" s="493"/>
      <c r="AF74" s="465"/>
      <c r="AG74" s="465"/>
      <c r="AH74" s="465"/>
      <c r="AI74" s="465"/>
      <c r="AJ74" s="465"/>
      <c r="AK74" s="465"/>
      <c r="AL74" s="465"/>
      <c r="AM74" s="465"/>
      <c r="AN74" s="465"/>
      <c r="AO74" s="465"/>
      <c r="AP74" s="465"/>
      <c r="AQ74" s="465"/>
      <c r="AR74" s="465"/>
      <c r="AS74" s="465"/>
      <c r="AT74" s="465"/>
      <c r="AU74" s="465"/>
      <c r="AV74" s="465"/>
      <c r="AW74" s="465"/>
      <c r="AX74" s="465"/>
      <c r="AY74" s="465"/>
      <c r="AZ74" s="465"/>
      <c r="BA74" s="465"/>
      <c r="BB74" s="473"/>
      <c r="BE74" s="495"/>
      <c r="BF74" s="1099"/>
      <c r="BG74" s="1099"/>
      <c r="BH74" s="1053"/>
      <c r="BI74" s="1053"/>
      <c r="BJ74" s="1053"/>
      <c r="BK74" s="1053"/>
      <c r="BL74" s="1053"/>
      <c r="BM74" s="489"/>
      <c r="BN74" s="524"/>
      <c r="BO74" s="1112"/>
      <c r="BP74" s="1112"/>
      <c r="BQ74" s="1111"/>
      <c r="BR74" s="1112"/>
      <c r="BS74" s="1112"/>
      <c r="BT74" s="1112"/>
      <c r="BW74" s="474">
        <v>6</v>
      </c>
      <c r="BX74" s="1111"/>
      <c r="BY74" s="1101" t="b">
        <f>IF(CE84=16,2)</f>
        <v>0</v>
      </c>
      <c r="BZ74" s="1117"/>
      <c r="CA74" s="1117"/>
      <c r="CB74" s="1117"/>
      <c r="CC74" s="1117"/>
      <c r="CD74" s="1117"/>
      <c r="CE74" s="1117"/>
      <c r="CF74" s="1117"/>
      <c r="CG74" s="1117"/>
      <c r="CH74" s="1117"/>
      <c r="CI74" s="1117"/>
      <c r="CJ74" s="1117"/>
      <c r="CK74" s="1116" t="b">
        <f>IF(CE84=16,12)</f>
        <v>0</v>
      </c>
      <c r="CL74" s="1104"/>
      <c r="CM74" s="1094"/>
      <c r="CN74" s="1093"/>
      <c r="CO74" s="1093"/>
      <c r="CP74" s="1093"/>
      <c r="CQ74" s="1093"/>
      <c r="CR74" s="1093"/>
      <c r="CS74" s="1093"/>
      <c r="CT74" s="1093"/>
      <c r="CU74" s="1093"/>
    </row>
    <row r="75" spans="2:136" ht="22.2" hidden="1" thickTop="1" thickBot="1" x14ac:dyDescent="0.45">
      <c r="B75" s="1423"/>
      <c r="C75" s="1423"/>
      <c r="D75" s="1425"/>
      <c r="E75" s="1425"/>
      <c r="F75" s="490"/>
      <c r="G75" s="490"/>
      <c r="H75" s="465"/>
      <c r="I75" s="465"/>
      <c r="J75" s="465"/>
      <c r="K75" s="465"/>
      <c r="L75" s="465"/>
      <c r="M75" s="465"/>
      <c r="N75" s="465"/>
      <c r="O75" s="465"/>
      <c r="P75" s="465"/>
      <c r="Q75" s="465"/>
      <c r="R75" s="465"/>
      <c r="S75" s="465"/>
      <c r="T75" s="465"/>
      <c r="U75" s="493"/>
      <c r="V75" s="465"/>
      <c r="W75" s="465"/>
      <c r="X75" s="465"/>
      <c r="Y75" s="465"/>
      <c r="Z75" s="465"/>
      <c r="AA75" s="465"/>
      <c r="AB75" s="493"/>
      <c r="AC75" s="493"/>
      <c r="AD75" s="493"/>
      <c r="AE75" s="493"/>
      <c r="AF75" s="465"/>
      <c r="AG75" s="465"/>
      <c r="AH75" s="465"/>
      <c r="AI75" s="465"/>
      <c r="AJ75" s="465"/>
      <c r="AK75" s="465"/>
      <c r="AL75" s="465"/>
      <c r="AM75" s="465"/>
      <c r="AN75" s="465"/>
      <c r="AO75" s="465"/>
      <c r="AP75" s="465"/>
      <c r="AQ75" s="465"/>
      <c r="AR75" s="465"/>
      <c r="AS75" s="465"/>
      <c r="AT75" s="465"/>
      <c r="AU75" s="465"/>
      <c r="AV75" s="465"/>
      <c r="AW75" s="465"/>
      <c r="AX75" s="465"/>
      <c r="AY75" s="465"/>
      <c r="AZ75" s="465"/>
      <c r="BA75" s="465"/>
      <c r="BB75" s="473"/>
      <c r="BE75" s="1099"/>
      <c r="BF75" s="1099"/>
      <c r="BG75" s="1099"/>
      <c r="BH75" s="1053"/>
      <c r="BI75" s="1053"/>
      <c r="BJ75" s="1053"/>
      <c r="BK75" s="1053"/>
      <c r="BL75" s="1053"/>
      <c r="BM75" s="489"/>
      <c r="BN75" s="524"/>
      <c r="BO75" s="1112"/>
      <c r="BP75" s="1112"/>
      <c r="BQ75" s="1111"/>
      <c r="BR75" s="1112"/>
      <c r="BS75" s="1112"/>
      <c r="BT75" s="1112"/>
      <c r="BW75" s="476" t="s">
        <v>86</v>
      </c>
      <c r="BX75" s="1101" t="b">
        <f>IF(CD84=15,1)</f>
        <v>0</v>
      </c>
      <c r="BY75" s="1117"/>
      <c r="BZ75" s="1117"/>
      <c r="CA75" s="1117"/>
      <c r="CB75" s="1117"/>
      <c r="CC75" s="1117"/>
      <c r="CD75" s="1117"/>
      <c r="CE75" s="1117"/>
      <c r="CF75" s="1117"/>
      <c r="CG75" s="1117"/>
      <c r="CH75" s="1117"/>
      <c r="CI75" s="1117"/>
      <c r="CJ75" s="1116" t="b">
        <f>IF(CD84=15,11)</f>
        <v>0</v>
      </c>
      <c r="CK75" s="1111"/>
      <c r="CL75" s="1104"/>
      <c r="CM75" s="1094"/>
      <c r="CN75" s="1093"/>
      <c r="CO75" s="1093"/>
      <c r="CP75" s="1093"/>
      <c r="CQ75" s="1093"/>
      <c r="CR75" s="1093"/>
      <c r="CS75" s="1093"/>
      <c r="CT75" s="1093"/>
      <c r="CU75" s="1093"/>
    </row>
    <row r="76" spans="2:136" ht="22.2" hidden="1" thickTop="1" thickBot="1" x14ac:dyDescent="0.45">
      <c r="B76" s="1423"/>
      <c r="C76" s="1423"/>
      <c r="D76" s="1425"/>
      <c r="E76" s="1425"/>
      <c r="F76" s="490"/>
      <c r="G76" s="490"/>
      <c r="H76" s="465"/>
      <c r="I76" s="465"/>
      <c r="J76" s="465"/>
      <c r="K76" s="465"/>
      <c r="L76" s="465"/>
      <c r="M76" s="465"/>
      <c r="N76" s="465"/>
      <c r="O76" s="465"/>
      <c r="P76" s="465"/>
      <c r="Q76" s="465"/>
      <c r="R76" s="465"/>
      <c r="S76" s="465"/>
      <c r="T76" s="465"/>
      <c r="U76" s="493"/>
      <c r="V76" s="465"/>
      <c r="W76" s="465"/>
      <c r="X76" s="465"/>
      <c r="Y76" s="465"/>
      <c r="Z76" s="465"/>
      <c r="AA76" s="465"/>
      <c r="AB76" s="493"/>
      <c r="AC76" s="493"/>
      <c r="AD76" s="493"/>
      <c r="AE76" s="493"/>
      <c r="AF76" s="465"/>
      <c r="AG76" s="465"/>
      <c r="AH76" s="465"/>
      <c r="AI76" s="465"/>
      <c r="AJ76" s="465"/>
      <c r="AK76" s="465"/>
      <c r="AL76" s="465"/>
      <c r="AM76" s="465"/>
      <c r="AN76" s="465"/>
      <c r="AO76" s="465"/>
      <c r="AP76" s="465"/>
      <c r="AQ76" s="465"/>
      <c r="AR76" s="465"/>
      <c r="AS76" s="465"/>
      <c r="AT76" s="465"/>
      <c r="AU76" s="465"/>
      <c r="AV76" s="465"/>
      <c r="AW76" s="465"/>
      <c r="AX76" s="465"/>
      <c r="AY76" s="465"/>
      <c r="AZ76" s="465"/>
      <c r="BA76" s="465"/>
      <c r="BB76" s="473"/>
      <c r="BE76" s="1099"/>
      <c r="BF76" s="1099"/>
      <c r="BG76" s="1099"/>
      <c r="BH76" s="1053"/>
      <c r="BI76" s="1053"/>
      <c r="BJ76" s="1053"/>
      <c r="BK76" s="1053"/>
      <c r="BL76" s="1053"/>
      <c r="BM76" s="489"/>
      <c r="BN76" s="524"/>
      <c r="BO76" s="1112"/>
      <c r="BP76" s="1112"/>
      <c r="BQ76" s="1111"/>
      <c r="BR76" s="1112"/>
      <c r="BS76" s="1112"/>
      <c r="BT76" s="1112"/>
      <c r="BW76" s="476" t="s">
        <v>85</v>
      </c>
      <c r="BX76" s="1115" t="b">
        <f>IF(CC84=14,1)</f>
        <v>0</v>
      </c>
      <c r="BY76" s="1114"/>
      <c r="BZ76" s="1114"/>
      <c r="CA76" s="1114"/>
      <c r="CB76" s="1114"/>
      <c r="CC76" s="1114"/>
      <c r="CD76" s="1114"/>
      <c r="CE76" s="1114"/>
      <c r="CF76" s="1114"/>
      <c r="CG76" s="1114"/>
      <c r="CH76" s="1113" t="b">
        <f>IF(CC84=14,9)</f>
        <v>0</v>
      </c>
      <c r="CI76" s="1112"/>
      <c r="CJ76" s="1112"/>
      <c r="CK76" s="1111"/>
      <c r="CL76" s="1104"/>
      <c r="CM76" s="1094"/>
      <c r="CN76" s="1093"/>
      <c r="CO76" s="1093"/>
      <c r="CP76" s="1093"/>
      <c r="CQ76" s="1093"/>
      <c r="CR76" s="1093"/>
      <c r="CS76" s="1093"/>
      <c r="CT76" s="1093"/>
      <c r="CU76" s="1093"/>
    </row>
    <row r="77" spans="2:136" ht="22.2" hidden="1" thickTop="1" thickBot="1" x14ac:dyDescent="0.45">
      <c r="B77" s="1423"/>
      <c r="C77" s="1423"/>
      <c r="D77" s="1425"/>
      <c r="E77" s="1425"/>
      <c r="F77" s="490"/>
      <c r="G77" s="490"/>
      <c r="H77" s="465"/>
      <c r="I77" s="465"/>
      <c r="J77" s="465"/>
      <c r="K77" s="465"/>
      <c r="L77" s="465"/>
      <c r="M77" s="465"/>
      <c r="N77" s="465"/>
      <c r="O77" s="465"/>
      <c r="P77" s="465"/>
      <c r="Q77" s="465"/>
      <c r="R77" s="465"/>
      <c r="S77" s="465"/>
      <c r="T77" s="465"/>
      <c r="U77" s="493"/>
      <c r="V77" s="465"/>
      <c r="W77" s="465"/>
      <c r="X77" s="465"/>
      <c r="Y77" s="465"/>
      <c r="Z77" s="465"/>
      <c r="AA77" s="465"/>
      <c r="AB77" s="493"/>
      <c r="AC77" s="493"/>
      <c r="AD77" s="493"/>
      <c r="AE77" s="493"/>
      <c r="AF77" s="465"/>
      <c r="AG77" s="465"/>
      <c r="AH77" s="465"/>
      <c r="AI77" s="465"/>
      <c r="AJ77" s="465"/>
      <c r="AK77" s="465"/>
      <c r="AL77" s="465"/>
      <c r="AM77" s="465"/>
      <c r="AN77" s="465"/>
      <c r="AO77" s="465"/>
      <c r="AP77" s="465"/>
      <c r="AQ77" s="465"/>
      <c r="AR77" s="465"/>
      <c r="AS77" s="465"/>
      <c r="AT77" s="465"/>
      <c r="AU77" s="465"/>
      <c r="AV77" s="465"/>
      <c r="AW77" s="465"/>
      <c r="AX77" s="465"/>
      <c r="AY77" s="465"/>
      <c r="AZ77" s="465"/>
      <c r="BA77" s="465"/>
      <c r="BB77" s="473"/>
      <c r="BE77" s="1099"/>
      <c r="BF77" s="1099"/>
      <c r="BG77" s="1099"/>
      <c r="BH77" s="1053"/>
      <c r="BI77" s="1053"/>
      <c r="BJ77" s="1053"/>
      <c r="BK77" s="1053"/>
      <c r="BL77" s="1053"/>
      <c r="BM77" s="489"/>
      <c r="BN77" s="524"/>
      <c r="BO77" s="1112"/>
      <c r="BP77" s="1112"/>
      <c r="BQ77" s="1111"/>
      <c r="BR77" s="1112"/>
      <c r="BS77" s="1112"/>
      <c r="BT77" s="1112"/>
      <c r="BW77" s="474">
        <v>5</v>
      </c>
      <c r="BX77" s="1101" t="b">
        <f>IF(CB84=13,1)</f>
        <v>0</v>
      </c>
      <c r="BY77" s="1117"/>
      <c r="BZ77" s="1117"/>
      <c r="CA77" s="1118"/>
      <c r="CB77" s="1117"/>
      <c r="CC77" s="1118"/>
      <c r="CD77" s="1117"/>
      <c r="CE77" s="1117"/>
      <c r="CF77" s="1116" t="b">
        <f>IF(CB84=13,7)</f>
        <v>0</v>
      </c>
      <c r="CG77" s="1112"/>
      <c r="CH77" s="1112"/>
      <c r="CI77" s="1112"/>
      <c r="CJ77" s="1112"/>
      <c r="CK77" s="1111"/>
      <c r="CL77" s="1104"/>
      <c r="CM77" s="1094"/>
      <c r="CN77" s="1093"/>
      <c r="CO77" s="1093"/>
      <c r="CP77" s="1093"/>
      <c r="CQ77" s="1093"/>
      <c r="CR77" s="1093"/>
      <c r="CS77" s="1093"/>
      <c r="CT77" s="1093"/>
      <c r="CU77" s="1093"/>
    </row>
    <row r="78" spans="2:136" ht="22.2" hidden="1" thickTop="1" thickBot="1" x14ac:dyDescent="0.45">
      <c r="B78" s="1423"/>
      <c r="C78" s="1423"/>
      <c r="D78" s="1425"/>
      <c r="E78" s="1425"/>
      <c r="F78" s="490"/>
      <c r="G78" s="490"/>
      <c r="H78" s="465"/>
      <c r="I78" s="465"/>
      <c r="J78" s="465"/>
      <c r="K78" s="465"/>
      <c r="L78" s="465"/>
      <c r="M78" s="465"/>
      <c r="N78" s="465"/>
      <c r="O78" s="465"/>
      <c r="P78" s="465"/>
      <c r="Q78" s="465"/>
      <c r="R78" s="465"/>
      <c r="S78" s="465"/>
      <c r="T78" s="465"/>
      <c r="U78" s="493"/>
      <c r="V78" s="465"/>
      <c r="W78" s="465"/>
      <c r="X78" s="465"/>
      <c r="Y78" s="465"/>
      <c r="Z78" s="465"/>
      <c r="AA78" s="465"/>
      <c r="AB78" s="493"/>
      <c r="AC78" s="493"/>
      <c r="AD78" s="493"/>
      <c r="AE78" s="493"/>
      <c r="AF78" s="465"/>
      <c r="AG78" s="465"/>
      <c r="AH78" s="465"/>
      <c r="AI78" s="465"/>
      <c r="AJ78" s="465"/>
      <c r="AK78" s="465"/>
      <c r="AL78" s="465"/>
      <c r="AM78" s="465"/>
      <c r="AN78" s="465"/>
      <c r="AO78" s="465"/>
      <c r="AP78" s="465"/>
      <c r="AQ78" s="465"/>
      <c r="AR78" s="465"/>
      <c r="AS78" s="465"/>
      <c r="AT78" s="465"/>
      <c r="AU78" s="465"/>
      <c r="AV78" s="465"/>
      <c r="AW78" s="465"/>
      <c r="AX78" s="465"/>
      <c r="AY78" s="465"/>
      <c r="AZ78" s="465"/>
      <c r="BA78" s="465"/>
      <c r="BB78" s="473"/>
      <c r="BE78" s="1099"/>
      <c r="BF78" s="1099"/>
      <c r="BG78" s="1099"/>
      <c r="BH78" s="1053"/>
      <c r="BI78" s="1053"/>
      <c r="BJ78" s="1053"/>
      <c r="BK78" s="1053"/>
      <c r="BL78" s="1053"/>
      <c r="BM78" s="489"/>
      <c r="BN78" s="524"/>
      <c r="BO78" s="1112"/>
      <c r="BP78" s="1112"/>
      <c r="BQ78" s="1111"/>
      <c r="BR78" s="1112"/>
      <c r="BS78" s="1112"/>
      <c r="BT78" s="1112"/>
      <c r="BW78" s="474">
        <v>4</v>
      </c>
      <c r="BX78" s="1111"/>
      <c r="BZ78" s="1115">
        <f>IF(CA84=12,3)</f>
        <v>3</v>
      </c>
      <c r="CA78" s="1114"/>
      <c r="CB78" s="1113">
        <f>IF(CA84=12,5)</f>
        <v>5</v>
      </c>
      <c r="CD78" s="1112"/>
      <c r="CE78" s="1112"/>
      <c r="CF78" s="1112"/>
      <c r="CG78" s="1112"/>
      <c r="CH78" s="1112"/>
      <c r="CI78" s="1112"/>
      <c r="CJ78" s="1112"/>
      <c r="CK78" s="1111"/>
      <c r="CL78" s="1104"/>
      <c r="CM78" s="1094"/>
      <c r="CN78" s="1093"/>
      <c r="CO78" s="1093"/>
      <c r="CP78" s="1093"/>
      <c r="CQ78" s="1093"/>
      <c r="CR78" s="1093"/>
      <c r="CS78" s="1093"/>
      <c r="CT78" s="1093"/>
      <c r="CU78" s="1093"/>
    </row>
    <row r="79" spans="2:136" ht="22.2" hidden="1" thickTop="1" thickBot="1" x14ac:dyDescent="0.45">
      <c r="B79" s="1423"/>
      <c r="C79" s="1423"/>
      <c r="D79" s="1425"/>
      <c r="E79" s="1425"/>
      <c r="F79" s="490"/>
      <c r="G79" s="490"/>
      <c r="H79" s="465"/>
      <c r="I79" s="465"/>
      <c r="J79" s="465"/>
      <c r="K79" s="465"/>
      <c r="L79" s="465"/>
      <c r="M79" s="465"/>
      <c r="N79" s="465"/>
      <c r="O79" s="465"/>
      <c r="P79" s="465"/>
      <c r="Q79" s="465"/>
      <c r="R79" s="465"/>
      <c r="S79" s="465"/>
      <c r="T79" s="465"/>
      <c r="U79" s="493"/>
      <c r="V79" s="465"/>
      <c r="W79" s="465"/>
      <c r="X79" s="465"/>
      <c r="Y79" s="465"/>
      <c r="Z79" s="465"/>
      <c r="AA79" s="465"/>
      <c r="AB79" s="493"/>
      <c r="AC79" s="493"/>
      <c r="AD79" s="493"/>
      <c r="AE79" s="493"/>
      <c r="AF79" s="465"/>
      <c r="AG79" s="465"/>
      <c r="AH79" s="465"/>
      <c r="AI79" s="465"/>
      <c r="AJ79" s="465"/>
      <c r="AK79" s="465"/>
      <c r="AL79" s="465"/>
      <c r="AM79" s="465"/>
      <c r="AN79" s="465"/>
      <c r="AO79" s="465"/>
      <c r="AP79" s="465"/>
      <c r="AQ79" s="465"/>
      <c r="AR79" s="465"/>
      <c r="AS79" s="465"/>
      <c r="AT79" s="465"/>
      <c r="AU79" s="465"/>
      <c r="AV79" s="465"/>
      <c r="AW79" s="465"/>
      <c r="AX79" s="465"/>
      <c r="AY79" s="465"/>
      <c r="AZ79" s="465"/>
      <c r="BA79" s="465"/>
      <c r="BB79" s="473"/>
      <c r="BE79" s="1099"/>
      <c r="BF79" s="1099"/>
      <c r="BG79" s="1099"/>
      <c r="BH79" s="1053"/>
      <c r="BI79" s="1053"/>
      <c r="BJ79" s="1053"/>
      <c r="BK79" s="1053"/>
      <c r="BL79" s="1053"/>
      <c r="BM79" s="489"/>
      <c r="BN79" s="524"/>
      <c r="BO79" s="1112"/>
      <c r="BP79" s="1112"/>
      <c r="BQ79" s="1111"/>
      <c r="BR79" s="1112"/>
      <c r="BS79" s="1112"/>
      <c r="BT79" s="1112"/>
      <c r="BW79" s="474">
        <v>3</v>
      </c>
      <c r="BX79" s="1101" t="b">
        <f>IF(BZ84=11,1)</f>
        <v>0</v>
      </c>
      <c r="BY79" s="1117"/>
      <c r="BZ79" s="1117"/>
      <c r="CA79" s="1117"/>
      <c r="CB79" s="1116" t="b">
        <f>IF(BZ84=11,5)</f>
        <v>0</v>
      </c>
      <c r="CC79" s="1112"/>
      <c r="CD79" s="1112"/>
      <c r="CE79" s="1112"/>
      <c r="CF79" s="1112"/>
      <c r="CG79" s="1112"/>
      <c r="CH79" s="1112"/>
      <c r="CI79" s="1112"/>
      <c r="CJ79" s="1112"/>
      <c r="CK79" s="1111"/>
      <c r="CL79" s="1104"/>
      <c r="CM79" s="1094"/>
      <c r="CN79" s="1093"/>
      <c r="CO79" s="1093"/>
      <c r="CP79" s="1093"/>
      <c r="CQ79" s="1093"/>
      <c r="CR79" s="1093"/>
      <c r="CS79" s="1093"/>
      <c r="CT79" s="1093"/>
      <c r="CU79" s="1093"/>
      <c r="CY79" s="2064"/>
      <c r="CZ79" s="2064"/>
      <c r="DA79" s="1096"/>
      <c r="DB79" s="1096"/>
      <c r="DC79" s="1168"/>
      <c r="DD79" s="1094"/>
      <c r="DE79" s="1094"/>
      <c r="DF79" s="1094"/>
      <c r="DG79" s="1094"/>
      <c r="DH79" s="1094"/>
      <c r="DI79" s="1094"/>
      <c r="DJ79" s="1094"/>
      <c r="DK79" s="1094"/>
      <c r="DL79" s="1094"/>
      <c r="DM79" s="1094"/>
      <c r="DN79" s="1094"/>
      <c r="DO79" s="1094"/>
      <c r="DP79" s="1094"/>
      <c r="DQ79" s="1094"/>
      <c r="DR79" s="1094"/>
      <c r="DS79" s="1094"/>
      <c r="DT79" s="1094"/>
      <c r="DU79" s="1094"/>
      <c r="DV79" s="1094"/>
      <c r="DW79" s="1093"/>
      <c r="DX79" s="1093"/>
      <c r="DY79" s="1093"/>
      <c r="DZ79" s="1093"/>
      <c r="EA79" s="1093"/>
      <c r="EB79" s="1093"/>
      <c r="EC79" s="1093"/>
      <c r="ED79" s="1093"/>
      <c r="EE79" s="466"/>
      <c r="EF79" s="466"/>
    </row>
    <row r="80" spans="2:136" ht="22.2" hidden="1" thickTop="1" thickBot="1" x14ac:dyDescent="0.45">
      <c r="B80" s="1423"/>
      <c r="C80" s="1423"/>
      <c r="D80" s="1425"/>
      <c r="E80" s="1425"/>
      <c r="F80" s="490"/>
      <c r="G80" s="490"/>
      <c r="H80" s="465"/>
      <c r="I80" s="465"/>
      <c r="J80" s="465"/>
      <c r="K80" s="465"/>
      <c r="L80" s="465"/>
      <c r="M80" s="465"/>
      <c r="N80" s="465"/>
      <c r="O80" s="465"/>
      <c r="P80" s="465"/>
      <c r="Q80" s="465"/>
      <c r="R80" s="465"/>
      <c r="S80" s="465"/>
      <c r="T80" s="465"/>
      <c r="U80" s="493"/>
      <c r="V80" s="465"/>
      <c r="W80" s="465"/>
      <c r="X80" s="465"/>
      <c r="Y80" s="465"/>
      <c r="Z80" s="465"/>
      <c r="AA80" s="465"/>
      <c r="AB80" s="493"/>
      <c r="AC80" s="493"/>
      <c r="AD80" s="493"/>
      <c r="AE80" s="493"/>
      <c r="AF80" s="465"/>
      <c r="AG80" s="465"/>
      <c r="AH80" s="465"/>
      <c r="AI80" s="465"/>
      <c r="AJ80" s="465"/>
      <c r="AK80" s="465"/>
      <c r="AL80" s="465"/>
      <c r="AM80" s="465"/>
      <c r="AN80" s="465"/>
      <c r="AO80" s="465"/>
      <c r="AP80" s="465"/>
      <c r="AQ80" s="465"/>
      <c r="AR80" s="465"/>
      <c r="AS80" s="465"/>
      <c r="AT80" s="465"/>
      <c r="AU80" s="465"/>
      <c r="AV80" s="465"/>
      <c r="AW80" s="465"/>
      <c r="AX80" s="465"/>
      <c r="AY80" s="465"/>
      <c r="AZ80" s="465"/>
      <c r="BA80" s="465"/>
      <c r="BB80" s="473"/>
      <c r="BE80" s="1099"/>
      <c r="BF80" s="1099"/>
      <c r="BG80" s="1099"/>
      <c r="BH80" s="1053"/>
      <c r="BI80" s="1053"/>
      <c r="BJ80" s="1053"/>
      <c r="BK80" s="1053"/>
      <c r="BL80" s="1053"/>
      <c r="BM80" s="489"/>
      <c r="BN80" s="524"/>
      <c r="BO80" s="1112"/>
      <c r="BP80" s="1112"/>
      <c r="BQ80" s="1111"/>
      <c r="BR80" s="1112"/>
      <c r="BS80" s="1112"/>
      <c r="BT80" s="1112"/>
      <c r="BW80" s="474">
        <v>2</v>
      </c>
      <c r="BX80" s="1115" t="b">
        <f>IF(BY84=10,1)</f>
        <v>0</v>
      </c>
      <c r="BY80" s="1114"/>
      <c r="BZ80" s="1113" t="b">
        <f>IF(BY84=10,3)</f>
        <v>0</v>
      </c>
      <c r="CA80" s="1112"/>
      <c r="CB80" s="1112"/>
      <c r="CC80" s="1112"/>
      <c r="CD80" s="1112"/>
      <c r="CE80" s="1112"/>
      <c r="CF80" s="1112"/>
      <c r="CG80" s="1112"/>
      <c r="CH80" s="1112"/>
      <c r="CI80" s="1112"/>
      <c r="CJ80" s="1112"/>
      <c r="CK80" s="1111"/>
      <c r="CL80" s="1104"/>
      <c r="CM80" s="1094"/>
      <c r="CN80" s="1093"/>
      <c r="CO80" s="1093"/>
      <c r="CP80" s="1093"/>
      <c r="CQ80" s="1093"/>
      <c r="CR80" s="1093"/>
      <c r="CS80" s="1093"/>
      <c r="CT80" s="1093"/>
      <c r="CU80" s="1093"/>
      <c r="EC80" s="1093"/>
      <c r="ED80" s="1093"/>
    </row>
    <row r="81" spans="2:134" ht="22.2" hidden="1" thickTop="1" thickBot="1" x14ac:dyDescent="0.45">
      <c r="B81" s="1421"/>
      <c r="C81" s="1423"/>
      <c r="D81" s="1429"/>
      <c r="E81" s="1429"/>
      <c r="H81" s="465"/>
      <c r="I81" s="465"/>
      <c r="J81" s="465"/>
      <c r="K81" s="465"/>
      <c r="L81" s="465"/>
      <c r="M81" s="465"/>
      <c r="N81" s="465"/>
      <c r="O81" s="465"/>
      <c r="P81" s="465"/>
      <c r="Q81" s="465"/>
      <c r="R81" s="465"/>
      <c r="S81" s="465"/>
      <c r="T81" s="465"/>
      <c r="U81" s="493"/>
      <c r="V81" s="465"/>
      <c r="W81" s="465"/>
      <c r="X81" s="465"/>
      <c r="Y81" s="465"/>
      <c r="Z81" s="465"/>
      <c r="AA81" s="465"/>
      <c r="AB81" s="493"/>
      <c r="AC81" s="493"/>
      <c r="AD81" s="493"/>
      <c r="AE81" s="493"/>
      <c r="AF81" s="465"/>
      <c r="AG81" s="465"/>
      <c r="AH81" s="465"/>
      <c r="AI81" s="465"/>
      <c r="AJ81" s="465"/>
      <c r="AK81" s="465"/>
      <c r="AL81" s="465"/>
      <c r="AM81" s="465"/>
      <c r="AN81" s="465"/>
      <c r="AO81" s="465"/>
      <c r="AP81" s="465"/>
      <c r="AQ81" s="465"/>
      <c r="AR81" s="465"/>
      <c r="AS81" s="465"/>
      <c r="AT81" s="465"/>
      <c r="AU81" s="465"/>
      <c r="AV81" s="465"/>
      <c r="AW81" s="465"/>
      <c r="AX81" s="465"/>
      <c r="AY81" s="465"/>
      <c r="AZ81" s="465"/>
      <c r="BA81" s="465"/>
      <c r="BB81" s="473"/>
      <c r="BE81" s="1099"/>
      <c r="BF81" s="1099"/>
      <c r="BG81" s="1099"/>
      <c r="BH81" s="1053"/>
      <c r="BI81" s="1053"/>
      <c r="BJ81" s="1053"/>
      <c r="BK81" s="1053"/>
      <c r="BL81" s="1053"/>
      <c r="BM81" s="489"/>
      <c r="BN81" s="524"/>
      <c r="BO81" s="1112"/>
      <c r="BP81" s="1112"/>
      <c r="BQ81" s="1111"/>
      <c r="BR81" s="1112"/>
      <c r="BS81" s="1112"/>
      <c r="BT81" s="1112"/>
      <c r="BU81" s="1096"/>
      <c r="BV81" s="1112"/>
      <c r="BW81" s="1112"/>
      <c r="BX81" s="1112"/>
      <c r="BY81" s="1112"/>
      <c r="BZ81" s="1112"/>
      <c r="CA81" s="1112"/>
      <c r="CB81" s="1112"/>
      <c r="CC81" s="1112"/>
      <c r="CD81" s="1112"/>
      <c r="CE81" s="1112"/>
      <c r="CF81" s="1112"/>
      <c r="CG81" s="1112"/>
      <c r="CH81" s="1111"/>
      <c r="CI81" s="1104"/>
      <c r="CJ81" s="1104"/>
      <c r="CK81" s="1104"/>
      <c r="CL81" s="1104"/>
      <c r="CM81" s="1094"/>
      <c r="CN81" s="1093"/>
      <c r="CO81" s="1093"/>
      <c r="CP81" s="1093"/>
      <c r="CQ81" s="1093"/>
      <c r="CR81" s="1093"/>
      <c r="CS81" s="1093"/>
      <c r="CT81" s="1093"/>
      <c r="CU81" s="1093"/>
      <c r="EC81" s="1093"/>
      <c r="ED81" s="1093"/>
    </row>
    <row r="82" spans="2:134" ht="43.2" thickTop="1" thickBot="1" x14ac:dyDescent="0.45">
      <c r="B82" s="2099" t="s">
        <v>165</v>
      </c>
      <c r="C82" s="2099"/>
      <c r="D82" s="2099"/>
      <c r="E82" s="2099"/>
      <c r="H82" s="465"/>
      <c r="I82" s="465"/>
      <c r="J82" s="465"/>
      <c r="K82" s="465"/>
      <c r="L82" s="465"/>
      <c r="M82" s="465"/>
      <c r="N82" s="465"/>
      <c r="O82" s="465"/>
      <c r="P82" s="465"/>
      <c r="Q82" s="465"/>
      <c r="R82" s="465"/>
      <c r="S82" s="465"/>
      <c r="T82" s="465"/>
      <c r="U82" s="493"/>
      <c r="V82" s="465"/>
      <c r="W82" s="465"/>
      <c r="X82" s="465"/>
      <c r="Y82" s="465"/>
      <c r="Z82" s="465"/>
      <c r="AA82" s="465"/>
      <c r="AB82" s="493"/>
      <c r="AC82" s="493"/>
      <c r="AD82" s="493"/>
      <c r="AE82" s="493"/>
      <c r="AF82" s="465"/>
      <c r="AG82" s="465"/>
      <c r="AH82" s="465"/>
      <c r="AI82" s="465"/>
      <c r="AJ82" s="465"/>
      <c r="AK82" s="465"/>
      <c r="AL82" s="465"/>
      <c r="AM82" s="465"/>
      <c r="AN82" s="465"/>
      <c r="AO82" s="465"/>
      <c r="AP82" s="465"/>
      <c r="AQ82" s="465"/>
      <c r="AR82" s="465"/>
      <c r="AS82" s="465"/>
      <c r="AT82" s="465"/>
      <c r="AU82" s="465"/>
      <c r="AV82" s="465"/>
      <c r="AW82" s="465"/>
      <c r="AX82" s="465"/>
      <c r="AY82" s="465"/>
      <c r="AZ82" s="465"/>
      <c r="BA82" s="465"/>
      <c r="BB82" s="473"/>
      <c r="BE82" s="1099"/>
      <c r="BF82" s="1099"/>
      <c r="BG82" s="1099"/>
      <c r="BH82" s="1053"/>
      <c r="BI82" s="1053"/>
      <c r="BJ82" s="1053"/>
      <c r="BK82" s="1053"/>
      <c r="BL82" s="1053"/>
      <c r="BM82" s="489"/>
      <c r="BN82" s="524"/>
      <c r="BO82" s="1110" t="s">
        <v>82</v>
      </c>
      <c r="BP82" s="2078"/>
      <c r="BQ82" s="2079"/>
      <c r="BR82" s="2079"/>
      <c r="BS82" s="2079"/>
      <c r="BT82" s="2079"/>
      <c r="BU82" s="2079"/>
      <c r="BV82" s="2079"/>
      <c r="BW82" s="2080"/>
      <c r="BX82" s="1109">
        <f t="shared" ref="BX82:CK82" si="1">SUM(BX69:BX81)</f>
        <v>0</v>
      </c>
      <c r="BY82" s="1108">
        <f t="shared" si="1"/>
        <v>0</v>
      </c>
      <c r="BZ82" s="1108">
        <f t="shared" si="1"/>
        <v>3</v>
      </c>
      <c r="CA82" s="1108">
        <f t="shared" si="1"/>
        <v>0</v>
      </c>
      <c r="CB82" s="1108">
        <f t="shared" si="1"/>
        <v>5</v>
      </c>
      <c r="CC82" s="1108">
        <f t="shared" si="1"/>
        <v>0</v>
      </c>
      <c r="CD82" s="1108">
        <f t="shared" si="1"/>
        <v>0</v>
      </c>
      <c r="CE82" s="1108">
        <f t="shared" si="1"/>
        <v>0</v>
      </c>
      <c r="CF82" s="1108">
        <f t="shared" si="1"/>
        <v>0</v>
      </c>
      <c r="CG82" s="1108">
        <f t="shared" si="1"/>
        <v>0</v>
      </c>
      <c r="CH82" s="1108">
        <f t="shared" si="1"/>
        <v>0</v>
      </c>
      <c r="CI82" s="1108">
        <f t="shared" si="1"/>
        <v>0</v>
      </c>
      <c r="CJ82" s="1108">
        <f t="shared" si="1"/>
        <v>0</v>
      </c>
      <c r="CK82" s="1107">
        <f t="shared" si="1"/>
        <v>0</v>
      </c>
      <c r="CL82" s="2078"/>
      <c r="CM82" s="2079"/>
      <c r="CN82" s="2079"/>
      <c r="CO82" s="2079"/>
      <c r="CP82" s="2079"/>
      <c r="CQ82" s="2079"/>
      <c r="CR82" s="2079"/>
      <c r="CS82" s="2080"/>
      <c r="CT82" s="1093"/>
      <c r="CU82" s="1093"/>
      <c r="EC82" s="1093"/>
      <c r="ED82" s="1093"/>
    </row>
    <row r="83" spans="2:134" ht="24.6" thickTop="1" thickBot="1" x14ac:dyDescent="0.5">
      <c r="B83" s="1444" t="s">
        <v>170</v>
      </c>
      <c r="C83" s="1445"/>
      <c r="D83" s="1444" t="s">
        <v>171</v>
      </c>
      <c r="E83" s="1444" t="s">
        <v>168</v>
      </c>
      <c r="F83" s="490"/>
      <c r="G83" s="490"/>
      <c r="H83" s="465"/>
      <c r="I83" s="465"/>
      <c r="J83" s="465"/>
      <c r="K83" s="465"/>
      <c r="L83" s="465"/>
      <c r="M83" s="465"/>
      <c r="N83" s="465"/>
      <c r="O83" s="465"/>
      <c r="P83" s="465"/>
      <c r="Q83" s="465"/>
      <c r="R83" s="465"/>
      <c r="S83" s="465"/>
      <c r="T83" s="465"/>
      <c r="U83" s="493"/>
      <c r="V83" s="465"/>
      <c r="W83" s="465"/>
      <c r="X83" s="465"/>
      <c r="Y83" s="465"/>
      <c r="Z83" s="465"/>
      <c r="AA83" s="465"/>
      <c r="AB83" s="493"/>
      <c r="AC83" s="493"/>
      <c r="AD83" s="493"/>
      <c r="AE83" s="493"/>
      <c r="AF83" s="465"/>
      <c r="AG83" s="465"/>
      <c r="AH83" s="465"/>
      <c r="AI83" s="465"/>
      <c r="AJ83" s="465"/>
      <c r="AK83" s="465"/>
      <c r="AL83" s="465"/>
      <c r="AM83" s="465"/>
      <c r="AN83" s="465"/>
      <c r="AO83" s="465"/>
      <c r="AP83" s="465"/>
      <c r="AQ83" s="465"/>
      <c r="AR83" s="465"/>
      <c r="AS83" s="465"/>
      <c r="AT83" s="465"/>
      <c r="AU83" s="465"/>
      <c r="AV83" s="465"/>
      <c r="AW83" s="465"/>
      <c r="AX83" s="465"/>
      <c r="AY83" s="465"/>
      <c r="AZ83" s="465"/>
      <c r="BA83" s="465"/>
      <c r="BB83" s="473"/>
      <c r="BE83" s="1099"/>
      <c r="BF83" s="1099"/>
      <c r="BG83" s="1099"/>
      <c r="BH83" s="1053"/>
      <c r="BI83" s="1053"/>
      <c r="BJ83" s="1053"/>
      <c r="BK83" s="1053"/>
      <c r="BL83" s="1053"/>
      <c r="BM83" s="489"/>
      <c r="BN83" s="524"/>
      <c r="BO83" s="1106"/>
      <c r="BP83" s="1265"/>
      <c r="BQ83" s="1266"/>
      <c r="BR83" s="1265"/>
      <c r="BS83" s="1265"/>
      <c r="BT83" s="1265"/>
      <c r="BU83" s="1266"/>
      <c r="BV83" s="1265"/>
      <c r="BW83" s="1265"/>
      <c r="BX83" s="1265"/>
      <c r="BY83" s="1265"/>
      <c r="BZ83" s="1265"/>
      <c r="CA83" s="1265"/>
      <c r="CB83" s="1265"/>
      <c r="CC83" s="1265"/>
      <c r="CD83" s="1265"/>
      <c r="CE83" s="1265"/>
      <c r="CF83" s="1265"/>
      <c r="CG83" s="1265"/>
      <c r="CH83" s="1265"/>
      <c r="CI83" s="1265"/>
      <c r="CJ83" s="1265"/>
      <c r="CK83" s="1265"/>
      <c r="CL83" s="1265"/>
      <c r="CM83" s="1264"/>
      <c r="CN83" s="1263"/>
      <c r="CO83" s="1263"/>
      <c r="CP83" s="1263"/>
      <c r="CQ83" s="1263"/>
      <c r="CR83" s="1263"/>
      <c r="CS83" s="1263"/>
      <c r="CT83" s="1093"/>
      <c r="CU83" s="1093"/>
      <c r="EC83" s="1093"/>
      <c r="ED83" s="1093"/>
    </row>
    <row r="84" spans="2:134" ht="24" hidden="1" thickTop="1" thickBot="1" x14ac:dyDescent="0.45">
      <c r="B84" s="1446">
        <f>+C20/BM67</f>
        <v>49.750463329110474</v>
      </c>
      <c r="C84" s="1445"/>
      <c r="D84" s="1447">
        <f>+D20/CU67</f>
        <v>76.875662273661376</v>
      </c>
      <c r="E84" s="1448">
        <f>+E20/BP26</f>
        <v>41.710114702815432</v>
      </c>
      <c r="F84" s="490"/>
      <c r="G84" s="490"/>
      <c r="H84" s="465"/>
      <c r="I84" s="465"/>
      <c r="J84" s="465"/>
      <c r="K84" s="465"/>
      <c r="L84" s="465"/>
      <c r="M84" s="465"/>
      <c r="N84" s="465"/>
      <c r="O84" s="465"/>
      <c r="P84" s="465"/>
      <c r="Q84" s="465"/>
      <c r="R84" s="465"/>
      <c r="S84" s="465"/>
      <c r="T84" s="465"/>
      <c r="U84" s="493"/>
      <c r="V84" s="465"/>
      <c r="W84" s="465"/>
      <c r="X84" s="465"/>
      <c r="Y84" s="465"/>
      <c r="Z84" s="465"/>
      <c r="AA84" s="465"/>
      <c r="AB84" s="493"/>
      <c r="AC84" s="493"/>
      <c r="AD84" s="493"/>
      <c r="AE84" s="493"/>
      <c r="AF84" s="465"/>
      <c r="AG84" s="465"/>
      <c r="AH84" s="465"/>
      <c r="AI84" s="465"/>
      <c r="AJ84" s="465"/>
      <c r="AK84" s="465"/>
      <c r="AL84" s="465"/>
      <c r="AM84" s="465"/>
      <c r="AN84" s="465"/>
      <c r="AO84" s="465"/>
      <c r="AP84" s="465"/>
      <c r="AQ84" s="465"/>
      <c r="AR84" s="465"/>
      <c r="AS84" s="465"/>
      <c r="AT84" s="465"/>
      <c r="AU84" s="465"/>
      <c r="AV84" s="465"/>
      <c r="AW84" s="465"/>
      <c r="AX84" s="465"/>
      <c r="AY84" s="465"/>
      <c r="AZ84" s="465"/>
      <c r="BA84" s="465"/>
      <c r="BB84" s="473"/>
      <c r="BE84" s="1099"/>
      <c r="BF84" s="1099"/>
      <c r="BG84" s="1099"/>
      <c r="BH84" s="1053"/>
      <c r="BI84" s="1053"/>
      <c r="BJ84" s="1053"/>
      <c r="BK84" s="1053"/>
      <c r="BL84" s="1053"/>
      <c r="BM84" s="489"/>
      <c r="BN84" s="524"/>
      <c r="BO84" s="1096"/>
      <c r="BP84" s="1262" t="b">
        <f>+BN99</f>
        <v>0</v>
      </c>
      <c r="BQ84" s="1262" t="b">
        <f>+BN100</f>
        <v>0</v>
      </c>
      <c r="BR84" s="1262" t="b">
        <f>+BN101</f>
        <v>0</v>
      </c>
      <c r="BS84" s="1262" t="b">
        <f>+BN102</f>
        <v>0</v>
      </c>
      <c r="BT84" s="1262" t="b">
        <f>+BN103</f>
        <v>0</v>
      </c>
      <c r="BU84" s="1262" t="b">
        <f>+BN104</f>
        <v>0</v>
      </c>
      <c r="BV84" s="1262" t="b">
        <f>+BN105</f>
        <v>0</v>
      </c>
      <c r="BW84" s="1262" t="b">
        <f>+BN106</f>
        <v>0</v>
      </c>
      <c r="BX84" s="1262" t="b">
        <f>+BN107</f>
        <v>0</v>
      </c>
      <c r="BY84" s="1262" t="b">
        <f>+BN108</f>
        <v>0</v>
      </c>
      <c r="BZ84" s="1262" t="b">
        <f>+BN109</f>
        <v>0</v>
      </c>
      <c r="CA84" s="1262">
        <f>+BN110</f>
        <v>12</v>
      </c>
      <c r="CB84" s="1262" t="b">
        <f>+BN111</f>
        <v>0</v>
      </c>
      <c r="CC84" s="1262" t="b">
        <f>+BN112</f>
        <v>0</v>
      </c>
      <c r="CD84" s="1262" t="b">
        <f>+BN113</f>
        <v>0</v>
      </c>
      <c r="CE84" s="1262" t="b">
        <f>+BN114</f>
        <v>0</v>
      </c>
      <c r="CF84" s="1262" t="b">
        <f>+BN115</f>
        <v>0</v>
      </c>
      <c r="CG84" s="1262" t="b">
        <f>+BN116</f>
        <v>0</v>
      </c>
      <c r="CH84" s="1262" t="b">
        <f>+BN117</f>
        <v>0</v>
      </c>
      <c r="CI84" s="1262" t="b">
        <f>+BN118</f>
        <v>0</v>
      </c>
      <c r="CJ84" s="1262" t="b">
        <f>+BN119</f>
        <v>0</v>
      </c>
      <c r="CK84" s="1262" t="b">
        <f>+BN120</f>
        <v>0</v>
      </c>
      <c r="CL84" s="1262" t="b">
        <f>+BN121</f>
        <v>0</v>
      </c>
      <c r="CM84" s="1262" t="b">
        <f>+BN122</f>
        <v>0</v>
      </c>
      <c r="CN84" s="1262" t="b">
        <f>+BN123</f>
        <v>0</v>
      </c>
      <c r="CO84" s="1262" t="b">
        <f>+BN124</f>
        <v>0</v>
      </c>
      <c r="CP84" s="1262" t="b">
        <f>+BN125</f>
        <v>0</v>
      </c>
      <c r="CQ84" s="1262" t="b">
        <f>+BN126</f>
        <v>0</v>
      </c>
      <c r="CR84" s="1262" t="b">
        <f>+BN127</f>
        <v>0</v>
      </c>
      <c r="CS84" s="1262" t="b">
        <f>+BN128</f>
        <v>0</v>
      </c>
      <c r="CT84" s="1093"/>
      <c r="CU84" s="1093"/>
      <c r="CY84" s="1104"/>
      <c r="CZ84" s="1104"/>
      <c r="DA84" s="1104"/>
      <c r="DB84" s="1104"/>
      <c r="DC84" s="1104"/>
      <c r="DD84" s="1105"/>
      <c r="DE84" s="1104"/>
      <c r="DF84" s="1104"/>
      <c r="DG84" s="1104"/>
      <c r="DH84" s="1104"/>
      <c r="DI84" s="1104"/>
      <c r="DJ84" s="1104"/>
      <c r="DK84" s="1104"/>
      <c r="DL84" s="1104"/>
      <c r="DM84" s="1104"/>
      <c r="DN84" s="1104"/>
      <c r="DO84" s="1104"/>
      <c r="DP84" s="1104"/>
      <c r="DQ84" s="1104"/>
      <c r="DR84" s="1104"/>
      <c r="DS84" s="1104"/>
      <c r="DT84" s="1104"/>
      <c r="DU84" s="1104"/>
      <c r="DV84" s="1105"/>
      <c r="DW84" s="1093"/>
      <c r="DX84" s="1093"/>
      <c r="DY84" s="1093"/>
      <c r="DZ84" s="1093"/>
      <c r="EA84" s="1093"/>
      <c r="EB84" s="1093"/>
      <c r="EC84" s="1093"/>
      <c r="ED84" s="1093"/>
    </row>
    <row r="85" spans="2:134" ht="24" hidden="1" thickTop="1" thickBot="1" x14ac:dyDescent="0.45">
      <c r="B85" s="1445"/>
      <c r="C85" s="1445"/>
      <c r="D85" s="1449"/>
      <c r="E85" s="1449"/>
      <c r="F85" s="490"/>
      <c r="G85" s="490"/>
      <c r="H85" s="465"/>
      <c r="I85" s="465"/>
      <c r="J85" s="465"/>
      <c r="K85" s="465"/>
      <c r="L85" s="465"/>
      <c r="M85" s="465"/>
      <c r="N85" s="465"/>
      <c r="O85" s="465"/>
      <c r="P85" s="465"/>
      <c r="Q85" s="465"/>
      <c r="R85" s="465"/>
      <c r="S85" s="465"/>
      <c r="T85" s="465"/>
      <c r="U85" s="493"/>
      <c r="V85" s="465"/>
      <c r="W85" s="465"/>
      <c r="X85" s="465"/>
      <c r="Y85" s="465"/>
      <c r="Z85" s="465"/>
      <c r="AA85" s="465"/>
      <c r="AB85" s="493"/>
      <c r="AC85" s="493"/>
      <c r="AD85" s="493"/>
      <c r="AE85" s="493"/>
      <c r="AF85" s="465"/>
      <c r="AG85" s="465"/>
      <c r="AH85" s="465"/>
      <c r="AI85" s="465"/>
      <c r="AJ85" s="465"/>
      <c r="AK85" s="465"/>
      <c r="AL85" s="465"/>
      <c r="AM85" s="465"/>
      <c r="AN85" s="465"/>
      <c r="AO85" s="465"/>
      <c r="AP85" s="465"/>
      <c r="AQ85" s="465"/>
      <c r="AR85" s="465"/>
      <c r="AS85" s="465"/>
      <c r="AT85" s="465"/>
      <c r="AU85" s="465"/>
      <c r="AV85" s="465"/>
      <c r="AW85" s="465"/>
      <c r="AX85" s="465"/>
      <c r="AY85" s="465"/>
      <c r="AZ85" s="465"/>
      <c r="BA85" s="465"/>
      <c r="BB85" s="473"/>
      <c r="BE85" s="1099"/>
      <c r="BF85" s="1099"/>
      <c r="BG85" s="1099"/>
      <c r="BH85" s="1053"/>
      <c r="BI85" s="1053"/>
      <c r="BJ85" s="1053"/>
      <c r="BK85" s="1053"/>
      <c r="BL85" s="1053"/>
      <c r="BM85" s="489"/>
      <c r="BN85" s="524"/>
      <c r="BO85" s="1094" t="s">
        <v>27</v>
      </c>
      <c r="BP85" s="1262" t="b">
        <f t="shared" ref="BP85:CS85" si="2">+BP84</f>
        <v>0</v>
      </c>
      <c r="BQ85" s="1262" t="b">
        <f t="shared" si="2"/>
        <v>0</v>
      </c>
      <c r="BR85" s="1262" t="b">
        <f t="shared" si="2"/>
        <v>0</v>
      </c>
      <c r="BS85" s="1262" t="b">
        <f t="shared" si="2"/>
        <v>0</v>
      </c>
      <c r="BT85" s="1262" t="b">
        <f t="shared" si="2"/>
        <v>0</v>
      </c>
      <c r="BU85" s="1262" t="b">
        <f t="shared" si="2"/>
        <v>0</v>
      </c>
      <c r="BV85" s="1262" t="b">
        <f t="shared" si="2"/>
        <v>0</v>
      </c>
      <c r="BW85" s="1262" t="b">
        <f t="shared" si="2"/>
        <v>0</v>
      </c>
      <c r="BX85" s="1262" t="b">
        <f t="shared" si="2"/>
        <v>0</v>
      </c>
      <c r="BY85" s="1262" t="b">
        <f t="shared" si="2"/>
        <v>0</v>
      </c>
      <c r="BZ85" s="1262" t="b">
        <f t="shared" si="2"/>
        <v>0</v>
      </c>
      <c r="CA85" s="1262">
        <f t="shared" si="2"/>
        <v>12</v>
      </c>
      <c r="CB85" s="1262" t="b">
        <f t="shared" si="2"/>
        <v>0</v>
      </c>
      <c r="CC85" s="1262" t="b">
        <f t="shared" si="2"/>
        <v>0</v>
      </c>
      <c r="CD85" s="1262" t="b">
        <f t="shared" si="2"/>
        <v>0</v>
      </c>
      <c r="CE85" s="1262" t="b">
        <f t="shared" si="2"/>
        <v>0</v>
      </c>
      <c r="CF85" s="1262" t="b">
        <f t="shared" si="2"/>
        <v>0</v>
      </c>
      <c r="CG85" s="1262" t="b">
        <f t="shared" si="2"/>
        <v>0</v>
      </c>
      <c r="CH85" s="1262" t="b">
        <f t="shared" si="2"/>
        <v>0</v>
      </c>
      <c r="CI85" s="1262" t="b">
        <f t="shared" si="2"/>
        <v>0</v>
      </c>
      <c r="CJ85" s="1262" t="b">
        <f t="shared" si="2"/>
        <v>0</v>
      </c>
      <c r="CK85" s="1262" t="b">
        <f t="shared" si="2"/>
        <v>0</v>
      </c>
      <c r="CL85" s="1262" t="b">
        <f t="shared" si="2"/>
        <v>0</v>
      </c>
      <c r="CM85" s="1262" t="b">
        <f t="shared" si="2"/>
        <v>0</v>
      </c>
      <c r="CN85" s="1262" t="b">
        <f t="shared" si="2"/>
        <v>0</v>
      </c>
      <c r="CO85" s="1262" t="b">
        <f t="shared" si="2"/>
        <v>0</v>
      </c>
      <c r="CP85" s="1262" t="b">
        <f t="shared" si="2"/>
        <v>0</v>
      </c>
      <c r="CQ85" s="1262" t="b">
        <f t="shared" si="2"/>
        <v>0</v>
      </c>
      <c r="CR85" s="1262" t="b">
        <f t="shared" si="2"/>
        <v>0</v>
      </c>
      <c r="CS85" s="1262" t="b">
        <f t="shared" si="2"/>
        <v>0</v>
      </c>
      <c r="CT85" s="1093"/>
      <c r="CU85" s="1093"/>
      <c r="CY85" s="1104"/>
      <c r="CZ85" s="1104"/>
      <c r="DA85" s="1104"/>
      <c r="DB85" s="1104"/>
      <c r="DC85" s="1104"/>
      <c r="DD85" s="1105"/>
      <c r="DE85" s="1104"/>
      <c r="DF85" s="1104"/>
      <c r="DG85" s="1104"/>
      <c r="DH85" s="1104"/>
      <c r="DI85" s="1104"/>
      <c r="DJ85" s="1104"/>
      <c r="DK85" s="1104"/>
      <c r="DL85" s="1104"/>
      <c r="DM85" s="1104"/>
      <c r="DN85" s="1104"/>
      <c r="DO85" s="1104"/>
      <c r="DP85" s="1104"/>
      <c r="DQ85" s="1104"/>
      <c r="DR85" s="1104"/>
      <c r="DS85" s="1104"/>
      <c r="DT85" s="1104"/>
      <c r="DU85" s="1104"/>
      <c r="DV85" s="1105"/>
      <c r="DW85" s="1093"/>
      <c r="DX85" s="1093"/>
      <c r="DY85" s="1093"/>
      <c r="DZ85" s="1093"/>
      <c r="EA85" s="1093"/>
      <c r="EB85" s="1093"/>
      <c r="EC85" s="1093"/>
      <c r="ED85" s="1093"/>
    </row>
    <row r="86" spans="2:134" ht="33.75" customHeight="1" thickTop="1" thickBot="1" x14ac:dyDescent="0.45">
      <c r="B86" s="1367">
        <f>ABS(B84)</f>
        <v>49.750463329110474</v>
      </c>
      <c r="C86" s="1445"/>
      <c r="D86" s="1367">
        <f>ABS(D84)</f>
        <v>76.875662273661376</v>
      </c>
      <c r="E86" s="1367">
        <f>+IF(AND(D84&lt;&gt;TRUE,B84&lt;&gt;TRUE),E84)</f>
        <v>41.710114702815432</v>
      </c>
      <c r="F86" s="490"/>
      <c r="G86" s="490"/>
      <c r="H86" s="465"/>
      <c r="I86" s="465"/>
      <c r="J86" s="465"/>
      <c r="K86" s="465"/>
      <c r="L86" s="465"/>
      <c r="M86" s="465"/>
      <c r="N86" s="465"/>
      <c r="O86" s="465"/>
      <c r="P86" s="465"/>
      <c r="Q86" s="465"/>
      <c r="R86" s="465"/>
      <c r="S86" s="465"/>
      <c r="T86" s="465"/>
      <c r="U86" s="493"/>
      <c r="V86" s="465"/>
      <c r="W86" s="465"/>
      <c r="X86" s="465"/>
      <c r="Y86" s="465"/>
      <c r="Z86" s="465"/>
      <c r="AA86" s="465"/>
      <c r="AB86" s="493"/>
      <c r="AC86" s="493"/>
      <c r="AD86" s="493"/>
      <c r="AE86" s="493"/>
      <c r="AF86" s="465"/>
      <c r="AG86" s="465"/>
      <c r="AH86" s="465"/>
      <c r="AI86" s="465"/>
      <c r="AJ86" s="465"/>
      <c r="AK86" s="465"/>
      <c r="AL86" s="465"/>
      <c r="AM86" s="465"/>
      <c r="AN86" s="465"/>
      <c r="AO86" s="465"/>
      <c r="AP86" s="465"/>
      <c r="AQ86" s="465"/>
      <c r="AR86" s="465"/>
      <c r="AS86" s="465"/>
      <c r="AT86" s="465"/>
      <c r="AU86" s="465"/>
      <c r="AV86" s="465"/>
      <c r="AW86" s="465"/>
      <c r="AX86" s="465"/>
      <c r="AY86" s="465"/>
      <c r="AZ86" s="465"/>
      <c r="BA86" s="465"/>
      <c r="BB86" s="473"/>
      <c r="BE86" s="1099"/>
      <c r="BF86" s="1099"/>
      <c r="BH86" s="1053"/>
      <c r="BI86" s="1053"/>
      <c r="BJ86" s="1053"/>
      <c r="BK86" s="1053"/>
      <c r="BL86" s="1053"/>
      <c r="BM86" s="489"/>
      <c r="BN86" s="524"/>
      <c r="BO86" s="1101" t="s">
        <v>27</v>
      </c>
      <c r="BP86" s="1100" t="str">
        <f>IF(BP85=1,"A ","")</f>
        <v/>
      </c>
      <c r="BQ86" s="1017" t="str">
        <f>IF(BQ85=2,"B ","")</f>
        <v/>
      </c>
      <c r="BR86" s="1017" t="str">
        <f>IF(BR85=3,"C ","")</f>
        <v/>
      </c>
      <c r="BS86" s="1017" t="str">
        <f>IF(BS85=4,"D ","")</f>
        <v/>
      </c>
      <c r="BT86" s="1017" t="str">
        <f>IF(BT85=5,"E ","")</f>
        <v/>
      </c>
      <c r="BU86" s="1017" t="str">
        <f>IF(BU85=6,"F ","")</f>
        <v/>
      </c>
      <c r="BV86" s="1017" t="str">
        <f>IF(BV85=7,"G ","")</f>
        <v/>
      </c>
      <c r="BW86" s="1017" t="str">
        <f>IF(BW85=8,"H ","")</f>
        <v/>
      </c>
      <c r="BX86" s="1017" t="str">
        <f>IF(BX85=9,"1 ","")</f>
        <v/>
      </c>
      <c r="BY86" s="1017" t="str">
        <f>IF(BY85=10,"2 ","")</f>
        <v/>
      </c>
      <c r="BZ86" s="1017" t="str">
        <f>IF(BZ85=11,"3 ","")</f>
        <v/>
      </c>
      <c r="CA86" s="1017" t="str">
        <f>IF(CA85=12,"4 ","")</f>
        <v xml:space="preserve">4 </v>
      </c>
      <c r="CB86" s="1017" t="str">
        <f>IF(CB85=13,"5 ","")</f>
        <v/>
      </c>
      <c r="CC86" s="1017" t="str">
        <f>IF(CC85=14,"i ","")</f>
        <v/>
      </c>
      <c r="CD86" s="1017" t="str">
        <f>IF(CD85=15,"J ","")</f>
        <v/>
      </c>
      <c r="CE86" s="1017" t="str">
        <f>IF(CE85=16,"6 ","")</f>
        <v/>
      </c>
      <c r="CF86" s="1017" t="str">
        <f>IF(CF85=17,"7 ","")</f>
        <v/>
      </c>
      <c r="CG86" s="1017" t="str">
        <f>IF(CG85=18,"8 ","")</f>
        <v/>
      </c>
      <c r="CH86" s="1017" t="str">
        <f>IF(CH85=19,"9 ","")</f>
        <v/>
      </c>
      <c r="CI86" s="1017" t="str">
        <f>IF(CI85=20,"10 ","")</f>
        <v/>
      </c>
      <c r="CJ86" s="1017" t="str">
        <f>IF(CJ85=21,"11 ","")</f>
        <v/>
      </c>
      <c r="CK86" s="1017" t="str">
        <f>IF(CK85=22,"12 ","")</f>
        <v/>
      </c>
      <c r="CL86" s="1017" t="str">
        <f>IF(CL85=23,"K ","")</f>
        <v/>
      </c>
      <c r="CM86" s="1017" t="str">
        <f>IF(CM85=24,"L ","")</f>
        <v/>
      </c>
      <c r="CN86" s="1017" t="str">
        <f>IF(CN85=25,"M ","")</f>
        <v/>
      </c>
      <c r="CO86" s="1017" t="str">
        <f>IF(CO85=26,"N ","")</f>
        <v/>
      </c>
      <c r="CP86" s="1017" t="str">
        <f>IF(CP85=27,"O ","")</f>
        <v/>
      </c>
      <c r="CQ86" s="1017" t="str">
        <f>IF(CQ85=28,"P ","")</f>
        <v/>
      </c>
      <c r="CR86" s="1017" t="str">
        <f>IF(CR85=29,"Q ","")</f>
        <v/>
      </c>
      <c r="CS86" s="1019" t="str">
        <f>IF(CS85=30,"R ","")</f>
        <v/>
      </c>
      <c r="CT86" s="1093"/>
      <c r="CU86" s="1093"/>
      <c r="EC86" s="1093"/>
      <c r="ED86" s="1093"/>
    </row>
    <row r="87" spans="2:134" ht="21.6" hidden="1" thickTop="1" x14ac:dyDescent="0.4">
      <c r="B87" s="491"/>
      <c r="C87" s="491"/>
      <c r="F87" s="490"/>
      <c r="G87" s="490"/>
      <c r="H87" s="465"/>
      <c r="I87" s="465"/>
      <c r="J87" s="465"/>
      <c r="K87" s="465"/>
      <c r="L87" s="465"/>
      <c r="M87" s="465"/>
      <c r="N87" s="465"/>
      <c r="O87" s="465"/>
      <c r="P87" s="465"/>
      <c r="Q87" s="465"/>
      <c r="R87" s="465"/>
      <c r="S87" s="465"/>
      <c r="T87" s="465"/>
      <c r="U87" s="493"/>
      <c r="V87" s="465"/>
      <c r="W87" s="465"/>
      <c r="X87" s="465"/>
      <c r="Y87" s="465"/>
      <c r="Z87" s="465"/>
      <c r="AA87" s="465"/>
      <c r="AB87" s="493"/>
      <c r="AC87" s="493"/>
      <c r="AD87" s="493"/>
      <c r="AE87" s="493"/>
      <c r="AF87" s="465"/>
      <c r="AG87" s="465"/>
      <c r="AH87" s="465"/>
      <c r="AI87" s="465"/>
      <c r="AJ87" s="465"/>
      <c r="AK87" s="465"/>
      <c r="AL87" s="465"/>
      <c r="AM87" s="465"/>
      <c r="AN87" s="465"/>
      <c r="AO87" s="465"/>
      <c r="AP87" s="465"/>
      <c r="AQ87" s="465"/>
      <c r="AR87" s="465"/>
      <c r="AS87" s="465"/>
      <c r="AT87" s="465"/>
      <c r="AU87" s="465"/>
      <c r="AV87" s="465"/>
      <c r="AW87" s="465"/>
      <c r="AX87" s="465"/>
      <c r="AY87" s="465"/>
      <c r="AZ87" s="465"/>
      <c r="BA87" s="465"/>
      <c r="BB87" s="473"/>
      <c r="BE87" s="1099"/>
      <c r="BF87" s="1099"/>
      <c r="BH87" s="1053"/>
      <c r="BI87" s="1053"/>
      <c r="BJ87" s="1053"/>
      <c r="BK87" s="1053"/>
      <c r="BL87" s="1053"/>
      <c r="BM87" s="489"/>
      <c r="BN87" s="524"/>
      <c r="BO87" s="1093"/>
      <c r="BP87" s="1097">
        <v>1</v>
      </c>
      <c r="BQ87" s="1097">
        <v>2</v>
      </c>
      <c r="BR87" s="1097">
        <v>3</v>
      </c>
      <c r="BS87" s="1097">
        <v>4</v>
      </c>
      <c r="BT87" s="1097">
        <v>5</v>
      </c>
      <c r="BU87" s="1097">
        <v>6</v>
      </c>
      <c r="BV87" s="1097">
        <v>7</v>
      </c>
      <c r="BW87" s="1097">
        <v>8</v>
      </c>
      <c r="BX87" s="1097">
        <v>9</v>
      </c>
      <c r="BY87" s="1097">
        <v>10</v>
      </c>
      <c r="BZ87" s="1097">
        <v>11</v>
      </c>
      <c r="CA87" s="1097">
        <v>12</v>
      </c>
      <c r="CB87" s="1097">
        <v>13</v>
      </c>
      <c r="CC87" s="1097">
        <v>14</v>
      </c>
      <c r="CD87" s="1097">
        <v>15</v>
      </c>
      <c r="CE87" s="1097">
        <v>16</v>
      </c>
      <c r="CF87" s="1097">
        <v>17</v>
      </c>
      <c r="CG87" s="1097">
        <v>18</v>
      </c>
      <c r="CH87" s="1097">
        <v>19</v>
      </c>
      <c r="CI87" s="1097">
        <v>20</v>
      </c>
      <c r="CJ87" s="1097">
        <v>21</v>
      </c>
      <c r="CK87" s="1097">
        <v>22</v>
      </c>
      <c r="CL87" s="1097">
        <v>23</v>
      </c>
      <c r="CM87" s="1097">
        <v>24</v>
      </c>
      <c r="CN87" s="1097">
        <v>25</v>
      </c>
      <c r="CO87" s="1097">
        <v>26</v>
      </c>
      <c r="CP87" s="1097">
        <v>27</v>
      </c>
      <c r="CQ87" s="1097">
        <v>28</v>
      </c>
      <c r="CR87" s="1097">
        <v>29</v>
      </c>
      <c r="CS87" s="1097">
        <v>30</v>
      </c>
      <c r="CT87" s="1093"/>
      <c r="CU87" s="1093"/>
      <c r="EC87" s="1093"/>
      <c r="ED87" s="1093"/>
    </row>
    <row r="88" spans="2:134" ht="21" hidden="1" x14ac:dyDescent="0.4">
      <c r="B88" s="491"/>
      <c r="C88" s="491"/>
      <c r="G88" s="490"/>
      <c r="H88" s="465"/>
      <c r="I88" s="465"/>
      <c r="J88" s="465"/>
      <c r="K88" s="465"/>
      <c r="L88" s="465"/>
      <c r="M88" s="465"/>
      <c r="N88" s="465"/>
      <c r="O88" s="465"/>
      <c r="P88" s="465"/>
      <c r="Q88" s="465"/>
      <c r="R88" s="465"/>
      <c r="S88" s="465"/>
      <c r="T88" s="465"/>
      <c r="U88" s="493"/>
      <c r="V88" s="465"/>
      <c r="W88" s="465"/>
      <c r="X88" s="465"/>
      <c r="Y88" s="465"/>
      <c r="Z88" s="465"/>
      <c r="AA88" s="465"/>
      <c r="AB88" s="493"/>
      <c r="AC88" s="493"/>
      <c r="AD88" s="493"/>
      <c r="AE88" s="493"/>
      <c r="AF88" s="465"/>
      <c r="AG88" s="465"/>
      <c r="AH88" s="465"/>
      <c r="AI88" s="465"/>
      <c r="AJ88" s="465"/>
      <c r="AK88" s="465"/>
      <c r="AL88" s="465"/>
      <c r="AM88" s="465"/>
      <c r="AN88" s="465"/>
      <c r="AO88" s="465"/>
      <c r="AP88" s="465"/>
      <c r="AQ88" s="465"/>
      <c r="AR88" s="465"/>
      <c r="AS88" s="465"/>
      <c r="AT88" s="465"/>
      <c r="AU88" s="465"/>
      <c r="AV88" s="465"/>
      <c r="AW88" s="465"/>
      <c r="AX88" s="465"/>
      <c r="AY88" s="465"/>
      <c r="AZ88" s="465"/>
      <c r="BA88" s="465"/>
      <c r="BB88" s="473"/>
      <c r="BE88" s="1099"/>
      <c r="BF88" s="1099"/>
      <c r="BH88" s="1053"/>
      <c r="BI88" s="1053"/>
      <c r="BJ88" s="1053"/>
      <c r="BK88" s="1053"/>
      <c r="BL88" s="1053"/>
      <c r="BM88" s="489"/>
      <c r="BN88" s="524"/>
      <c r="BO88" s="1093"/>
      <c r="BP88" s="1097" t="s">
        <v>33</v>
      </c>
      <c r="BQ88" s="1097" t="s">
        <v>34</v>
      </c>
      <c r="BR88" s="1097" t="s">
        <v>35</v>
      </c>
      <c r="BS88" s="1097" t="s">
        <v>36</v>
      </c>
      <c r="BT88" s="1097" t="s">
        <v>37</v>
      </c>
      <c r="BU88" s="1097" t="s">
        <v>83</v>
      </c>
      <c r="BV88" s="1097" t="s">
        <v>16</v>
      </c>
      <c r="BW88" s="1097" t="s">
        <v>84</v>
      </c>
      <c r="BX88" s="1097">
        <v>1</v>
      </c>
      <c r="BY88" s="1097">
        <v>2</v>
      </c>
      <c r="BZ88" s="1097">
        <v>3</v>
      </c>
      <c r="CA88" s="1098">
        <v>4</v>
      </c>
      <c r="CB88" s="1097">
        <v>5</v>
      </c>
      <c r="CC88" s="1097" t="s">
        <v>85</v>
      </c>
      <c r="CD88" s="1097" t="s">
        <v>86</v>
      </c>
      <c r="CE88" s="1097">
        <v>6</v>
      </c>
      <c r="CF88" s="1097">
        <v>7</v>
      </c>
      <c r="CG88" s="1097">
        <v>8</v>
      </c>
      <c r="CH88" s="1097">
        <v>9</v>
      </c>
      <c r="CI88" s="1097">
        <v>10</v>
      </c>
      <c r="CJ88" s="1097">
        <v>11</v>
      </c>
      <c r="CK88" s="1097">
        <v>12</v>
      </c>
      <c r="CL88" s="1097" t="s">
        <v>87</v>
      </c>
      <c r="CM88" s="1097" t="s">
        <v>15</v>
      </c>
      <c r="CN88" s="1097" t="s">
        <v>88</v>
      </c>
      <c r="CO88" s="1097" t="s">
        <v>89</v>
      </c>
      <c r="CP88" s="1097" t="s">
        <v>90</v>
      </c>
      <c r="CQ88" s="1097" t="s">
        <v>91</v>
      </c>
      <c r="CR88" s="1097" t="s">
        <v>92</v>
      </c>
      <c r="CS88" s="1097" t="s">
        <v>93</v>
      </c>
      <c r="EC88" s="1093"/>
      <c r="ED88" s="1093"/>
    </row>
    <row r="89" spans="2:134" ht="21" hidden="1" x14ac:dyDescent="0.4">
      <c r="B89" s="491"/>
      <c r="C89" s="491"/>
      <c r="G89" s="490"/>
      <c r="H89" s="465"/>
      <c r="I89" s="465"/>
      <c r="J89" s="465"/>
      <c r="K89" s="465"/>
      <c r="L89" s="465"/>
      <c r="M89" s="465"/>
      <c r="N89" s="465"/>
      <c r="O89" s="465"/>
      <c r="P89" s="465"/>
      <c r="Q89" s="465"/>
      <c r="R89" s="465"/>
      <c r="S89" s="465"/>
      <c r="T89" s="465"/>
      <c r="U89" s="493"/>
      <c r="V89" s="465"/>
      <c r="W89" s="465"/>
      <c r="X89" s="465"/>
      <c r="Y89" s="465"/>
      <c r="Z89" s="465"/>
      <c r="AA89" s="465"/>
      <c r="AB89" s="493"/>
      <c r="AC89" s="493"/>
      <c r="AD89" s="493"/>
      <c r="AE89" s="493"/>
      <c r="AF89" s="465"/>
      <c r="AG89" s="465"/>
      <c r="AH89" s="465"/>
      <c r="AI89" s="465"/>
      <c r="AJ89" s="465"/>
      <c r="AK89" s="465"/>
      <c r="AL89" s="465"/>
      <c r="AM89" s="465"/>
      <c r="AN89" s="465"/>
      <c r="AO89" s="465"/>
      <c r="AP89" s="465"/>
      <c r="AQ89" s="465"/>
      <c r="AR89" s="465"/>
      <c r="AS89" s="465"/>
      <c r="AT89" s="465"/>
      <c r="AU89" s="465"/>
      <c r="AV89" s="465"/>
      <c r="AW89" s="465"/>
      <c r="AX89" s="465"/>
      <c r="AY89" s="465"/>
      <c r="AZ89" s="465"/>
      <c r="BA89" s="465"/>
      <c r="BB89" s="473"/>
      <c r="BE89" s="1099"/>
      <c r="BF89" s="1099"/>
      <c r="BH89" s="1053"/>
      <c r="BI89" s="1053"/>
      <c r="BJ89" s="1053"/>
      <c r="BK89" s="1053"/>
      <c r="BL89" s="1053"/>
      <c r="BM89" s="489"/>
      <c r="BN89" s="524"/>
      <c r="BO89" s="1096"/>
      <c r="BP89" s="1096"/>
      <c r="BQ89" s="1096"/>
      <c r="BR89" s="1096"/>
      <c r="BS89" s="1096"/>
      <c r="BT89" s="1096"/>
      <c r="BU89" s="1095"/>
      <c r="BV89" s="1095"/>
      <c r="BW89" s="1095"/>
      <c r="BX89" s="1095"/>
      <c r="BY89" s="1095"/>
      <c r="BZ89" s="1095"/>
      <c r="CA89" s="1095"/>
      <c r="CB89" s="1095"/>
      <c r="CC89" s="1095"/>
      <c r="CD89" s="1095"/>
      <c r="CE89" s="1095"/>
      <c r="CF89" s="1095"/>
      <c r="CG89" s="1095"/>
      <c r="CH89" s="1095"/>
      <c r="CI89" s="1094"/>
      <c r="CJ89" s="1093"/>
      <c r="CK89" s="1093"/>
      <c r="CL89" s="1093"/>
      <c r="CM89" s="1093"/>
      <c r="CN89" s="1093"/>
      <c r="CO89" s="1093"/>
      <c r="CP89" s="1093"/>
      <c r="CQ89" s="1093"/>
      <c r="CR89" s="1093"/>
      <c r="CS89" s="1093"/>
      <c r="CT89" s="1093"/>
      <c r="CU89" s="1093"/>
      <c r="EC89" s="1093"/>
      <c r="ED89" s="1093"/>
    </row>
    <row r="90" spans="2:134" ht="20.399999999999999" hidden="1" x14ac:dyDescent="0.35">
      <c r="C90" s="493"/>
      <c r="G90" s="490"/>
      <c r="H90" s="465"/>
      <c r="I90" s="465"/>
      <c r="J90" s="465"/>
      <c r="K90" s="465"/>
      <c r="L90" s="465"/>
      <c r="M90" s="465"/>
      <c r="N90" s="465"/>
      <c r="O90" s="465"/>
      <c r="P90" s="465"/>
      <c r="Q90" s="465"/>
      <c r="R90" s="465"/>
      <c r="S90" s="465"/>
      <c r="T90" s="465"/>
      <c r="U90" s="493"/>
      <c r="V90" s="465"/>
      <c r="W90" s="465"/>
      <c r="X90" s="465"/>
      <c r="Y90" s="465"/>
      <c r="Z90" s="465"/>
      <c r="AA90" s="465"/>
      <c r="AB90" s="493"/>
      <c r="AC90" s="493"/>
      <c r="AD90" s="493"/>
      <c r="AE90" s="493"/>
      <c r="AF90" s="465"/>
      <c r="AG90" s="465"/>
      <c r="AH90" s="465"/>
      <c r="AI90" s="465"/>
      <c r="AJ90" s="465"/>
      <c r="AK90" s="465"/>
      <c r="AL90" s="465"/>
      <c r="AM90" s="465"/>
      <c r="AN90" s="465"/>
      <c r="AO90" s="465"/>
      <c r="AP90" s="465"/>
      <c r="AQ90" s="465"/>
      <c r="AR90" s="465"/>
      <c r="AS90" s="465"/>
      <c r="AT90" s="465"/>
      <c r="AU90" s="465"/>
      <c r="AV90" s="465"/>
      <c r="AW90" s="465"/>
      <c r="AX90" s="465"/>
      <c r="AY90" s="465"/>
      <c r="AZ90" s="465"/>
      <c r="BA90" s="465"/>
      <c r="BB90" s="473"/>
      <c r="BE90" s="1099"/>
      <c r="BF90" s="1099"/>
      <c r="BH90" s="1053"/>
      <c r="BI90" s="1053"/>
      <c r="BJ90" s="1053"/>
      <c r="BK90" s="1053"/>
      <c r="BL90" s="1053"/>
      <c r="BM90" s="489"/>
      <c r="BN90" s="524"/>
      <c r="BO90" s="478"/>
      <c r="BP90" s="478"/>
      <c r="BQ90" s="478"/>
      <c r="BR90" s="478"/>
      <c r="BS90" s="478"/>
      <c r="BT90" s="478"/>
      <c r="BU90" s="519"/>
      <c r="BV90" s="519"/>
      <c r="BW90" s="519"/>
      <c r="BX90" s="519"/>
      <c r="BY90" s="519"/>
      <c r="BZ90" s="519"/>
      <c r="CA90" s="519"/>
      <c r="CB90" s="519"/>
      <c r="CC90" s="519"/>
      <c r="CD90" s="519"/>
      <c r="CE90" s="519"/>
      <c r="CF90" s="519"/>
      <c r="CG90" s="519"/>
      <c r="CH90" s="519"/>
      <c r="CI90" s="506"/>
      <c r="EC90" s="1093"/>
      <c r="ED90" s="1093"/>
    </row>
    <row r="91" spans="2:134" ht="20.399999999999999" hidden="1" x14ac:dyDescent="0.35">
      <c r="B91" s="1261"/>
      <c r="C91" s="1261"/>
      <c r="D91" s="522"/>
      <c r="E91" s="522"/>
      <c r="F91" s="522"/>
      <c r="G91" s="522"/>
      <c r="BF91" s="489"/>
      <c r="BG91" s="489"/>
      <c r="BH91" s="489"/>
      <c r="BI91" s="489"/>
      <c r="BJ91" s="489"/>
      <c r="BK91" s="489"/>
      <c r="BL91" s="489"/>
      <c r="BM91" s="489"/>
      <c r="BN91" s="1091" t="s">
        <v>95</v>
      </c>
      <c r="BO91" s="466"/>
      <c r="BR91" s="478"/>
      <c r="BS91" s="478"/>
      <c r="BT91" s="478"/>
      <c r="BU91" s="519"/>
      <c r="BV91" s="519"/>
      <c r="BW91" s="519"/>
      <c r="BX91" s="519"/>
      <c r="BY91" s="519"/>
      <c r="BZ91" s="519"/>
      <c r="CA91" s="519"/>
      <c r="CB91" s="519"/>
      <c r="CC91" s="519"/>
      <c r="CD91" s="519"/>
      <c r="CE91" s="519"/>
      <c r="CF91" s="519"/>
      <c r="CG91" s="519"/>
      <c r="CH91" s="519"/>
      <c r="CI91" s="506"/>
      <c r="CQ91" s="466"/>
      <c r="CU91" s="1091" t="s">
        <v>94</v>
      </c>
      <c r="CV91" s="489"/>
      <c r="CW91" s="489"/>
      <c r="EC91" s="1093"/>
      <c r="ED91" s="1093"/>
    </row>
    <row r="92" spans="2:134" ht="20.399999999999999" hidden="1" x14ac:dyDescent="0.35">
      <c r="BF92" s="524"/>
      <c r="BG92" s="524"/>
      <c r="BH92" s="524"/>
      <c r="BI92" s="524"/>
      <c r="BJ92" s="524"/>
      <c r="BK92" s="524"/>
      <c r="BL92" s="524"/>
      <c r="BM92" s="524"/>
      <c r="BN92" s="1091">
        <f>-+BK99</f>
        <v>569.69421976558579</v>
      </c>
      <c r="BO92" s="466"/>
      <c r="BR92" s="478"/>
      <c r="BS92" s="478"/>
      <c r="BT92" s="478"/>
      <c r="BU92" s="519"/>
      <c r="BV92" s="519"/>
      <c r="BW92" s="519"/>
      <c r="BX92" s="519"/>
      <c r="BY92" s="519"/>
      <c r="BZ92" s="519"/>
      <c r="CA92" s="519"/>
      <c r="CB92" s="519"/>
      <c r="CC92" s="519"/>
      <c r="CD92" s="519"/>
      <c r="CE92" s="519"/>
      <c r="CF92" s="519"/>
      <c r="CG92" s="519"/>
      <c r="CH92" s="519"/>
      <c r="CI92" s="506"/>
      <c r="CO92" s="639"/>
      <c r="CQ92" s="466"/>
      <c r="CU92" s="1091">
        <f>+-BK128</f>
        <v>-880.30578023441421</v>
      </c>
      <c r="CV92" s="489"/>
      <c r="CW92" s="489"/>
      <c r="EC92" s="1093"/>
      <c r="ED92" s="1093"/>
    </row>
    <row r="93" spans="2:134" ht="20.399999999999999" hidden="1" x14ac:dyDescent="0.35">
      <c r="B93" s="473"/>
      <c r="BF93" s="524"/>
      <c r="BG93" s="524"/>
      <c r="BH93" s="524"/>
      <c r="BI93" s="524"/>
      <c r="BJ93" s="524"/>
      <c r="BK93" s="524"/>
      <c r="BL93" s="524"/>
      <c r="BM93" s="524"/>
      <c r="BO93" s="478"/>
      <c r="BP93" s="478"/>
      <c r="BQ93" s="478"/>
      <c r="BR93" s="478"/>
      <c r="BS93" s="478"/>
      <c r="BT93" s="478"/>
      <c r="BU93" s="519"/>
      <c r="BV93" s="519"/>
      <c r="BW93" s="519"/>
      <c r="BX93" s="519"/>
      <c r="BY93" s="519"/>
      <c r="BZ93" s="519"/>
      <c r="CA93" s="519"/>
      <c r="CB93" s="519"/>
      <c r="CC93" s="519"/>
      <c r="CD93" s="519"/>
      <c r="CE93" s="519"/>
      <c r="CF93" s="519"/>
      <c r="CG93" s="519"/>
      <c r="CH93" s="519"/>
      <c r="CI93" s="506"/>
      <c r="CQ93" s="489"/>
      <c r="CR93" s="489"/>
      <c r="CS93" s="489"/>
      <c r="CT93" s="489"/>
      <c r="CU93" s="489"/>
      <c r="CV93" s="489"/>
      <c r="CW93" s="489"/>
      <c r="EC93" s="1093"/>
      <c r="ED93" s="1093"/>
    </row>
    <row r="94" spans="2:134" ht="21" hidden="1" thickTop="1" x14ac:dyDescent="0.35">
      <c r="B94" s="1261"/>
      <c r="C94" s="1261"/>
      <c r="D94" s="522"/>
      <c r="E94" s="522"/>
      <c r="F94" s="522"/>
      <c r="G94" s="522"/>
      <c r="BF94" s="524"/>
      <c r="BG94" s="524"/>
      <c r="BH94" s="524"/>
      <c r="BI94" s="524"/>
      <c r="BJ94" s="524"/>
      <c r="BK94" s="524"/>
      <c r="BL94" s="524"/>
      <c r="BS94" s="478"/>
      <c r="BT94" s="478"/>
      <c r="BU94" s="519"/>
      <c r="BV94" s="519"/>
      <c r="BW94" s="519"/>
      <c r="BX94" s="519"/>
      <c r="BY94" s="519"/>
      <c r="BZ94" s="519"/>
      <c r="CA94" s="519"/>
      <c r="CB94" s="519"/>
      <c r="CC94" s="519"/>
      <c r="CD94" s="519"/>
      <c r="CE94" s="519"/>
      <c r="CF94" s="519"/>
      <c r="CG94" s="519"/>
      <c r="CH94" s="519"/>
      <c r="CI94" s="506"/>
      <c r="CQ94" s="489"/>
      <c r="CR94" s="489"/>
      <c r="CS94" s="489"/>
      <c r="CT94" s="489"/>
      <c r="CU94" s="489"/>
      <c r="CV94" s="489"/>
      <c r="CW94" s="489"/>
      <c r="EC94" s="1093"/>
      <c r="ED94" s="1093"/>
    </row>
    <row r="95" spans="2:134" ht="20.399999999999999" hidden="1" x14ac:dyDescent="0.35">
      <c r="B95" s="1261"/>
      <c r="C95" s="1261"/>
      <c r="D95" s="522"/>
      <c r="E95" s="522"/>
      <c r="F95" s="522"/>
      <c r="G95" s="522"/>
      <c r="BF95" s="524"/>
      <c r="BS95" s="478"/>
      <c r="BT95" s="478"/>
      <c r="BU95" s="519"/>
      <c r="BV95" s="519"/>
      <c r="BW95" s="519"/>
      <c r="BX95" s="519"/>
      <c r="BY95" s="519"/>
      <c r="BZ95" s="519"/>
      <c r="CA95" s="519"/>
      <c r="CB95" s="519"/>
      <c r="CC95" s="519"/>
      <c r="CD95" s="519"/>
      <c r="CE95" s="519"/>
      <c r="CF95" s="519"/>
      <c r="CG95" s="519"/>
      <c r="CH95" s="519"/>
      <c r="CI95" s="506"/>
      <c r="CQ95" s="489"/>
      <c r="CR95" s="489"/>
      <c r="CS95" s="489"/>
      <c r="CT95" s="489"/>
      <c r="CU95" s="489"/>
      <c r="CV95" s="489"/>
      <c r="CW95" s="489"/>
      <c r="EC95" s="1093"/>
      <c r="ED95" s="1093"/>
    </row>
    <row r="96" spans="2:134" ht="21.6" thickTop="1" thickBot="1" x14ac:dyDescent="0.4">
      <c r="B96" s="1261"/>
      <c r="C96" s="1261"/>
      <c r="D96" s="522"/>
      <c r="E96" s="522"/>
      <c r="F96" s="522"/>
      <c r="G96" s="522"/>
      <c r="BF96" s="524"/>
      <c r="BS96" s="478"/>
      <c r="BT96" s="478"/>
      <c r="BU96" s="519"/>
      <c r="BV96" s="519"/>
      <c r="BW96" s="519"/>
      <c r="BX96" s="519"/>
      <c r="BY96" s="519"/>
      <c r="BZ96" s="519"/>
      <c r="CA96" s="519"/>
      <c r="CB96" s="519"/>
      <c r="CC96" s="519"/>
      <c r="CD96" s="519"/>
      <c r="CE96" s="519"/>
      <c r="CF96" s="519"/>
      <c r="CG96" s="519"/>
      <c r="CH96" s="519"/>
      <c r="CI96" s="506"/>
      <c r="CQ96" s="489"/>
      <c r="CR96" s="489"/>
      <c r="CS96" s="489"/>
      <c r="CT96" s="489"/>
      <c r="CU96" s="489"/>
      <c r="CV96" s="489"/>
      <c r="CW96" s="489"/>
      <c r="EC96" s="1093"/>
      <c r="ED96" s="1093"/>
    </row>
    <row r="97" spans="2:134" ht="44.25" customHeight="1" thickBot="1" x14ac:dyDescent="0.4">
      <c r="B97" s="525"/>
      <c r="D97" s="1020" t="str">
        <f>IF(BN92&gt;0," ","change the angle of frame or of cabinets")</f>
        <v xml:space="preserve"> </v>
      </c>
      <c r="E97" s="526"/>
      <c r="F97" s="526"/>
      <c r="G97" s="526"/>
      <c r="H97" s="471"/>
      <c r="I97" s="471"/>
      <c r="J97" s="471"/>
      <c r="K97" s="471"/>
      <c r="L97" s="471"/>
      <c r="M97" s="471"/>
      <c r="N97" s="471"/>
      <c r="O97" s="471"/>
      <c r="P97" s="471"/>
      <c r="Q97" s="471"/>
      <c r="R97" s="471"/>
      <c r="S97" s="471"/>
      <c r="T97" s="471"/>
      <c r="V97" s="471"/>
      <c r="W97" s="471"/>
      <c r="X97" s="471"/>
      <c r="Y97" s="471"/>
      <c r="Z97" s="471"/>
      <c r="AA97" s="471"/>
      <c r="AF97" s="471"/>
      <c r="AG97" s="471"/>
      <c r="AH97" s="471"/>
      <c r="AI97" s="471"/>
      <c r="AJ97" s="471"/>
      <c r="AK97" s="471"/>
      <c r="AL97" s="471"/>
      <c r="AM97" s="471"/>
      <c r="AN97" s="471"/>
      <c r="AO97" s="471"/>
      <c r="AP97" s="471"/>
      <c r="AQ97" s="471"/>
      <c r="AR97" s="471"/>
      <c r="AS97" s="471"/>
      <c r="AT97" s="471"/>
      <c r="AU97" s="471"/>
      <c r="AV97" s="471"/>
      <c r="AW97" s="471"/>
      <c r="AX97" s="471"/>
      <c r="AY97" s="471"/>
      <c r="AZ97" s="471"/>
      <c r="BA97" s="471"/>
      <c r="BB97" s="506"/>
      <c r="BF97" s="524"/>
      <c r="CQ97" s="524"/>
      <c r="CR97" s="524"/>
      <c r="CS97" s="524"/>
      <c r="CT97" s="524"/>
      <c r="CU97" s="524"/>
      <c r="CV97" s="524"/>
      <c r="CW97" s="524"/>
      <c r="EC97" s="1093"/>
      <c r="ED97" s="1093"/>
    </row>
    <row r="98" spans="2:134" ht="44.25" customHeight="1" thickBot="1" x14ac:dyDescent="0.4">
      <c r="B98" s="2062" t="s">
        <v>70</v>
      </c>
      <c r="D98" s="1020" t="str">
        <f>IF(CU92&lt;0," ","change the angle of frame or of cabinets")</f>
        <v xml:space="preserve"> </v>
      </c>
      <c r="E98" s="526"/>
      <c r="F98" s="526"/>
      <c r="G98" s="526"/>
      <c r="H98" s="471"/>
      <c r="I98" s="471"/>
      <c r="J98" s="471"/>
      <c r="K98" s="471"/>
      <c r="L98" s="471"/>
      <c r="M98" s="471"/>
      <c r="N98" s="471"/>
      <c r="O98" s="471"/>
      <c r="P98" s="471"/>
      <c r="Q98" s="471"/>
      <c r="R98" s="471"/>
      <c r="S98" s="471"/>
      <c r="T98" s="471"/>
      <c r="V98" s="1260"/>
      <c r="W98" s="1260"/>
      <c r="X98" s="1260"/>
      <c r="Y98" s="1260"/>
      <c r="Z98" s="1260"/>
      <c r="AA98" s="1260"/>
      <c r="AF98" s="1227"/>
      <c r="AG98" s="1227"/>
      <c r="AH98" s="1227"/>
      <c r="AI98" s="1227"/>
      <c r="AJ98" s="1227"/>
      <c r="AK98" s="1227"/>
      <c r="AL98" s="1227"/>
      <c r="AM98" s="1227"/>
      <c r="AN98" s="1227"/>
      <c r="AO98" s="1227"/>
      <c r="AP98" s="1227"/>
      <c r="AQ98" s="1227"/>
      <c r="AR98" s="1227"/>
      <c r="AS98" s="1227"/>
      <c r="AT98" s="1227"/>
      <c r="AU98" s="1227"/>
      <c r="AV98" s="1227"/>
      <c r="AW98" s="1227"/>
      <c r="AX98" s="1227"/>
      <c r="AY98" s="1227"/>
      <c r="AZ98" s="1227"/>
      <c r="BA98" s="1227"/>
      <c r="BB98" s="530"/>
      <c r="BF98" s="524"/>
      <c r="BJ98" s="1079" t="s">
        <v>205</v>
      </c>
      <c r="CQ98" s="524"/>
      <c r="CR98" s="524"/>
      <c r="CS98" s="524"/>
      <c r="CT98" s="524"/>
      <c r="CU98" s="524"/>
      <c r="CV98" s="524"/>
      <c r="CW98" s="524"/>
      <c r="EC98" s="1093"/>
      <c r="ED98" s="1093"/>
    </row>
    <row r="99" spans="2:134" ht="44.25" customHeight="1" thickBot="1" x14ac:dyDescent="0.5">
      <c r="B99" s="2063"/>
      <c r="C99" s="1087"/>
      <c r="D99" s="1020" t="str">
        <f>IF(BN92&gt;(+COS(($B$100*-1)*3.14159265358979/180)*375)," ","USE EXBAR VR AT THE FRONT")</f>
        <v xml:space="preserve"> </v>
      </c>
      <c r="E99" s="526"/>
      <c r="F99" s="526"/>
      <c r="G99" s="526"/>
      <c r="H99" s="471"/>
      <c r="I99" s="471"/>
      <c r="J99" s="471"/>
      <c r="K99" s="471"/>
      <c r="L99" s="471"/>
      <c r="M99" s="471"/>
      <c r="N99" s="471"/>
      <c r="O99" s="471"/>
      <c r="P99" s="471"/>
      <c r="Q99" s="471"/>
      <c r="R99" s="471"/>
      <c r="S99" s="471"/>
      <c r="T99" s="471"/>
      <c r="AF99" s="471"/>
      <c r="AG99" s="471"/>
      <c r="AH99" s="471"/>
      <c r="AI99" s="471"/>
      <c r="AJ99" s="471"/>
      <c r="AK99" s="471"/>
      <c r="AL99" s="471"/>
      <c r="AM99" s="471"/>
      <c r="AN99" s="471"/>
      <c r="AO99" s="471"/>
      <c r="AP99" s="471"/>
      <c r="AQ99" s="471"/>
      <c r="AR99" s="471"/>
      <c r="AS99" s="471"/>
      <c r="AT99" s="471"/>
      <c r="AU99" s="471"/>
      <c r="AV99" s="471"/>
      <c r="AW99" s="471"/>
      <c r="AX99" s="471"/>
      <c r="AY99" s="471"/>
      <c r="AZ99" s="471"/>
      <c r="BA99" s="471"/>
      <c r="BB99" s="506"/>
      <c r="BF99" s="524"/>
      <c r="BH99" s="1037">
        <v>1</v>
      </c>
      <c r="BI99" s="1036">
        <v>-400</v>
      </c>
      <c r="BJ99" s="1035">
        <f>+COS(($B$100*-1)*3.14159265358979/180)*BI99</f>
        <v>-400</v>
      </c>
      <c r="BK99" s="1034">
        <f t="shared" ref="BK99:BK128" si="3">+BJ99-D$3</f>
        <v>-569.69421976558579</v>
      </c>
      <c r="BL99" s="1033">
        <f t="shared" ref="BL99:BL128" si="4">ABS(BK99)</f>
        <v>569.69421976558579</v>
      </c>
      <c r="BM99" s="1033">
        <f>MIN(BL99:BL128)</f>
        <v>19.694219765585842</v>
      </c>
      <c r="BN99" s="1033" t="b">
        <f t="shared" ref="BN99:BN128" si="5">IF(BM99=BL99,BH99)</f>
        <v>0</v>
      </c>
      <c r="CQ99" s="524"/>
      <c r="CR99" s="524"/>
      <c r="CS99" s="524"/>
      <c r="CT99" s="524"/>
      <c r="CU99" s="524"/>
      <c r="CV99" s="524"/>
      <c r="CW99" s="524"/>
      <c r="EC99" s="1093"/>
      <c r="ED99" s="1093"/>
    </row>
    <row r="100" spans="2:134" ht="44.25" customHeight="1" thickBot="1" x14ac:dyDescent="0.5">
      <c r="B100" s="1259">
        <v>0</v>
      </c>
      <c r="C100" s="1087"/>
      <c r="D100" s="1086" t="str">
        <f>IF(CU92&lt;-(+COS(($B$100*-1)*3.14159265358979/180)*375)," ","USE EXBAR VR AT THE BACK")</f>
        <v xml:space="preserve"> </v>
      </c>
      <c r="E100" s="526"/>
      <c r="F100" s="526"/>
      <c r="G100" s="526"/>
      <c r="AF100" s="471"/>
      <c r="AG100" s="471"/>
      <c r="AH100" s="471"/>
      <c r="AI100" s="471"/>
      <c r="AJ100" s="471"/>
      <c r="AK100" s="471"/>
      <c r="AL100" s="471"/>
      <c r="AM100" s="471"/>
      <c r="AN100" s="471"/>
      <c r="AO100" s="471"/>
      <c r="AP100" s="471"/>
      <c r="AQ100" s="471"/>
      <c r="AR100" s="471"/>
      <c r="AS100" s="471"/>
      <c r="AT100" s="471"/>
      <c r="AU100" s="471"/>
      <c r="AV100" s="471"/>
      <c r="AW100" s="471"/>
      <c r="AX100" s="471"/>
      <c r="AY100" s="471"/>
      <c r="AZ100" s="471"/>
      <c r="BA100" s="471"/>
      <c r="BB100" s="506"/>
      <c r="BF100" s="524"/>
      <c r="BH100" s="1037">
        <v>2</v>
      </c>
      <c r="BI100" s="1036">
        <f t="shared" ref="BI100:BI128" si="6">+BI99+50</f>
        <v>-350</v>
      </c>
      <c r="BJ100" s="1035">
        <f t="shared" ref="BJ100:BJ128" si="7">+BJ99+$E$2</f>
        <v>-350</v>
      </c>
      <c r="BK100" s="1034">
        <f t="shared" si="3"/>
        <v>-519.69421976558579</v>
      </c>
      <c r="BL100" s="1033">
        <f t="shared" si="4"/>
        <v>519.69421976558579</v>
      </c>
      <c r="BM100" s="1033">
        <f t="shared" ref="BM100:BM128" si="8">+BM99</f>
        <v>19.694219765585842</v>
      </c>
      <c r="BN100" s="1033" t="b">
        <f t="shared" si="5"/>
        <v>0</v>
      </c>
      <c r="CQ100" s="524"/>
      <c r="CR100" s="524"/>
      <c r="CS100" s="524"/>
      <c r="CT100" s="524"/>
      <c r="CU100" s="524"/>
      <c r="CV100" s="524"/>
      <c r="CW100" s="524"/>
      <c r="EC100" s="1093"/>
      <c r="ED100" s="1093"/>
    </row>
    <row r="101" spans="2:134" ht="22.2" thickBot="1" x14ac:dyDescent="0.5">
      <c r="AF101" s="471"/>
      <c r="AG101" s="471"/>
      <c r="AH101" s="471"/>
      <c r="AI101" s="471"/>
      <c r="AJ101" s="471"/>
      <c r="AK101" s="471"/>
      <c r="AL101" s="471"/>
      <c r="AM101" s="471"/>
      <c r="AN101" s="471"/>
      <c r="AO101" s="471"/>
      <c r="AP101" s="471"/>
      <c r="AQ101" s="471"/>
      <c r="AR101" s="471"/>
      <c r="AS101" s="471"/>
      <c r="AT101" s="471"/>
      <c r="AU101" s="471"/>
      <c r="AV101" s="471"/>
      <c r="AW101" s="471"/>
      <c r="AX101" s="471"/>
      <c r="AY101" s="471"/>
      <c r="AZ101" s="471"/>
      <c r="BA101" s="471"/>
      <c r="BB101" s="506"/>
      <c r="BF101" s="524"/>
      <c r="BH101" s="1037">
        <v>3</v>
      </c>
      <c r="BI101" s="1036">
        <f t="shared" si="6"/>
        <v>-300</v>
      </c>
      <c r="BJ101" s="1035">
        <f t="shared" si="7"/>
        <v>-300</v>
      </c>
      <c r="BK101" s="1034">
        <f t="shared" si="3"/>
        <v>-469.69421976558584</v>
      </c>
      <c r="BL101" s="1033">
        <f t="shared" si="4"/>
        <v>469.69421976558584</v>
      </c>
      <c r="BM101" s="1033">
        <f t="shared" si="8"/>
        <v>19.694219765585842</v>
      </c>
      <c r="BN101" s="1033" t="b">
        <f t="shared" si="5"/>
        <v>0</v>
      </c>
      <c r="CQ101" s="524"/>
      <c r="CR101" s="524"/>
      <c r="CS101" s="524"/>
      <c r="CT101" s="524"/>
      <c r="CU101" s="524"/>
      <c r="CV101" s="524"/>
      <c r="CW101" s="524"/>
      <c r="EC101" s="1093"/>
      <c r="ED101" s="1093"/>
    </row>
    <row r="102" spans="2:134" ht="77.25" customHeight="1" thickTop="1" thickBot="1" x14ac:dyDescent="0.5">
      <c r="B102" s="1258" t="s">
        <v>253</v>
      </c>
      <c r="C102" s="1257"/>
      <c r="D102" s="533"/>
      <c r="E102" s="533"/>
      <c r="F102" s="533"/>
      <c r="G102" s="533"/>
      <c r="H102" s="1085" t="s">
        <v>213</v>
      </c>
      <c r="I102" s="1085" t="s">
        <v>213</v>
      </c>
      <c r="T102" s="1232"/>
      <c r="U102" s="471"/>
      <c r="V102" s="471"/>
      <c r="W102" s="471"/>
      <c r="X102" s="471"/>
      <c r="Y102" s="471"/>
      <c r="Z102" s="471"/>
      <c r="AA102" s="471"/>
      <c r="AB102" s="471"/>
      <c r="AC102" s="471"/>
      <c r="AD102" s="471"/>
      <c r="AE102" s="471"/>
      <c r="AF102" s="471"/>
      <c r="AG102" s="471"/>
      <c r="AH102" s="471"/>
      <c r="AI102" s="471"/>
      <c r="AJ102" s="471"/>
      <c r="AK102" s="471"/>
      <c r="AL102" s="471"/>
      <c r="AM102" s="471"/>
      <c r="AN102" s="471"/>
      <c r="AO102" s="471"/>
      <c r="AP102" s="471"/>
      <c r="AQ102" s="471"/>
      <c r="AR102" s="471"/>
      <c r="AS102" s="471"/>
      <c r="AT102" s="471"/>
      <c r="AU102" s="471"/>
      <c r="AV102" s="471"/>
      <c r="AW102" s="471"/>
      <c r="AX102" s="471"/>
      <c r="AY102" s="471"/>
      <c r="AZ102" s="471"/>
      <c r="BA102" s="471"/>
      <c r="BB102" s="506"/>
      <c r="BC102" s="506"/>
      <c r="BH102" s="1037">
        <v>4</v>
      </c>
      <c r="BI102" s="1036">
        <f t="shared" si="6"/>
        <v>-250</v>
      </c>
      <c r="BJ102" s="1035">
        <f t="shared" si="7"/>
        <v>-250</v>
      </c>
      <c r="BK102" s="1034">
        <f t="shared" si="3"/>
        <v>-419.69421976558584</v>
      </c>
      <c r="BL102" s="1033">
        <f t="shared" si="4"/>
        <v>419.69421976558584</v>
      </c>
      <c r="BM102" s="1033">
        <f t="shared" si="8"/>
        <v>19.694219765585842</v>
      </c>
      <c r="BN102" s="1033" t="b">
        <f t="shared" si="5"/>
        <v>0</v>
      </c>
      <c r="CQ102" s="524"/>
      <c r="CR102" s="524"/>
      <c r="CS102" s="524"/>
      <c r="CT102" s="524"/>
      <c r="CU102" s="524"/>
      <c r="CV102" s="524"/>
      <c r="CW102" s="524"/>
      <c r="EC102" s="1093"/>
      <c r="ED102" s="1093"/>
    </row>
    <row r="103" spans="2:134" ht="33" customHeight="1" thickTop="1" thickBot="1" x14ac:dyDescent="0.5">
      <c r="B103" s="1256">
        <v>1</v>
      </c>
      <c r="C103" s="773"/>
      <c r="D103" s="1255" t="s">
        <v>255</v>
      </c>
      <c r="E103" s="772"/>
      <c r="F103" s="772"/>
      <c r="G103" s="772"/>
      <c r="H103" s="1048" t="s">
        <v>172</v>
      </c>
      <c r="I103" s="1048" t="s">
        <v>173</v>
      </c>
      <c r="J103" s="1048" t="s">
        <v>174</v>
      </c>
      <c r="K103" s="474"/>
      <c r="L103" s="474"/>
      <c r="M103" s="474"/>
      <c r="N103" s="474"/>
      <c r="O103" s="474"/>
      <c r="P103" s="1048" t="s">
        <v>175</v>
      </c>
      <c r="Q103" s="1048" t="s">
        <v>176</v>
      </c>
      <c r="R103" s="772"/>
      <c r="S103" s="1048" t="s">
        <v>177</v>
      </c>
      <c r="T103" s="1254"/>
      <c r="W103" s="2098" t="s">
        <v>178</v>
      </c>
      <c r="X103" s="2098"/>
      <c r="Y103" s="2098"/>
      <c r="Z103" s="2098"/>
      <c r="AA103" s="2098"/>
      <c r="AF103" s="471"/>
      <c r="AG103" s="471"/>
      <c r="AH103" s="471"/>
      <c r="AI103" s="471"/>
      <c r="AJ103" s="471"/>
      <c r="AK103" s="471"/>
      <c r="AL103" s="471"/>
      <c r="AM103" s="471"/>
      <c r="AN103" s="471"/>
      <c r="AO103" s="471"/>
      <c r="AP103" s="471"/>
      <c r="AQ103" s="471"/>
      <c r="AR103" s="471"/>
      <c r="AS103" s="471"/>
      <c r="AT103" s="471"/>
      <c r="AU103" s="471"/>
      <c r="AV103" s="471"/>
      <c r="AW103" s="471"/>
      <c r="AX103" s="471"/>
      <c r="AY103" s="1222"/>
      <c r="AZ103" s="2096" t="s">
        <v>68</v>
      </c>
      <c r="BA103" s="2097"/>
      <c r="BB103" s="506"/>
      <c r="BC103" s="506"/>
      <c r="BF103" s="524"/>
      <c r="BH103" s="1037">
        <v>5</v>
      </c>
      <c r="BI103" s="1036">
        <f t="shared" si="6"/>
        <v>-200</v>
      </c>
      <c r="BJ103" s="1035">
        <f t="shared" si="7"/>
        <v>-200</v>
      </c>
      <c r="BK103" s="1034">
        <f t="shared" si="3"/>
        <v>-369.69421976558584</v>
      </c>
      <c r="BL103" s="1033">
        <f t="shared" si="4"/>
        <v>369.69421976558584</v>
      </c>
      <c r="BM103" s="1033">
        <f t="shared" si="8"/>
        <v>19.694219765585842</v>
      </c>
      <c r="BN103" s="1033" t="b">
        <f t="shared" si="5"/>
        <v>0</v>
      </c>
      <c r="CQ103" s="524"/>
      <c r="CR103" s="524"/>
      <c r="CS103" s="524"/>
      <c r="CT103" s="524"/>
      <c r="CU103" s="524"/>
      <c r="CV103" s="524"/>
      <c r="CW103" s="524"/>
      <c r="EC103" s="1093"/>
      <c r="ED103" s="1093"/>
    </row>
    <row r="104" spans="2:134" ht="22.8" hidden="1" thickTop="1" thickBot="1" x14ac:dyDescent="0.5">
      <c r="B104" s="536"/>
      <c r="C104" s="537"/>
      <c r="D104" s="1253" t="s">
        <v>13</v>
      </c>
      <c r="E104" s="516"/>
      <c r="F104" s="516"/>
      <c r="G104" s="516"/>
      <c r="H104" s="1022" t="s">
        <v>4</v>
      </c>
      <c r="I104" s="1022" t="s">
        <v>1</v>
      </c>
      <c r="J104" s="1252" t="s">
        <v>119</v>
      </c>
      <c r="K104" s="1025" t="s">
        <v>2</v>
      </c>
      <c r="L104" s="1025" t="s">
        <v>3</v>
      </c>
      <c r="M104" s="1025" t="s">
        <v>8</v>
      </c>
      <c r="N104" s="1025" t="s">
        <v>5</v>
      </c>
      <c r="O104" s="1025" t="s">
        <v>6</v>
      </c>
      <c r="P104" s="1025" t="s">
        <v>7</v>
      </c>
      <c r="Q104" s="1025" t="s">
        <v>9</v>
      </c>
      <c r="R104" s="1022" t="s">
        <v>10</v>
      </c>
      <c r="S104" s="1025" t="s">
        <v>11</v>
      </c>
      <c r="T104" s="1251" t="s">
        <v>12</v>
      </c>
      <c r="W104" s="1022" t="s">
        <v>216</v>
      </c>
      <c r="X104" s="1023" t="s">
        <v>179</v>
      </c>
      <c r="Y104" s="1022" t="s">
        <v>215</v>
      </c>
      <c r="Z104" s="1024" t="s">
        <v>180</v>
      </c>
      <c r="AA104" s="1024" t="s">
        <v>181</v>
      </c>
      <c r="AC104" s="1025" t="s">
        <v>184</v>
      </c>
      <c r="AD104" s="1025"/>
      <c r="AE104" s="1025"/>
      <c r="AF104" s="1213"/>
      <c r="AG104" s="1213"/>
      <c r="AH104" s="1213"/>
      <c r="AI104" s="1213"/>
      <c r="AJ104" s="1213"/>
      <c r="AK104" s="1213"/>
      <c r="AL104" s="1213"/>
      <c r="AM104" s="1213"/>
      <c r="AN104" s="1213"/>
      <c r="AO104" s="1213" t="s">
        <v>108</v>
      </c>
      <c r="AP104" s="1213"/>
      <c r="AQ104" s="1213" t="s">
        <v>108</v>
      </c>
      <c r="AR104" s="1213"/>
      <c r="AS104" s="1213"/>
      <c r="AT104" s="1213" t="s">
        <v>108</v>
      </c>
      <c r="AU104" s="1213"/>
      <c r="AV104" s="1213"/>
      <c r="AW104" s="1213"/>
      <c r="AX104" s="1222"/>
      <c r="AY104" s="1222"/>
      <c r="AZ104" s="1213"/>
      <c r="BA104" s="1213"/>
      <c r="BB104" s="541"/>
      <c r="BH104" s="1037">
        <v>6</v>
      </c>
      <c r="BI104" s="1036">
        <f t="shared" si="6"/>
        <v>-150</v>
      </c>
      <c r="BJ104" s="1035">
        <f t="shared" si="7"/>
        <v>-150</v>
      </c>
      <c r="BK104" s="1034">
        <f t="shared" si="3"/>
        <v>-319.69421976558584</v>
      </c>
      <c r="BL104" s="1033">
        <f t="shared" si="4"/>
        <v>319.69421976558584</v>
      </c>
      <c r="BM104" s="1033">
        <f t="shared" si="8"/>
        <v>19.694219765585842</v>
      </c>
      <c r="BN104" s="1033" t="b">
        <f t="shared" si="5"/>
        <v>0</v>
      </c>
      <c r="CQ104" s="524"/>
      <c r="CR104" s="524"/>
      <c r="CS104" s="524"/>
      <c r="CT104" s="524"/>
      <c r="CU104" s="524"/>
      <c r="CV104" s="524"/>
      <c r="CW104" s="524"/>
      <c r="EC104" s="1093"/>
      <c r="ED104" s="1093"/>
    </row>
    <row r="105" spans="2:134" ht="39" customHeight="1" thickTop="1" thickBot="1" x14ac:dyDescent="0.5">
      <c r="B105" s="1221"/>
      <c r="C105" s="1220"/>
      <c r="D105" s="546" t="s">
        <v>24</v>
      </c>
      <c r="E105" s="771" t="s">
        <v>126</v>
      </c>
      <c r="F105" s="772"/>
      <c r="G105" s="1067"/>
      <c r="H105" s="1022"/>
      <c r="I105" s="1022"/>
      <c r="J105" s="1252"/>
      <c r="K105" s="1025"/>
      <c r="L105" s="1025"/>
      <c r="M105" s="1025"/>
      <c r="N105" s="1025"/>
      <c r="O105" s="1025"/>
      <c r="P105" s="1025"/>
      <c r="Q105" s="1025"/>
      <c r="R105" s="1022"/>
      <c r="S105" s="1025"/>
      <c r="T105" s="1251"/>
      <c r="U105" s="1214"/>
      <c r="V105" s="1213"/>
      <c r="W105" s="1213"/>
      <c r="X105" s="1213"/>
      <c r="Y105" s="1213"/>
      <c r="Z105" s="1213"/>
      <c r="AA105" s="1213"/>
      <c r="AB105" s="1213"/>
      <c r="AC105" s="1250">
        <f>SUM(AC106:AC117)</f>
        <v>334.49993130661176</v>
      </c>
      <c r="AD105" s="1027"/>
      <c r="AE105" s="1027"/>
      <c r="AF105" s="1213" t="s">
        <v>51</v>
      </c>
      <c r="AG105" s="1212" t="s">
        <v>44</v>
      </c>
      <c r="AH105" s="1212"/>
      <c r="AI105" s="1062" t="s">
        <v>211</v>
      </c>
      <c r="AJ105" s="1211" t="s">
        <v>45</v>
      </c>
      <c r="AK105" s="1060" t="s">
        <v>46</v>
      </c>
      <c r="AL105" s="1059" t="s">
        <v>210</v>
      </c>
      <c r="AM105" s="1209" t="s">
        <v>47</v>
      </c>
      <c r="AN105" s="1060" t="s">
        <v>48</v>
      </c>
      <c r="AO105" s="1249" t="s">
        <v>61</v>
      </c>
      <c r="AP105" s="1060" t="s">
        <v>60</v>
      </c>
      <c r="AQ105" s="1249" t="s">
        <v>62</v>
      </c>
      <c r="AR105" s="1207" t="s">
        <v>59</v>
      </c>
      <c r="AS105" s="1207" t="s">
        <v>52</v>
      </c>
      <c r="AT105" s="1249" t="s">
        <v>64</v>
      </c>
      <c r="AU105" s="1207" t="s">
        <v>63</v>
      </c>
      <c r="AV105" s="1206" t="s">
        <v>54</v>
      </c>
      <c r="AW105" s="1206" t="s">
        <v>55</v>
      </c>
      <c r="AX105" s="1205" t="s">
        <v>25</v>
      </c>
      <c r="AY105" s="1205" t="s">
        <v>26</v>
      </c>
      <c r="AZ105" s="1204" t="s">
        <v>25</v>
      </c>
      <c r="BA105" s="1204" t="s">
        <v>26</v>
      </c>
      <c r="BB105" s="506"/>
      <c r="BC105" s="558"/>
      <c r="BH105" s="1037">
        <v>7</v>
      </c>
      <c r="BI105" s="1036">
        <f t="shared" si="6"/>
        <v>-100</v>
      </c>
      <c r="BJ105" s="1035">
        <f t="shared" si="7"/>
        <v>-100</v>
      </c>
      <c r="BK105" s="1034">
        <f t="shared" si="3"/>
        <v>-269.69421976558584</v>
      </c>
      <c r="BL105" s="1033">
        <f t="shared" si="4"/>
        <v>269.69421976558584</v>
      </c>
      <c r="BM105" s="1033">
        <f t="shared" si="8"/>
        <v>19.694219765585842</v>
      </c>
      <c r="BN105" s="1033" t="b">
        <f t="shared" si="5"/>
        <v>0</v>
      </c>
      <c r="CQ105" s="524"/>
      <c r="CR105" s="524"/>
      <c r="CS105" s="524"/>
      <c r="CT105" s="524"/>
      <c r="CU105" s="524"/>
      <c r="CV105" s="524"/>
      <c r="CW105" s="524"/>
      <c r="EC105" s="1093"/>
      <c r="ED105" s="1093"/>
    </row>
    <row r="106" spans="2:134" ht="22.2" thickBot="1" x14ac:dyDescent="0.5">
      <c r="B106" s="1203">
        <v>1</v>
      </c>
      <c r="C106" s="1202">
        <f>+(B100*-1)+D106</f>
        <v>0</v>
      </c>
      <c r="D106" s="463">
        <v>0</v>
      </c>
      <c r="E106" s="1248" t="s">
        <v>126</v>
      </c>
      <c r="F106" s="635"/>
      <c r="G106" s="635"/>
      <c r="H106" s="1442">
        <v>414.62658399999998</v>
      </c>
      <c r="I106" s="1442">
        <v>36.220413100000002</v>
      </c>
      <c r="J106" s="1442">
        <f>+I106-C106</f>
        <v>36.220413100000002</v>
      </c>
      <c r="K106" s="1247"/>
      <c r="L106" s="1247"/>
      <c r="M106" s="1247"/>
      <c r="N106" s="1247"/>
      <c r="O106" s="1247"/>
      <c r="P106" s="1442">
        <f>COS(J106*3.14159265358979/180)</f>
        <v>0.80674984242354264</v>
      </c>
      <c r="Q106" s="1442">
        <f>+P106*H106</f>
        <v>334.49993130661176</v>
      </c>
      <c r="R106" s="1442">
        <v>343.5</v>
      </c>
      <c r="S106" s="1442">
        <f>+Q106</f>
        <v>334.49993130661176</v>
      </c>
      <c r="T106" s="635">
        <f t="shared" ref="T106:T117" si="9">+S106</f>
        <v>334.49993130661176</v>
      </c>
      <c r="U106" s="635"/>
      <c r="V106" s="635">
        <f t="shared" ref="V106:V117" si="10">IF(B106&lt;($B$103+1),T106,0)</f>
        <v>334.49993130661176</v>
      </c>
      <c r="W106" s="1246">
        <v>36.220415500000001</v>
      </c>
      <c r="X106" s="635">
        <f>+W106+AH118</f>
        <v>36.220415500000001</v>
      </c>
      <c r="Y106" s="1246">
        <v>414.6266</v>
      </c>
      <c r="Z106" s="1245">
        <f>+COS(X106*3.14159265358979/180)*Y106</f>
        <v>334.49993395207258</v>
      </c>
      <c r="AA106" s="1244">
        <f>+AC105-Z106</f>
        <v>-2.6454608246240241E-6</v>
      </c>
      <c r="AB106" s="635"/>
      <c r="AC106" s="1240">
        <f>IF(AD106=1,AF106)</f>
        <v>334.49993130661176</v>
      </c>
      <c r="AD106" s="1240">
        <f t="shared" ref="AD106:AD117" si="11">MAX(AE$106:AE$117)</f>
        <v>1</v>
      </c>
      <c r="AE106" s="1240">
        <f>IF(V106=0,0,1)</f>
        <v>1</v>
      </c>
      <c r="AF106" s="1193">
        <f>SUM(V106:V117)/($B$103)</f>
        <v>334.49993130661176</v>
      </c>
      <c r="AG106" s="1243">
        <f>+D106+C106</f>
        <v>0</v>
      </c>
      <c r="AH106" s="1239">
        <f t="shared" ref="AH106:AH117" si="12">IF(B106&lt;($B$103+1),AG106)</f>
        <v>0</v>
      </c>
      <c r="AI106" s="1238">
        <f>53.779595+AH106</f>
        <v>53.779595</v>
      </c>
      <c r="AJ106" s="1191">
        <f t="shared" ref="AJ106:AJ117" si="13">SIN(AI106*3.14159265358979/180)</f>
        <v>0.8067499259590819</v>
      </c>
      <c r="AK106" s="1238">
        <f>+AJ106*414.6266</f>
        <v>334.49997885066585</v>
      </c>
      <c r="AL106" s="1238">
        <f>59.2910885-AH106</f>
        <v>59.291088500000001</v>
      </c>
      <c r="AM106" s="1190">
        <f t="shared" ref="AM106:AM117" si="14">SIN(AL106*3.14159265358979/180)</f>
        <v>0.85977285389573432</v>
      </c>
      <c r="AN106" s="1238">
        <f>+AM106*479.7721</f>
        <v>412.49502763654965</v>
      </c>
      <c r="AO106" s="1237">
        <f t="shared" ref="AO106:AO117" si="15">+((AF106*AP106)+($AP$127*($AF$127+$AA$106)))/AQ106</f>
        <v>218.19407832640624</v>
      </c>
      <c r="AP106" s="1238">
        <f>72*B103</f>
        <v>72</v>
      </c>
      <c r="AQ106" s="1237">
        <f t="shared" ref="AQ106:AQ117" si="16">+AP106+$AP$127+30</f>
        <v>127.5</v>
      </c>
      <c r="AR106" s="1188">
        <f t="shared" ref="AR106:AR117" si="17">+AN106+AK106</f>
        <v>746.99500648721551</v>
      </c>
      <c r="AS106" s="1187">
        <f t="shared" ref="AS106:AS117" si="18">+V106-AN106</f>
        <v>-77.995096329937894</v>
      </c>
      <c r="AT106" s="1236">
        <f t="shared" ref="AT106:AT117" si="19">+AO106-AS106</f>
        <v>296.18917465634411</v>
      </c>
      <c r="AU106" s="1187">
        <f t="shared" ref="AU106:AU117" si="20">+AF106-AS106</f>
        <v>412.49502763654965</v>
      </c>
      <c r="AV106" s="1186">
        <f t="shared" ref="AV106:AV117" si="21">+((AR106-AT106)/AR106)*AQ106</f>
        <v>76.945284853681031</v>
      </c>
      <c r="AW106" s="1186">
        <f t="shared" ref="AW106:AW117" si="22">+(AT106/AR106)*AQ106</f>
        <v>50.554715146318969</v>
      </c>
      <c r="AX106" s="1185">
        <f t="shared" ref="AX106:AX117" si="23">2*$C$19/AV106</f>
        <v>150.7564761383174</v>
      </c>
      <c r="AY106" s="1185">
        <f t="shared" ref="AY106:AY117" si="24">2*$D$19/AW106</f>
        <v>229.45436378044013</v>
      </c>
      <c r="AZ106" s="1242">
        <f t="shared" ref="AZ106:AZ117" si="25">ABS(AX106)</f>
        <v>150.7564761383174</v>
      </c>
      <c r="BA106" s="1242">
        <f t="shared" ref="BA106:BA117" si="26">ABS(AY106)</f>
        <v>229.45436378044013</v>
      </c>
      <c r="BB106" s="586"/>
      <c r="BC106" s="558"/>
      <c r="BH106" s="1037">
        <v>8</v>
      </c>
      <c r="BI106" s="1036">
        <f t="shared" si="6"/>
        <v>-50</v>
      </c>
      <c r="BJ106" s="1035">
        <f t="shared" si="7"/>
        <v>-50</v>
      </c>
      <c r="BK106" s="1034">
        <f t="shared" si="3"/>
        <v>-219.69421976558584</v>
      </c>
      <c r="BL106" s="1033">
        <f t="shared" si="4"/>
        <v>219.69421976558584</v>
      </c>
      <c r="BM106" s="1033">
        <f t="shared" si="8"/>
        <v>19.694219765585842</v>
      </c>
      <c r="BN106" s="1033" t="b">
        <f t="shared" si="5"/>
        <v>0</v>
      </c>
      <c r="CR106" s="524"/>
      <c r="CS106" s="524"/>
      <c r="CT106" s="524"/>
      <c r="CU106" s="524"/>
      <c r="CV106" s="524"/>
      <c r="CW106" s="524"/>
      <c r="EC106" s="1093"/>
      <c r="ED106" s="1093"/>
    </row>
    <row r="107" spans="2:134" ht="21" customHeight="1" thickBot="1" x14ac:dyDescent="0.5">
      <c r="B107" s="631">
        <v>2</v>
      </c>
      <c r="C107" s="612"/>
      <c r="D107" s="463">
        <v>0</v>
      </c>
      <c r="E107" s="632" t="s">
        <v>126</v>
      </c>
      <c r="F107" s="584"/>
      <c r="G107" s="584"/>
      <c r="H107" s="1241">
        <v>479.77208100000001</v>
      </c>
      <c r="I107" s="1241">
        <v>61.416098300000002</v>
      </c>
      <c r="J107" s="584">
        <f t="shared" ref="J107:J117" si="27">+I107+D107</f>
        <v>61.416098300000002</v>
      </c>
      <c r="K107" s="584">
        <f t="shared" ref="K107:K117" si="28">+J107/2</f>
        <v>30.708049150000001</v>
      </c>
      <c r="L107" s="584">
        <f t="shared" ref="L107:L117" si="29">SIN(K107*3.14159265358979/180)</f>
        <v>0.51066370850547771</v>
      </c>
      <c r="M107" s="584">
        <f t="shared" ref="M107:M117" si="30">+L107*H107</f>
        <v>245.00219012085046</v>
      </c>
      <c r="N107" s="584">
        <f t="shared" ref="N107:N117" si="31">+M107*2</f>
        <v>490.00438024170091</v>
      </c>
      <c r="O107" s="584">
        <f>+C106+(D107/2)</f>
        <v>0</v>
      </c>
      <c r="P107" s="584">
        <f t="shared" ref="P107:P117" si="32">SIN(O107*3.14159265358979/180)</f>
        <v>0</v>
      </c>
      <c r="Q107" s="584">
        <f t="shared" ref="Q107:Q117" si="33">+P107*N107</f>
        <v>0</v>
      </c>
      <c r="R107" s="584">
        <f t="shared" ref="R107:R117" si="34">+T106</f>
        <v>334.49993130661176</v>
      </c>
      <c r="S107" s="584">
        <f>+R107+Q107</f>
        <v>334.49993130661176</v>
      </c>
      <c r="T107" s="584">
        <f t="shared" si="9"/>
        <v>334.49993130661176</v>
      </c>
      <c r="U107" s="584"/>
      <c r="V107" s="584">
        <f t="shared" si="10"/>
        <v>0</v>
      </c>
      <c r="W107" s="584"/>
      <c r="X107" s="584"/>
      <c r="Y107" s="584"/>
      <c r="Z107" s="584"/>
      <c r="AA107" s="584"/>
      <c r="AB107" s="584"/>
      <c r="AC107" s="1240" t="b">
        <f>IF(AD107=2,AF107)</f>
        <v>0</v>
      </c>
      <c r="AD107" s="1240">
        <f t="shared" si="11"/>
        <v>1</v>
      </c>
      <c r="AE107" s="1240">
        <f>IF(V107=0,0,2)</f>
        <v>0</v>
      </c>
      <c r="AF107" s="1193" t="e">
        <f>SUM(V107:V117)/($B$103-B106)</f>
        <v>#DIV/0!</v>
      </c>
      <c r="AG107" s="1192">
        <f>SUM(D107)+$C$106</f>
        <v>0</v>
      </c>
      <c r="AH107" s="1239" t="b">
        <f t="shared" si="12"/>
        <v>0</v>
      </c>
      <c r="AI107" s="1238">
        <f t="shared" ref="AI107:AI117" si="35">53.779595+AH107</f>
        <v>53.779595</v>
      </c>
      <c r="AJ107" s="1191">
        <f t="shared" si="13"/>
        <v>0.8067499259590819</v>
      </c>
      <c r="AK107" s="1238">
        <f t="shared" ref="AK107:AK117" si="36">+AJ107*414.6266</f>
        <v>334.49997885066585</v>
      </c>
      <c r="AL107" s="1238">
        <f t="shared" ref="AL107:AL117" si="37">59.2910885-AH107</f>
        <v>59.291088500000001</v>
      </c>
      <c r="AM107" s="1190">
        <f t="shared" si="14"/>
        <v>0.85977285389573432</v>
      </c>
      <c r="AN107" s="1238">
        <f t="shared" ref="AN107:AN117" si="38">+AM107*479.7721</f>
        <v>412.49502763654965</v>
      </c>
      <c r="AO107" s="1237" t="e">
        <f t="shared" si="15"/>
        <v>#DIV/0!</v>
      </c>
      <c r="AP107" s="1238">
        <f t="shared" ref="AP107:AP117" si="39">72*($B$103-B106)</f>
        <v>0</v>
      </c>
      <c r="AQ107" s="1237">
        <f t="shared" si="16"/>
        <v>55.5</v>
      </c>
      <c r="AR107" s="1188">
        <f t="shared" si="17"/>
        <v>746.99500648721551</v>
      </c>
      <c r="AS107" s="1187">
        <f t="shared" si="18"/>
        <v>-412.49502763654965</v>
      </c>
      <c r="AT107" s="1236" t="e">
        <f t="shared" si="19"/>
        <v>#DIV/0!</v>
      </c>
      <c r="AU107" s="1187" t="e">
        <f t="shared" si="20"/>
        <v>#DIV/0!</v>
      </c>
      <c r="AV107" s="1186" t="e">
        <f t="shared" si="21"/>
        <v>#DIV/0!</v>
      </c>
      <c r="AW107" s="1186" t="e">
        <f t="shared" si="22"/>
        <v>#DIV/0!</v>
      </c>
      <c r="AX107" s="1185" t="e">
        <f t="shared" si="23"/>
        <v>#DIV/0!</v>
      </c>
      <c r="AY107" s="1185" t="e">
        <f t="shared" si="24"/>
        <v>#DIV/0!</v>
      </c>
      <c r="AZ107" s="1184" t="e">
        <f t="shared" si="25"/>
        <v>#DIV/0!</v>
      </c>
      <c r="BA107" s="1184" t="e">
        <f t="shared" si="26"/>
        <v>#DIV/0!</v>
      </c>
      <c r="BC107" s="558"/>
      <c r="BH107" s="1037">
        <v>9</v>
      </c>
      <c r="BI107" s="1036">
        <f t="shared" si="6"/>
        <v>0</v>
      </c>
      <c r="BJ107" s="1035">
        <f t="shared" si="7"/>
        <v>0</v>
      </c>
      <c r="BK107" s="1034">
        <f t="shared" si="3"/>
        <v>-169.69421976558584</v>
      </c>
      <c r="BL107" s="1033">
        <f t="shared" si="4"/>
        <v>169.69421976558584</v>
      </c>
      <c r="BM107" s="1033">
        <f t="shared" si="8"/>
        <v>19.694219765585842</v>
      </c>
      <c r="BN107" s="1033" t="b">
        <f t="shared" si="5"/>
        <v>0</v>
      </c>
      <c r="CQ107" s="524"/>
      <c r="CR107" s="524"/>
      <c r="CS107" s="524"/>
      <c r="CT107" s="524"/>
      <c r="CU107" s="524"/>
      <c r="CV107" s="524"/>
      <c r="CW107" s="524"/>
      <c r="EC107" s="1093"/>
      <c r="ED107" s="1093"/>
    </row>
    <row r="108" spans="2:134" ht="21" customHeight="1" thickBot="1" x14ac:dyDescent="0.5">
      <c r="B108" s="631">
        <v>3</v>
      </c>
      <c r="C108" s="612"/>
      <c r="D108" s="463">
        <v>0</v>
      </c>
      <c r="E108" s="632" t="s">
        <v>126</v>
      </c>
      <c r="F108" s="584"/>
      <c r="G108" s="584"/>
      <c r="H108" s="1241">
        <v>479.77208100000001</v>
      </c>
      <c r="I108" s="1241">
        <v>61.416098300000002</v>
      </c>
      <c r="J108" s="584">
        <f t="shared" si="27"/>
        <v>61.416098300000002</v>
      </c>
      <c r="K108" s="584">
        <f t="shared" si="28"/>
        <v>30.708049150000001</v>
      </c>
      <c r="L108" s="584">
        <f t="shared" si="29"/>
        <v>0.51066370850547771</v>
      </c>
      <c r="M108" s="584">
        <f t="shared" si="30"/>
        <v>245.00219012085046</v>
      </c>
      <c r="N108" s="584">
        <f t="shared" si="31"/>
        <v>490.00438024170091</v>
      </c>
      <c r="O108" s="584">
        <f>+C106+D107+(D108/2)</f>
        <v>0</v>
      </c>
      <c r="P108" s="584">
        <f t="shared" si="32"/>
        <v>0</v>
      </c>
      <c r="Q108" s="584">
        <f t="shared" si="33"/>
        <v>0</v>
      </c>
      <c r="R108" s="584">
        <f t="shared" si="34"/>
        <v>334.49993130661176</v>
      </c>
      <c r="S108" s="584">
        <f t="shared" ref="S108:S117" si="40">+S107+Q108</f>
        <v>334.49993130661176</v>
      </c>
      <c r="T108" s="584">
        <f t="shared" si="9"/>
        <v>334.49993130661176</v>
      </c>
      <c r="U108" s="584"/>
      <c r="V108" s="584">
        <f t="shared" si="10"/>
        <v>0</v>
      </c>
      <c r="W108" s="584"/>
      <c r="X108" s="584"/>
      <c r="Y108" s="584"/>
      <c r="Z108" s="584"/>
      <c r="AA108" s="584"/>
      <c r="AB108" s="584"/>
      <c r="AC108" s="1240" t="b">
        <f>IF(AD108=3,AF108)</f>
        <v>0</v>
      </c>
      <c r="AD108" s="1240">
        <f t="shared" si="11"/>
        <v>1</v>
      </c>
      <c r="AE108" s="1240">
        <f>IF(V108=0,0,3)</f>
        <v>0</v>
      </c>
      <c r="AF108" s="1193">
        <f>SUM(V108:V117)/($B$103-B107)</f>
        <v>0</v>
      </c>
      <c r="AG108" s="1192">
        <f>SUM(D107:D108)+$C$106</f>
        <v>0</v>
      </c>
      <c r="AH108" s="1239" t="b">
        <f t="shared" si="12"/>
        <v>0</v>
      </c>
      <c r="AI108" s="1238">
        <f t="shared" si="35"/>
        <v>53.779595</v>
      </c>
      <c r="AJ108" s="1191">
        <f t="shared" si="13"/>
        <v>0.8067499259590819</v>
      </c>
      <c r="AK108" s="1238">
        <f t="shared" si="36"/>
        <v>334.49997885066585</v>
      </c>
      <c r="AL108" s="1238">
        <f t="shared" si="37"/>
        <v>59.291088500000001</v>
      </c>
      <c r="AM108" s="1190">
        <f t="shared" si="14"/>
        <v>0.85977285389573432</v>
      </c>
      <c r="AN108" s="1238">
        <f t="shared" si="38"/>
        <v>412.49502763654965</v>
      </c>
      <c r="AO108" s="1237">
        <f t="shared" si="15"/>
        <v>-226.40908682065145</v>
      </c>
      <c r="AP108" s="1238">
        <f t="shared" si="39"/>
        <v>-72</v>
      </c>
      <c r="AQ108" s="1237">
        <f t="shared" si="16"/>
        <v>-16.5</v>
      </c>
      <c r="AR108" s="1188">
        <f t="shared" si="17"/>
        <v>746.99500648721551</v>
      </c>
      <c r="AS108" s="1187">
        <f t="shared" si="18"/>
        <v>-412.49502763654965</v>
      </c>
      <c r="AT108" s="1236">
        <f t="shared" si="19"/>
        <v>186.0859408158982</v>
      </c>
      <c r="AU108" s="1187">
        <f t="shared" si="20"/>
        <v>412.49502763654965</v>
      </c>
      <c r="AV108" s="1186">
        <f t="shared" si="21"/>
        <v>-12.389640497195387</v>
      </c>
      <c r="AW108" s="1186">
        <f t="shared" si="22"/>
        <v>-4.1103595028046138</v>
      </c>
      <c r="AX108" s="1185">
        <f t="shared" si="23"/>
        <v>-936.26606862611254</v>
      </c>
      <c r="AY108" s="1185">
        <f t="shared" si="24"/>
        <v>-2822.1375750916663</v>
      </c>
      <c r="AZ108" s="1184">
        <f t="shared" si="25"/>
        <v>936.26606862611254</v>
      </c>
      <c r="BA108" s="1184">
        <f t="shared" si="26"/>
        <v>2822.1375750916663</v>
      </c>
      <c r="BC108" s="558"/>
      <c r="BH108" s="1037">
        <v>10</v>
      </c>
      <c r="BI108" s="1036">
        <f t="shared" si="6"/>
        <v>50</v>
      </c>
      <c r="BJ108" s="1035">
        <f t="shared" si="7"/>
        <v>50</v>
      </c>
      <c r="BK108" s="1034">
        <f t="shared" si="3"/>
        <v>-119.69421976558584</v>
      </c>
      <c r="BL108" s="1033">
        <f t="shared" si="4"/>
        <v>119.69421976558584</v>
      </c>
      <c r="BM108" s="1033">
        <f t="shared" si="8"/>
        <v>19.694219765585842</v>
      </c>
      <c r="BN108" s="1033" t="b">
        <f t="shared" si="5"/>
        <v>0</v>
      </c>
      <c r="CR108" s="524"/>
      <c r="CS108" s="524"/>
      <c r="CT108" s="524"/>
      <c r="CU108" s="524"/>
      <c r="CV108" s="524"/>
      <c r="CW108" s="524"/>
      <c r="EC108" s="1093"/>
      <c r="ED108" s="1093"/>
    </row>
    <row r="109" spans="2:134" ht="21" customHeight="1" thickBot="1" x14ac:dyDescent="0.5">
      <c r="B109" s="631">
        <v>4</v>
      </c>
      <c r="C109" s="612"/>
      <c r="D109" s="463">
        <v>0</v>
      </c>
      <c r="E109" s="632" t="s">
        <v>126</v>
      </c>
      <c r="F109" s="584"/>
      <c r="G109" s="584"/>
      <c r="H109" s="1241">
        <v>479.77208100000001</v>
      </c>
      <c r="I109" s="1241">
        <v>61.416098300000002</v>
      </c>
      <c r="J109" s="584">
        <f t="shared" si="27"/>
        <v>61.416098300000002</v>
      </c>
      <c r="K109" s="584">
        <f t="shared" si="28"/>
        <v>30.708049150000001</v>
      </c>
      <c r="L109" s="584">
        <f t="shared" si="29"/>
        <v>0.51066370850547771</v>
      </c>
      <c r="M109" s="584">
        <f t="shared" si="30"/>
        <v>245.00219012085046</v>
      </c>
      <c r="N109" s="584">
        <f t="shared" si="31"/>
        <v>490.00438024170091</v>
      </c>
      <c r="O109" s="584">
        <f>+C106+D107+D108+(D109/2)</f>
        <v>0</v>
      </c>
      <c r="P109" s="584">
        <f t="shared" si="32"/>
        <v>0</v>
      </c>
      <c r="Q109" s="584">
        <f t="shared" si="33"/>
        <v>0</v>
      </c>
      <c r="R109" s="584">
        <f t="shared" si="34"/>
        <v>334.49993130661176</v>
      </c>
      <c r="S109" s="584">
        <f t="shared" si="40"/>
        <v>334.49993130661176</v>
      </c>
      <c r="T109" s="584">
        <f t="shared" si="9"/>
        <v>334.49993130661176</v>
      </c>
      <c r="U109" s="584"/>
      <c r="V109" s="584">
        <f t="shared" si="10"/>
        <v>0</v>
      </c>
      <c r="W109" s="584"/>
      <c r="X109" s="584"/>
      <c r="Y109" s="584"/>
      <c r="Z109" s="584"/>
      <c r="AA109" s="584"/>
      <c r="AB109" s="584"/>
      <c r="AC109" s="1240" t="b">
        <f>IF(AD109=4,AF109)</f>
        <v>0</v>
      </c>
      <c r="AD109" s="1240">
        <f t="shared" si="11"/>
        <v>1</v>
      </c>
      <c r="AE109" s="1240">
        <f>IF(V109=0,0,4)</f>
        <v>0</v>
      </c>
      <c r="AF109" s="1193">
        <f>SUM(V109:V117)/($B$103-B108)</f>
        <v>0</v>
      </c>
      <c r="AG109" s="1192">
        <f>SUM(D107:D109)+$C$106</f>
        <v>0</v>
      </c>
      <c r="AH109" s="1239" t="b">
        <f t="shared" si="12"/>
        <v>0</v>
      </c>
      <c r="AI109" s="1238">
        <f t="shared" si="35"/>
        <v>53.779595</v>
      </c>
      <c r="AJ109" s="1191">
        <f t="shared" si="13"/>
        <v>0.8067499259590819</v>
      </c>
      <c r="AK109" s="1238">
        <f t="shared" si="36"/>
        <v>334.49997885066585</v>
      </c>
      <c r="AL109" s="1238">
        <f t="shared" si="37"/>
        <v>59.291088500000001</v>
      </c>
      <c r="AM109" s="1190">
        <f t="shared" si="14"/>
        <v>0.85977285389573432</v>
      </c>
      <c r="AN109" s="1238">
        <f t="shared" si="38"/>
        <v>412.49502763654965</v>
      </c>
      <c r="AO109" s="1237">
        <f t="shared" si="15"/>
        <v>-42.211863644528236</v>
      </c>
      <c r="AP109" s="1238">
        <f t="shared" si="39"/>
        <v>-144</v>
      </c>
      <c r="AQ109" s="1237">
        <f t="shared" si="16"/>
        <v>-88.5</v>
      </c>
      <c r="AR109" s="1188">
        <f t="shared" si="17"/>
        <v>746.99500648721551</v>
      </c>
      <c r="AS109" s="1187">
        <f t="shared" si="18"/>
        <v>-412.49502763654965</v>
      </c>
      <c r="AT109" s="1236">
        <f t="shared" si="19"/>
        <v>370.2831639920214</v>
      </c>
      <c r="AU109" s="1187">
        <f t="shared" si="20"/>
        <v>412.49502763654965</v>
      </c>
      <c r="AV109" s="1186">
        <f t="shared" si="21"/>
        <v>-44.630817838532984</v>
      </c>
      <c r="AW109" s="1186">
        <f t="shared" si="22"/>
        <v>-43.869182161467023</v>
      </c>
      <c r="AX109" s="1185">
        <f t="shared" si="23"/>
        <v>-259.91009266213553</v>
      </c>
      <c r="AY109" s="1185">
        <f t="shared" si="24"/>
        <v>-264.42252689609035</v>
      </c>
      <c r="AZ109" s="1184">
        <f t="shared" si="25"/>
        <v>259.91009266213553</v>
      </c>
      <c r="BA109" s="1184">
        <f t="shared" si="26"/>
        <v>264.42252689609035</v>
      </c>
      <c r="BC109" s="558"/>
      <c r="BH109" s="1037">
        <v>11</v>
      </c>
      <c r="BI109" s="1036">
        <f t="shared" si="6"/>
        <v>100</v>
      </c>
      <c r="BJ109" s="1035">
        <f t="shared" si="7"/>
        <v>100</v>
      </c>
      <c r="BK109" s="1034">
        <f t="shared" si="3"/>
        <v>-69.694219765585842</v>
      </c>
      <c r="BL109" s="1033">
        <f t="shared" si="4"/>
        <v>69.694219765585842</v>
      </c>
      <c r="BM109" s="1033">
        <f t="shared" si="8"/>
        <v>19.694219765585842</v>
      </c>
      <c r="BN109" s="1033" t="b">
        <f t="shared" si="5"/>
        <v>0</v>
      </c>
      <c r="CR109" s="524"/>
      <c r="CS109" s="524"/>
      <c r="CT109" s="524"/>
      <c r="CU109" s="524"/>
      <c r="CV109" s="524"/>
      <c r="CW109" s="524"/>
      <c r="EC109" s="1093"/>
      <c r="ED109" s="1093"/>
    </row>
    <row r="110" spans="2:134" ht="21" customHeight="1" thickBot="1" x14ac:dyDescent="0.5">
      <c r="B110" s="631">
        <v>5</v>
      </c>
      <c r="C110" s="612"/>
      <c r="D110" s="463">
        <v>0</v>
      </c>
      <c r="E110" s="632" t="s">
        <v>126</v>
      </c>
      <c r="F110" s="584"/>
      <c r="G110" s="584"/>
      <c r="H110" s="1241">
        <v>479.77208100000001</v>
      </c>
      <c r="I110" s="1241">
        <v>61.416098300000002</v>
      </c>
      <c r="J110" s="584">
        <f t="shared" si="27"/>
        <v>61.416098300000002</v>
      </c>
      <c r="K110" s="584">
        <f t="shared" si="28"/>
        <v>30.708049150000001</v>
      </c>
      <c r="L110" s="584">
        <f t="shared" si="29"/>
        <v>0.51066370850547771</v>
      </c>
      <c r="M110" s="584">
        <f t="shared" si="30"/>
        <v>245.00219012085046</v>
      </c>
      <c r="N110" s="584">
        <f t="shared" si="31"/>
        <v>490.00438024170091</v>
      </c>
      <c r="O110" s="584">
        <f>+C106+D107+D108+D109+(D110/2)</f>
        <v>0</v>
      </c>
      <c r="P110" s="584">
        <f t="shared" si="32"/>
        <v>0</v>
      </c>
      <c r="Q110" s="584">
        <f t="shared" si="33"/>
        <v>0</v>
      </c>
      <c r="R110" s="584">
        <f t="shared" si="34"/>
        <v>334.49993130661176</v>
      </c>
      <c r="S110" s="584">
        <f t="shared" si="40"/>
        <v>334.49993130661176</v>
      </c>
      <c r="T110" s="584">
        <f t="shared" si="9"/>
        <v>334.49993130661176</v>
      </c>
      <c r="U110" s="584"/>
      <c r="V110" s="584">
        <f t="shared" si="10"/>
        <v>0</v>
      </c>
      <c r="W110" s="584"/>
      <c r="X110" s="584"/>
      <c r="Y110" s="584"/>
      <c r="Z110" s="584"/>
      <c r="AA110" s="584"/>
      <c r="AB110" s="584"/>
      <c r="AC110" s="1240" t="b">
        <f>IF(AD110=5,AF110)</f>
        <v>0</v>
      </c>
      <c r="AD110" s="1240">
        <f t="shared" si="11"/>
        <v>1</v>
      </c>
      <c r="AE110" s="1240">
        <f>IF(V110=0,0,5)</f>
        <v>0</v>
      </c>
      <c r="AF110" s="1193">
        <f>SUM(V110:V117)/($B$103-B109)</f>
        <v>0</v>
      </c>
      <c r="AG110" s="1192">
        <f>SUM(D107:D110)+$C$106</f>
        <v>0</v>
      </c>
      <c r="AH110" s="1239" t="b">
        <f t="shared" si="12"/>
        <v>0</v>
      </c>
      <c r="AI110" s="1238">
        <f t="shared" si="35"/>
        <v>53.779595</v>
      </c>
      <c r="AJ110" s="1191">
        <f t="shared" si="13"/>
        <v>0.8067499259590819</v>
      </c>
      <c r="AK110" s="1238">
        <f t="shared" si="36"/>
        <v>334.49997885066585</v>
      </c>
      <c r="AL110" s="1238">
        <f t="shared" si="37"/>
        <v>59.291088500000001</v>
      </c>
      <c r="AM110" s="1190">
        <f t="shared" si="14"/>
        <v>0.85977285389573432</v>
      </c>
      <c r="AN110" s="1238">
        <f t="shared" si="38"/>
        <v>412.49502763654965</v>
      </c>
      <c r="AO110" s="1237">
        <f t="shared" si="15"/>
        <v>-23.275700514272579</v>
      </c>
      <c r="AP110" s="1238">
        <f t="shared" si="39"/>
        <v>-216</v>
      </c>
      <c r="AQ110" s="1237">
        <f t="shared" si="16"/>
        <v>-160.5</v>
      </c>
      <c r="AR110" s="1188">
        <f t="shared" si="17"/>
        <v>746.99500648721551</v>
      </c>
      <c r="AS110" s="1187">
        <f t="shared" si="18"/>
        <v>-412.49502763654965</v>
      </c>
      <c r="AT110" s="1236">
        <f t="shared" si="19"/>
        <v>389.21932712227709</v>
      </c>
      <c r="AU110" s="1187">
        <f t="shared" si="20"/>
        <v>412.49502763654965</v>
      </c>
      <c r="AV110" s="1186">
        <f t="shared" si="21"/>
        <v>-76.871995179870567</v>
      </c>
      <c r="AW110" s="1186">
        <f t="shared" si="22"/>
        <v>-83.628004820129433</v>
      </c>
      <c r="AX110" s="1185">
        <f t="shared" si="23"/>
        <v>-150.90020719323721</v>
      </c>
      <c r="AY110" s="1185">
        <f t="shared" si="24"/>
        <v>-138.70951513132184</v>
      </c>
      <c r="AZ110" s="1184">
        <f t="shared" si="25"/>
        <v>150.90020719323721</v>
      </c>
      <c r="BA110" s="1184">
        <f t="shared" si="26"/>
        <v>138.70951513132184</v>
      </c>
      <c r="BC110" s="558"/>
      <c r="BH110" s="1037">
        <v>12</v>
      </c>
      <c r="BI110" s="1036">
        <f t="shared" si="6"/>
        <v>150</v>
      </c>
      <c r="BJ110" s="1035">
        <f t="shared" si="7"/>
        <v>150</v>
      </c>
      <c r="BK110" s="1034">
        <f t="shared" si="3"/>
        <v>-19.694219765585842</v>
      </c>
      <c r="BL110" s="1033">
        <f t="shared" si="4"/>
        <v>19.694219765585842</v>
      </c>
      <c r="BM110" s="1033">
        <f t="shared" si="8"/>
        <v>19.694219765585842</v>
      </c>
      <c r="BN110" s="1033">
        <f t="shared" si="5"/>
        <v>12</v>
      </c>
      <c r="CQ110" s="524"/>
      <c r="CR110" s="524"/>
      <c r="CS110" s="524"/>
      <c r="CT110" s="524"/>
      <c r="CU110" s="524"/>
      <c r="CV110" s="524"/>
      <c r="CW110" s="524"/>
      <c r="EC110" s="1093"/>
      <c r="ED110" s="1093"/>
    </row>
    <row r="111" spans="2:134" ht="21" customHeight="1" thickBot="1" x14ac:dyDescent="0.5">
      <c r="B111" s="631">
        <v>6</v>
      </c>
      <c r="C111" s="612"/>
      <c r="D111" s="463">
        <v>0</v>
      </c>
      <c r="E111" s="632" t="s">
        <v>126</v>
      </c>
      <c r="F111" s="584"/>
      <c r="G111" s="584"/>
      <c r="H111" s="1241">
        <v>479.77208100000001</v>
      </c>
      <c r="I111" s="1241">
        <v>61.416098300000002</v>
      </c>
      <c r="J111" s="584">
        <f t="shared" si="27"/>
        <v>61.416098300000002</v>
      </c>
      <c r="K111" s="584">
        <f t="shared" si="28"/>
        <v>30.708049150000001</v>
      </c>
      <c r="L111" s="584">
        <f t="shared" si="29"/>
        <v>0.51066370850547771</v>
      </c>
      <c r="M111" s="584">
        <f t="shared" si="30"/>
        <v>245.00219012085046</v>
      </c>
      <c r="N111" s="584">
        <f t="shared" si="31"/>
        <v>490.00438024170091</v>
      </c>
      <c r="O111" s="584">
        <f>+C106+D107+D108+D109+D110+(D111/2)</f>
        <v>0</v>
      </c>
      <c r="P111" s="584">
        <f t="shared" si="32"/>
        <v>0</v>
      </c>
      <c r="Q111" s="584">
        <f t="shared" si="33"/>
        <v>0</v>
      </c>
      <c r="R111" s="584">
        <f t="shared" si="34"/>
        <v>334.49993130661176</v>
      </c>
      <c r="S111" s="584">
        <f t="shared" si="40"/>
        <v>334.49993130661176</v>
      </c>
      <c r="T111" s="584">
        <f t="shared" si="9"/>
        <v>334.49993130661176</v>
      </c>
      <c r="U111" s="584"/>
      <c r="V111" s="584">
        <f t="shared" si="10"/>
        <v>0</v>
      </c>
      <c r="W111" s="584"/>
      <c r="X111" s="584"/>
      <c r="Y111" s="584"/>
      <c r="Z111" s="584"/>
      <c r="AA111" s="584"/>
      <c r="AB111" s="584"/>
      <c r="AC111" s="1240" t="b">
        <f>IF(AD111=6,AF111)</f>
        <v>0</v>
      </c>
      <c r="AD111" s="1240">
        <f t="shared" si="11"/>
        <v>1</v>
      </c>
      <c r="AE111" s="1240">
        <f>IF(V111=0,0,6)</f>
        <v>0</v>
      </c>
      <c r="AF111" s="1193">
        <f>SUM(V111:V117)/($B$103-B110)</f>
        <v>0</v>
      </c>
      <c r="AG111" s="1192">
        <f>SUM(D107:D111)+$C$106</f>
        <v>0</v>
      </c>
      <c r="AH111" s="1239" t="b">
        <f t="shared" si="12"/>
        <v>0</v>
      </c>
      <c r="AI111" s="1238">
        <f t="shared" si="35"/>
        <v>53.779595</v>
      </c>
      <c r="AJ111" s="1191">
        <f t="shared" si="13"/>
        <v>0.8067499259590819</v>
      </c>
      <c r="AK111" s="1238">
        <f t="shared" si="36"/>
        <v>334.49997885066585</v>
      </c>
      <c r="AL111" s="1238">
        <f t="shared" si="37"/>
        <v>59.291088500000001</v>
      </c>
      <c r="AM111" s="1190">
        <f t="shared" si="14"/>
        <v>0.85977285389573432</v>
      </c>
      <c r="AN111" s="1238">
        <f t="shared" si="38"/>
        <v>412.49502763654965</v>
      </c>
      <c r="AO111" s="1237">
        <f t="shared" si="15"/>
        <v>-16.067741645336554</v>
      </c>
      <c r="AP111" s="1238">
        <f t="shared" si="39"/>
        <v>-288</v>
      </c>
      <c r="AQ111" s="1237">
        <f t="shared" si="16"/>
        <v>-232.5</v>
      </c>
      <c r="AR111" s="1188">
        <f t="shared" si="17"/>
        <v>746.99500648721551</v>
      </c>
      <c r="AS111" s="1187">
        <f t="shared" si="18"/>
        <v>-412.49502763654965</v>
      </c>
      <c r="AT111" s="1236">
        <f t="shared" si="19"/>
        <v>396.42728599121313</v>
      </c>
      <c r="AU111" s="1187">
        <f t="shared" si="20"/>
        <v>412.49502763654965</v>
      </c>
      <c r="AV111" s="1186">
        <f t="shared" si="21"/>
        <v>-109.11317252120816</v>
      </c>
      <c r="AW111" s="1186">
        <f t="shared" si="22"/>
        <v>-123.38682747879183</v>
      </c>
      <c r="AX111" s="1185">
        <f t="shared" si="23"/>
        <v>-106.3116371008764</v>
      </c>
      <c r="AY111" s="1185">
        <f t="shared" si="24"/>
        <v>-94.013277081735893</v>
      </c>
      <c r="AZ111" s="1184">
        <f t="shared" si="25"/>
        <v>106.3116371008764</v>
      </c>
      <c r="BA111" s="1184">
        <f t="shared" si="26"/>
        <v>94.013277081735893</v>
      </c>
      <c r="BC111" s="558"/>
      <c r="BH111" s="1037">
        <v>13</v>
      </c>
      <c r="BI111" s="1036">
        <f t="shared" si="6"/>
        <v>200</v>
      </c>
      <c r="BJ111" s="1035">
        <f t="shared" si="7"/>
        <v>200</v>
      </c>
      <c r="BK111" s="1034">
        <f t="shared" si="3"/>
        <v>30.305780234414158</v>
      </c>
      <c r="BL111" s="1033">
        <f t="shared" si="4"/>
        <v>30.305780234414158</v>
      </c>
      <c r="BM111" s="1033">
        <f t="shared" si="8"/>
        <v>19.694219765585842</v>
      </c>
      <c r="BN111" s="1033" t="b">
        <f t="shared" si="5"/>
        <v>0</v>
      </c>
      <c r="CR111" s="524"/>
      <c r="CS111" s="524"/>
      <c r="CT111" s="524"/>
      <c r="CU111" s="524"/>
      <c r="CV111" s="524"/>
      <c r="CW111" s="524"/>
      <c r="EC111" s="1093"/>
      <c r="ED111" s="1093"/>
    </row>
    <row r="112" spans="2:134" ht="21" customHeight="1" thickBot="1" x14ac:dyDescent="0.5">
      <c r="B112" s="631">
        <v>7</v>
      </c>
      <c r="C112" s="612"/>
      <c r="D112" s="463">
        <v>0</v>
      </c>
      <c r="E112" s="632" t="s">
        <v>126</v>
      </c>
      <c r="F112" s="584"/>
      <c r="G112" s="584"/>
      <c r="H112" s="1241">
        <v>479.77208100000001</v>
      </c>
      <c r="I112" s="1241">
        <v>61.416098300000002</v>
      </c>
      <c r="J112" s="584">
        <f t="shared" si="27"/>
        <v>61.416098300000002</v>
      </c>
      <c r="K112" s="584">
        <f t="shared" si="28"/>
        <v>30.708049150000001</v>
      </c>
      <c r="L112" s="584">
        <f t="shared" si="29"/>
        <v>0.51066370850547771</v>
      </c>
      <c r="M112" s="584">
        <f t="shared" si="30"/>
        <v>245.00219012085046</v>
      </c>
      <c r="N112" s="584">
        <f t="shared" si="31"/>
        <v>490.00438024170091</v>
      </c>
      <c r="O112" s="584">
        <f>+C106+D107+D108+D109+D110+D111+(D112/2)</f>
        <v>0</v>
      </c>
      <c r="P112" s="584">
        <f t="shared" si="32"/>
        <v>0</v>
      </c>
      <c r="Q112" s="584">
        <f t="shared" si="33"/>
        <v>0</v>
      </c>
      <c r="R112" s="584">
        <f t="shared" si="34"/>
        <v>334.49993130661176</v>
      </c>
      <c r="S112" s="584">
        <f t="shared" si="40"/>
        <v>334.49993130661176</v>
      </c>
      <c r="T112" s="584">
        <f t="shared" si="9"/>
        <v>334.49993130661176</v>
      </c>
      <c r="U112" s="584"/>
      <c r="V112" s="584">
        <f t="shared" si="10"/>
        <v>0</v>
      </c>
      <c r="W112" s="584"/>
      <c r="X112" s="584"/>
      <c r="Y112" s="584"/>
      <c r="Z112" s="584"/>
      <c r="AA112" s="584"/>
      <c r="AB112" s="584"/>
      <c r="AC112" s="1240" t="b">
        <f>IF(AD112=7,AF112)</f>
        <v>0</v>
      </c>
      <c r="AD112" s="1240">
        <f t="shared" si="11"/>
        <v>1</v>
      </c>
      <c r="AE112" s="1240">
        <f>IF(V112=0,0,7)</f>
        <v>0</v>
      </c>
      <c r="AF112" s="1193">
        <f>SUM(V112:V117)/($B$103-B111)</f>
        <v>0</v>
      </c>
      <c r="AG112" s="1192">
        <f>SUM(D107:D112)+$C$106</f>
        <v>0</v>
      </c>
      <c r="AH112" s="1239" t="b">
        <f t="shared" si="12"/>
        <v>0</v>
      </c>
      <c r="AI112" s="1238">
        <f t="shared" si="35"/>
        <v>53.779595</v>
      </c>
      <c r="AJ112" s="1191">
        <f t="shared" si="13"/>
        <v>0.8067499259590819</v>
      </c>
      <c r="AK112" s="1238">
        <f t="shared" si="36"/>
        <v>334.49997885066585</v>
      </c>
      <c r="AL112" s="1238">
        <f t="shared" si="37"/>
        <v>59.291088500000001</v>
      </c>
      <c r="AM112" s="1190">
        <f t="shared" si="14"/>
        <v>0.85977285389573432</v>
      </c>
      <c r="AN112" s="1238">
        <f t="shared" si="38"/>
        <v>412.49502763654965</v>
      </c>
      <c r="AO112" s="1237">
        <f t="shared" si="15"/>
        <v>-12.268472684862886</v>
      </c>
      <c r="AP112" s="1238">
        <f t="shared" si="39"/>
        <v>-360</v>
      </c>
      <c r="AQ112" s="1237">
        <f t="shared" si="16"/>
        <v>-304.5</v>
      </c>
      <c r="AR112" s="1188">
        <f t="shared" si="17"/>
        <v>746.99500648721551</v>
      </c>
      <c r="AS112" s="1187">
        <f t="shared" si="18"/>
        <v>-412.49502763654965</v>
      </c>
      <c r="AT112" s="1236">
        <f t="shared" si="19"/>
        <v>400.22655495168675</v>
      </c>
      <c r="AU112" s="1187">
        <f t="shared" si="20"/>
        <v>412.49502763654965</v>
      </c>
      <c r="AV112" s="1186">
        <f t="shared" si="21"/>
        <v>-141.35434986254577</v>
      </c>
      <c r="AW112" s="1186">
        <f t="shared" si="22"/>
        <v>-163.14565013745423</v>
      </c>
      <c r="AX112" s="1185">
        <f t="shared" si="23"/>
        <v>-82.063268737608311</v>
      </c>
      <c r="AY112" s="1185">
        <f t="shared" si="24"/>
        <v>-71.102110232339726</v>
      </c>
      <c r="AZ112" s="1184">
        <f t="shared" si="25"/>
        <v>82.063268737608311</v>
      </c>
      <c r="BA112" s="1184">
        <f t="shared" si="26"/>
        <v>71.102110232339726</v>
      </c>
      <c r="BC112" s="558"/>
      <c r="BH112" s="1037">
        <v>14</v>
      </c>
      <c r="BI112" s="1036">
        <f t="shared" si="6"/>
        <v>250</v>
      </c>
      <c r="BJ112" s="1035">
        <f t="shared" si="7"/>
        <v>250</v>
      </c>
      <c r="BK112" s="1034">
        <f t="shared" si="3"/>
        <v>80.305780234414158</v>
      </c>
      <c r="BL112" s="1033">
        <f t="shared" si="4"/>
        <v>80.305780234414158</v>
      </c>
      <c r="BM112" s="1033">
        <f t="shared" si="8"/>
        <v>19.694219765585842</v>
      </c>
      <c r="BN112" s="1033" t="b">
        <f t="shared" si="5"/>
        <v>0</v>
      </c>
      <c r="CQ112" s="524"/>
      <c r="CR112" s="524"/>
      <c r="CS112" s="524"/>
      <c r="CT112" s="524"/>
      <c r="CU112" s="524"/>
      <c r="CV112" s="524"/>
      <c r="CW112" s="524"/>
      <c r="EC112" s="1093"/>
      <c r="ED112" s="1093"/>
    </row>
    <row r="113" spans="2:134" ht="21" customHeight="1" thickBot="1" x14ac:dyDescent="0.5">
      <c r="B113" s="631">
        <v>8</v>
      </c>
      <c r="C113" s="612"/>
      <c r="D113" s="463">
        <v>0</v>
      </c>
      <c r="E113" s="632" t="s">
        <v>126</v>
      </c>
      <c r="F113" s="584"/>
      <c r="G113" s="584"/>
      <c r="H113" s="1241">
        <v>479.77208100000001</v>
      </c>
      <c r="I113" s="1241">
        <v>61.416098300000002</v>
      </c>
      <c r="J113" s="584">
        <f t="shared" si="27"/>
        <v>61.416098300000002</v>
      </c>
      <c r="K113" s="584">
        <f t="shared" si="28"/>
        <v>30.708049150000001</v>
      </c>
      <c r="L113" s="584">
        <f t="shared" si="29"/>
        <v>0.51066370850547771</v>
      </c>
      <c r="M113" s="584">
        <f t="shared" si="30"/>
        <v>245.00219012085046</v>
      </c>
      <c r="N113" s="584">
        <f t="shared" si="31"/>
        <v>490.00438024170091</v>
      </c>
      <c r="O113" s="584">
        <f>+C106+D107+D108+D109+D110+D111+D112+(D113/2)</f>
        <v>0</v>
      </c>
      <c r="P113" s="584">
        <f t="shared" si="32"/>
        <v>0</v>
      </c>
      <c r="Q113" s="584">
        <f t="shared" si="33"/>
        <v>0</v>
      </c>
      <c r="R113" s="584">
        <f t="shared" si="34"/>
        <v>334.49993130661176</v>
      </c>
      <c r="S113" s="584">
        <f t="shared" si="40"/>
        <v>334.49993130661176</v>
      </c>
      <c r="T113" s="584">
        <f t="shared" si="9"/>
        <v>334.49993130661176</v>
      </c>
      <c r="U113" s="584"/>
      <c r="V113" s="584">
        <f t="shared" si="10"/>
        <v>0</v>
      </c>
      <c r="W113" s="584"/>
      <c r="X113" s="584"/>
      <c r="Y113" s="584"/>
      <c r="Z113" s="584"/>
      <c r="AA113" s="584"/>
      <c r="AB113" s="584"/>
      <c r="AC113" s="1240" t="b">
        <f>IF(AD113=8,AF113)</f>
        <v>0</v>
      </c>
      <c r="AD113" s="1240">
        <f t="shared" si="11"/>
        <v>1</v>
      </c>
      <c r="AE113" s="1240">
        <f>IF(V113=0,0,8)</f>
        <v>0</v>
      </c>
      <c r="AF113" s="1193">
        <f>SUM(V113:V117)/($B$103-B112)</f>
        <v>0</v>
      </c>
      <c r="AG113" s="1192">
        <f>SUM(D107:D113)+$C$106</f>
        <v>0</v>
      </c>
      <c r="AH113" s="1239" t="b">
        <f t="shared" si="12"/>
        <v>0</v>
      </c>
      <c r="AI113" s="1238">
        <f t="shared" si="35"/>
        <v>53.779595</v>
      </c>
      <c r="AJ113" s="1191">
        <f t="shared" si="13"/>
        <v>0.8067499259590819</v>
      </c>
      <c r="AK113" s="1238">
        <f t="shared" si="36"/>
        <v>334.49997885066585</v>
      </c>
      <c r="AL113" s="1238">
        <f t="shared" si="37"/>
        <v>59.291088500000001</v>
      </c>
      <c r="AM113" s="1190">
        <f t="shared" si="14"/>
        <v>0.85977285389573432</v>
      </c>
      <c r="AN113" s="1238">
        <f t="shared" si="38"/>
        <v>412.49502763654965</v>
      </c>
      <c r="AO113" s="1237">
        <f t="shared" si="15"/>
        <v>-9.9223105777974734</v>
      </c>
      <c r="AP113" s="1238">
        <f t="shared" si="39"/>
        <v>-432</v>
      </c>
      <c r="AQ113" s="1237">
        <f t="shared" si="16"/>
        <v>-376.5</v>
      </c>
      <c r="AR113" s="1188">
        <f t="shared" si="17"/>
        <v>746.99500648721551</v>
      </c>
      <c r="AS113" s="1187">
        <f t="shared" si="18"/>
        <v>-412.49502763654965</v>
      </c>
      <c r="AT113" s="1236">
        <f t="shared" si="19"/>
        <v>402.57271705875218</v>
      </c>
      <c r="AU113" s="1187">
        <f t="shared" si="20"/>
        <v>412.49502763654965</v>
      </c>
      <c r="AV113" s="1186">
        <f t="shared" si="21"/>
        <v>-173.59552720388336</v>
      </c>
      <c r="AW113" s="1186">
        <f t="shared" si="22"/>
        <v>-202.90447279611664</v>
      </c>
      <c r="AX113" s="1185">
        <f t="shared" si="23"/>
        <v>-66.821998163444079</v>
      </c>
      <c r="AY113" s="1185">
        <f t="shared" si="24"/>
        <v>-57.169759937504992</v>
      </c>
      <c r="AZ113" s="1184">
        <f t="shared" si="25"/>
        <v>66.821998163444079</v>
      </c>
      <c r="BA113" s="1184">
        <f t="shared" si="26"/>
        <v>57.169759937504992</v>
      </c>
      <c r="BC113" s="558"/>
      <c r="BH113" s="1037">
        <v>15</v>
      </c>
      <c r="BI113" s="1036">
        <f t="shared" si="6"/>
        <v>300</v>
      </c>
      <c r="BJ113" s="1035">
        <f t="shared" si="7"/>
        <v>300</v>
      </c>
      <c r="BK113" s="1034">
        <f t="shared" si="3"/>
        <v>130.30578023441416</v>
      </c>
      <c r="BL113" s="1033">
        <f t="shared" si="4"/>
        <v>130.30578023441416</v>
      </c>
      <c r="BM113" s="1033">
        <f t="shared" si="8"/>
        <v>19.694219765585842</v>
      </c>
      <c r="BN113" s="1033" t="b">
        <f t="shared" si="5"/>
        <v>0</v>
      </c>
      <c r="CQ113" s="524"/>
      <c r="CR113" s="524"/>
      <c r="CS113" s="524"/>
      <c r="CT113" s="524"/>
      <c r="CU113" s="524"/>
      <c r="CV113" s="524"/>
      <c r="CW113" s="524"/>
      <c r="EC113" s="1093"/>
      <c r="ED113" s="1093"/>
    </row>
    <row r="114" spans="2:134" ht="21" customHeight="1" thickBot="1" x14ac:dyDescent="0.5">
      <c r="B114" s="631">
        <v>9</v>
      </c>
      <c r="C114" s="612"/>
      <c r="D114" s="463">
        <v>0</v>
      </c>
      <c r="E114" s="632" t="s">
        <v>126</v>
      </c>
      <c r="F114" s="584"/>
      <c r="G114" s="584"/>
      <c r="H114" s="1241">
        <v>479.77208100000001</v>
      </c>
      <c r="I114" s="1241">
        <v>61.416098300000002</v>
      </c>
      <c r="J114" s="584">
        <f t="shared" si="27"/>
        <v>61.416098300000002</v>
      </c>
      <c r="K114" s="584">
        <f t="shared" si="28"/>
        <v>30.708049150000001</v>
      </c>
      <c r="L114" s="584">
        <f t="shared" si="29"/>
        <v>0.51066370850547771</v>
      </c>
      <c r="M114" s="584">
        <f t="shared" si="30"/>
        <v>245.00219012085046</v>
      </c>
      <c r="N114" s="584">
        <f t="shared" si="31"/>
        <v>490.00438024170091</v>
      </c>
      <c r="O114" s="584">
        <f>+C106+D107+D108+D109+D110+D111+D112+D113+(D114/2)</f>
        <v>0</v>
      </c>
      <c r="P114" s="584">
        <f t="shared" si="32"/>
        <v>0</v>
      </c>
      <c r="Q114" s="584">
        <f t="shared" si="33"/>
        <v>0</v>
      </c>
      <c r="R114" s="584">
        <f t="shared" si="34"/>
        <v>334.49993130661176</v>
      </c>
      <c r="S114" s="584">
        <f t="shared" si="40"/>
        <v>334.49993130661176</v>
      </c>
      <c r="T114" s="584">
        <f t="shared" si="9"/>
        <v>334.49993130661176</v>
      </c>
      <c r="U114" s="584"/>
      <c r="V114" s="584">
        <f t="shared" si="10"/>
        <v>0</v>
      </c>
      <c r="W114" s="584"/>
      <c r="X114" s="584"/>
      <c r="Y114" s="584"/>
      <c r="Z114" s="584"/>
      <c r="AA114" s="584"/>
      <c r="AB114" s="584"/>
      <c r="AC114" s="1240" t="b">
        <f>IF(AD114=9,AF114)</f>
        <v>0</v>
      </c>
      <c r="AD114" s="1240">
        <f t="shared" si="11"/>
        <v>1</v>
      </c>
      <c r="AE114" s="1240">
        <f>IF(V114=0,0,9)</f>
        <v>0</v>
      </c>
      <c r="AF114" s="1193">
        <f>SUM(V114:V117)/($B$103-B113)</f>
        <v>0</v>
      </c>
      <c r="AG114" s="1192">
        <f>SUM(D107:D114)+$C$106</f>
        <v>0</v>
      </c>
      <c r="AH114" s="1239" t="b">
        <f t="shared" si="12"/>
        <v>0</v>
      </c>
      <c r="AI114" s="1238">
        <f t="shared" si="35"/>
        <v>53.779595</v>
      </c>
      <c r="AJ114" s="1191">
        <f t="shared" si="13"/>
        <v>0.8067499259590819</v>
      </c>
      <c r="AK114" s="1238">
        <f t="shared" si="36"/>
        <v>334.49997885066585</v>
      </c>
      <c r="AL114" s="1238">
        <f t="shared" si="37"/>
        <v>59.291088500000001</v>
      </c>
      <c r="AM114" s="1190">
        <f t="shared" si="14"/>
        <v>0.85977285389573432</v>
      </c>
      <c r="AN114" s="1238">
        <f t="shared" si="38"/>
        <v>412.49502763654965</v>
      </c>
      <c r="AO114" s="1237">
        <f t="shared" si="15"/>
        <v>-8.3294312877162735</v>
      </c>
      <c r="AP114" s="1238">
        <f t="shared" si="39"/>
        <v>-504</v>
      </c>
      <c r="AQ114" s="1237">
        <f t="shared" si="16"/>
        <v>-448.5</v>
      </c>
      <c r="AR114" s="1188">
        <f t="shared" si="17"/>
        <v>746.99500648721551</v>
      </c>
      <c r="AS114" s="1187">
        <f t="shared" si="18"/>
        <v>-412.49502763654965</v>
      </c>
      <c r="AT114" s="1236">
        <f t="shared" si="19"/>
        <v>404.16559634883339</v>
      </c>
      <c r="AU114" s="1187">
        <f t="shared" si="20"/>
        <v>412.49502763654965</v>
      </c>
      <c r="AV114" s="1186">
        <f t="shared" si="21"/>
        <v>-205.83670454522095</v>
      </c>
      <c r="AW114" s="1186">
        <f t="shared" si="22"/>
        <v>-242.66329545477907</v>
      </c>
      <c r="AX114" s="1185">
        <f t="shared" si="23"/>
        <v>-56.355352295545316</v>
      </c>
      <c r="AY114" s="1185">
        <f t="shared" si="24"/>
        <v>-47.802861896605577</v>
      </c>
      <c r="AZ114" s="1184">
        <f t="shared" si="25"/>
        <v>56.355352295545316</v>
      </c>
      <c r="BA114" s="1184">
        <f t="shared" si="26"/>
        <v>47.802861896605577</v>
      </c>
      <c r="BC114" s="558"/>
      <c r="BH114" s="1037">
        <v>16</v>
      </c>
      <c r="BI114" s="1036">
        <f t="shared" si="6"/>
        <v>350</v>
      </c>
      <c r="BJ114" s="1035">
        <f t="shared" si="7"/>
        <v>350</v>
      </c>
      <c r="BK114" s="1034">
        <f t="shared" si="3"/>
        <v>180.30578023441416</v>
      </c>
      <c r="BL114" s="1033">
        <f t="shared" si="4"/>
        <v>180.30578023441416</v>
      </c>
      <c r="BM114" s="1033">
        <f t="shared" si="8"/>
        <v>19.694219765585842</v>
      </c>
      <c r="BN114" s="1033" t="b">
        <f t="shared" si="5"/>
        <v>0</v>
      </c>
      <c r="CQ114" s="524"/>
      <c r="CR114" s="524"/>
      <c r="CS114" s="524"/>
      <c r="CT114" s="524"/>
      <c r="CU114" s="524"/>
      <c r="CV114" s="524"/>
      <c r="CW114" s="524"/>
      <c r="EC114" s="1093"/>
      <c r="ED114" s="1093"/>
    </row>
    <row r="115" spans="2:134" ht="21" customHeight="1" thickBot="1" x14ac:dyDescent="0.5">
      <c r="B115" s="631">
        <v>10</v>
      </c>
      <c r="C115" s="612"/>
      <c r="D115" s="463">
        <v>0</v>
      </c>
      <c r="E115" s="632" t="s">
        <v>126</v>
      </c>
      <c r="F115" s="584"/>
      <c r="G115" s="584"/>
      <c r="H115" s="1241">
        <v>479.77208100000001</v>
      </c>
      <c r="I115" s="1241">
        <v>61.416098300000002</v>
      </c>
      <c r="J115" s="584">
        <f t="shared" si="27"/>
        <v>61.416098300000002</v>
      </c>
      <c r="K115" s="584">
        <f t="shared" si="28"/>
        <v>30.708049150000001</v>
      </c>
      <c r="L115" s="584">
        <f t="shared" si="29"/>
        <v>0.51066370850547771</v>
      </c>
      <c r="M115" s="584">
        <f t="shared" si="30"/>
        <v>245.00219012085046</v>
      </c>
      <c r="N115" s="584">
        <f t="shared" si="31"/>
        <v>490.00438024170091</v>
      </c>
      <c r="O115" s="584">
        <f>+C106+D107+D108+D109+D110+D111+D112+D113+D114+(D115/2)</f>
        <v>0</v>
      </c>
      <c r="P115" s="584">
        <f t="shared" si="32"/>
        <v>0</v>
      </c>
      <c r="Q115" s="584">
        <f t="shared" si="33"/>
        <v>0</v>
      </c>
      <c r="R115" s="584">
        <f t="shared" si="34"/>
        <v>334.49993130661176</v>
      </c>
      <c r="S115" s="584">
        <f t="shared" si="40"/>
        <v>334.49993130661176</v>
      </c>
      <c r="T115" s="584">
        <f t="shared" si="9"/>
        <v>334.49993130661176</v>
      </c>
      <c r="U115" s="584"/>
      <c r="V115" s="584">
        <f t="shared" si="10"/>
        <v>0</v>
      </c>
      <c r="W115" s="584"/>
      <c r="X115" s="584"/>
      <c r="Y115" s="584"/>
      <c r="Z115" s="584"/>
      <c r="AA115" s="584"/>
      <c r="AB115" s="584"/>
      <c r="AC115" s="1240" t="b">
        <f>IF(AD115=10,AF115)</f>
        <v>0</v>
      </c>
      <c r="AD115" s="1240">
        <f t="shared" si="11"/>
        <v>1</v>
      </c>
      <c r="AE115" s="1240">
        <f>IF(V115=0,0,10)</f>
        <v>0</v>
      </c>
      <c r="AF115" s="1193">
        <f>SUM(V115:V117)/($B$103-B114)</f>
        <v>0</v>
      </c>
      <c r="AG115" s="1192">
        <f>SUM(D107:D115)+$C$106</f>
        <v>0</v>
      </c>
      <c r="AH115" s="1239" t="b">
        <f t="shared" si="12"/>
        <v>0</v>
      </c>
      <c r="AI115" s="1238">
        <f t="shared" si="35"/>
        <v>53.779595</v>
      </c>
      <c r="AJ115" s="1191">
        <f t="shared" si="13"/>
        <v>0.8067499259590819</v>
      </c>
      <c r="AK115" s="1238">
        <f t="shared" si="36"/>
        <v>334.49997885066585</v>
      </c>
      <c r="AL115" s="1238">
        <f t="shared" si="37"/>
        <v>59.291088500000001</v>
      </c>
      <c r="AM115" s="1190">
        <f t="shared" si="14"/>
        <v>0.85977285389573432</v>
      </c>
      <c r="AN115" s="1238">
        <f t="shared" si="38"/>
        <v>412.49502763654965</v>
      </c>
      <c r="AO115" s="1237">
        <f t="shared" si="15"/>
        <v>-7.1772332997901032</v>
      </c>
      <c r="AP115" s="1238">
        <f t="shared" si="39"/>
        <v>-576</v>
      </c>
      <c r="AQ115" s="1237">
        <f t="shared" si="16"/>
        <v>-520.5</v>
      </c>
      <c r="AR115" s="1188">
        <f t="shared" si="17"/>
        <v>746.99500648721551</v>
      </c>
      <c r="AS115" s="1187">
        <f t="shared" si="18"/>
        <v>-412.49502763654965</v>
      </c>
      <c r="AT115" s="1236">
        <f t="shared" si="19"/>
        <v>405.31779433675956</v>
      </c>
      <c r="AU115" s="1187">
        <f t="shared" si="20"/>
        <v>412.49502763654965</v>
      </c>
      <c r="AV115" s="1186">
        <f t="shared" si="21"/>
        <v>-238.07788188655854</v>
      </c>
      <c r="AW115" s="1186">
        <f t="shared" si="22"/>
        <v>-282.42211811344151</v>
      </c>
      <c r="AX115" s="1185">
        <f t="shared" si="23"/>
        <v>-48.723551755753903</v>
      </c>
      <c r="AY115" s="1185">
        <f t="shared" si="24"/>
        <v>-41.073270314262658</v>
      </c>
      <c r="AZ115" s="1184">
        <f t="shared" si="25"/>
        <v>48.723551755753903</v>
      </c>
      <c r="BA115" s="1184">
        <f t="shared" si="26"/>
        <v>41.073270314262658</v>
      </c>
      <c r="BC115" s="558"/>
      <c r="BH115" s="1037">
        <v>17</v>
      </c>
      <c r="BI115" s="1036">
        <f t="shared" si="6"/>
        <v>400</v>
      </c>
      <c r="BJ115" s="1035">
        <f t="shared" si="7"/>
        <v>400</v>
      </c>
      <c r="BK115" s="1034">
        <f t="shared" si="3"/>
        <v>230.30578023441416</v>
      </c>
      <c r="BL115" s="1033">
        <f t="shared" si="4"/>
        <v>230.30578023441416</v>
      </c>
      <c r="BM115" s="1033">
        <f t="shared" si="8"/>
        <v>19.694219765585842</v>
      </c>
      <c r="BN115" s="1033" t="b">
        <f t="shared" si="5"/>
        <v>0</v>
      </c>
      <c r="CQ115" s="524"/>
      <c r="CR115" s="524"/>
      <c r="CS115" s="524"/>
      <c r="CT115" s="524"/>
      <c r="CU115" s="524"/>
      <c r="CV115" s="524"/>
      <c r="CW115" s="524"/>
      <c r="EC115" s="1093"/>
      <c r="ED115" s="1093"/>
    </row>
    <row r="116" spans="2:134" ht="21" hidden="1" customHeight="1" thickBot="1" x14ac:dyDescent="0.5">
      <c r="B116" s="631">
        <v>11</v>
      </c>
      <c r="C116" s="612"/>
      <c r="D116" s="463">
        <v>0</v>
      </c>
      <c r="E116" s="632" t="s">
        <v>126</v>
      </c>
      <c r="F116" s="584"/>
      <c r="G116" s="584"/>
      <c r="H116" s="1241">
        <v>479.77208100000001</v>
      </c>
      <c r="I116" s="1241">
        <v>61.416098300000002</v>
      </c>
      <c r="J116" s="584">
        <f t="shared" si="27"/>
        <v>61.416098300000002</v>
      </c>
      <c r="K116" s="584">
        <f t="shared" si="28"/>
        <v>30.708049150000001</v>
      </c>
      <c r="L116" s="584">
        <f t="shared" si="29"/>
        <v>0.51066370850547771</v>
      </c>
      <c r="M116" s="584">
        <f t="shared" si="30"/>
        <v>245.00219012085046</v>
      </c>
      <c r="N116" s="584">
        <f t="shared" si="31"/>
        <v>490.00438024170091</v>
      </c>
      <c r="O116" s="584">
        <f>+C106+D107+D108+D109+D110+D111+D112+D113+D114+D115+(D116/2)</f>
        <v>0</v>
      </c>
      <c r="P116" s="584">
        <f t="shared" si="32"/>
        <v>0</v>
      </c>
      <c r="Q116" s="584">
        <f t="shared" si="33"/>
        <v>0</v>
      </c>
      <c r="R116" s="584">
        <f t="shared" si="34"/>
        <v>334.49993130661176</v>
      </c>
      <c r="S116" s="584">
        <f t="shared" si="40"/>
        <v>334.49993130661176</v>
      </c>
      <c r="T116" s="584">
        <f t="shared" si="9"/>
        <v>334.49993130661176</v>
      </c>
      <c r="U116" s="584"/>
      <c r="V116" s="584">
        <f t="shared" si="10"/>
        <v>0</v>
      </c>
      <c r="W116" s="584"/>
      <c r="X116" s="584"/>
      <c r="Y116" s="584"/>
      <c r="Z116" s="584"/>
      <c r="AA116" s="584"/>
      <c r="AB116" s="584"/>
      <c r="AC116" s="1240" t="b">
        <f>IF(AD116=11,AF116)</f>
        <v>0</v>
      </c>
      <c r="AD116" s="1240">
        <f t="shared" si="11"/>
        <v>1</v>
      </c>
      <c r="AE116" s="1240">
        <f>IF(V116=0,0,11)</f>
        <v>0</v>
      </c>
      <c r="AF116" s="1193">
        <f>SUM(V116:V117)/($B$103-B115)</f>
        <v>0</v>
      </c>
      <c r="AG116" s="1192">
        <f>SUM(D107:D116)+$C$106</f>
        <v>0</v>
      </c>
      <c r="AH116" s="1239" t="b">
        <f t="shared" si="12"/>
        <v>0</v>
      </c>
      <c r="AI116" s="1238">
        <f t="shared" si="35"/>
        <v>53.779595</v>
      </c>
      <c r="AJ116" s="1191">
        <f t="shared" si="13"/>
        <v>0.8067499259590819</v>
      </c>
      <c r="AK116" s="1238">
        <f t="shared" si="36"/>
        <v>334.49997885066585</v>
      </c>
      <c r="AL116" s="1238">
        <f t="shared" si="37"/>
        <v>59.291088500000001</v>
      </c>
      <c r="AM116" s="1190">
        <f t="shared" si="14"/>
        <v>0.85977285389573432</v>
      </c>
      <c r="AN116" s="1238">
        <f t="shared" si="38"/>
        <v>412.49502763654965</v>
      </c>
      <c r="AO116" s="1237">
        <f t="shared" si="15"/>
        <v>-6.305063177283964</v>
      </c>
      <c r="AP116" s="1238">
        <f t="shared" si="39"/>
        <v>-648</v>
      </c>
      <c r="AQ116" s="1237">
        <f t="shared" si="16"/>
        <v>-592.5</v>
      </c>
      <c r="AR116" s="1188">
        <f t="shared" si="17"/>
        <v>746.99500648721551</v>
      </c>
      <c r="AS116" s="1187">
        <f t="shared" si="18"/>
        <v>-412.49502763654965</v>
      </c>
      <c r="AT116" s="1236">
        <f t="shared" si="19"/>
        <v>406.1899644592657</v>
      </c>
      <c r="AU116" s="1187">
        <f t="shared" si="20"/>
        <v>412.49502763654965</v>
      </c>
      <c r="AV116" s="1186">
        <f t="shared" si="21"/>
        <v>-270.3190592278961</v>
      </c>
      <c r="AW116" s="1186">
        <f t="shared" si="22"/>
        <v>-322.1809407721039</v>
      </c>
      <c r="AX116" s="1185">
        <f t="shared" si="23"/>
        <v>-42.912253516761702</v>
      </c>
      <c r="AY116" s="1185">
        <f t="shared" si="24"/>
        <v>-36.004612725385613</v>
      </c>
      <c r="AZ116" s="1184">
        <f t="shared" si="25"/>
        <v>42.912253516761702</v>
      </c>
      <c r="BA116" s="1184">
        <f t="shared" si="26"/>
        <v>36.004612725385613</v>
      </c>
      <c r="BC116" s="558"/>
      <c r="BH116" s="1037">
        <v>18</v>
      </c>
      <c r="BI116" s="1036">
        <f t="shared" si="6"/>
        <v>450</v>
      </c>
      <c r="BJ116" s="1035">
        <f t="shared" si="7"/>
        <v>450</v>
      </c>
      <c r="BK116" s="1034">
        <f t="shared" si="3"/>
        <v>280.30578023441416</v>
      </c>
      <c r="BL116" s="1033">
        <f t="shared" si="4"/>
        <v>280.30578023441416</v>
      </c>
      <c r="BM116" s="1033">
        <f t="shared" si="8"/>
        <v>19.694219765585842</v>
      </c>
      <c r="BN116" s="1033" t="b">
        <f t="shared" si="5"/>
        <v>0</v>
      </c>
      <c r="CQ116" s="524"/>
      <c r="CR116" s="524"/>
      <c r="CS116" s="524"/>
      <c r="CT116" s="524"/>
      <c r="CU116" s="524"/>
      <c r="CV116" s="524"/>
      <c r="CW116" s="524"/>
      <c r="EC116" s="1093"/>
      <c r="ED116" s="1093"/>
    </row>
    <row r="117" spans="2:134" ht="21" hidden="1" customHeight="1" thickBot="1" x14ac:dyDescent="0.5">
      <c r="B117" s="631">
        <v>12</v>
      </c>
      <c r="C117" s="612"/>
      <c r="D117" s="463">
        <v>0</v>
      </c>
      <c r="E117" s="632" t="s">
        <v>126</v>
      </c>
      <c r="F117" s="584"/>
      <c r="G117" s="584"/>
      <c r="H117" s="1241">
        <v>479.77208100000001</v>
      </c>
      <c r="I117" s="1241">
        <v>61.416098300000002</v>
      </c>
      <c r="J117" s="584">
        <f t="shared" si="27"/>
        <v>61.416098300000002</v>
      </c>
      <c r="K117" s="584">
        <f t="shared" si="28"/>
        <v>30.708049150000001</v>
      </c>
      <c r="L117" s="584">
        <f t="shared" si="29"/>
        <v>0.51066370850547771</v>
      </c>
      <c r="M117" s="584">
        <f t="shared" si="30"/>
        <v>245.00219012085046</v>
      </c>
      <c r="N117" s="584">
        <f t="shared" si="31"/>
        <v>490.00438024170091</v>
      </c>
      <c r="O117" s="584">
        <f>+C106+D107+D108+D109+D110+D111+D112+D113+D114+D115+D116+(D117/2)</f>
        <v>0</v>
      </c>
      <c r="P117" s="584">
        <f t="shared" si="32"/>
        <v>0</v>
      </c>
      <c r="Q117" s="584">
        <f t="shared" si="33"/>
        <v>0</v>
      </c>
      <c r="R117" s="584">
        <f t="shared" si="34"/>
        <v>334.49993130661176</v>
      </c>
      <c r="S117" s="584">
        <f t="shared" si="40"/>
        <v>334.49993130661176</v>
      </c>
      <c r="T117" s="584">
        <f t="shared" si="9"/>
        <v>334.49993130661176</v>
      </c>
      <c r="U117" s="584"/>
      <c r="V117" s="584">
        <f t="shared" si="10"/>
        <v>0</v>
      </c>
      <c r="W117" s="584"/>
      <c r="X117" s="584"/>
      <c r="Y117" s="584"/>
      <c r="Z117" s="584"/>
      <c r="AA117" s="584"/>
      <c r="AB117" s="584"/>
      <c r="AC117" s="1240" t="b">
        <f>IF(AD117=12,AF117)</f>
        <v>0</v>
      </c>
      <c r="AD117" s="1240">
        <f t="shared" si="11"/>
        <v>1</v>
      </c>
      <c r="AE117" s="1240">
        <f>IF(V117=0,0,12)</f>
        <v>0</v>
      </c>
      <c r="AF117" s="1193">
        <f>SUM(V117)/($B$103-B116)</f>
        <v>0</v>
      </c>
      <c r="AG117" s="1192">
        <f>SUM(D107:D117)+$C$106</f>
        <v>0</v>
      </c>
      <c r="AH117" s="1239" t="b">
        <f t="shared" si="12"/>
        <v>0</v>
      </c>
      <c r="AI117" s="1238">
        <f t="shared" si="35"/>
        <v>53.779595</v>
      </c>
      <c r="AJ117" s="1191">
        <f t="shared" si="13"/>
        <v>0.8067499259590819</v>
      </c>
      <c r="AK117" s="1238">
        <f t="shared" si="36"/>
        <v>334.49997885066585</v>
      </c>
      <c r="AL117" s="1238">
        <f t="shared" si="37"/>
        <v>59.291088500000001</v>
      </c>
      <c r="AM117" s="1190">
        <f t="shared" si="14"/>
        <v>0.85977285389573432</v>
      </c>
      <c r="AN117" s="1238">
        <f t="shared" si="38"/>
        <v>412.49502763654965</v>
      </c>
      <c r="AO117" s="1237">
        <f t="shared" si="15"/>
        <v>-5.6218960610094042</v>
      </c>
      <c r="AP117" s="1238">
        <f t="shared" si="39"/>
        <v>-720</v>
      </c>
      <c r="AQ117" s="1237">
        <f t="shared" si="16"/>
        <v>-664.5</v>
      </c>
      <c r="AR117" s="1188">
        <f t="shared" si="17"/>
        <v>746.99500648721551</v>
      </c>
      <c r="AS117" s="1187">
        <f t="shared" si="18"/>
        <v>-412.49502763654965</v>
      </c>
      <c r="AT117" s="1236">
        <f t="shared" si="19"/>
        <v>406.87313157554024</v>
      </c>
      <c r="AU117" s="1187">
        <f t="shared" si="20"/>
        <v>412.49502763654965</v>
      </c>
      <c r="AV117" s="1186">
        <f t="shared" si="21"/>
        <v>-302.56023656923372</v>
      </c>
      <c r="AW117" s="1186">
        <f t="shared" si="22"/>
        <v>-361.93976343076628</v>
      </c>
      <c r="AX117" s="1185">
        <f t="shared" si="23"/>
        <v>-38.339472931188084</v>
      </c>
      <c r="AY117" s="1185">
        <f t="shared" si="24"/>
        <v>-32.049531916707757</v>
      </c>
      <c r="AZ117" s="1184">
        <f t="shared" si="25"/>
        <v>38.339472931188084</v>
      </c>
      <c r="BA117" s="1184">
        <f t="shared" si="26"/>
        <v>32.049531916707757</v>
      </c>
      <c r="BC117" s="558"/>
      <c r="BH117" s="1037">
        <v>19</v>
      </c>
      <c r="BI117" s="1036">
        <f t="shared" si="6"/>
        <v>500</v>
      </c>
      <c r="BJ117" s="1035">
        <f t="shared" si="7"/>
        <v>500</v>
      </c>
      <c r="BK117" s="1034">
        <f t="shared" si="3"/>
        <v>330.30578023441416</v>
      </c>
      <c r="BL117" s="1033">
        <f t="shared" si="4"/>
        <v>330.30578023441416</v>
      </c>
      <c r="BM117" s="1033">
        <f t="shared" si="8"/>
        <v>19.694219765585842</v>
      </c>
      <c r="BN117" s="1033" t="b">
        <f t="shared" si="5"/>
        <v>0</v>
      </c>
      <c r="CQ117" s="524"/>
      <c r="CR117" s="524"/>
      <c r="CS117" s="524"/>
      <c r="CT117" s="524"/>
      <c r="CU117" s="524"/>
      <c r="CV117" s="524"/>
      <c r="CW117" s="524"/>
      <c r="EC117" s="1093"/>
      <c r="ED117" s="1093"/>
    </row>
    <row r="118" spans="2:134" ht="22.2" thickBot="1" x14ac:dyDescent="0.5">
      <c r="B118" s="515"/>
      <c r="C118" s="515"/>
      <c r="D118" s="516"/>
      <c r="E118" s="516"/>
      <c r="F118" s="516"/>
      <c r="G118" s="516"/>
      <c r="H118" s="471"/>
      <c r="I118" s="471"/>
      <c r="J118" s="471"/>
      <c r="K118" s="471"/>
      <c r="L118" s="471"/>
      <c r="M118" s="471"/>
      <c r="N118" s="471"/>
      <c r="O118" s="471"/>
      <c r="P118" s="471"/>
      <c r="Q118" s="471"/>
      <c r="R118" s="471"/>
      <c r="S118" s="471"/>
      <c r="T118" s="471"/>
      <c r="U118" s="558"/>
      <c r="V118" s="471"/>
      <c r="W118" s="471"/>
      <c r="X118" s="471"/>
      <c r="Y118" s="471"/>
      <c r="Z118" s="471"/>
      <c r="AA118" s="471"/>
      <c r="AB118" s="471"/>
      <c r="AC118" s="471"/>
      <c r="AD118" s="471"/>
      <c r="AE118" s="471"/>
      <c r="AF118" s="471"/>
      <c r="AG118" s="637" t="s">
        <v>125</v>
      </c>
      <c r="AH118" s="1235">
        <f>MAX(AH106:AH117)</f>
        <v>0</v>
      </c>
      <c r="AI118" s="471"/>
      <c r="AJ118" s="471"/>
      <c r="AK118" s="471"/>
      <c r="AL118" s="471"/>
      <c r="AM118" s="471"/>
      <c r="AN118" s="471"/>
      <c r="AO118" s="471"/>
      <c r="AP118" s="471"/>
      <c r="AQ118" s="471"/>
      <c r="AR118" s="471"/>
      <c r="AS118" s="471"/>
      <c r="AT118" s="471"/>
      <c r="AU118" s="471"/>
      <c r="AV118" s="471"/>
      <c r="AW118" s="471"/>
      <c r="AX118" s="471"/>
      <c r="AY118" s="471"/>
      <c r="AZ118" s="471"/>
      <c r="BA118" s="471"/>
      <c r="BB118" s="506"/>
      <c r="BC118" s="558"/>
      <c r="BH118" s="1037">
        <v>20</v>
      </c>
      <c r="BI118" s="1036">
        <f t="shared" si="6"/>
        <v>550</v>
      </c>
      <c r="BJ118" s="1035">
        <f t="shared" si="7"/>
        <v>550</v>
      </c>
      <c r="BK118" s="1034">
        <f t="shared" si="3"/>
        <v>380.30578023441416</v>
      </c>
      <c r="BL118" s="1033">
        <f t="shared" si="4"/>
        <v>380.30578023441416</v>
      </c>
      <c r="BM118" s="1033">
        <f t="shared" si="8"/>
        <v>19.694219765585842</v>
      </c>
      <c r="BN118" s="1033" t="b">
        <f t="shared" si="5"/>
        <v>0</v>
      </c>
      <c r="CQ118" s="524"/>
      <c r="CR118" s="524"/>
      <c r="CS118" s="524"/>
      <c r="CT118" s="524"/>
      <c r="CU118" s="524"/>
      <c r="CV118" s="524"/>
      <c r="CW118" s="524"/>
      <c r="EC118" s="1093"/>
      <c r="ED118" s="1093"/>
    </row>
    <row r="119" spans="2:134" ht="19.2" hidden="1" x14ac:dyDescent="0.45">
      <c r="B119" s="535"/>
      <c r="C119" s="515"/>
      <c r="D119" s="516"/>
      <c r="E119" s="516"/>
      <c r="F119" s="516"/>
      <c r="G119" s="516"/>
      <c r="H119" s="471"/>
      <c r="I119" s="471"/>
      <c r="J119" s="471"/>
      <c r="K119" s="471"/>
      <c r="L119" s="471"/>
      <c r="M119" s="471"/>
      <c r="N119" s="471"/>
      <c r="O119" s="471"/>
      <c r="P119" s="471"/>
      <c r="Q119" s="471"/>
      <c r="R119" s="471"/>
      <c r="S119" s="471"/>
      <c r="T119" s="471"/>
      <c r="U119" s="558"/>
      <c r="V119" s="471"/>
      <c r="W119" s="471"/>
      <c r="X119" s="471"/>
      <c r="Y119" s="471"/>
      <c r="Z119" s="471"/>
      <c r="AA119" s="471"/>
      <c r="AB119" s="471"/>
      <c r="AC119" s="471"/>
      <c r="AD119" s="471"/>
      <c r="AE119" s="471"/>
      <c r="AF119" s="471"/>
      <c r="AG119" s="471"/>
      <c r="AH119" s="471"/>
      <c r="AI119" s="471"/>
      <c r="AJ119" s="471"/>
      <c r="AK119" s="471"/>
      <c r="AL119" s="471"/>
      <c r="AM119" s="471"/>
      <c r="AN119" s="471"/>
      <c r="AO119" s="471"/>
      <c r="AP119" s="471"/>
      <c r="AQ119" s="471"/>
      <c r="AR119" s="471"/>
      <c r="AS119" s="471"/>
      <c r="AT119" s="471"/>
      <c r="AU119" s="471"/>
      <c r="AV119" s="471"/>
      <c r="AW119" s="471"/>
      <c r="AX119" s="471"/>
      <c r="AY119" s="471"/>
      <c r="AZ119" s="471"/>
      <c r="BA119" s="471"/>
      <c r="BB119" s="506"/>
      <c r="BC119" s="558"/>
      <c r="BH119" s="1037">
        <v>21</v>
      </c>
      <c r="BI119" s="1036">
        <f t="shared" si="6"/>
        <v>600</v>
      </c>
      <c r="BJ119" s="1035">
        <f t="shared" si="7"/>
        <v>600</v>
      </c>
      <c r="BK119" s="1034">
        <f t="shared" si="3"/>
        <v>430.30578023441416</v>
      </c>
      <c r="BL119" s="1033">
        <f t="shared" si="4"/>
        <v>430.30578023441416</v>
      </c>
      <c r="BM119" s="1033">
        <f t="shared" si="8"/>
        <v>19.694219765585842</v>
      </c>
      <c r="BN119" s="1033" t="b">
        <f t="shared" si="5"/>
        <v>0</v>
      </c>
      <c r="CQ119" s="524"/>
      <c r="CR119" s="524"/>
      <c r="CS119" s="524"/>
      <c r="CT119" s="524"/>
      <c r="CU119" s="524"/>
      <c r="CV119" s="524"/>
    </row>
    <row r="120" spans="2:134" ht="19.2" hidden="1" x14ac:dyDescent="0.45">
      <c r="B120" s="535"/>
      <c r="AB120" s="1222"/>
      <c r="AC120" s="1222"/>
      <c r="AD120" s="1222"/>
      <c r="AE120" s="1222"/>
      <c r="BF120" s="524"/>
      <c r="BH120" s="1037">
        <v>22</v>
      </c>
      <c r="BI120" s="1036">
        <f t="shared" si="6"/>
        <v>650</v>
      </c>
      <c r="BJ120" s="1035">
        <f t="shared" si="7"/>
        <v>650</v>
      </c>
      <c r="BK120" s="1034">
        <f t="shared" si="3"/>
        <v>480.30578023441416</v>
      </c>
      <c r="BL120" s="1033">
        <f t="shared" si="4"/>
        <v>480.30578023441416</v>
      </c>
      <c r="BM120" s="1033">
        <f t="shared" si="8"/>
        <v>19.694219765585842</v>
      </c>
      <c r="BN120" s="1033" t="b">
        <f t="shared" si="5"/>
        <v>0</v>
      </c>
      <c r="CQ120" s="524"/>
      <c r="CR120" s="524"/>
      <c r="CS120" s="524"/>
      <c r="CT120" s="524"/>
      <c r="CU120" s="524"/>
      <c r="CV120" s="524"/>
    </row>
    <row r="121" spans="2:134" ht="19.2" hidden="1" x14ac:dyDescent="0.45">
      <c r="V121" s="1232"/>
      <c r="W121" s="1232"/>
      <c r="X121" s="1232"/>
      <c r="Y121" s="1232"/>
      <c r="Z121" s="1232"/>
      <c r="AA121" s="1232"/>
      <c r="AB121" s="1232"/>
      <c r="AC121" s="1232"/>
      <c r="AD121" s="1232"/>
      <c r="AE121" s="1232"/>
      <c r="AF121" s="1232"/>
      <c r="AG121" s="1232"/>
      <c r="AH121" s="1232"/>
      <c r="AI121" s="1232"/>
      <c r="AJ121" s="1232"/>
      <c r="AK121" s="1232"/>
      <c r="AL121" s="1232"/>
      <c r="AM121" s="1232"/>
      <c r="AN121" s="1232"/>
      <c r="AO121" s="1232"/>
      <c r="AP121" s="1232"/>
      <c r="AQ121" s="1232"/>
      <c r="AR121" s="1232"/>
      <c r="AS121" s="1232"/>
      <c r="AT121" s="1232"/>
      <c r="AU121" s="1232"/>
      <c r="AV121" s="1232"/>
      <c r="AW121" s="1232"/>
      <c r="AX121" s="1232"/>
      <c r="AY121" s="1232"/>
      <c r="AZ121" s="1232"/>
      <c r="BA121" s="1232"/>
      <c r="BB121" s="489"/>
      <c r="BH121" s="1037">
        <v>23</v>
      </c>
      <c r="BI121" s="1036">
        <f t="shared" si="6"/>
        <v>700</v>
      </c>
      <c r="BJ121" s="1035">
        <f t="shared" si="7"/>
        <v>700</v>
      </c>
      <c r="BK121" s="1034">
        <f t="shared" si="3"/>
        <v>530.30578023441421</v>
      </c>
      <c r="BL121" s="1033">
        <f t="shared" si="4"/>
        <v>530.30578023441421</v>
      </c>
      <c r="BM121" s="1033">
        <f t="shared" si="8"/>
        <v>19.694219765585842</v>
      </c>
      <c r="BN121" s="1033" t="b">
        <f t="shared" si="5"/>
        <v>0</v>
      </c>
      <c r="CQ121" s="524"/>
      <c r="CR121" s="524"/>
      <c r="CS121" s="524"/>
      <c r="CT121" s="524"/>
      <c r="CU121" s="524"/>
      <c r="CV121" s="524"/>
    </row>
    <row r="122" spans="2:134" ht="19.8" thickBot="1" x14ac:dyDescent="0.5">
      <c r="U122" s="465"/>
      <c r="V122" s="1232"/>
      <c r="W122" s="1232"/>
      <c r="X122" s="1232"/>
      <c r="Y122" s="1232"/>
      <c r="Z122" s="1232"/>
      <c r="AA122" s="1232"/>
      <c r="AB122" s="1232"/>
      <c r="AC122" s="1232"/>
      <c r="AD122" s="1232"/>
      <c r="AE122" s="1232"/>
      <c r="AF122" s="1232"/>
      <c r="AG122" s="1232"/>
      <c r="AH122" s="1232"/>
      <c r="AI122" s="1232"/>
      <c r="AJ122" s="1232"/>
      <c r="AK122" s="1232"/>
      <c r="AL122" s="1232"/>
      <c r="AM122" s="1232"/>
      <c r="AN122" s="1232"/>
      <c r="AO122" s="1232"/>
      <c r="AP122" s="1232"/>
      <c r="AQ122" s="1232"/>
      <c r="AR122" s="1232"/>
      <c r="AS122" s="1232"/>
      <c r="AT122" s="1232"/>
      <c r="AU122" s="1232"/>
      <c r="AV122" s="1232"/>
      <c r="AW122" s="1232"/>
      <c r="AX122" s="1232"/>
      <c r="AY122" s="1232"/>
      <c r="AZ122" s="1232"/>
      <c r="BA122" s="1232"/>
      <c r="BB122" s="489"/>
      <c r="BC122" s="473"/>
      <c r="BF122" s="524"/>
      <c r="BH122" s="1037">
        <v>24</v>
      </c>
      <c r="BI122" s="1036">
        <f t="shared" si="6"/>
        <v>750</v>
      </c>
      <c r="BJ122" s="1035">
        <f t="shared" si="7"/>
        <v>750</v>
      </c>
      <c r="BK122" s="1034">
        <f t="shared" si="3"/>
        <v>580.30578023441421</v>
      </c>
      <c r="BL122" s="1033">
        <f t="shared" si="4"/>
        <v>580.30578023441421</v>
      </c>
      <c r="BM122" s="1033">
        <f t="shared" si="8"/>
        <v>19.694219765585842</v>
      </c>
      <c r="BN122" s="1033" t="b">
        <f t="shared" si="5"/>
        <v>0</v>
      </c>
      <c r="CQ122" s="524"/>
      <c r="CR122" s="524"/>
      <c r="CS122" s="524"/>
      <c r="CT122" s="524"/>
      <c r="CU122" s="524"/>
      <c r="CV122" s="524"/>
    </row>
    <row r="123" spans="2:134" ht="77.25" customHeight="1" thickTop="1" thickBot="1" x14ac:dyDescent="0.5">
      <c r="B123" s="1077" t="s">
        <v>42</v>
      </c>
      <c r="C123" s="592"/>
      <c r="D123" s="643"/>
      <c r="E123" s="593"/>
      <c r="F123" s="593"/>
      <c r="G123" s="593"/>
      <c r="H123" s="1224"/>
      <c r="I123" s="1224"/>
      <c r="J123" s="1224"/>
      <c r="K123" s="1224"/>
      <c r="L123" s="1224"/>
      <c r="M123" s="1224"/>
      <c r="N123" s="1224"/>
      <c r="O123" s="1224"/>
      <c r="P123" s="1224"/>
      <c r="Q123" s="1224"/>
      <c r="R123" s="1224"/>
      <c r="S123" s="1234" t="s">
        <v>105</v>
      </c>
      <c r="T123" s="1234">
        <f>SUM(V127:V150)/B124</f>
        <v>146.5</v>
      </c>
      <c r="U123" s="1233"/>
      <c r="V123" s="1232"/>
      <c r="W123" s="1232"/>
      <c r="X123" s="1232"/>
      <c r="Y123" s="1232"/>
      <c r="Z123" s="1232"/>
      <c r="AA123" s="1232"/>
      <c r="AB123" s="1232"/>
      <c r="AC123" s="1232"/>
      <c r="AD123" s="1232"/>
      <c r="AE123" s="1232"/>
      <c r="AF123" s="1232"/>
      <c r="AG123" s="1232"/>
      <c r="AH123" s="1232"/>
      <c r="AI123" s="1232"/>
      <c r="AJ123" s="1232"/>
      <c r="AK123" s="1232"/>
      <c r="AL123" s="1232"/>
      <c r="AM123" s="1232"/>
      <c r="AN123" s="1232"/>
      <c r="AO123" s="1232"/>
      <c r="AP123" s="1232"/>
      <c r="AQ123" s="1232"/>
      <c r="AR123" s="1232"/>
      <c r="AS123" s="1232"/>
      <c r="AT123" s="1232"/>
      <c r="AU123" s="1232"/>
      <c r="AV123" s="1232"/>
      <c r="AW123" s="1232"/>
      <c r="AX123" s="1232"/>
      <c r="AY123" s="1232"/>
      <c r="AZ123" s="1232"/>
      <c r="BA123" s="1232"/>
      <c r="BB123" s="489"/>
      <c r="BC123" s="598"/>
      <c r="BD123" s="598"/>
      <c r="BE123" s="598"/>
      <c r="BF123" s="524"/>
      <c r="BH123" s="1037">
        <v>25</v>
      </c>
      <c r="BI123" s="1036">
        <f t="shared" si="6"/>
        <v>800</v>
      </c>
      <c r="BJ123" s="1035">
        <f t="shared" si="7"/>
        <v>800</v>
      </c>
      <c r="BK123" s="1034">
        <f t="shared" si="3"/>
        <v>630.30578023441421</v>
      </c>
      <c r="BL123" s="1033">
        <f t="shared" si="4"/>
        <v>630.30578023441421</v>
      </c>
      <c r="BM123" s="1033">
        <f t="shared" si="8"/>
        <v>19.694219765585842</v>
      </c>
      <c r="BN123" s="1033" t="b">
        <f t="shared" si="5"/>
        <v>0</v>
      </c>
      <c r="CQ123" s="524"/>
      <c r="CR123" s="524"/>
      <c r="CS123" s="524"/>
      <c r="CT123" s="524"/>
      <c r="CU123" s="524"/>
      <c r="CV123" s="524"/>
    </row>
    <row r="124" spans="2:134" ht="33" customHeight="1" thickTop="1" thickBot="1" x14ac:dyDescent="0.5">
      <c r="B124" s="1076">
        <v>1</v>
      </c>
      <c r="C124" s="773"/>
      <c r="D124" s="1255" t="s">
        <v>71</v>
      </c>
      <c r="E124" s="772"/>
      <c r="F124" s="772"/>
      <c r="G124" s="772"/>
      <c r="H124" s="1231"/>
      <c r="I124" s="1230"/>
      <c r="J124" s="1230"/>
      <c r="K124" s="1230"/>
      <c r="L124" s="1230"/>
      <c r="M124" s="1230"/>
      <c r="N124" s="1230"/>
      <c r="O124" s="1230"/>
      <c r="P124" s="1230"/>
      <c r="Q124" s="1230"/>
      <c r="R124" s="1230"/>
      <c r="S124" s="1229"/>
      <c r="T124" s="1228"/>
      <c r="U124" s="1227"/>
      <c r="V124" s="1226"/>
      <c r="W124" s="1226"/>
      <c r="X124" s="1226"/>
      <c r="Y124" s="1226"/>
      <c r="Z124" s="1226"/>
      <c r="AA124" s="1226"/>
      <c r="AB124" s="1226"/>
      <c r="AC124" s="1226"/>
      <c r="AD124" s="1226"/>
      <c r="AE124" s="1226"/>
      <c r="AF124" s="1226"/>
      <c r="AG124" s="1226"/>
      <c r="AH124" s="1226"/>
      <c r="AI124" s="1226"/>
      <c r="AJ124" s="1226"/>
      <c r="AK124" s="1226"/>
      <c r="AL124" s="1226"/>
      <c r="AM124" s="1226"/>
      <c r="AN124" s="1226"/>
      <c r="AO124" s="1226"/>
      <c r="AP124" s="1226"/>
      <c r="AQ124" s="1226"/>
      <c r="AR124" s="1226"/>
      <c r="AS124" s="1226"/>
      <c r="AT124" s="1226"/>
      <c r="AU124" s="1226"/>
      <c r="AV124" s="1226"/>
      <c r="AW124" s="1226"/>
      <c r="AX124" s="1226"/>
      <c r="AY124" s="1226"/>
      <c r="AZ124" s="2096" t="s">
        <v>68</v>
      </c>
      <c r="BA124" s="2097"/>
      <c r="BB124" s="599"/>
      <c r="BC124" s="600"/>
      <c r="BD124" s="600"/>
      <c r="BE124" s="600"/>
      <c r="BF124" s="524"/>
      <c r="BH124" s="1037">
        <v>26</v>
      </c>
      <c r="BI124" s="1036">
        <f t="shared" si="6"/>
        <v>850</v>
      </c>
      <c r="BJ124" s="1035">
        <f t="shared" si="7"/>
        <v>850</v>
      </c>
      <c r="BK124" s="1034">
        <f t="shared" si="3"/>
        <v>680.30578023441421</v>
      </c>
      <c r="BL124" s="1033">
        <f t="shared" si="4"/>
        <v>680.30578023441421</v>
      </c>
      <c r="BM124" s="1033">
        <f t="shared" si="8"/>
        <v>19.694219765585842</v>
      </c>
      <c r="BN124" s="1033" t="b">
        <f t="shared" si="5"/>
        <v>0</v>
      </c>
      <c r="CQ124" s="524"/>
      <c r="CR124" s="524"/>
      <c r="CS124" s="524"/>
      <c r="CT124" s="524"/>
      <c r="CU124" s="524"/>
      <c r="CV124" s="524"/>
    </row>
    <row r="125" spans="2:134" ht="20.399999999999999" hidden="1" thickTop="1" thickBot="1" x14ac:dyDescent="0.5">
      <c r="B125" s="536"/>
      <c r="C125" s="537"/>
      <c r="D125" s="1071" t="s">
        <v>13</v>
      </c>
      <c r="E125" s="516"/>
      <c r="F125" s="516"/>
      <c r="G125" s="516"/>
      <c r="H125" s="1225" t="s">
        <v>4</v>
      </c>
      <c r="I125" s="1225" t="s">
        <v>1</v>
      </c>
      <c r="J125" s="1224" t="s">
        <v>0</v>
      </c>
      <c r="K125" s="1224" t="s">
        <v>2</v>
      </c>
      <c r="L125" s="1224" t="s">
        <v>3</v>
      </c>
      <c r="M125" s="1224" t="s">
        <v>8</v>
      </c>
      <c r="N125" s="1224" t="s">
        <v>5</v>
      </c>
      <c r="O125" s="1224" t="s">
        <v>6</v>
      </c>
      <c r="P125" s="1224" t="s">
        <v>7</v>
      </c>
      <c r="Q125" s="1224" t="s">
        <v>9</v>
      </c>
      <c r="R125" s="1216" t="s">
        <v>10</v>
      </c>
      <c r="S125" s="1224" t="s">
        <v>11</v>
      </c>
      <c r="T125" s="1223" t="s">
        <v>12</v>
      </c>
      <c r="U125" s="1214"/>
      <c r="V125" s="1213"/>
      <c r="W125" s="1213"/>
      <c r="X125" s="1213"/>
      <c r="Y125" s="1213"/>
      <c r="Z125" s="1213"/>
      <c r="AA125" s="1213"/>
      <c r="AB125" s="1213"/>
      <c r="AC125" s="1213"/>
      <c r="AD125" s="1213"/>
      <c r="AE125" s="1213"/>
      <c r="AF125" s="1213"/>
      <c r="AG125" s="1213"/>
      <c r="AH125" s="1213"/>
      <c r="AI125" s="1213"/>
      <c r="AJ125" s="1213"/>
      <c r="AK125" s="1213"/>
      <c r="AL125" s="1213"/>
      <c r="AM125" s="1213"/>
      <c r="AN125" s="1213"/>
      <c r="AO125" s="1213"/>
      <c r="AP125" s="1213"/>
      <c r="AQ125" s="1213"/>
      <c r="AR125" s="1213"/>
      <c r="AS125" s="1213"/>
      <c r="AT125" s="1213"/>
      <c r="AU125" s="1213"/>
      <c r="AV125" s="1213"/>
      <c r="AW125" s="1213"/>
      <c r="AX125" s="1222"/>
      <c r="AY125" s="1213"/>
      <c r="AZ125" s="1213"/>
      <c r="BA125" s="1213"/>
      <c r="BB125" s="541"/>
      <c r="BC125" s="540"/>
      <c r="BD125" s="506"/>
      <c r="BE125" s="506"/>
      <c r="BF125" s="524"/>
      <c r="BH125" s="1037">
        <v>27</v>
      </c>
      <c r="BI125" s="1036">
        <f t="shared" si="6"/>
        <v>900</v>
      </c>
      <c r="BJ125" s="1035">
        <f t="shared" si="7"/>
        <v>900</v>
      </c>
      <c r="BK125" s="1034">
        <f t="shared" si="3"/>
        <v>730.30578023441421</v>
      </c>
      <c r="BL125" s="1033">
        <f t="shared" si="4"/>
        <v>730.30578023441421</v>
      </c>
      <c r="BM125" s="1033">
        <f t="shared" si="8"/>
        <v>19.694219765585842</v>
      </c>
      <c r="BN125" s="1033" t="b">
        <f t="shared" si="5"/>
        <v>0</v>
      </c>
      <c r="CQ125" s="524"/>
      <c r="CR125" s="524"/>
      <c r="CS125" s="524"/>
      <c r="CT125" s="524"/>
      <c r="CU125" s="524"/>
      <c r="CV125" s="524"/>
    </row>
    <row r="126" spans="2:134" ht="39" customHeight="1" thickTop="1" thickBot="1" x14ac:dyDescent="0.5">
      <c r="B126" s="1221"/>
      <c r="C126" s="1220"/>
      <c r="D126" s="546" t="s">
        <v>24</v>
      </c>
      <c r="E126" s="772"/>
      <c r="F126" s="1219" t="s">
        <v>58</v>
      </c>
      <c r="G126" s="1067"/>
      <c r="H126" s="1218"/>
      <c r="I126" s="1217"/>
      <c r="J126" s="471"/>
      <c r="K126" s="471"/>
      <c r="L126" s="471"/>
      <c r="M126" s="471"/>
      <c r="N126" s="471"/>
      <c r="O126" s="471"/>
      <c r="P126" s="471"/>
      <c r="Q126" s="471"/>
      <c r="R126" s="1216"/>
      <c r="S126" s="471"/>
      <c r="T126" s="1215"/>
      <c r="U126" s="1214"/>
      <c r="V126" s="1213"/>
      <c r="W126" s="1213"/>
      <c r="X126" s="1213"/>
      <c r="Y126" s="1213"/>
      <c r="Z126" s="1213"/>
      <c r="AA126" s="1213"/>
      <c r="AB126" s="1213"/>
      <c r="AC126" s="1213"/>
      <c r="AD126" s="1213"/>
      <c r="AE126" s="1213"/>
      <c r="AF126" s="1213" t="s">
        <v>51</v>
      </c>
      <c r="AG126" s="1212" t="s">
        <v>44</v>
      </c>
      <c r="AH126" s="1212"/>
      <c r="AI126" s="1059" t="s">
        <v>96</v>
      </c>
      <c r="AJ126" s="1211" t="s">
        <v>45</v>
      </c>
      <c r="AK126" s="1210" t="s">
        <v>46</v>
      </c>
      <c r="AL126" s="1059" t="s">
        <v>97</v>
      </c>
      <c r="AM126" s="1209" t="s">
        <v>47</v>
      </c>
      <c r="AN126" s="1210" t="s">
        <v>48</v>
      </c>
      <c r="AO126" s="1209"/>
      <c r="AP126" s="1208" t="s">
        <v>49</v>
      </c>
      <c r="AQ126" s="1207"/>
      <c r="AR126" s="1207" t="s">
        <v>50</v>
      </c>
      <c r="AS126" s="1207" t="s">
        <v>52</v>
      </c>
      <c r="AT126" s="1207"/>
      <c r="AU126" s="1207" t="s">
        <v>53</v>
      </c>
      <c r="AV126" s="1206" t="s">
        <v>54</v>
      </c>
      <c r="AW126" s="1206" t="s">
        <v>55</v>
      </c>
      <c r="AX126" s="1205" t="s">
        <v>25</v>
      </c>
      <c r="AY126" s="1205" t="s">
        <v>26</v>
      </c>
      <c r="AZ126" s="1204" t="s">
        <v>25</v>
      </c>
      <c r="BA126" s="1204" t="s">
        <v>26</v>
      </c>
      <c r="BB126" s="506"/>
      <c r="BC126" s="540"/>
      <c r="BD126" s="506"/>
      <c r="BE126" s="506"/>
      <c r="BF126" s="524"/>
      <c r="BH126" s="1037">
        <v>28</v>
      </c>
      <c r="BI126" s="1036">
        <f t="shared" si="6"/>
        <v>950</v>
      </c>
      <c r="BJ126" s="1035">
        <f t="shared" si="7"/>
        <v>950</v>
      </c>
      <c r="BK126" s="1034">
        <f t="shared" si="3"/>
        <v>780.30578023441421</v>
      </c>
      <c r="BL126" s="1033">
        <f t="shared" si="4"/>
        <v>780.30578023441421</v>
      </c>
      <c r="BM126" s="1033">
        <f t="shared" si="8"/>
        <v>19.694219765585842</v>
      </c>
      <c r="BN126" s="1033" t="b">
        <f t="shared" si="5"/>
        <v>0</v>
      </c>
      <c r="BO126" s="473"/>
      <c r="CQ126" s="524"/>
      <c r="CR126" s="524"/>
      <c r="CS126" s="524"/>
      <c r="CT126" s="524"/>
      <c r="CU126" s="524"/>
      <c r="CV126" s="524"/>
    </row>
    <row r="127" spans="2:134" ht="21" customHeight="1" thickBot="1" x14ac:dyDescent="0.5">
      <c r="B127" s="1203">
        <v>1</v>
      </c>
      <c r="C127" s="1202">
        <f>+AH118+D127</f>
        <v>0</v>
      </c>
      <c r="D127" s="463">
        <v>0</v>
      </c>
      <c r="E127" s="632" t="s">
        <v>73</v>
      </c>
      <c r="F127" s="584">
        <f t="shared" ref="F127:F150" si="41">+G127</f>
        <v>0</v>
      </c>
      <c r="G127" s="584">
        <f>+D127</f>
        <v>0</v>
      </c>
      <c r="H127" s="1199">
        <v>190.76</v>
      </c>
      <c r="I127" s="1198">
        <v>79.651040199999997</v>
      </c>
      <c r="J127" s="1197">
        <f>+I127-C127</f>
        <v>79.651040199999997</v>
      </c>
      <c r="K127" s="1197">
        <f t="shared" ref="K127:K150" si="42">+J127/2</f>
        <v>39.825520099999999</v>
      </c>
      <c r="L127" s="1197">
        <f t="shared" ref="L127:L150" si="43">SIN(K127*3.14159265358979/180)</f>
        <v>0.64045183696587837</v>
      </c>
      <c r="M127" s="1197">
        <f t="shared" ref="M127:M150" si="44">+L127*H127</f>
        <v>122.17259241961095</v>
      </c>
      <c r="N127" s="1197">
        <f t="shared" ref="N127:N150" si="45">+M127*2</f>
        <v>244.3451848392219</v>
      </c>
      <c r="O127" s="1197">
        <f>+C127/2</f>
        <v>0</v>
      </c>
      <c r="P127" s="1197">
        <f t="shared" ref="P127:P150" si="46">SIN(O127*3.14159265358979/180)</f>
        <v>0</v>
      </c>
      <c r="Q127" s="1197">
        <f t="shared" ref="Q127:Q150" si="47">+P127*N127</f>
        <v>0</v>
      </c>
      <c r="R127" s="1201">
        <v>146.5</v>
      </c>
      <c r="S127" s="1197">
        <f>+R127+Q127</f>
        <v>146.5</v>
      </c>
      <c r="T127" s="1196">
        <f t="shared" ref="T127:T150" si="48">+S127</f>
        <v>146.5</v>
      </c>
      <c r="V127" s="1193">
        <f t="shared" ref="V127:V150" si="49">IF(B127&lt;($B$124+1),T127,0)</f>
        <v>146.5</v>
      </c>
      <c r="W127" s="1193"/>
      <c r="X127" s="1193"/>
      <c r="Y127" s="1193"/>
      <c r="Z127" s="1193"/>
      <c r="AA127" s="1193"/>
      <c r="AB127" s="1195" t="str">
        <f t="shared" ref="AB127:AB150" si="50">IF(AY127&lt;0,"pin in groundstacking hole"," ")</f>
        <v xml:space="preserve"> </v>
      </c>
      <c r="AC127" s="1194"/>
      <c r="AD127" s="1194"/>
      <c r="AE127" s="1194"/>
      <c r="AF127" s="1193">
        <f>SUM(V127:V150)/($B$124)</f>
        <v>146.5</v>
      </c>
      <c r="AG127" s="1192">
        <f>C127</f>
        <v>0</v>
      </c>
      <c r="AH127" s="1192"/>
      <c r="AI127" s="568">
        <f t="shared" ref="AI127:AI150" si="51">69.3447148-AG127</f>
        <v>69.344714800000006</v>
      </c>
      <c r="AJ127" s="1191">
        <f t="shared" ref="AJ127:AJ150" si="52">SIN(AI127*3.14159265358979/180)</f>
        <v>0.93571960494171247</v>
      </c>
      <c r="AK127" s="658">
        <f t="shared" ref="AK127:AK150" si="53">+AJ127*192.42</f>
        <v>180.0511663828843</v>
      </c>
      <c r="AL127" s="568">
        <f t="shared" ref="AL127:AL150" si="54">50.1744799+AG127</f>
        <v>50.174479900000001</v>
      </c>
      <c r="AM127" s="1190">
        <f t="shared" ref="AM127:AM150" si="55">SIN(AL127*3.14159265358979/180)</f>
        <v>0.76799833627881664</v>
      </c>
      <c r="AN127" s="658">
        <f t="shared" ref="AN127:AN150" si="56">+AM127*190.76</f>
        <v>146.50336262854705</v>
      </c>
      <c r="AO127" s="1200"/>
      <c r="AP127" s="658">
        <f>25.5*B124</f>
        <v>25.5</v>
      </c>
      <c r="AQ127" s="1188"/>
      <c r="AR127" s="1188">
        <f t="shared" ref="AR127:AR150" si="57">+AN127+AK127</f>
        <v>326.55452901143133</v>
      </c>
      <c r="AS127" s="1187">
        <f t="shared" ref="AS127:AS150" si="58">+V127-AN127</f>
        <v>-3.3626285470518269E-3</v>
      </c>
      <c r="AT127" s="1187"/>
      <c r="AU127" s="1187">
        <f t="shared" ref="AU127:AU150" si="59">+AF127-AS127</f>
        <v>146.50336262854705</v>
      </c>
      <c r="AV127" s="1186">
        <f t="shared" ref="AV127:AV150" si="60">+((AR127-AU127)/AR127)*AP127</f>
        <v>14.059840960291279</v>
      </c>
      <c r="AW127" s="1186">
        <f t="shared" ref="AW127:AW150" si="61">+(AU127/AR127)*AP127</f>
        <v>11.440159039708721</v>
      </c>
      <c r="AX127" s="1185">
        <f t="shared" ref="AX127:AX150" si="62">2*$C$18/AV127</f>
        <v>825.04489437408847</v>
      </c>
      <c r="AY127" s="1185">
        <f t="shared" ref="AY127:AY150" si="63">$D$18/AW127</f>
        <v>874.11372213358766</v>
      </c>
      <c r="AZ127" s="1184">
        <f t="shared" ref="AZ127:AZ150" si="64">ABS(AX127)</f>
        <v>825.04489437408847</v>
      </c>
      <c r="BA127" s="1184">
        <f t="shared" ref="BA127:BA150" si="65">ABS(AY127)</f>
        <v>874.11372213358766</v>
      </c>
      <c r="BB127" s="586" t="s">
        <v>56</v>
      </c>
      <c r="BC127" s="630"/>
      <c r="BF127" s="524"/>
      <c r="BH127" s="1037">
        <v>29</v>
      </c>
      <c r="BI127" s="1036">
        <f t="shared" si="6"/>
        <v>1000</v>
      </c>
      <c r="BJ127" s="1035">
        <f t="shared" si="7"/>
        <v>1000</v>
      </c>
      <c r="BK127" s="1034">
        <f t="shared" si="3"/>
        <v>830.30578023441421</v>
      </c>
      <c r="BL127" s="1033">
        <f t="shared" si="4"/>
        <v>830.30578023441421</v>
      </c>
      <c r="BM127" s="1033">
        <f t="shared" si="8"/>
        <v>19.694219765585842</v>
      </c>
      <c r="BN127" s="1033" t="b">
        <f t="shared" si="5"/>
        <v>0</v>
      </c>
      <c r="BO127" s="473"/>
      <c r="CQ127" s="524"/>
      <c r="CR127" s="524"/>
      <c r="CS127" s="524"/>
      <c r="CT127" s="524"/>
      <c r="CU127" s="524"/>
      <c r="CV127" s="524"/>
    </row>
    <row r="128" spans="2:134" ht="21" customHeight="1" thickBot="1" x14ac:dyDescent="0.5">
      <c r="B128" s="631">
        <v>2</v>
      </c>
      <c r="C128" s="612"/>
      <c r="D128" s="463">
        <v>0</v>
      </c>
      <c r="E128" s="632" t="s">
        <v>72</v>
      </c>
      <c r="F128" s="584" t="e">
        <f t="shared" si="41"/>
        <v>#DIV/0!</v>
      </c>
      <c r="G128" s="584" t="e">
        <f t="shared" ref="G128:G150" si="66">+D128+BB128</f>
        <v>#DIV/0!</v>
      </c>
      <c r="H128" s="1199">
        <v>190.76</v>
      </c>
      <c r="I128" s="1198">
        <v>79.651040199999997</v>
      </c>
      <c r="J128" s="1197">
        <f t="shared" ref="J128:J150" si="67">+I128-D128</f>
        <v>79.651040199999997</v>
      </c>
      <c r="K128" s="1197">
        <f t="shared" si="42"/>
        <v>39.825520099999999</v>
      </c>
      <c r="L128" s="1197">
        <f t="shared" si="43"/>
        <v>0.64045183696587837</v>
      </c>
      <c r="M128" s="1197">
        <f t="shared" si="44"/>
        <v>122.17259241961095</v>
      </c>
      <c r="N128" s="1197">
        <f t="shared" si="45"/>
        <v>244.3451848392219</v>
      </c>
      <c r="O128" s="1197">
        <f>+C127+(D128/2)</f>
        <v>0</v>
      </c>
      <c r="P128" s="1197">
        <f t="shared" si="46"/>
        <v>0</v>
      </c>
      <c r="Q128" s="1197">
        <f t="shared" si="47"/>
        <v>0</v>
      </c>
      <c r="R128" s="1197">
        <f t="shared" ref="R128:R150" si="68">+T127</f>
        <v>146.5</v>
      </c>
      <c r="S128" s="1197">
        <f>+R128+Q128</f>
        <v>146.5</v>
      </c>
      <c r="T128" s="1196">
        <f t="shared" si="48"/>
        <v>146.5</v>
      </c>
      <c r="V128" s="1193">
        <f t="shared" si="49"/>
        <v>0</v>
      </c>
      <c r="W128" s="1193"/>
      <c r="X128" s="1193"/>
      <c r="Y128" s="1193"/>
      <c r="Z128" s="1193"/>
      <c r="AA128" s="1193"/>
      <c r="AB128" s="1195" t="e">
        <f t="shared" si="50"/>
        <v>#DIV/0!</v>
      </c>
      <c r="AC128" s="1194"/>
      <c r="AD128" s="1194"/>
      <c r="AE128" s="1194"/>
      <c r="AF128" s="1193" t="e">
        <f t="shared" ref="AF128:AF150" si="69">SUM(V128:V151)/($B$124-B127)</f>
        <v>#DIV/0!</v>
      </c>
      <c r="AG128" s="1192">
        <f>SUM(D128)+$C$127</f>
        <v>0</v>
      </c>
      <c r="AH128" s="1192"/>
      <c r="AI128" s="568">
        <f t="shared" si="51"/>
        <v>69.344714800000006</v>
      </c>
      <c r="AJ128" s="1191">
        <f t="shared" si="52"/>
        <v>0.93571960494171247</v>
      </c>
      <c r="AK128" s="658">
        <f t="shared" si="53"/>
        <v>180.0511663828843</v>
      </c>
      <c r="AL128" s="568">
        <f t="shared" si="54"/>
        <v>50.174479900000001</v>
      </c>
      <c r="AM128" s="1190">
        <f t="shared" si="55"/>
        <v>0.76799833627881664</v>
      </c>
      <c r="AN128" s="658">
        <f t="shared" si="56"/>
        <v>146.50336262854705</v>
      </c>
      <c r="AO128" s="1200"/>
      <c r="AP128" s="658">
        <f t="shared" ref="AP128:AP150" si="70">25.5*($B$124-B127)</f>
        <v>0</v>
      </c>
      <c r="AQ128" s="1188"/>
      <c r="AR128" s="1188">
        <f t="shared" si="57"/>
        <v>326.55452901143133</v>
      </c>
      <c r="AS128" s="1187">
        <f t="shared" si="58"/>
        <v>-146.50336262854705</v>
      </c>
      <c r="AT128" s="1187"/>
      <c r="AU128" s="1187" t="e">
        <f t="shared" si="59"/>
        <v>#DIV/0!</v>
      </c>
      <c r="AV128" s="1186" t="e">
        <f t="shared" si="60"/>
        <v>#DIV/0!</v>
      </c>
      <c r="AW128" s="1186" t="e">
        <f t="shared" si="61"/>
        <v>#DIV/0!</v>
      </c>
      <c r="AX128" s="1185" t="e">
        <f t="shared" si="62"/>
        <v>#DIV/0!</v>
      </c>
      <c r="AY128" s="1185" t="e">
        <f t="shared" si="63"/>
        <v>#DIV/0!</v>
      </c>
      <c r="AZ128" s="1184" t="e">
        <f t="shared" si="64"/>
        <v>#DIV/0!</v>
      </c>
      <c r="BA128" s="1184" t="e">
        <f t="shared" si="65"/>
        <v>#DIV/0!</v>
      </c>
      <c r="BB128" s="474" t="e">
        <f t="shared" ref="BB128:BB150" si="71">IF(AY128&lt;0,0.3,0)</f>
        <v>#DIV/0!</v>
      </c>
      <c r="BF128" s="524"/>
      <c r="BH128" s="1037">
        <v>30</v>
      </c>
      <c r="BI128" s="1036">
        <f t="shared" si="6"/>
        <v>1050</v>
      </c>
      <c r="BJ128" s="1035">
        <f t="shared" si="7"/>
        <v>1050</v>
      </c>
      <c r="BK128" s="1034">
        <f t="shared" si="3"/>
        <v>880.30578023441421</v>
      </c>
      <c r="BL128" s="1033">
        <f t="shared" si="4"/>
        <v>880.30578023441421</v>
      </c>
      <c r="BM128" s="1033">
        <f t="shared" si="8"/>
        <v>19.694219765585842</v>
      </c>
      <c r="BN128" s="1033" t="b">
        <f t="shared" si="5"/>
        <v>0</v>
      </c>
      <c r="BO128" s="473"/>
      <c r="CQ128" s="524"/>
      <c r="CR128" s="524"/>
      <c r="CS128" s="524"/>
      <c r="CT128" s="524"/>
      <c r="CU128" s="524"/>
      <c r="CV128" s="524"/>
    </row>
    <row r="129" spans="1:122" ht="21" customHeight="1" thickBot="1" x14ac:dyDescent="0.35">
      <c r="B129" s="631">
        <v>3</v>
      </c>
      <c r="C129" s="612"/>
      <c r="D129" s="463">
        <v>0</v>
      </c>
      <c r="E129" s="632" t="s">
        <v>72</v>
      </c>
      <c r="F129" s="584">
        <f t="shared" si="41"/>
        <v>0.3</v>
      </c>
      <c r="G129" s="584">
        <f t="shared" si="66"/>
        <v>0.3</v>
      </c>
      <c r="H129" s="1199">
        <v>190.76</v>
      </c>
      <c r="I129" s="1198">
        <v>79.651040199999997</v>
      </c>
      <c r="J129" s="1197">
        <f t="shared" si="67"/>
        <v>79.651040199999997</v>
      </c>
      <c r="K129" s="1197">
        <f t="shared" si="42"/>
        <v>39.825520099999999</v>
      </c>
      <c r="L129" s="1197">
        <f t="shared" si="43"/>
        <v>0.64045183696587837</v>
      </c>
      <c r="M129" s="1197">
        <f t="shared" si="44"/>
        <v>122.17259241961095</v>
      </c>
      <c r="N129" s="1197">
        <f t="shared" si="45"/>
        <v>244.3451848392219</v>
      </c>
      <c r="O129" s="1197">
        <f>+C127+D128+(D129/2)</f>
        <v>0</v>
      </c>
      <c r="P129" s="1197">
        <f t="shared" si="46"/>
        <v>0</v>
      </c>
      <c r="Q129" s="1197">
        <f t="shared" si="47"/>
        <v>0</v>
      </c>
      <c r="R129" s="1197">
        <f t="shared" si="68"/>
        <v>146.5</v>
      </c>
      <c r="S129" s="1197">
        <f t="shared" ref="S129:S150" si="72">+S128+Q129</f>
        <v>146.5</v>
      </c>
      <c r="T129" s="1196">
        <f t="shared" si="48"/>
        <v>146.5</v>
      </c>
      <c r="V129" s="1193">
        <f t="shared" si="49"/>
        <v>0</v>
      </c>
      <c r="W129" s="1193"/>
      <c r="X129" s="1193"/>
      <c r="Y129" s="1193"/>
      <c r="Z129" s="1193"/>
      <c r="AA129" s="1193"/>
      <c r="AB129" s="1195" t="str">
        <f t="shared" si="50"/>
        <v>pin in groundstacking hole</v>
      </c>
      <c r="AC129" s="1194"/>
      <c r="AD129" s="1194"/>
      <c r="AE129" s="1194"/>
      <c r="AF129" s="1193">
        <f t="shared" si="69"/>
        <v>0</v>
      </c>
      <c r="AG129" s="1192">
        <f>SUM(D128:D129)+$C$127</f>
        <v>0</v>
      </c>
      <c r="AH129" s="1192"/>
      <c r="AI129" s="568">
        <f t="shared" si="51"/>
        <v>69.344714800000006</v>
      </c>
      <c r="AJ129" s="1191">
        <f t="shared" si="52"/>
        <v>0.93571960494171247</v>
      </c>
      <c r="AK129" s="658">
        <f t="shared" si="53"/>
        <v>180.0511663828843</v>
      </c>
      <c r="AL129" s="568">
        <f t="shared" si="54"/>
        <v>50.174479900000001</v>
      </c>
      <c r="AM129" s="1190">
        <f t="shared" si="55"/>
        <v>0.76799833627881664</v>
      </c>
      <c r="AN129" s="658">
        <f t="shared" si="56"/>
        <v>146.50336262854705</v>
      </c>
      <c r="AO129" s="1200"/>
      <c r="AP129" s="658">
        <f t="shared" si="70"/>
        <v>-25.5</v>
      </c>
      <c r="AQ129" s="1188"/>
      <c r="AR129" s="1188">
        <f t="shared" si="57"/>
        <v>326.55452901143133</v>
      </c>
      <c r="AS129" s="1187">
        <f t="shared" si="58"/>
        <v>-146.50336262854705</v>
      </c>
      <c r="AT129" s="1187"/>
      <c r="AU129" s="1187">
        <f t="shared" si="59"/>
        <v>146.50336262854705</v>
      </c>
      <c r="AV129" s="1186">
        <f t="shared" si="60"/>
        <v>-14.059840960291279</v>
      </c>
      <c r="AW129" s="1186">
        <f t="shared" si="61"/>
        <v>-11.440159039708721</v>
      </c>
      <c r="AX129" s="1185">
        <f t="shared" si="62"/>
        <v>-825.04489437408847</v>
      </c>
      <c r="AY129" s="1185">
        <f t="shared" si="63"/>
        <v>-874.11372213358766</v>
      </c>
      <c r="AZ129" s="1184">
        <f t="shared" si="64"/>
        <v>825.04489437408847</v>
      </c>
      <c r="BA129" s="1184">
        <f t="shared" si="65"/>
        <v>874.11372213358766</v>
      </c>
      <c r="BB129" s="474">
        <f t="shared" si="71"/>
        <v>0.3</v>
      </c>
      <c r="BF129" s="524"/>
      <c r="BG129" s="524"/>
      <c r="BH129" s="524"/>
      <c r="BI129" s="524"/>
      <c r="BJ129" s="524"/>
      <c r="BK129" s="524"/>
      <c r="BL129" s="524"/>
      <c r="BM129" s="524"/>
      <c r="BN129" s="524"/>
      <c r="BO129" s="473"/>
      <c r="CQ129" s="524"/>
      <c r="CR129" s="524"/>
      <c r="CS129" s="524"/>
      <c r="CT129" s="524"/>
      <c r="CU129" s="524"/>
      <c r="CV129" s="524"/>
    </row>
    <row r="130" spans="1:122" ht="21" customHeight="1" thickBot="1" x14ac:dyDescent="0.35">
      <c r="B130" s="631">
        <v>4</v>
      </c>
      <c r="C130" s="612"/>
      <c r="D130" s="463">
        <v>0</v>
      </c>
      <c r="E130" s="632" t="s">
        <v>72</v>
      </c>
      <c r="F130" s="584">
        <f t="shared" si="41"/>
        <v>0.3</v>
      </c>
      <c r="G130" s="584">
        <f t="shared" si="66"/>
        <v>0.3</v>
      </c>
      <c r="H130" s="1199">
        <v>190.76</v>
      </c>
      <c r="I130" s="1198">
        <v>79.651040199999997</v>
      </c>
      <c r="J130" s="1197">
        <f t="shared" si="67"/>
        <v>79.651040199999997</v>
      </c>
      <c r="K130" s="1197">
        <f t="shared" si="42"/>
        <v>39.825520099999999</v>
      </c>
      <c r="L130" s="1197">
        <f t="shared" si="43"/>
        <v>0.64045183696587837</v>
      </c>
      <c r="M130" s="1197">
        <f t="shared" si="44"/>
        <v>122.17259241961095</v>
      </c>
      <c r="N130" s="1197">
        <f t="shared" si="45"/>
        <v>244.3451848392219</v>
      </c>
      <c r="O130" s="1197">
        <f>+C127+D128+D129+(D130/2)</f>
        <v>0</v>
      </c>
      <c r="P130" s="1197">
        <f t="shared" si="46"/>
        <v>0</v>
      </c>
      <c r="Q130" s="1197">
        <f t="shared" si="47"/>
        <v>0</v>
      </c>
      <c r="R130" s="1197">
        <f t="shared" si="68"/>
        <v>146.5</v>
      </c>
      <c r="S130" s="1197">
        <f t="shared" si="72"/>
        <v>146.5</v>
      </c>
      <c r="T130" s="1196">
        <f t="shared" si="48"/>
        <v>146.5</v>
      </c>
      <c r="V130" s="1193">
        <f t="shared" si="49"/>
        <v>0</v>
      </c>
      <c r="W130" s="1193"/>
      <c r="X130" s="1193"/>
      <c r="Y130" s="1193"/>
      <c r="Z130" s="1193"/>
      <c r="AA130" s="1193"/>
      <c r="AB130" s="1195" t="str">
        <f t="shared" si="50"/>
        <v>pin in groundstacking hole</v>
      </c>
      <c r="AC130" s="1194"/>
      <c r="AD130" s="1194"/>
      <c r="AE130" s="1194"/>
      <c r="AF130" s="1193">
        <f t="shared" si="69"/>
        <v>0</v>
      </c>
      <c r="AG130" s="1192">
        <f>SUM(D128:D130)+$C$127</f>
        <v>0</v>
      </c>
      <c r="AH130" s="1192"/>
      <c r="AI130" s="568">
        <f t="shared" si="51"/>
        <v>69.344714800000006</v>
      </c>
      <c r="AJ130" s="1191">
        <f t="shared" si="52"/>
        <v>0.93571960494171247</v>
      </c>
      <c r="AK130" s="658">
        <f t="shared" si="53"/>
        <v>180.0511663828843</v>
      </c>
      <c r="AL130" s="568">
        <f t="shared" si="54"/>
        <v>50.174479900000001</v>
      </c>
      <c r="AM130" s="1190">
        <f t="shared" si="55"/>
        <v>0.76799833627881664</v>
      </c>
      <c r="AN130" s="658">
        <f t="shared" si="56"/>
        <v>146.50336262854705</v>
      </c>
      <c r="AO130" s="1200"/>
      <c r="AP130" s="658">
        <f t="shared" si="70"/>
        <v>-51</v>
      </c>
      <c r="AQ130" s="1188"/>
      <c r="AR130" s="1188">
        <f t="shared" si="57"/>
        <v>326.55452901143133</v>
      </c>
      <c r="AS130" s="1187">
        <f t="shared" si="58"/>
        <v>-146.50336262854705</v>
      </c>
      <c r="AT130" s="1187"/>
      <c r="AU130" s="1187">
        <f t="shared" si="59"/>
        <v>146.50336262854705</v>
      </c>
      <c r="AV130" s="1186">
        <f t="shared" si="60"/>
        <v>-28.119681920582558</v>
      </c>
      <c r="AW130" s="1186">
        <f t="shared" si="61"/>
        <v>-22.880318079417442</v>
      </c>
      <c r="AX130" s="1185">
        <f t="shared" si="62"/>
        <v>-412.52244718704424</v>
      </c>
      <c r="AY130" s="1185">
        <f t="shared" si="63"/>
        <v>-437.05686106679383</v>
      </c>
      <c r="AZ130" s="1184">
        <f t="shared" si="64"/>
        <v>412.52244718704424</v>
      </c>
      <c r="BA130" s="1184">
        <f t="shared" si="65"/>
        <v>437.05686106679383</v>
      </c>
      <c r="BB130" s="474">
        <f t="shared" si="71"/>
        <v>0.3</v>
      </c>
      <c r="BF130" s="524"/>
      <c r="BG130" s="524"/>
      <c r="BH130" s="524"/>
      <c r="BI130" s="524"/>
      <c r="BJ130" s="524"/>
      <c r="BK130" s="524"/>
      <c r="BL130" s="524"/>
      <c r="BM130" s="524"/>
      <c r="BN130" s="524"/>
      <c r="BO130" s="473"/>
      <c r="CQ130" s="524"/>
      <c r="CR130" s="524"/>
      <c r="CS130" s="524"/>
      <c r="CT130" s="524"/>
      <c r="CU130" s="524"/>
      <c r="CV130" s="524"/>
    </row>
    <row r="131" spans="1:122" ht="21" customHeight="1" thickBot="1" x14ac:dyDescent="0.35">
      <c r="B131" s="631">
        <v>5</v>
      </c>
      <c r="C131" s="612"/>
      <c r="D131" s="463">
        <v>0</v>
      </c>
      <c r="E131" s="632" t="s">
        <v>72</v>
      </c>
      <c r="F131" s="584">
        <f t="shared" si="41"/>
        <v>0.3</v>
      </c>
      <c r="G131" s="584">
        <f t="shared" si="66"/>
        <v>0.3</v>
      </c>
      <c r="H131" s="1199">
        <v>190.76</v>
      </c>
      <c r="I131" s="1198">
        <v>79.651040199999997</v>
      </c>
      <c r="J131" s="1197">
        <f t="shared" si="67"/>
        <v>79.651040199999997</v>
      </c>
      <c r="K131" s="1197">
        <f t="shared" si="42"/>
        <v>39.825520099999999</v>
      </c>
      <c r="L131" s="1197">
        <f t="shared" si="43"/>
        <v>0.64045183696587837</v>
      </c>
      <c r="M131" s="1197">
        <f t="shared" si="44"/>
        <v>122.17259241961095</v>
      </c>
      <c r="N131" s="1197">
        <f t="shared" si="45"/>
        <v>244.3451848392219</v>
      </c>
      <c r="O131" s="1197">
        <f>+C127+D128+D129+D130+(D131/2)</f>
        <v>0</v>
      </c>
      <c r="P131" s="1197">
        <f t="shared" si="46"/>
        <v>0</v>
      </c>
      <c r="Q131" s="1197">
        <f t="shared" si="47"/>
        <v>0</v>
      </c>
      <c r="R131" s="1197">
        <f t="shared" si="68"/>
        <v>146.5</v>
      </c>
      <c r="S131" s="1197">
        <f t="shared" si="72"/>
        <v>146.5</v>
      </c>
      <c r="T131" s="1196">
        <f t="shared" si="48"/>
        <v>146.5</v>
      </c>
      <c r="V131" s="1193">
        <f t="shared" si="49"/>
        <v>0</v>
      </c>
      <c r="W131" s="1193"/>
      <c r="X131" s="1193"/>
      <c r="Y131" s="1193"/>
      <c r="Z131" s="1193"/>
      <c r="AA131" s="1193"/>
      <c r="AB131" s="1195" t="str">
        <f t="shared" si="50"/>
        <v>pin in groundstacking hole</v>
      </c>
      <c r="AC131" s="1194"/>
      <c r="AD131" s="1194"/>
      <c r="AE131" s="1194"/>
      <c r="AF131" s="1193">
        <f t="shared" si="69"/>
        <v>0</v>
      </c>
      <c r="AG131" s="1192">
        <f>SUM(D128:D131)+$C$127</f>
        <v>0</v>
      </c>
      <c r="AH131" s="1192"/>
      <c r="AI131" s="568">
        <f t="shared" si="51"/>
        <v>69.344714800000006</v>
      </c>
      <c r="AJ131" s="1191">
        <f t="shared" si="52"/>
        <v>0.93571960494171247</v>
      </c>
      <c r="AK131" s="658">
        <f t="shared" si="53"/>
        <v>180.0511663828843</v>
      </c>
      <c r="AL131" s="568">
        <f t="shared" si="54"/>
        <v>50.174479900000001</v>
      </c>
      <c r="AM131" s="1190">
        <f t="shared" si="55"/>
        <v>0.76799833627881664</v>
      </c>
      <c r="AN131" s="658">
        <f t="shared" si="56"/>
        <v>146.50336262854705</v>
      </c>
      <c r="AO131" s="1200"/>
      <c r="AP131" s="658">
        <f t="shared" si="70"/>
        <v>-76.5</v>
      </c>
      <c r="AQ131" s="1188"/>
      <c r="AR131" s="1188">
        <f t="shared" si="57"/>
        <v>326.55452901143133</v>
      </c>
      <c r="AS131" s="1187">
        <f t="shared" si="58"/>
        <v>-146.50336262854705</v>
      </c>
      <c r="AT131" s="1187"/>
      <c r="AU131" s="1187">
        <f t="shared" si="59"/>
        <v>146.50336262854705</v>
      </c>
      <c r="AV131" s="1186">
        <f t="shared" si="60"/>
        <v>-42.17952288087384</v>
      </c>
      <c r="AW131" s="1186">
        <f t="shared" si="61"/>
        <v>-34.32047711912616</v>
      </c>
      <c r="AX131" s="1185">
        <f t="shared" si="62"/>
        <v>-275.01496479136279</v>
      </c>
      <c r="AY131" s="1185">
        <f t="shared" si="63"/>
        <v>-291.37124071119592</v>
      </c>
      <c r="AZ131" s="1184">
        <f t="shared" si="64"/>
        <v>275.01496479136279</v>
      </c>
      <c r="BA131" s="1184">
        <f t="shared" si="65"/>
        <v>291.37124071119592</v>
      </c>
      <c r="BB131" s="474">
        <f t="shared" si="71"/>
        <v>0.3</v>
      </c>
      <c r="BC131" s="478"/>
      <c r="BD131" s="478"/>
      <c r="BE131" s="478"/>
      <c r="BF131" s="524"/>
      <c r="BG131" s="524"/>
      <c r="BH131" s="524"/>
      <c r="BI131" s="524"/>
      <c r="BJ131" s="524"/>
      <c r="BK131" s="524"/>
      <c r="BL131" s="524"/>
      <c r="BM131" s="524"/>
      <c r="BN131" s="524"/>
      <c r="BO131" s="473"/>
      <c r="CQ131" s="524"/>
      <c r="CR131" s="524"/>
      <c r="CS131" s="524"/>
      <c r="CT131" s="524"/>
      <c r="CU131" s="524"/>
      <c r="CV131" s="524"/>
    </row>
    <row r="132" spans="1:122" ht="21" customHeight="1" thickBot="1" x14ac:dyDescent="0.35">
      <c r="B132" s="631">
        <v>6</v>
      </c>
      <c r="C132" s="612"/>
      <c r="D132" s="463">
        <v>0</v>
      </c>
      <c r="E132" s="632" t="s">
        <v>72</v>
      </c>
      <c r="F132" s="584">
        <f t="shared" si="41"/>
        <v>0.3</v>
      </c>
      <c r="G132" s="584">
        <f t="shared" si="66"/>
        <v>0.3</v>
      </c>
      <c r="H132" s="1199">
        <v>190.76</v>
      </c>
      <c r="I132" s="1198">
        <v>79.651040199999997</v>
      </c>
      <c r="J132" s="1197">
        <f t="shared" si="67"/>
        <v>79.651040199999997</v>
      </c>
      <c r="K132" s="1197">
        <f t="shared" si="42"/>
        <v>39.825520099999999</v>
      </c>
      <c r="L132" s="1197">
        <f t="shared" si="43"/>
        <v>0.64045183696587837</v>
      </c>
      <c r="M132" s="1197">
        <f t="shared" si="44"/>
        <v>122.17259241961095</v>
      </c>
      <c r="N132" s="1197">
        <f t="shared" si="45"/>
        <v>244.3451848392219</v>
      </c>
      <c r="O132" s="1197">
        <f>+C127+D128+D129+D130+D131+(D132/2)</f>
        <v>0</v>
      </c>
      <c r="P132" s="1197">
        <f t="shared" si="46"/>
        <v>0</v>
      </c>
      <c r="Q132" s="1197">
        <f t="shared" si="47"/>
        <v>0</v>
      </c>
      <c r="R132" s="1197">
        <f t="shared" si="68"/>
        <v>146.5</v>
      </c>
      <c r="S132" s="1197">
        <f t="shared" si="72"/>
        <v>146.5</v>
      </c>
      <c r="T132" s="1196">
        <f t="shared" si="48"/>
        <v>146.5</v>
      </c>
      <c r="V132" s="1193">
        <f t="shared" si="49"/>
        <v>0</v>
      </c>
      <c r="W132" s="1193"/>
      <c r="X132" s="1193"/>
      <c r="Y132" s="1193"/>
      <c r="Z132" s="1193"/>
      <c r="AA132" s="1193"/>
      <c r="AB132" s="1195" t="str">
        <f t="shared" si="50"/>
        <v>pin in groundstacking hole</v>
      </c>
      <c r="AC132" s="1194"/>
      <c r="AD132" s="1194"/>
      <c r="AE132" s="1194"/>
      <c r="AF132" s="1193">
        <f t="shared" si="69"/>
        <v>0</v>
      </c>
      <c r="AG132" s="1192">
        <f>SUM(D128:D132)+$C$127</f>
        <v>0</v>
      </c>
      <c r="AH132" s="1192"/>
      <c r="AI132" s="568">
        <f t="shared" si="51"/>
        <v>69.344714800000006</v>
      </c>
      <c r="AJ132" s="1191">
        <f t="shared" si="52"/>
        <v>0.93571960494171247</v>
      </c>
      <c r="AK132" s="658">
        <f t="shared" si="53"/>
        <v>180.0511663828843</v>
      </c>
      <c r="AL132" s="568">
        <f t="shared" si="54"/>
        <v>50.174479900000001</v>
      </c>
      <c r="AM132" s="1190">
        <f t="shared" si="55"/>
        <v>0.76799833627881664</v>
      </c>
      <c r="AN132" s="658">
        <f t="shared" si="56"/>
        <v>146.50336262854705</v>
      </c>
      <c r="AO132" s="1200"/>
      <c r="AP132" s="658">
        <f t="shared" si="70"/>
        <v>-102</v>
      </c>
      <c r="AQ132" s="1188"/>
      <c r="AR132" s="1188">
        <f t="shared" si="57"/>
        <v>326.55452901143133</v>
      </c>
      <c r="AS132" s="1187">
        <f t="shared" si="58"/>
        <v>-146.50336262854705</v>
      </c>
      <c r="AT132" s="1187"/>
      <c r="AU132" s="1187">
        <f t="shared" si="59"/>
        <v>146.50336262854705</v>
      </c>
      <c r="AV132" s="1186">
        <f t="shared" si="60"/>
        <v>-56.239363841165115</v>
      </c>
      <c r="AW132" s="1186">
        <f t="shared" si="61"/>
        <v>-45.760636158834885</v>
      </c>
      <c r="AX132" s="1185">
        <f t="shared" si="62"/>
        <v>-206.26122359352212</v>
      </c>
      <c r="AY132" s="1185">
        <f t="shared" si="63"/>
        <v>-218.52843053339691</v>
      </c>
      <c r="AZ132" s="1184">
        <f t="shared" si="64"/>
        <v>206.26122359352212</v>
      </c>
      <c r="BA132" s="1184">
        <f t="shared" si="65"/>
        <v>218.52843053339691</v>
      </c>
      <c r="BB132" s="474">
        <f t="shared" si="71"/>
        <v>0.3</v>
      </c>
      <c r="BC132" s="478"/>
      <c r="BD132" s="478"/>
      <c r="BE132" s="478"/>
      <c r="BF132" s="524"/>
      <c r="BG132" s="524"/>
      <c r="BH132" s="524"/>
      <c r="BI132" s="524"/>
      <c r="BJ132" s="524"/>
      <c r="BK132" s="524"/>
      <c r="BL132" s="524"/>
      <c r="BM132" s="524"/>
      <c r="BN132" s="524"/>
      <c r="BO132" s="473"/>
      <c r="CQ132" s="524"/>
      <c r="CR132" s="524"/>
      <c r="CS132" s="524"/>
      <c r="CT132" s="524"/>
      <c r="CU132" s="524"/>
      <c r="CV132" s="524"/>
    </row>
    <row r="133" spans="1:122" ht="21" customHeight="1" thickBot="1" x14ac:dyDescent="0.35">
      <c r="B133" s="631">
        <v>7</v>
      </c>
      <c r="C133" s="612"/>
      <c r="D133" s="463">
        <v>0</v>
      </c>
      <c r="E133" s="632" t="s">
        <v>72</v>
      </c>
      <c r="F133" s="584">
        <f t="shared" si="41"/>
        <v>0.3</v>
      </c>
      <c r="G133" s="584">
        <f t="shared" si="66"/>
        <v>0.3</v>
      </c>
      <c r="H133" s="1199">
        <v>190.76</v>
      </c>
      <c r="I133" s="1198">
        <v>79.651040199999997</v>
      </c>
      <c r="J133" s="1197">
        <f t="shared" si="67"/>
        <v>79.651040199999997</v>
      </c>
      <c r="K133" s="1197">
        <f t="shared" si="42"/>
        <v>39.825520099999999</v>
      </c>
      <c r="L133" s="1197">
        <f t="shared" si="43"/>
        <v>0.64045183696587837</v>
      </c>
      <c r="M133" s="1197">
        <f t="shared" si="44"/>
        <v>122.17259241961095</v>
      </c>
      <c r="N133" s="1197">
        <f t="shared" si="45"/>
        <v>244.3451848392219</v>
      </c>
      <c r="O133" s="1197">
        <f>+C127+D128+D129+D130+D131+D132+(D133/2)</f>
        <v>0</v>
      </c>
      <c r="P133" s="1197">
        <f t="shared" si="46"/>
        <v>0</v>
      </c>
      <c r="Q133" s="1197">
        <f t="shared" si="47"/>
        <v>0</v>
      </c>
      <c r="R133" s="1197">
        <f t="shared" si="68"/>
        <v>146.5</v>
      </c>
      <c r="S133" s="1197">
        <f t="shared" si="72"/>
        <v>146.5</v>
      </c>
      <c r="T133" s="1196">
        <f t="shared" si="48"/>
        <v>146.5</v>
      </c>
      <c r="V133" s="1193">
        <f t="shared" si="49"/>
        <v>0</v>
      </c>
      <c r="W133" s="1193"/>
      <c r="X133" s="1193"/>
      <c r="Y133" s="1193"/>
      <c r="Z133" s="1193"/>
      <c r="AA133" s="1193"/>
      <c r="AB133" s="1195" t="str">
        <f t="shared" si="50"/>
        <v>pin in groundstacking hole</v>
      </c>
      <c r="AC133" s="1194"/>
      <c r="AD133" s="1194"/>
      <c r="AE133" s="1194"/>
      <c r="AF133" s="1193">
        <f t="shared" si="69"/>
        <v>0</v>
      </c>
      <c r="AG133" s="1192">
        <f>SUM(D128:D133)+$C$127</f>
        <v>0</v>
      </c>
      <c r="AH133" s="1192"/>
      <c r="AI133" s="568">
        <f t="shared" si="51"/>
        <v>69.344714800000006</v>
      </c>
      <c r="AJ133" s="1191">
        <f t="shared" si="52"/>
        <v>0.93571960494171247</v>
      </c>
      <c r="AK133" s="658">
        <f t="shared" si="53"/>
        <v>180.0511663828843</v>
      </c>
      <c r="AL133" s="568">
        <f t="shared" si="54"/>
        <v>50.174479900000001</v>
      </c>
      <c r="AM133" s="1190">
        <f t="shared" si="55"/>
        <v>0.76799833627881664</v>
      </c>
      <c r="AN133" s="658">
        <f t="shared" si="56"/>
        <v>146.50336262854705</v>
      </c>
      <c r="AO133" s="1200"/>
      <c r="AP133" s="658">
        <f t="shared" si="70"/>
        <v>-127.5</v>
      </c>
      <c r="AQ133" s="1188"/>
      <c r="AR133" s="1188">
        <f t="shared" si="57"/>
        <v>326.55452901143133</v>
      </c>
      <c r="AS133" s="1187">
        <f t="shared" si="58"/>
        <v>-146.50336262854705</v>
      </c>
      <c r="AT133" s="1187"/>
      <c r="AU133" s="1187">
        <f t="shared" si="59"/>
        <v>146.50336262854705</v>
      </c>
      <c r="AV133" s="1186">
        <f t="shared" si="60"/>
        <v>-70.299204801456398</v>
      </c>
      <c r="AW133" s="1186">
        <f t="shared" si="61"/>
        <v>-57.200795198543602</v>
      </c>
      <c r="AX133" s="1185">
        <f t="shared" si="62"/>
        <v>-165.00897887481767</v>
      </c>
      <c r="AY133" s="1185">
        <f t="shared" si="63"/>
        <v>-174.82274442671755</v>
      </c>
      <c r="AZ133" s="1184">
        <f t="shared" si="64"/>
        <v>165.00897887481767</v>
      </c>
      <c r="BA133" s="1184">
        <f t="shared" si="65"/>
        <v>174.82274442671755</v>
      </c>
      <c r="BB133" s="474">
        <f t="shared" si="71"/>
        <v>0.3</v>
      </c>
      <c r="BF133" s="524"/>
      <c r="BG133" s="524"/>
      <c r="BH133" s="524"/>
      <c r="BI133" s="524"/>
      <c r="BJ133" s="524"/>
      <c r="BK133" s="524"/>
      <c r="BL133" s="524"/>
      <c r="BM133" s="524"/>
      <c r="BN133" s="524"/>
      <c r="BO133" s="473"/>
      <c r="CQ133" s="524"/>
      <c r="CR133" s="524"/>
      <c r="CS133" s="524"/>
      <c r="CT133" s="524"/>
      <c r="CU133" s="524"/>
      <c r="CV133" s="524"/>
    </row>
    <row r="134" spans="1:122" ht="21" customHeight="1" thickBot="1" x14ac:dyDescent="0.35">
      <c r="B134" s="631">
        <v>8</v>
      </c>
      <c r="C134" s="612"/>
      <c r="D134" s="463">
        <v>0</v>
      </c>
      <c r="E134" s="632" t="s">
        <v>72</v>
      </c>
      <c r="F134" s="584">
        <f t="shared" si="41"/>
        <v>0.3</v>
      </c>
      <c r="G134" s="584">
        <f t="shared" si="66"/>
        <v>0.3</v>
      </c>
      <c r="H134" s="1199">
        <v>190.76</v>
      </c>
      <c r="I134" s="1198">
        <v>79.651040199999997</v>
      </c>
      <c r="J134" s="1197">
        <f t="shared" si="67"/>
        <v>79.651040199999997</v>
      </c>
      <c r="K134" s="1197">
        <f t="shared" si="42"/>
        <v>39.825520099999999</v>
      </c>
      <c r="L134" s="1197">
        <f t="shared" si="43"/>
        <v>0.64045183696587837</v>
      </c>
      <c r="M134" s="1197">
        <f t="shared" si="44"/>
        <v>122.17259241961095</v>
      </c>
      <c r="N134" s="1197">
        <f t="shared" si="45"/>
        <v>244.3451848392219</v>
      </c>
      <c r="O134" s="1197">
        <f>+C127+D128+D129+D130+D131+D132+D133+(D134/2)</f>
        <v>0</v>
      </c>
      <c r="P134" s="1197">
        <f t="shared" si="46"/>
        <v>0</v>
      </c>
      <c r="Q134" s="1197">
        <f t="shared" si="47"/>
        <v>0</v>
      </c>
      <c r="R134" s="1197">
        <f t="shared" si="68"/>
        <v>146.5</v>
      </c>
      <c r="S134" s="1197">
        <f t="shared" si="72"/>
        <v>146.5</v>
      </c>
      <c r="T134" s="1196">
        <f t="shared" si="48"/>
        <v>146.5</v>
      </c>
      <c r="V134" s="1193">
        <f t="shared" si="49"/>
        <v>0</v>
      </c>
      <c r="W134" s="1193"/>
      <c r="X134" s="1193"/>
      <c r="Y134" s="1193"/>
      <c r="Z134" s="1193"/>
      <c r="AA134" s="1193"/>
      <c r="AB134" s="1195" t="str">
        <f t="shared" si="50"/>
        <v>pin in groundstacking hole</v>
      </c>
      <c r="AC134" s="1194"/>
      <c r="AD134" s="1194"/>
      <c r="AE134" s="1194"/>
      <c r="AF134" s="1193">
        <f t="shared" si="69"/>
        <v>0</v>
      </c>
      <c r="AG134" s="1192">
        <f>SUM(D128:D134)+$C$127</f>
        <v>0</v>
      </c>
      <c r="AH134" s="1192"/>
      <c r="AI134" s="568">
        <f t="shared" si="51"/>
        <v>69.344714800000006</v>
      </c>
      <c r="AJ134" s="1191">
        <f t="shared" si="52"/>
        <v>0.93571960494171247</v>
      </c>
      <c r="AK134" s="658">
        <f t="shared" si="53"/>
        <v>180.0511663828843</v>
      </c>
      <c r="AL134" s="568">
        <f t="shared" si="54"/>
        <v>50.174479900000001</v>
      </c>
      <c r="AM134" s="1190">
        <f t="shared" si="55"/>
        <v>0.76799833627881664</v>
      </c>
      <c r="AN134" s="658">
        <f t="shared" si="56"/>
        <v>146.50336262854705</v>
      </c>
      <c r="AO134" s="1200"/>
      <c r="AP134" s="658">
        <f t="shared" si="70"/>
        <v>-153</v>
      </c>
      <c r="AQ134" s="1188"/>
      <c r="AR134" s="1188">
        <f t="shared" si="57"/>
        <v>326.55452901143133</v>
      </c>
      <c r="AS134" s="1187">
        <f t="shared" si="58"/>
        <v>-146.50336262854705</v>
      </c>
      <c r="AT134" s="1187"/>
      <c r="AU134" s="1187">
        <f t="shared" si="59"/>
        <v>146.50336262854705</v>
      </c>
      <c r="AV134" s="1186">
        <f t="shared" si="60"/>
        <v>-84.35904576174768</v>
      </c>
      <c r="AW134" s="1186">
        <f t="shared" si="61"/>
        <v>-68.64095423825232</v>
      </c>
      <c r="AX134" s="1185">
        <f t="shared" si="62"/>
        <v>-137.50748239568139</v>
      </c>
      <c r="AY134" s="1185">
        <f t="shared" si="63"/>
        <v>-145.68562035559796</v>
      </c>
      <c r="AZ134" s="1184">
        <f t="shared" si="64"/>
        <v>137.50748239568139</v>
      </c>
      <c r="BA134" s="1184">
        <f t="shared" si="65"/>
        <v>145.68562035559796</v>
      </c>
      <c r="BB134" s="474">
        <f t="shared" si="71"/>
        <v>0.3</v>
      </c>
      <c r="BF134" s="524"/>
      <c r="BG134" s="524"/>
      <c r="BH134" s="524"/>
      <c r="BI134" s="524"/>
      <c r="BJ134" s="524"/>
      <c r="BK134" s="524"/>
      <c r="BL134" s="524"/>
      <c r="BM134" s="524"/>
      <c r="BN134" s="524"/>
      <c r="BO134" s="473"/>
      <c r="CQ134" s="524"/>
      <c r="CR134" s="524"/>
      <c r="CS134" s="524"/>
      <c r="CT134" s="524"/>
      <c r="CU134" s="524"/>
      <c r="CV134" s="524"/>
    </row>
    <row r="135" spans="1:122" ht="21" customHeight="1" thickBot="1" x14ac:dyDescent="0.35">
      <c r="B135" s="631">
        <v>9</v>
      </c>
      <c r="C135" s="612"/>
      <c r="D135" s="463">
        <v>0</v>
      </c>
      <c r="E135" s="632" t="s">
        <v>72</v>
      </c>
      <c r="F135" s="584">
        <f t="shared" si="41"/>
        <v>0.3</v>
      </c>
      <c r="G135" s="584">
        <f t="shared" si="66"/>
        <v>0.3</v>
      </c>
      <c r="H135" s="1199">
        <v>190.76</v>
      </c>
      <c r="I135" s="1198">
        <v>79.651040199999997</v>
      </c>
      <c r="J135" s="1197">
        <f t="shared" si="67"/>
        <v>79.651040199999997</v>
      </c>
      <c r="K135" s="1197">
        <f t="shared" si="42"/>
        <v>39.825520099999999</v>
      </c>
      <c r="L135" s="1197">
        <f t="shared" si="43"/>
        <v>0.64045183696587837</v>
      </c>
      <c r="M135" s="1197">
        <f t="shared" si="44"/>
        <v>122.17259241961095</v>
      </c>
      <c r="N135" s="1197">
        <f t="shared" si="45"/>
        <v>244.3451848392219</v>
      </c>
      <c r="O135" s="1197">
        <f>+C127+D128+D129+D130+D131+D132+D133+D134+(D135/2)</f>
        <v>0</v>
      </c>
      <c r="P135" s="1197">
        <f t="shared" si="46"/>
        <v>0</v>
      </c>
      <c r="Q135" s="1197">
        <f t="shared" si="47"/>
        <v>0</v>
      </c>
      <c r="R135" s="1197">
        <f t="shared" si="68"/>
        <v>146.5</v>
      </c>
      <c r="S135" s="1197">
        <f t="shared" si="72"/>
        <v>146.5</v>
      </c>
      <c r="T135" s="1196">
        <f t="shared" si="48"/>
        <v>146.5</v>
      </c>
      <c r="V135" s="1193">
        <f t="shared" si="49"/>
        <v>0</v>
      </c>
      <c r="W135" s="1193"/>
      <c r="X135" s="1193"/>
      <c r="Y135" s="1193"/>
      <c r="Z135" s="1193"/>
      <c r="AA135" s="1193"/>
      <c r="AB135" s="1195" t="str">
        <f t="shared" si="50"/>
        <v>pin in groundstacking hole</v>
      </c>
      <c r="AC135" s="1194"/>
      <c r="AD135" s="1194"/>
      <c r="AE135" s="1194"/>
      <c r="AF135" s="1193">
        <f t="shared" si="69"/>
        <v>0</v>
      </c>
      <c r="AG135" s="1192">
        <f>SUM(D128:D135)+$C$127</f>
        <v>0</v>
      </c>
      <c r="AH135" s="1192"/>
      <c r="AI135" s="568">
        <f t="shared" si="51"/>
        <v>69.344714800000006</v>
      </c>
      <c r="AJ135" s="1191">
        <f t="shared" si="52"/>
        <v>0.93571960494171247</v>
      </c>
      <c r="AK135" s="658">
        <f t="shared" si="53"/>
        <v>180.0511663828843</v>
      </c>
      <c r="AL135" s="568">
        <f t="shared" si="54"/>
        <v>50.174479900000001</v>
      </c>
      <c r="AM135" s="1190">
        <f t="shared" si="55"/>
        <v>0.76799833627881664</v>
      </c>
      <c r="AN135" s="658">
        <f t="shared" si="56"/>
        <v>146.50336262854705</v>
      </c>
      <c r="AO135" s="1200"/>
      <c r="AP135" s="658">
        <f t="shared" si="70"/>
        <v>-178.5</v>
      </c>
      <c r="AQ135" s="1188"/>
      <c r="AR135" s="1188">
        <f t="shared" si="57"/>
        <v>326.55452901143133</v>
      </c>
      <c r="AS135" s="1187">
        <f t="shared" si="58"/>
        <v>-146.50336262854705</v>
      </c>
      <c r="AT135" s="1187"/>
      <c r="AU135" s="1187">
        <f t="shared" si="59"/>
        <v>146.50336262854705</v>
      </c>
      <c r="AV135" s="1186">
        <f t="shared" si="60"/>
        <v>-98.418886722038962</v>
      </c>
      <c r="AW135" s="1186">
        <f t="shared" si="61"/>
        <v>-80.081113277961038</v>
      </c>
      <c r="AX135" s="1185">
        <f t="shared" si="62"/>
        <v>-117.86355633915548</v>
      </c>
      <c r="AY135" s="1185">
        <f t="shared" si="63"/>
        <v>-124.87338887622683</v>
      </c>
      <c r="AZ135" s="1184">
        <f t="shared" si="64"/>
        <v>117.86355633915548</v>
      </c>
      <c r="BA135" s="1184">
        <f t="shared" si="65"/>
        <v>124.87338887622683</v>
      </c>
      <c r="BB135" s="474">
        <f t="shared" si="71"/>
        <v>0.3</v>
      </c>
      <c r="BF135" s="524"/>
      <c r="BG135" s="524"/>
      <c r="BH135" s="524"/>
      <c r="BI135" s="524"/>
      <c r="BJ135" s="524"/>
      <c r="BK135" s="524"/>
      <c r="BL135" s="524"/>
      <c r="BM135" s="524"/>
      <c r="BN135" s="524"/>
      <c r="BO135" s="473"/>
      <c r="CQ135" s="524"/>
      <c r="CR135" s="524"/>
      <c r="CS135" s="524"/>
      <c r="CT135" s="524"/>
      <c r="CU135" s="524"/>
      <c r="CV135" s="524"/>
    </row>
    <row r="136" spans="1:122" ht="21" customHeight="1" thickBot="1" x14ac:dyDescent="0.35">
      <c r="B136" s="631">
        <v>10</v>
      </c>
      <c r="C136" s="612"/>
      <c r="D136" s="463">
        <v>0</v>
      </c>
      <c r="E136" s="632" t="s">
        <v>72</v>
      </c>
      <c r="F136" s="584">
        <f t="shared" si="41"/>
        <v>0.3</v>
      </c>
      <c r="G136" s="584">
        <f t="shared" si="66"/>
        <v>0.3</v>
      </c>
      <c r="H136" s="1199">
        <v>190.76</v>
      </c>
      <c r="I136" s="1198">
        <v>79.651040199999997</v>
      </c>
      <c r="J136" s="1197">
        <f t="shared" si="67"/>
        <v>79.651040199999997</v>
      </c>
      <c r="K136" s="1197">
        <f t="shared" si="42"/>
        <v>39.825520099999999</v>
      </c>
      <c r="L136" s="1197">
        <f t="shared" si="43"/>
        <v>0.64045183696587837</v>
      </c>
      <c r="M136" s="1197">
        <f t="shared" si="44"/>
        <v>122.17259241961095</v>
      </c>
      <c r="N136" s="1197">
        <f t="shared" si="45"/>
        <v>244.3451848392219</v>
      </c>
      <c r="O136" s="1197">
        <f>+C127+D128+D129+D130+D131+D132+D133+D134+D135+(D136/2)</f>
        <v>0</v>
      </c>
      <c r="P136" s="1197">
        <f t="shared" si="46"/>
        <v>0</v>
      </c>
      <c r="Q136" s="1197">
        <f t="shared" si="47"/>
        <v>0</v>
      </c>
      <c r="R136" s="1197">
        <f t="shared" si="68"/>
        <v>146.5</v>
      </c>
      <c r="S136" s="1197">
        <f t="shared" si="72"/>
        <v>146.5</v>
      </c>
      <c r="T136" s="1196">
        <f t="shared" si="48"/>
        <v>146.5</v>
      </c>
      <c r="V136" s="1193">
        <f t="shared" si="49"/>
        <v>0</v>
      </c>
      <c r="W136" s="1193"/>
      <c r="X136" s="1193"/>
      <c r="Y136" s="1193"/>
      <c r="Z136" s="1193"/>
      <c r="AA136" s="1193"/>
      <c r="AB136" s="1195" t="str">
        <f t="shared" si="50"/>
        <v>pin in groundstacking hole</v>
      </c>
      <c r="AC136" s="1194"/>
      <c r="AD136" s="1194"/>
      <c r="AE136" s="1194"/>
      <c r="AF136" s="1193">
        <f t="shared" si="69"/>
        <v>0</v>
      </c>
      <c r="AG136" s="1192">
        <f>SUM(D128:D136)+$C$127</f>
        <v>0</v>
      </c>
      <c r="AH136" s="1192"/>
      <c r="AI136" s="568">
        <f t="shared" si="51"/>
        <v>69.344714800000006</v>
      </c>
      <c r="AJ136" s="1191">
        <f t="shared" si="52"/>
        <v>0.93571960494171247</v>
      </c>
      <c r="AK136" s="658">
        <f t="shared" si="53"/>
        <v>180.0511663828843</v>
      </c>
      <c r="AL136" s="568">
        <f t="shared" si="54"/>
        <v>50.174479900000001</v>
      </c>
      <c r="AM136" s="1190">
        <f t="shared" si="55"/>
        <v>0.76799833627881664</v>
      </c>
      <c r="AN136" s="658">
        <f t="shared" si="56"/>
        <v>146.50336262854705</v>
      </c>
      <c r="AO136" s="1200"/>
      <c r="AP136" s="658">
        <f t="shared" si="70"/>
        <v>-204</v>
      </c>
      <c r="AQ136" s="1188"/>
      <c r="AR136" s="1188">
        <f t="shared" si="57"/>
        <v>326.55452901143133</v>
      </c>
      <c r="AS136" s="1187">
        <f t="shared" si="58"/>
        <v>-146.50336262854705</v>
      </c>
      <c r="AT136" s="1187"/>
      <c r="AU136" s="1187">
        <f t="shared" si="59"/>
        <v>146.50336262854705</v>
      </c>
      <c r="AV136" s="1186">
        <f t="shared" si="60"/>
        <v>-112.47872768233023</v>
      </c>
      <c r="AW136" s="1186">
        <f t="shared" si="61"/>
        <v>-91.521272317669769</v>
      </c>
      <c r="AX136" s="1185">
        <f t="shared" si="62"/>
        <v>-103.13061179676106</v>
      </c>
      <c r="AY136" s="1185">
        <f t="shared" si="63"/>
        <v>-109.26421526669846</v>
      </c>
      <c r="AZ136" s="1184">
        <f t="shared" si="64"/>
        <v>103.13061179676106</v>
      </c>
      <c r="BA136" s="1184">
        <f t="shared" si="65"/>
        <v>109.26421526669846</v>
      </c>
      <c r="BB136" s="474">
        <f t="shared" si="71"/>
        <v>0.3</v>
      </c>
      <c r="BF136" s="524"/>
      <c r="BG136" s="524"/>
      <c r="BH136" s="524"/>
      <c r="BI136" s="524"/>
      <c r="BJ136" s="524"/>
      <c r="BK136" s="524"/>
      <c r="BL136" s="524"/>
      <c r="BM136" s="524"/>
      <c r="BN136" s="524"/>
      <c r="BO136" s="473"/>
      <c r="CQ136" s="524"/>
      <c r="CR136" s="524"/>
      <c r="CS136" s="524"/>
      <c r="CT136" s="524"/>
      <c r="CU136" s="524"/>
      <c r="CV136" s="524"/>
    </row>
    <row r="137" spans="1:122" ht="21" customHeight="1" thickBot="1" x14ac:dyDescent="0.35">
      <c r="A137" s="636"/>
      <c r="B137" s="631">
        <v>11</v>
      </c>
      <c r="C137" s="612"/>
      <c r="D137" s="463">
        <v>0</v>
      </c>
      <c r="E137" s="632" t="s">
        <v>72</v>
      </c>
      <c r="F137" s="584">
        <f t="shared" si="41"/>
        <v>0.3</v>
      </c>
      <c r="G137" s="584">
        <f t="shared" si="66"/>
        <v>0.3</v>
      </c>
      <c r="H137" s="1199">
        <v>190.76</v>
      </c>
      <c r="I137" s="1198">
        <v>79.651040199999997</v>
      </c>
      <c r="J137" s="1197">
        <f t="shared" si="67"/>
        <v>79.651040199999997</v>
      </c>
      <c r="K137" s="1197">
        <f t="shared" si="42"/>
        <v>39.825520099999999</v>
      </c>
      <c r="L137" s="1197">
        <f t="shared" si="43"/>
        <v>0.64045183696587837</v>
      </c>
      <c r="M137" s="1197">
        <f t="shared" si="44"/>
        <v>122.17259241961095</v>
      </c>
      <c r="N137" s="1197">
        <f t="shared" si="45"/>
        <v>244.3451848392219</v>
      </c>
      <c r="O137" s="1197">
        <f>+C127+D128+D129+D130+D131+D132+D133+D134+D135+D136+(D137/2)</f>
        <v>0</v>
      </c>
      <c r="P137" s="1197">
        <f t="shared" si="46"/>
        <v>0</v>
      </c>
      <c r="Q137" s="1197">
        <f t="shared" si="47"/>
        <v>0</v>
      </c>
      <c r="R137" s="1197">
        <f t="shared" si="68"/>
        <v>146.5</v>
      </c>
      <c r="S137" s="1197">
        <f t="shared" si="72"/>
        <v>146.5</v>
      </c>
      <c r="T137" s="1196">
        <f t="shared" si="48"/>
        <v>146.5</v>
      </c>
      <c r="V137" s="1193">
        <f t="shared" si="49"/>
        <v>0</v>
      </c>
      <c r="W137" s="1193"/>
      <c r="X137" s="1193"/>
      <c r="Y137" s="1193"/>
      <c r="Z137" s="1193"/>
      <c r="AA137" s="1193"/>
      <c r="AB137" s="1195" t="str">
        <f t="shared" si="50"/>
        <v>pin in groundstacking hole</v>
      </c>
      <c r="AC137" s="1194"/>
      <c r="AD137" s="1194"/>
      <c r="AE137" s="1194"/>
      <c r="AF137" s="1193">
        <f t="shared" si="69"/>
        <v>0</v>
      </c>
      <c r="AG137" s="1192">
        <f>SUM(D128:D137)+$C$127</f>
        <v>0</v>
      </c>
      <c r="AH137" s="1192"/>
      <c r="AI137" s="568">
        <f t="shared" si="51"/>
        <v>69.344714800000006</v>
      </c>
      <c r="AJ137" s="1191">
        <f t="shared" si="52"/>
        <v>0.93571960494171247</v>
      </c>
      <c r="AK137" s="658">
        <f t="shared" si="53"/>
        <v>180.0511663828843</v>
      </c>
      <c r="AL137" s="568">
        <f t="shared" si="54"/>
        <v>50.174479900000001</v>
      </c>
      <c r="AM137" s="1190">
        <f t="shared" si="55"/>
        <v>0.76799833627881664</v>
      </c>
      <c r="AN137" s="658">
        <f t="shared" si="56"/>
        <v>146.50336262854705</v>
      </c>
      <c r="AO137" s="1200"/>
      <c r="AP137" s="658">
        <f t="shared" si="70"/>
        <v>-229.5</v>
      </c>
      <c r="AQ137" s="1188"/>
      <c r="AR137" s="1188">
        <f t="shared" si="57"/>
        <v>326.55452901143133</v>
      </c>
      <c r="AS137" s="1187">
        <f t="shared" si="58"/>
        <v>-146.50336262854705</v>
      </c>
      <c r="AT137" s="1187"/>
      <c r="AU137" s="1187">
        <f t="shared" si="59"/>
        <v>146.50336262854705</v>
      </c>
      <c r="AV137" s="1186">
        <f t="shared" si="60"/>
        <v>-126.53856864262151</v>
      </c>
      <c r="AW137" s="1186">
        <f t="shared" si="61"/>
        <v>-102.96143135737849</v>
      </c>
      <c r="AX137" s="1185">
        <f t="shared" si="62"/>
        <v>-91.671654930454267</v>
      </c>
      <c r="AY137" s="1185">
        <f t="shared" si="63"/>
        <v>-97.12374690373197</v>
      </c>
      <c r="AZ137" s="1184">
        <f t="shared" si="64"/>
        <v>91.671654930454267</v>
      </c>
      <c r="BA137" s="1184">
        <f t="shared" si="65"/>
        <v>97.12374690373197</v>
      </c>
      <c r="BB137" s="474">
        <f t="shared" si="71"/>
        <v>0.3</v>
      </c>
      <c r="BF137" s="524"/>
      <c r="BG137" s="524"/>
      <c r="BH137" s="524"/>
      <c r="BI137" s="524"/>
      <c r="BJ137" s="524"/>
      <c r="BK137" s="524"/>
      <c r="BL137" s="524"/>
      <c r="BM137" s="524"/>
      <c r="BN137" s="524"/>
      <c r="BO137" s="473"/>
      <c r="CQ137" s="524"/>
      <c r="CR137" s="524"/>
      <c r="CS137" s="524"/>
      <c r="CT137" s="524"/>
      <c r="CU137" s="524"/>
      <c r="CV137" s="524"/>
    </row>
    <row r="138" spans="1:122" ht="21" customHeight="1" thickBot="1" x14ac:dyDescent="0.35">
      <c r="A138" s="636"/>
      <c r="B138" s="631">
        <v>12</v>
      </c>
      <c r="C138" s="612"/>
      <c r="D138" s="463">
        <v>0</v>
      </c>
      <c r="E138" s="632" t="s">
        <v>72</v>
      </c>
      <c r="F138" s="584">
        <f t="shared" si="41"/>
        <v>0.3</v>
      </c>
      <c r="G138" s="584">
        <f t="shared" si="66"/>
        <v>0.3</v>
      </c>
      <c r="H138" s="1199">
        <v>190.76</v>
      </c>
      <c r="I138" s="1198">
        <v>79.651040199999997</v>
      </c>
      <c r="J138" s="1197">
        <f t="shared" si="67"/>
        <v>79.651040199999997</v>
      </c>
      <c r="K138" s="1197">
        <f t="shared" si="42"/>
        <v>39.825520099999999</v>
      </c>
      <c r="L138" s="1197">
        <f t="shared" si="43"/>
        <v>0.64045183696587837</v>
      </c>
      <c r="M138" s="1197">
        <f t="shared" si="44"/>
        <v>122.17259241961095</v>
      </c>
      <c r="N138" s="1197">
        <f t="shared" si="45"/>
        <v>244.3451848392219</v>
      </c>
      <c r="O138" s="1197">
        <f>+C127+D128+D129+D130+D131+D132+D133+D134+D135+D136+D137+(D138/2)</f>
        <v>0</v>
      </c>
      <c r="P138" s="1197">
        <f t="shared" si="46"/>
        <v>0</v>
      </c>
      <c r="Q138" s="1197">
        <f t="shared" si="47"/>
        <v>0</v>
      </c>
      <c r="R138" s="1197">
        <f t="shared" si="68"/>
        <v>146.5</v>
      </c>
      <c r="S138" s="1197">
        <f t="shared" si="72"/>
        <v>146.5</v>
      </c>
      <c r="T138" s="1196">
        <f t="shared" si="48"/>
        <v>146.5</v>
      </c>
      <c r="V138" s="1193">
        <f t="shared" si="49"/>
        <v>0</v>
      </c>
      <c r="W138" s="1193"/>
      <c r="X138" s="1193"/>
      <c r="Y138" s="1193"/>
      <c r="Z138" s="1193"/>
      <c r="AA138" s="1193"/>
      <c r="AB138" s="1195" t="str">
        <f t="shared" si="50"/>
        <v>pin in groundstacking hole</v>
      </c>
      <c r="AC138" s="1194"/>
      <c r="AD138" s="1194"/>
      <c r="AE138" s="1194"/>
      <c r="AF138" s="1193">
        <f t="shared" si="69"/>
        <v>0</v>
      </c>
      <c r="AG138" s="1192">
        <f>SUM(D128:D138)+$C$127</f>
        <v>0</v>
      </c>
      <c r="AH138" s="1192"/>
      <c r="AI138" s="568">
        <f t="shared" si="51"/>
        <v>69.344714800000006</v>
      </c>
      <c r="AJ138" s="1191">
        <f t="shared" si="52"/>
        <v>0.93571960494171247</v>
      </c>
      <c r="AK138" s="658">
        <f t="shared" si="53"/>
        <v>180.0511663828843</v>
      </c>
      <c r="AL138" s="568">
        <f t="shared" si="54"/>
        <v>50.174479900000001</v>
      </c>
      <c r="AM138" s="1190">
        <f t="shared" si="55"/>
        <v>0.76799833627881664</v>
      </c>
      <c r="AN138" s="658">
        <f t="shared" si="56"/>
        <v>146.50336262854705</v>
      </c>
      <c r="AO138" s="1200"/>
      <c r="AP138" s="658">
        <f t="shared" si="70"/>
        <v>-255</v>
      </c>
      <c r="AQ138" s="1188"/>
      <c r="AR138" s="1188">
        <f t="shared" si="57"/>
        <v>326.55452901143133</v>
      </c>
      <c r="AS138" s="1187">
        <f t="shared" si="58"/>
        <v>-146.50336262854705</v>
      </c>
      <c r="AT138" s="1187"/>
      <c r="AU138" s="1187">
        <f t="shared" si="59"/>
        <v>146.50336262854705</v>
      </c>
      <c r="AV138" s="1186">
        <f t="shared" si="60"/>
        <v>-140.5984096029128</v>
      </c>
      <c r="AW138" s="1186">
        <f t="shared" si="61"/>
        <v>-114.4015903970872</v>
      </c>
      <c r="AX138" s="1185">
        <f t="shared" si="62"/>
        <v>-82.504489437408836</v>
      </c>
      <c r="AY138" s="1185">
        <f t="shared" si="63"/>
        <v>-87.411372213358774</v>
      </c>
      <c r="AZ138" s="1184">
        <f t="shared" si="64"/>
        <v>82.504489437408836</v>
      </c>
      <c r="BA138" s="1184">
        <f t="shared" si="65"/>
        <v>87.411372213358774</v>
      </c>
      <c r="BB138" s="474">
        <f t="shared" si="71"/>
        <v>0.3</v>
      </c>
      <c r="BF138" s="524"/>
      <c r="BG138" s="524"/>
      <c r="BH138" s="524"/>
      <c r="BI138" s="524"/>
      <c r="BJ138" s="524"/>
      <c r="BK138" s="524"/>
      <c r="BL138" s="524"/>
      <c r="BM138" s="524"/>
      <c r="BN138" s="524"/>
      <c r="BO138" s="473"/>
      <c r="CQ138" s="524"/>
      <c r="CR138" s="524"/>
      <c r="CS138" s="524"/>
      <c r="CT138" s="524"/>
      <c r="CU138" s="524"/>
      <c r="CV138" s="524"/>
    </row>
    <row r="139" spans="1:122" ht="21" customHeight="1" thickBot="1" x14ac:dyDescent="0.35">
      <c r="B139" s="631">
        <v>13</v>
      </c>
      <c r="C139" s="612"/>
      <c r="D139" s="463">
        <v>0</v>
      </c>
      <c r="E139" s="632" t="s">
        <v>72</v>
      </c>
      <c r="F139" s="584">
        <f t="shared" si="41"/>
        <v>0.3</v>
      </c>
      <c r="G139" s="584">
        <f t="shared" si="66"/>
        <v>0.3</v>
      </c>
      <c r="H139" s="1199">
        <v>190.76</v>
      </c>
      <c r="I139" s="1198">
        <v>79.651040199999997</v>
      </c>
      <c r="J139" s="1197">
        <f t="shared" si="67"/>
        <v>79.651040199999997</v>
      </c>
      <c r="K139" s="1197">
        <f t="shared" si="42"/>
        <v>39.825520099999999</v>
      </c>
      <c r="L139" s="1197">
        <f t="shared" si="43"/>
        <v>0.64045183696587837</v>
      </c>
      <c r="M139" s="1197">
        <f t="shared" si="44"/>
        <v>122.17259241961095</v>
      </c>
      <c r="N139" s="1197">
        <f t="shared" si="45"/>
        <v>244.3451848392219</v>
      </c>
      <c r="O139" s="1197">
        <f>+C127+D128+D129+D130+D131+D132+D133+D134+D135+D136+D137+D138+(D139/2)</f>
        <v>0</v>
      </c>
      <c r="P139" s="1197">
        <f t="shared" si="46"/>
        <v>0</v>
      </c>
      <c r="Q139" s="1197">
        <f t="shared" si="47"/>
        <v>0</v>
      </c>
      <c r="R139" s="1197">
        <f t="shared" si="68"/>
        <v>146.5</v>
      </c>
      <c r="S139" s="1197">
        <f t="shared" si="72"/>
        <v>146.5</v>
      </c>
      <c r="T139" s="1196">
        <f t="shared" si="48"/>
        <v>146.5</v>
      </c>
      <c r="V139" s="1193">
        <f t="shared" si="49"/>
        <v>0</v>
      </c>
      <c r="W139" s="1193"/>
      <c r="X139" s="1193"/>
      <c r="Y139" s="1193"/>
      <c r="Z139" s="1193"/>
      <c r="AA139" s="1193"/>
      <c r="AB139" s="1195" t="str">
        <f t="shared" si="50"/>
        <v>pin in groundstacking hole</v>
      </c>
      <c r="AC139" s="1194"/>
      <c r="AD139" s="1194"/>
      <c r="AE139" s="1194"/>
      <c r="AF139" s="1193">
        <f t="shared" si="69"/>
        <v>0</v>
      </c>
      <c r="AG139" s="1192">
        <f>SUM(D128:D139)+$C$127</f>
        <v>0</v>
      </c>
      <c r="AH139" s="1192"/>
      <c r="AI139" s="568">
        <f t="shared" si="51"/>
        <v>69.344714800000006</v>
      </c>
      <c r="AJ139" s="1191">
        <f t="shared" si="52"/>
        <v>0.93571960494171247</v>
      </c>
      <c r="AK139" s="658">
        <f t="shared" si="53"/>
        <v>180.0511663828843</v>
      </c>
      <c r="AL139" s="568">
        <f t="shared" si="54"/>
        <v>50.174479900000001</v>
      </c>
      <c r="AM139" s="1190">
        <f t="shared" si="55"/>
        <v>0.76799833627881664</v>
      </c>
      <c r="AN139" s="658">
        <f t="shared" si="56"/>
        <v>146.50336262854705</v>
      </c>
      <c r="AO139" s="1200"/>
      <c r="AP139" s="658">
        <f t="shared" si="70"/>
        <v>-280.5</v>
      </c>
      <c r="AQ139" s="1188"/>
      <c r="AR139" s="1188">
        <f t="shared" si="57"/>
        <v>326.55452901143133</v>
      </c>
      <c r="AS139" s="1187">
        <f t="shared" si="58"/>
        <v>-146.50336262854705</v>
      </c>
      <c r="AT139" s="1187"/>
      <c r="AU139" s="1187">
        <f t="shared" si="59"/>
        <v>146.50336262854705</v>
      </c>
      <c r="AV139" s="1186">
        <f t="shared" si="60"/>
        <v>-154.65825056320406</v>
      </c>
      <c r="AW139" s="1186">
        <f t="shared" si="61"/>
        <v>-125.84174943679592</v>
      </c>
      <c r="AX139" s="1185">
        <f t="shared" si="62"/>
        <v>-75.004081306735316</v>
      </c>
      <c r="AY139" s="1185">
        <f t="shared" si="63"/>
        <v>-79.464883830326158</v>
      </c>
      <c r="AZ139" s="1184">
        <f t="shared" si="64"/>
        <v>75.004081306735316</v>
      </c>
      <c r="BA139" s="1184">
        <f t="shared" si="65"/>
        <v>79.464883830326158</v>
      </c>
      <c r="BB139" s="474">
        <f t="shared" si="71"/>
        <v>0.3</v>
      </c>
      <c r="BF139" s="524"/>
      <c r="BG139" s="524"/>
      <c r="BH139" s="524"/>
      <c r="BI139" s="524"/>
      <c r="BJ139" s="524"/>
      <c r="BK139" s="524"/>
      <c r="BL139" s="524"/>
      <c r="BM139" s="524"/>
      <c r="BN139" s="524"/>
      <c r="BO139" s="473"/>
      <c r="CQ139" s="524"/>
      <c r="CR139" s="524"/>
      <c r="CS139" s="524"/>
      <c r="CT139" s="524"/>
      <c r="CU139" s="524"/>
      <c r="CV139" s="524"/>
    </row>
    <row r="140" spans="1:122" ht="21" customHeight="1" thickBot="1" x14ac:dyDescent="0.35">
      <c r="B140" s="631">
        <v>14</v>
      </c>
      <c r="C140" s="612"/>
      <c r="D140" s="463">
        <v>0</v>
      </c>
      <c r="E140" s="632" t="s">
        <v>72</v>
      </c>
      <c r="F140" s="584">
        <f t="shared" si="41"/>
        <v>0.3</v>
      </c>
      <c r="G140" s="584">
        <f t="shared" si="66"/>
        <v>0.3</v>
      </c>
      <c r="H140" s="1199">
        <v>190.76</v>
      </c>
      <c r="I140" s="1198">
        <v>79.651040199999997</v>
      </c>
      <c r="J140" s="1197">
        <f t="shared" si="67"/>
        <v>79.651040199999997</v>
      </c>
      <c r="K140" s="1197">
        <f t="shared" si="42"/>
        <v>39.825520099999999</v>
      </c>
      <c r="L140" s="1197">
        <f t="shared" si="43"/>
        <v>0.64045183696587837</v>
      </c>
      <c r="M140" s="1197">
        <f t="shared" si="44"/>
        <v>122.17259241961095</v>
      </c>
      <c r="N140" s="1197">
        <f t="shared" si="45"/>
        <v>244.3451848392219</v>
      </c>
      <c r="O140" s="1197">
        <f>+C127+D128+D129+D130+D131+D132+D133+D134+D135+D136+D137+D138+D139+(D140/2)</f>
        <v>0</v>
      </c>
      <c r="P140" s="1197">
        <f t="shared" si="46"/>
        <v>0</v>
      </c>
      <c r="Q140" s="1197">
        <f t="shared" si="47"/>
        <v>0</v>
      </c>
      <c r="R140" s="1197">
        <f t="shared" si="68"/>
        <v>146.5</v>
      </c>
      <c r="S140" s="1197">
        <f t="shared" si="72"/>
        <v>146.5</v>
      </c>
      <c r="T140" s="1196">
        <f t="shared" si="48"/>
        <v>146.5</v>
      </c>
      <c r="V140" s="1193">
        <f t="shared" si="49"/>
        <v>0</v>
      </c>
      <c r="W140" s="1193"/>
      <c r="X140" s="1193"/>
      <c r="Y140" s="1193"/>
      <c r="Z140" s="1193"/>
      <c r="AA140" s="1193"/>
      <c r="AB140" s="1195" t="str">
        <f t="shared" si="50"/>
        <v>pin in groundstacking hole</v>
      </c>
      <c r="AC140" s="1194"/>
      <c r="AD140" s="1194"/>
      <c r="AE140" s="1194"/>
      <c r="AF140" s="1193">
        <f t="shared" si="69"/>
        <v>0</v>
      </c>
      <c r="AG140" s="1192">
        <f>SUM(D128:D140)+$C$127</f>
        <v>0</v>
      </c>
      <c r="AH140" s="1192"/>
      <c r="AI140" s="568">
        <f t="shared" si="51"/>
        <v>69.344714800000006</v>
      </c>
      <c r="AJ140" s="1191">
        <f t="shared" si="52"/>
        <v>0.93571960494171247</v>
      </c>
      <c r="AK140" s="658">
        <f t="shared" si="53"/>
        <v>180.0511663828843</v>
      </c>
      <c r="AL140" s="568">
        <f t="shared" si="54"/>
        <v>50.174479900000001</v>
      </c>
      <c r="AM140" s="1190">
        <f t="shared" si="55"/>
        <v>0.76799833627881664</v>
      </c>
      <c r="AN140" s="658">
        <f t="shared" si="56"/>
        <v>146.50336262854705</v>
      </c>
      <c r="AO140" s="1200"/>
      <c r="AP140" s="658">
        <f t="shared" si="70"/>
        <v>-306</v>
      </c>
      <c r="AQ140" s="1188"/>
      <c r="AR140" s="1188">
        <f t="shared" si="57"/>
        <v>326.55452901143133</v>
      </c>
      <c r="AS140" s="1187">
        <f t="shared" si="58"/>
        <v>-146.50336262854705</v>
      </c>
      <c r="AT140" s="1187"/>
      <c r="AU140" s="1187">
        <f t="shared" si="59"/>
        <v>146.50336262854705</v>
      </c>
      <c r="AV140" s="1186">
        <f t="shared" si="60"/>
        <v>-168.71809152349536</v>
      </c>
      <c r="AW140" s="1186">
        <f t="shared" si="61"/>
        <v>-137.28190847650464</v>
      </c>
      <c r="AX140" s="1185">
        <f t="shared" si="62"/>
        <v>-68.753741197840696</v>
      </c>
      <c r="AY140" s="1185">
        <f t="shared" si="63"/>
        <v>-72.842810177798981</v>
      </c>
      <c r="AZ140" s="1184">
        <f t="shared" si="64"/>
        <v>68.753741197840696</v>
      </c>
      <c r="BA140" s="1184">
        <f t="shared" si="65"/>
        <v>72.842810177798981</v>
      </c>
      <c r="BB140" s="474">
        <f t="shared" si="71"/>
        <v>0.3</v>
      </c>
      <c r="BF140" s="524"/>
      <c r="BG140" s="524"/>
      <c r="BH140" s="524"/>
      <c r="BI140" s="524"/>
      <c r="BJ140" s="524"/>
      <c r="BK140" s="524"/>
      <c r="BL140" s="524"/>
      <c r="BM140" s="524"/>
      <c r="BN140" s="524"/>
      <c r="BO140" s="473"/>
      <c r="CQ140" s="524"/>
      <c r="CR140" s="524"/>
      <c r="CS140" s="524"/>
      <c r="CT140" s="524"/>
      <c r="CU140" s="524"/>
      <c r="CV140" s="524"/>
    </row>
    <row r="141" spans="1:122" ht="21" customHeight="1" thickBot="1" x14ac:dyDescent="0.35">
      <c r="B141" s="631">
        <v>15</v>
      </c>
      <c r="C141" s="612"/>
      <c r="D141" s="463">
        <v>0</v>
      </c>
      <c r="E141" s="632" t="s">
        <v>72</v>
      </c>
      <c r="F141" s="584">
        <f t="shared" si="41"/>
        <v>0.3</v>
      </c>
      <c r="G141" s="584">
        <f t="shared" si="66"/>
        <v>0.3</v>
      </c>
      <c r="H141" s="1199">
        <v>190.76</v>
      </c>
      <c r="I141" s="1198">
        <v>79.651040199999997</v>
      </c>
      <c r="J141" s="1197">
        <f t="shared" si="67"/>
        <v>79.651040199999997</v>
      </c>
      <c r="K141" s="1197">
        <f t="shared" si="42"/>
        <v>39.825520099999999</v>
      </c>
      <c r="L141" s="1197">
        <f t="shared" si="43"/>
        <v>0.64045183696587837</v>
      </c>
      <c r="M141" s="1197">
        <f t="shared" si="44"/>
        <v>122.17259241961095</v>
      </c>
      <c r="N141" s="1197">
        <f t="shared" si="45"/>
        <v>244.3451848392219</v>
      </c>
      <c r="O141" s="1197">
        <f>+C127+D128+D129+D130+D131+D132+D133+D134+D135+D136+D137+D138+D139+D140+(D141/2)</f>
        <v>0</v>
      </c>
      <c r="P141" s="1197">
        <f t="shared" si="46"/>
        <v>0</v>
      </c>
      <c r="Q141" s="1197">
        <f t="shared" si="47"/>
        <v>0</v>
      </c>
      <c r="R141" s="1197">
        <f t="shared" si="68"/>
        <v>146.5</v>
      </c>
      <c r="S141" s="1197">
        <f t="shared" si="72"/>
        <v>146.5</v>
      </c>
      <c r="T141" s="1196">
        <f t="shared" si="48"/>
        <v>146.5</v>
      </c>
      <c r="V141" s="1193">
        <f t="shared" si="49"/>
        <v>0</v>
      </c>
      <c r="W141" s="1193"/>
      <c r="X141" s="1193"/>
      <c r="Y141" s="1193"/>
      <c r="Z141" s="1193"/>
      <c r="AA141" s="1193"/>
      <c r="AB141" s="1195" t="str">
        <f t="shared" si="50"/>
        <v>pin in groundstacking hole</v>
      </c>
      <c r="AC141" s="1194"/>
      <c r="AD141" s="1194"/>
      <c r="AE141" s="1194"/>
      <c r="AF141" s="1193">
        <f t="shared" si="69"/>
        <v>0</v>
      </c>
      <c r="AG141" s="1192">
        <f>SUM(D128:D141)+$C$127</f>
        <v>0</v>
      </c>
      <c r="AH141" s="1192"/>
      <c r="AI141" s="568">
        <f t="shared" si="51"/>
        <v>69.344714800000006</v>
      </c>
      <c r="AJ141" s="1191">
        <f t="shared" si="52"/>
        <v>0.93571960494171247</v>
      </c>
      <c r="AK141" s="658">
        <f t="shared" si="53"/>
        <v>180.0511663828843</v>
      </c>
      <c r="AL141" s="568">
        <f t="shared" si="54"/>
        <v>50.174479900000001</v>
      </c>
      <c r="AM141" s="1190">
        <f t="shared" si="55"/>
        <v>0.76799833627881664</v>
      </c>
      <c r="AN141" s="658">
        <f t="shared" si="56"/>
        <v>146.50336262854705</v>
      </c>
      <c r="AO141" s="1200"/>
      <c r="AP141" s="658">
        <f t="shared" si="70"/>
        <v>-331.5</v>
      </c>
      <c r="AQ141" s="1188"/>
      <c r="AR141" s="1188">
        <f t="shared" si="57"/>
        <v>326.55452901143133</v>
      </c>
      <c r="AS141" s="1187">
        <f t="shared" si="58"/>
        <v>-146.50336262854705</v>
      </c>
      <c r="AT141" s="1187"/>
      <c r="AU141" s="1187">
        <f t="shared" si="59"/>
        <v>146.50336262854705</v>
      </c>
      <c r="AV141" s="1186">
        <f t="shared" si="60"/>
        <v>-182.77793248378663</v>
      </c>
      <c r="AW141" s="1186">
        <f t="shared" si="61"/>
        <v>-148.72206751621337</v>
      </c>
      <c r="AX141" s="1185">
        <f t="shared" si="62"/>
        <v>-63.464991874929879</v>
      </c>
      <c r="AY141" s="1185">
        <f t="shared" si="63"/>
        <v>-67.239517087199047</v>
      </c>
      <c r="AZ141" s="1184">
        <f t="shared" si="64"/>
        <v>63.464991874929879</v>
      </c>
      <c r="BA141" s="1184">
        <f t="shared" si="65"/>
        <v>67.239517087199047</v>
      </c>
      <c r="BB141" s="474">
        <f t="shared" si="71"/>
        <v>0.3</v>
      </c>
      <c r="BF141" s="524"/>
      <c r="BG141" s="524"/>
      <c r="BH141" s="524"/>
      <c r="BI141" s="524"/>
      <c r="BJ141" s="524"/>
      <c r="BK141" s="524"/>
      <c r="BL141" s="524"/>
      <c r="BM141" s="524"/>
      <c r="BN141" s="524"/>
      <c r="BO141" s="473"/>
      <c r="CQ141" s="524"/>
      <c r="CR141" s="524"/>
      <c r="CS141" s="524"/>
      <c r="CT141" s="524"/>
      <c r="CU141" s="524"/>
    </row>
    <row r="142" spans="1:122" ht="21" customHeight="1" thickBot="1" x14ac:dyDescent="0.35">
      <c r="B142" s="631">
        <v>16</v>
      </c>
      <c r="C142" s="612"/>
      <c r="D142" s="463">
        <v>0</v>
      </c>
      <c r="E142" s="632" t="s">
        <v>72</v>
      </c>
      <c r="F142" s="584">
        <f t="shared" si="41"/>
        <v>0.3</v>
      </c>
      <c r="G142" s="584">
        <f t="shared" si="66"/>
        <v>0.3</v>
      </c>
      <c r="H142" s="1199">
        <v>190.76</v>
      </c>
      <c r="I142" s="1198">
        <v>79.651040199999997</v>
      </c>
      <c r="J142" s="1197">
        <f t="shared" si="67"/>
        <v>79.651040199999997</v>
      </c>
      <c r="K142" s="1197">
        <f t="shared" si="42"/>
        <v>39.825520099999999</v>
      </c>
      <c r="L142" s="1197">
        <f t="shared" si="43"/>
        <v>0.64045183696587837</v>
      </c>
      <c r="M142" s="1197">
        <f t="shared" si="44"/>
        <v>122.17259241961095</v>
      </c>
      <c r="N142" s="1197">
        <f t="shared" si="45"/>
        <v>244.3451848392219</v>
      </c>
      <c r="O142" s="1197">
        <f>+C127+D128+D129+D130+D131+D132+D133+D134+D135+D136+D137+D138+D139+D140+D141+(D142/2)</f>
        <v>0</v>
      </c>
      <c r="P142" s="1197">
        <f t="shared" si="46"/>
        <v>0</v>
      </c>
      <c r="Q142" s="1197">
        <f t="shared" si="47"/>
        <v>0</v>
      </c>
      <c r="R142" s="1197">
        <f t="shared" si="68"/>
        <v>146.5</v>
      </c>
      <c r="S142" s="1197">
        <f t="shared" si="72"/>
        <v>146.5</v>
      </c>
      <c r="T142" s="1196">
        <f t="shared" si="48"/>
        <v>146.5</v>
      </c>
      <c r="V142" s="1193">
        <f t="shared" si="49"/>
        <v>0</v>
      </c>
      <c r="W142" s="1193"/>
      <c r="X142" s="1193"/>
      <c r="Y142" s="1193"/>
      <c r="Z142" s="1193"/>
      <c r="AA142" s="1193"/>
      <c r="AB142" s="1195" t="str">
        <f t="shared" si="50"/>
        <v>pin in groundstacking hole</v>
      </c>
      <c r="AC142" s="1194"/>
      <c r="AD142" s="1194"/>
      <c r="AE142" s="1194"/>
      <c r="AF142" s="1193">
        <f t="shared" si="69"/>
        <v>0</v>
      </c>
      <c r="AG142" s="1192">
        <f>SUM(D128:D142)+$C$127</f>
        <v>0</v>
      </c>
      <c r="AH142" s="1192"/>
      <c r="AI142" s="568">
        <f t="shared" si="51"/>
        <v>69.344714800000006</v>
      </c>
      <c r="AJ142" s="1191">
        <f t="shared" si="52"/>
        <v>0.93571960494171247</v>
      </c>
      <c r="AK142" s="658">
        <f t="shared" si="53"/>
        <v>180.0511663828843</v>
      </c>
      <c r="AL142" s="568">
        <f t="shared" si="54"/>
        <v>50.174479900000001</v>
      </c>
      <c r="AM142" s="1190">
        <f t="shared" si="55"/>
        <v>0.76799833627881664</v>
      </c>
      <c r="AN142" s="658">
        <f t="shared" si="56"/>
        <v>146.50336262854705</v>
      </c>
      <c r="AO142" s="1200"/>
      <c r="AP142" s="658">
        <f t="shared" si="70"/>
        <v>-357</v>
      </c>
      <c r="AQ142" s="1188"/>
      <c r="AR142" s="1188">
        <f t="shared" si="57"/>
        <v>326.55452901143133</v>
      </c>
      <c r="AS142" s="1187">
        <f t="shared" si="58"/>
        <v>-146.50336262854705</v>
      </c>
      <c r="AT142" s="1187"/>
      <c r="AU142" s="1187">
        <f t="shared" si="59"/>
        <v>146.50336262854705</v>
      </c>
      <c r="AV142" s="1186">
        <f t="shared" si="60"/>
        <v>-196.83777344407792</v>
      </c>
      <c r="AW142" s="1186">
        <f t="shared" si="61"/>
        <v>-160.16222655592208</v>
      </c>
      <c r="AX142" s="1185">
        <f t="shared" si="62"/>
        <v>-58.93177816957774</v>
      </c>
      <c r="AY142" s="1185">
        <f t="shared" si="63"/>
        <v>-62.436694438113413</v>
      </c>
      <c r="AZ142" s="1184">
        <f t="shared" si="64"/>
        <v>58.93177816957774</v>
      </c>
      <c r="BA142" s="1184">
        <f t="shared" si="65"/>
        <v>62.436694438113413</v>
      </c>
      <c r="BB142" s="474">
        <f t="shared" si="71"/>
        <v>0.3</v>
      </c>
      <c r="BF142" s="524"/>
      <c r="BG142" s="524"/>
      <c r="BH142" s="524"/>
      <c r="BI142" s="524"/>
      <c r="BJ142" s="524"/>
      <c r="BK142" s="524"/>
      <c r="BL142" s="524"/>
      <c r="BM142" s="524"/>
      <c r="BN142" s="524"/>
      <c r="BO142" s="473"/>
      <c r="CQ142" s="524"/>
      <c r="CR142" s="524"/>
      <c r="CS142" s="524"/>
      <c r="CT142" s="524"/>
      <c r="CU142" s="524"/>
      <c r="CV142" s="639"/>
    </row>
    <row r="143" spans="1:122" ht="21" customHeight="1" thickBot="1" x14ac:dyDescent="0.35">
      <c r="B143" s="631">
        <v>17</v>
      </c>
      <c r="C143" s="612"/>
      <c r="D143" s="463">
        <v>0</v>
      </c>
      <c r="E143" s="632" t="s">
        <v>72</v>
      </c>
      <c r="F143" s="584">
        <f t="shared" si="41"/>
        <v>0.3</v>
      </c>
      <c r="G143" s="584">
        <f t="shared" si="66"/>
        <v>0.3</v>
      </c>
      <c r="H143" s="1199">
        <v>190.76</v>
      </c>
      <c r="I143" s="1198">
        <v>79.651040199999997</v>
      </c>
      <c r="J143" s="1197">
        <f t="shared" si="67"/>
        <v>79.651040199999997</v>
      </c>
      <c r="K143" s="1197">
        <f t="shared" si="42"/>
        <v>39.825520099999999</v>
      </c>
      <c r="L143" s="1197">
        <f t="shared" si="43"/>
        <v>0.64045183696587837</v>
      </c>
      <c r="M143" s="1197">
        <f t="shared" si="44"/>
        <v>122.17259241961095</v>
      </c>
      <c r="N143" s="1197">
        <f t="shared" si="45"/>
        <v>244.3451848392219</v>
      </c>
      <c r="O143" s="1197">
        <f>+C127+D128+D129+D130+D131+D132+D133+D134+D135+D136+D137+D138+D139+D140+D141+D142+(D143/2)</f>
        <v>0</v>
      </c>
      <c r="P143" s="1197">
        <f t="shared" si="46"/>
        <v>0</v>
      </c>
      <c r="Q143" s="1197">
        <f t="shared" si="47"/>
        <v>0</v>
      </c>
      <c r="R143" s="1197">
        <f t="shared" si="68"/>
        <v>146.5</v>
      </c>
      <c r="S143" s="1197">
        <f t="shared" si="72"/>
        <v>146.5</v>
      </c>
      <c r="T143" s="1196">
        <f t="shared" si="48"/>
        <v>146.5</v>
      </c>
      <c r="V143" s="1193">
        <f t="shared" si="49"/>
        <v>0</v>
      </c>
      <c r="W143" s="1193"/>
      <c r="X143" s="1193"/>
      <c r="Y143" s="1193"/>
      <c r="Z143" s="1193"/>
      <c r="AA143" s="1193"/>
      <c r="AB143" s="1195" t="str">
        <f t="shared" si="50"/>
        <v>pin in groundstacking hole</v>
      </c>
      <c r="AC143" s="1194"/>
      <c r="AD143" s="1194"/>
      <c r="AE143" s="1194"/>
      <c r="AF143" s="1193">
        <f t="shared" si="69"/>
        <v>0</v>
      </c>
      <c r="AG143" s="1192">
        <f>SUM(D128:D143)+$C$127</f>
        <v>0</v>
      </c>
      <c r="AH143" s="1192"/>
      <c r="AI143" s="568">
        <f t="shared" si="51"/>
        <v>69.344714800000006</v>
      </c>
      <c r="AJ143" s="1191">
        <f t="shared" si="52"/>
        <v>0.93571960494171247</v>
      </c>
      <c r="AK143" s="658">
        <f t="shared" si="53"/>
        <v>180.0511663828843</v>
      </c>
      <c r="AL143" s="568">
        <f t="shared" si="54"/>
        <v>50.174479900000001</v>
      </c>
      <c r="AM143" s="1190">
        <f t="shared" si="55"/>
        <v>0.76799833627881664</v>
      </c>
      <c r="AN143" s="658">
        <f t="shared" si="56"/>
        <v>146.50336262854705</v>
      </c>
      <c r="AO143" s="1200"/>
      <c r="AP143" s="658">
        <f t="shared" si="70"/>
        <v>-382.5</v>
      </c>
      <c r="AQ143" s="1188"/>
      <c r="AR143" s="1188">
        <f t="shared" si="57"/>
        <v>326.55452901143133</v>
      </c>
      <c r="AS143" s="1187">
        <f t="shared" si="58"/>
        <v>-146.50336262854705</v>
      </c>
      <c r="AT143" s="1187"/>
      <c r="AU143" s="1187">
        <f t="shared" si="59"/>
        <v>146.50336262854705</v>
      </c>
      <c r="AV143" s="1186">
        <f t="shared" si="60"/>
        <v>-210.89761440436919</v>
      </c>
      <c r="AW143" s="1186">
        <f t="shared" si="61"/>
        <v>-171.60238559563081</v>
      </c>
      <c r="AX143" s="1185">
        <f t="shared" si="62"/>
        <v>-55.002992958272557</v>
      </c>
      <c r="AY143" s="1185">
        <f t="shared" si="63"/>
        <v>-58.27424814223918</v>
      </c>
      <c r="AZ143" s="1184">
        <f t="shared" si="64"/>
        <v>55.002992958272557</v>
      </c>
      <c r="BA143" s="1184">
        <f t="shared" si="65"/>
        <v>58.27424814223918</v>
      </c>
      <c r="BB143" s="474">
        <f t="shared" si="71"/>
        <v>0.3</v>
      </c>
      <c r="BF143" s="524"/>
      <c r="BG143" s="524"/>
      <c r="BH143" s="524"/>
      <c r="BI143" s="524"/>
      <c r="BJ143" s="524"/>
      <c r="BK143" s="524"/>
      <c r="BL143" s="524"/>
      <c r="BM143" s="524"/>
      <c r="BN143" s="524"/>
      <c r="BO143" s="473"/>
      <c r="CQ143" s="524"/>
      <c r="CR143" s="524"/>
      <c r="CS143" s="524"/>
      <c r="CT143" s="524"/>
      <c r="CU143" s="524"/>
      <c r="CV143" s="524"/>
      <c r="CW143" s="524"/>
      <c r="CX143" s="478"/>
      <c r="CY143" s="478"/>
      <c r="CZ143" s="478"/>
      <c r="DA143" s="478"/>
      <c r="DB143" s="478"/>
      <c r="DC143" s="478"/>
      <c r="DD143" s="519"/>
      <c r="DE143" s="519"/>
      <c r="DF143" s="519"/>
      <c r="DG143" s="519"/>
      <c r="DH143" s="519"/>
      <c r="DI143" s="519"/>
      <c r="DJ143" s="519"/>
      <c r="DK143" s="519"/>
      <c r="DL143" s="519"/>
      <c r="DM143" s="519"/>
      <c r="DN143" s="519"/>
      <c r="DO143" s="519"/>
      <c r="DP143" s="519"/>
      <c r="DQ143" s="519"/>
      <c r="DR143" s="506"/>
    </row>
    <row r="144" spans="1:122" ht="21" customHeight="1" thickBot="1" x14ac:dyDescent="0.35">
      <c r="B144" s="631">
        <v>18</v>
      </c>
      <c r="C144" s="612"/>
      <c r="D144" s="463">
        <v>0</v>
      </c>
      <c r="E144" s="632" t="s">
        <v>72</v>
      </c>
      <c r="F144" s="584">
        <f t="shared" si="41"/>
        <v>0.3</v>
      </c>
      <c r="G144" s="584">
        <f t="shared" si="66"/>
        <v>0.3</v>
      </c>
      <c r="H144" s="1199">
        <v>190.76</v>
      </c>
      <c r="I144" s="1198">
        <v>79.651040199999997</v>
      </c>
      <c r="J144" s="1197">
        <f t="shared" si="67"/>
        <v>79.651040199999997</v>
      </c>
      <c r="K144" s="1197">
        <f t="shared" si="42"/>
        <v>39.825520099999999</v>
      </c>
      <c r="L144" s="1197">
        <f t="shared" si="43"/>
        <v>0.64045183696587837</v>
      </c>
      <c r="M144" s="1197">
        <f t="shared" si="44"/>
        <v>122.17259241961095</v>
      </c>
      <c r="N144" s="1197">
        <f t="shared" si="45"/>
        <v>244.3451848392219</v>
      </c>
      <c r="O144" s="1197">
        <f>+C127+D128+D129+D130+D131+D132+D133+D134+D135+D136+D137+D138+D139+D140+D141+D142+D143+(D144/2)</f>
        <v>0</v>
      </c>
      <c r="P144" s="1197">
        <f t="shared" si="46"/>
        <v>0</v>
      </c>
      <c r="Q144" s="1197">
        <f t="shared" si="47"/>
        <v>0</v>
      </c>
      <c r="R144" s="1197">
        <f t="shared" si="68"/>
        <v>146.5</v>
      </c>
      <c r="S144" s="1197">
        <f t="shared" si="72"/>
        <v>146.5</v>
      </c>
      <c r="T144" s="1196">
        <f t="shared" si="48"/>
        <v>146.5</v>
      </c>
      <c r="V144" s="1193">
        <f t="shared" si="49"/>
        <v>0</v>
      </c>
      <c r="W144" s="1193"/>
      <c r="X144" s="1193"/>
      <c r="Y144" s="1193"/>
      <c r="Z144" s="1193"/>
      <c r="AA144" s="1193"/>
      <c r="AB144" s="1195" t="str">
        <f t="shared" si="50"/>
        <v>pin in groundstacking hole</v>
      </c>
      <c r="AC144" s="1194"/>
      <c r="AD144" s="1194"/>
      <c r="AE144" s="1194"/>
      <c r="AF144" s="1193">
        <f t="shared" si="69"/>
        <v>0</v>
      </c>
      <c r="AG144" s="1192">
        <f>SUM(D128:D144)+$C$127</f>
        <v>0</v>
      </c>
      <c r="AH144" s="1192"/>
      <c r="AI144" s="568">
        <f t="shared" si="51"/>
        <v>69.344714800000006</v>
      </c>
      <c r="AJ144" s="1191">
        <f t="shared" si="52"/>
        <v>0.93571960494171247</v>
      </c>
      <c r="AK144" s="658">
        <f t="shared" si="53"/>
        <v>180.0511663828843</v>
      </c>
      <c r="AL144" s="568">
        <f t="shared" si="54"/>
        <v>50.174479900000001</v>
      </c>
      <c r="AM144" s="1190">
        <f t="shared" si="55"/>
        <v>0.76799833627881664</v>
      </c>
      <c r="AN144" s="658">
        <f t="shared" si="56"/>
        <v>146.50336262854705</v>
      </c>
      <c r="AO144" s="1200"/>
      <c r="AP144" s="658">
        <f t="shared" si="70"/>
        <v>-408</v>
      </c>
      <c r="AQ144" s="1188"/>
      <c r="AR144" s="1188">
        <f t="shared" si="57"/>
        <v>326.55452901143133</v>
      </c>
      <c r="AS144" s="1187">
        <f t="shared" si="58"/>
        <v>-146.50336262854705</v>
      </c>
      <c r="AT144" s="1187"/>
      <c r="AU144" s="1187">
        <f t="shared" si="59"/>
        <v>146.50336262854705</v>
      </c>
      <c r="AV144" s="1186">
        <f t="shared" si="60"/>
        <v>-224.95745536466046</v>
      </c>
      <c r="AW144" s="1186">
        <f t="shared" si="61"/>
        <v>-183.04254463533954</v>
      </c>
      <c r="AX144" s="1185">
        <f t="shared" si="62"/>
        <v>-51.565305898380529</v>
      </c>
      <c r="AY144" s="1185">
        <f t="shared" si="63"/>
        <v>-54.632107633349229</v>
      </c>
      <c r="AZ144" s="1184">
        <f t="shared" si="64"/>
        <v>51.565305898380529</v>
      </c>
      <c r="BA144" s="1184">
        <f t="shared" si="65"/>
        <v>54.632107633349229</v>
      </c>
      <c r="BB144" s="474">
        <f t="shared" si="71"/>
        <v>0.3</v>
      </c>
      <c r="BF144" s="524"/>
      <c r="BG144" s="524"/>
      <c r="BH144" s="524"/>
      <c r="BI144" s="524"/>
      <c r="BJ144" s="524"/>
      <c r="BK144" s="524"/>
      <c r="BL144" s="524"/>
      <c r="BM144" s="524"/>
      <c r="BN144" s="524"/>
      <c r="BO144" s="473"/>
      <c r="CW144" s="640"/>
      <c r="CX144" s="478"/>
      <c r="CY144" s="478"/>
      <c r="CZ144" s="478"/>
      <c r="DA144" s="478"/>
      <c r="DB144" s="478"/>
      <c r="DC144" s="478"/>
      <c r="DD144" s="519"/>
      <c r="DE144" s="519"/>
      <c r="DF144" s="519"/>
      <c r="DG144" s="519"/>
      <c r="DH144" s="519"/>
      <c r="DI144" s="519"/>
      <c r="DJ144" s="519"/>
      <c r="DK144" s="519"/>
      <c r="DL144" s="519"/>
      <c r="DM144" s="519"/>
      <c r="DN144" s="519"/>
      <c r="DO144" s="519"/>
      <c r="DP144" s="519"/>
      <c r="DQ144" s="519"/>
      <c r="DR144" s="506"/>
    </row>
    <row r="145" spans="2:126" ht="21" customHeight="1" thickBot="1" x14ac:dyDescent="0.35">
      <c r="B145" s="631">
        <v>19</v>
      </c>
      <c r="C145" s="612"/>
      <c r="D145" s="463">
        <v>0</v>
      </c>
      <c r="E145" s="632" t="s">
        <v>72</v>
      </c>
      <c r="F145" s="584">
        <f t="shared" si="41"/>
        <v>0.3</v>
      </c>
      <c r="G145" s="584">
        <f t="shared" si="66"/>
        <v>0.3</v>
      </c>
      <c r="H145" s="1199">
        <v>190.76</v>
      </c>
      <c r="I145" s="1198">
        <v>79.651040199999997</v>
      </c>
      <c r="J145" s="1197">
        <f t="shared" si="67"/>
        <v>79.651040199999997</v>
      </c>
      <c r="K145" s="1197">
        <f t="shared" si="42"/>
        <v>39.825520099999999</v>
      </c>
      <c r="L145" s="1197">
        <f t="shared" si="43"/>
        <v>0.64045183696587837</v>
      </c>
      <c r="M145" s="1197">
        <f t="shared" si="44"/>
        <v>122.17259241961095</v>
      </c>
      <c r="N145" s="1197">
        <f t="shared" si="45"/>
        <v>244.3451848392219</v>
      </c>
      <c r="O145" s="1197">
        <f>+C127+D128+D129+D130+D131+D132+D133+D134+D135+D136+D137+D138+D139+D140+D141+D142+D143+D144+(D145/2)</f>
        <v>0</v>
      </c>
      <c r="P145" s="1197">
        <f t="shared" si="46"/>
        <v>0</v>
      </c>
      <c r="Q145" s="1197">
        <f t="shared" si="47"/>
        <v>0</v>
      </c>
      <c r="R145" s="1197">
        <f t="shared" si="68"/>
        <v>146.5</v>
      </c>
      <c r="S145" s="1197">
        <f t="shared" si="72"/>
        <v>146.5</v>
      </c>
      <c r="T145" s="1196">
        <f t="shared" si="48"/>
        <v>146.5</v>
      </c>
      <c r="V145" s="1193">
        <f t="shared" si="49"/>
        <v>0</v>
      </c>
      <c r="W145" s="1193"/>
      <c r="X145" s="1193"/>
      <c r="Y145" s="1193"/>
      <c r="Z145" s="1193"/>
      <c r="AA145" s="1193"/>
      <c r="AB145" s="1195" t="str">
        <f t="shared" si="50"/>
        <v>pin in groundstacking hole</v>
      </c>
      <c r="AC145" s="1194"/>
      <c r="AD145" s="1194"/>
      <c r="AE145" s="1194"/>
      <c r="AF145" s="1193">
        <f t="shared" si="69"/>
        <v>0</v>
      </c>
      <c r="AG145" s="1192">
        <f>SUM(D127:D145)+$C$127</f>
        <v>0</v>
      </c>
      <c r="AH145" s="1192"/>
      <c r="AI145" s="568">
        <f t="shared" si="51"/>
        <v>69.344714800000006</v>
      </c>
      <c r="AJ145" s="1191">
        <f t="shared" si="52"/>
        <v>0.93571960494171247</v>
      </c>
      <c r="AK145" s="658">
        <f t="shared" si="53"/>
        <v>180.0511663828843</v>
      </c>
      <c r="AL145" s="568">
        <f t="shared" si="54"/>
        <v>50.174479900000001</v>
      </c>
      <c r="AM145" s="1190">
        <f t="shared" si="55"/>
        <v>0.76799833627881664</v>
      </c>
      <c r="AN145" s="658">
        <f t="shared" si="56"/>
        <v>146.50336262854705</v>
      </c>
      <c r="AO145" s="1200"/>
      <c r="AP145" s="658">
        <f t="shared" si="70"/>
        <v>-433.5</v>
      </c>
      <c r="AQ145" s="1188"/>
      <c r="AR145" s="1188">
        <f t="shared" si="57"/>
        <v>326.55452901143133</v>
      </c>
      <c r="AS145" s="1187">
        <f t="shared" si="58"/>
        <v>-146.50336262854705</v>
      </c>
      <c r="AT145" s="1187"/>
      <c r="AU145" s="1187">
        <f t="shared" si="59"/>
        <v>146.50336262854705</v>
      </c>
      <c r="AV145" s="1186">
        <f t="shared" si="60"/>
        <v>-239.01729632495176</v>
      </c>
      <c r="AW145" s="1186">
        <f t="shared" si="61"/>
        <v>-194.48270367504824</v>
      </c>
      <c r="AX145" s="1185">
        <f t="shared" si="62"/>
        <v>-48.532052610240491</v>
      </c>
      <c r="AY145" s="1185">
        <f t="shared" si="63"/>
        <v>-51.418454243152219</v>
      </c>
      <c r="AZ145" s="1184">
        <f t="shared" si="64"/>
        <v>48.532052610240491</v>
      </c>
      <c r="BA145" s="1184">
        <f t="shared" si="65"/>
        <v>51.418454243152219</v>
      </c>
      <c r="BB145" s="474">
        <f t="shared" si="71"/>
        <v>0.3</v>
      </c>
      <c r="BF145" s="524"/>
      <c r="BG145" s="524"/>
      <c r="BH145" s="524"/>
      <c r="BI145" s="524"/>
      <c r="BJ145" s="524"/>
      <c r="BK145" s="524"/>
      <c r="BL145" s="524"/>
      <c r="BM145" s="524"/>
      <c r="BN145" s="524"/>
      <c r="BO145" s="473"/>
      <c r="CW145" s="600"/>
      <c r="CX145" s="478"/>
      <c r="CY145" s="478"/>
      <c r="CZ145" s="478"/>
      <c r="DA145" s="478"/>
      <c r="DB145" s="478"/>
      <c r="DC145" s="478"/>
      <c r="DD145" s="519"/>
      <c r="DE145" s="519"/>
      <c r="DF145" s="519"/>
      <c r="DG145" s="519"/>
      <c r="DH145" s="519"/>
      <c r="DI145" s="519"/>
      <c r="DJ145" s="519"/>
      <c r="DK145" s="519"/>
      <c r="DL145" s="519"/>
      <c r="DM145" s="519"/>
      <c r="DN145" s="519"/>
      <c r="DO145" s="519"/>
      <c r="DP145" s="519"/>
      <c r="DQ145" s="519"/>
      <c r="DR145" s="506"/>
    </row>
    <row r="146" spans="2:126" ht="21" customHeight="1" thickBot="1" x14ac:dyDescent="0.35">
      <c r="B146" s="631">
        <v>20</v>
      </c>
      <c r="C146" s="612"/>
      <c r="D146" s="463">
        <v>0</v>
      </c>
      <c r="E146" s="632" t="s">
        <v>72</v>
      </c>
      <c r="F146" s="584">
        <f t="shared" si="41"/>
        <v>0.3</v>
      </c>
      <c r="G146" s="584">
        <f t="shared" si="66"/>
        <v>0.3</v>
      </c>
      <c r="H146" s="1199">
        <v>190.76</v>
      </c>
      <c r="I146" s="1198">
        <v>79.651040199999997</v>
      </c>
      <c r="J146" s="1197">
        <f t="shared" si="67"/>
        <v>79.651040199999997</v>
      </c>
      <c r="K146" s="1197">
        <f t="shared" si="42"/>
        <v>39.825520099999999</v>
      </c>
      <c r="L146" s="1197">
        <f t="shared" si="43"/>
        <v>0.64045183696587837</v>
      </c>
      <c r="M146" s="1197">
        <f t="shared" si="44"/>
        <v>122.17259241961095</v>
      </c>
      <c r="N146" s="1197">
        <f t="shared" si="45"/>
        <v>244.3451848392219</v>
      </c>
      <c r="O146" s="1197">
        <f>+C127+D128+D129+D130+D131+D132+D133+D134+D135+D136+D137+D138+D139+D140+D141+D142+D143+D144+D145+(D146/2)</f>
        <v>0</v>
      </c>
      <c r="P146" s="1197">
        <f t="shared" si="46"/>
        <v>0</v>
      </c>
      <c r="Q146" s="1197">
        <f t="shared" si="47"/>
        <v>0</v>
      </c>
      <c r="R146" s="1197">
        <f t="shared" si="68"/>
        <v>146.5</v>
      </c>
      <c r="S146" s="1197">
        <f t="shared" si="72"/>
        <v>146.5</v>
      </c>
      <c r="T146" s="1196">
        <f t="shared" si="48"/>
        <v>146.5</v>
      </c>
      <c r="V146" s="1193">
        <f t="shared" si="49"/>
        <v>0</v>
      </c>
      <c r="W146" s="1193"/>
      <c r="X146" s="1193"/>
      <c r="Y146" s="1193"/>
      <c r="Z146" s="1193"/>
      <c r="AA146" s="1193"/>
      <c r="AB146" s="1195" t="str">
        <f t="shared" si="50"/>
        <v>pin in groundstacking hole</v>
      </c>
      <c r="AC146" s="1194"/>
      <c r="AD146" s="1194"/>
      <c r="AE146" s="1194"/>
      <c r="AF146" s="1193">
        <f t="shared" si="69"/>
        <v>0</v>
      </c>
      <c r="AG146" s="1192">
        <f>SUM(D128:D146)+$C$127</f>
        <v>0</v>
      </c>
      <c r="AH146" s="1192"/>
      <c r="AI146" s="568">
        <f t="shared" si="51"/>
        <v>69.344714800000006</v>
      </c>
      <c r="AJ146" s="1191">
        <f t="shared" si="52"/>
        <v>0.93571960494171247</v>
      </c>
      <c r="AK146" s="658">
        <f t="shared" si="53"/>
        <v>180.0511663828843</v>
      </c>
      <c r="AL146" s="568">
        <f t="shared" si="54"/>
        <v>50.174479900000001</v>
      </c>
      <c r="AM146" s="1190">
        <f t="shared" si="55"/>
        <v>0.76799833627881664</v>
      </c>
      <c r="AN146" s="658">
        <f t="shared" si="56"/>
        <v>146.50336262854705</v>
      </c>
      <c r="AO146" s="1200"/>
      <c r="AP146" s="658">
        <f t="shared" si="70"/>
        <v>-459</v>
      </c>
      <c r="AQ146" s="1188"/>
      <c r="AR146" s="1188">
        <f t="shared" si="57"/>
        <v>326.55452901143133</v>
      </c>
      <c r="AS146" s="1187">
        <f t="shared" si="58"/>
        <v>-146.50336262854705</v>
      </c>
      <c r="AT146" s="1187"/>
      <c r="AU146" s="1187">
        <f t="shared" si="59"/>
        <v>146.50336262854705</v>
      </c>
      <c r="AV146" s="1186">
        <f t="shared" si="60"/>
        <v>-253.07713728524303</v>
      </c>
      <c r="AW146" s="1186">
        <f t="shared" si="61"/>
        <v>-205.92286271475697</v>
      </c>
      <c r="AX146" s="1185">
        <f t="shared" si="62"/>
        <v>-45.835827465227133</v>
      </c>
      <c r="AY146" s="1185">
        <f t="shared" si="63"/>
        <v>-48.561873451865985</v>
      </c>
      <c r="AZ146" s="1184">
        <f t="shared" si="64"/>
        <v>45.835827465227133</v>
      </c>
      <c r="BA146" s="1184">
        <f t="shared" si="65"/>
        <v>48.561873451865985</v>
      </c>
      <c r="BB146" s="474">
        <f t="shared" si="71"/>
        <v>0.3</v>
      </c>
      <c r="BF146" s="524"/>
      <c r="BG146" s="524"/>
      <c r="BH146" s="524"/>
      <c r="BI146" s="524"/>
      <c r="BJ146" s="524"/>
      <c r="BK146" s="524"/>
      <c r="BL146" s="524"/>
      <c r="BM146" s="524"/>
      <c r="BN146" s="524"/>
      <c r="BO146" s="473"/>
      <c r="CW146" s="600"/>
      <c r="CX146" s="478"/>
      <c r="CY146" s="478"/>
      <c r="CZ146" s="478"/>
      <c r="DA146" s="478"/>
      <c r="DB146" s="478"/>
      <c r="DC146" s="478"/>
      <c r="DD146" s="519"/>
      <c r="DE146" s="519"/>
      <c r="DF146" s="519"/>
      <c r="DG146" s="519"/>
      <c r="DH146" s="519"/>
      <c r="DI146" s="519"/>
      <c r="DJ146" s="519"/>
      <c r="DK146" s="519"/>
      <c r="DL146" s="519"/>
      <c r="DM146" s="519"/>
      <c r="DN146" s="519"/>
      <c r="DO146" s="519"/>
      <c r="DP146" s="519"/>
      <c r="DQ146" s="519"/>
      <c r="DR146" s="506"/>
    </row>
    <row r="147" spans="2:126" ht="21" customHeight="1" thickBot="1" x14ac:dyDescent="0.35">
      <c r="B147" s="631">
        <v>21</v>
      </c>
      <c r="C147" s="612"/>
      <c r="D147" s="463">
        <v>0</v>
      </c>
      <c r="E147" s="632" t="s">
        <v>72</v>
      </c>
      <c r="F147" s="584">
        <f t="shared" si="41"/>
        <v>0.3</v>
      </c>
      <c r="G147" s="584">
        <f t="shared" si="66"/>
        <v>0.3</v>
      </c>
      <c r="H147" s="1199">
        <v>190.76</v>
      </c>
      <c r="I147" s="1198">
        <v>79.651040199999997</v>
      </c>
      <c r="J147" s="1197">
        <f t="shared" si="67"/>
        <v>79.651040199999997</v>
      </c>
      <c r="K147" s="1197">
        <f t="shared" si="42"/>
        <v>39.825520099999999</v>
      </c>
      <c r="L147" s="1197">
        <f t="shared" si="43"/>
        <v>0.64045183696587837</v>
      </c>
      <c r="M147" s="1197">
        <f t="shared" si="44"/>
        <v>122.17259241961095</v>
      </c>
      <c r="N147" s="1197">
        <f t="shared" si="45"/>
        <v>244.3451848392219</v>
      </c>
      <c r="O147" s="1197">
        <f>+C127+D128+D129+D130+D131+D132+D133+D134+D135+D136+D137+D138+D139+D140+D141+D142+D143+D144+D145+D146+(D147/2)</f>
        <v>0</v>
      </c>
      <c r="P147" s="1197">
        <f t="shared" si="46"/>
        <v>0</v>
      </c>
      <c r="Q147" s="1197">
        <f t="shared" si="47"/>
        <v>0</v>
      </c>
      <c r="R147" s="1197">
        <f t="shared" si="68"/>
        <v>146.5</v>
      </c>
      <c r="S147" s="1197">
        <f t="shared" si="72"/>
        <v>146.5</v>
      </c>
      <c r="T147" s="1196">
        <f t="shared" si="48"/>
        <v>146.5</v>
      </c>
      <c r="V147" s="1193">
        <f t="shared" si="49"/>
        <v>0</v>
      </c>
      <c r="W147" s="1193"/>
      <c r="X147" s="1193"/>
      <c r="Y147" s="1193"/>
      <c r="Z147" s="1193"/>
      <c r="AA147" s="1193"/>
      <c r="AB147" s="1195" t="str">
        <f t="shared" si="50"/>
        <v>pin in groundstacking hole</v>
      </c>
      <c r="AC147" s="1194"/>
      <c r="AD147" s="1194"/>
      <c r="AE147" s="1194"/>
      <c r="AF147" s="1193">
        <f t="shared" si="69"/>
        <v>0</v>
      </c>
      <c r="AG147" s="1192">
        <f>SUM(D128:D147)+$C$127</f>
        <v>0</v>
      </c>
      <c r="AH147" s="1192"/>
      <c r="AI147" s="568">
        <f t="shared" si="51"/>
        <v>69.344714800000006</v>
      </c>
      <c r="AJ147" s="1191">
        <f t="shared" si="52"/>
        <v>0.93571960494171247</v>
      </c>
      <c r="AK147" s="658">
        <f t="shared" si="53"/>
        <v>180.0511663828843</v>
      </c>
      <c r="AL147" s="568">
        <f t="shared" si="54"/>
        <v>50.174479900000001</v>
      </c>
      <c r="AM147" s="1190">
        <f t="shared" si="55"/>
        <v>0.76799833627881664</v>
      </c>
      <c r="AN147" s="658">
        <f t="shared" si="56"/>
        <v>146.50336262854705</v>
      </c>
      <c r="AO147" s="1200"/>
      <c r="AP147" s="658">
        <f t="shared" si="70"/>
        <v>-484.5</v>
      </c>
      <c r="AQ147" s="1188"/>
      <c r="AR147" s="1188">
        <f t="shared" si="57"/>
        <v>326.55452901143133</v>
      </c>
      <c r="AS147" s="1187">
        <f t="shared" si="58"/>
        <v>-146.50336262854705</v>
      </c>
      <c r="AT147" s="1187"/>
      <c r="AU147" s="1187">
        <f t="shared" si="59"/>
        <v>146.50336262854705</v>
      </c>
      <c r="AV147" s="1186">
        <f t="shared" si="60"/>
        <v>-267.13697824553429</v>
      </c>
      <c r="AW147" s="1186">
        <f t="shared" si="61"/>
        <v>-217.36302175446571</v>
      </c>
      <c r="AX147" s="1185">
        <f t="shared" si="62"/>
        <v>-43.423415493373078</v>
      </c>
      <c r="AY147" s="1185">
        <f t="shared" si="63"/>
        <v>-46.005985375451978</v>
      </c>
      <c r="AZ147" s="1184">
        <f t="shared" si="64"/>
        <v>43.423415493373078</v>
      </c>
      <c r="BA147" s="1184">
        <f t="shared" si="65"/>
        <v>46.005985375451978</v>
      </c>
      <c r="BB147" s="474">
        <f t="shared" si="71"/>
        <v>0.3</v>
      </c>
      <c r="BF147" s="524"/>
      <c r="BG147" s="524"/>
      <c r="BH147" s="524"/>
      <c r="BI147" s="524"/>
      <c r="BJ147" s="524"/>
      <c r="BK147" s="524"/>
      <c r="BL147" s="524"/>
      <c r="BM147" s="524"/>
      <c r="BN147" s="524"/>
      <c r="BO147" s="473"/>
      <c r="DQ147" s="521"/>
      <c r="DR147" s="521"/>
      <c r="DS147" s="521"/>
      <c r="DT147" s="521"/>
      <c r="DU147" s="521"/>
      <c r="DV147" s="521"/>
    </row>
    <row r="148" spans="2:126" ht="21" customHeight="1" thickBot="1" x14ac:dyDescent="0.35">
      <c r="B148" s="631">
        <v>22</v>
      </c>
      <c r="C148" s="612"/>
      <c r="D148" s="463">
        <v>0</v>
      </c>
      <c r="E148" s="632" t="s">
        <v>72</v>
      </c>
      <c r="F148" s="584">
        <f t="shared" si="41"/>
        <v>0.3</v>
      </c>
      <c r="G148" s="584">
        <f t="shared" si="66"/>
        <v>0.3</v>
      </c>
      <c r="H148" s="1199">
        <v>190.76</v>
      </c>
      <c r="I148" s="1198">
        <v>79.651040199999997</v>
      </c>
      <c r="J148" s="1197">
        <f t="shared" si="67"/>
        <v>79.651040199999997</v>
      </c>
      <c r="K148" s="1197">
        <f t="shared" si="42"/>
        <v>39.825520099999999</v>
      </c>
      <c r="L148" s="1197">
        <f t="shared" si="43"/>
        <v>0.64045183696587837</v>
      </c>
      <c r="M148" s="1197">
        <f t="shared" si="44"/>
        <v>122.17259241961095</v>
      </c>
      <c r="N148" s="1197">
        <f t="shared" si="45"/>
        <v>244.3451848392219</v>
      </c>
      <c r="O148" s="1197">
        <f>+C127+D128+D129+D130+D131+D132+D133+D134+D135+D136+D137+D138+D139+D140+D141+D142+D143+D144+D145+D146+D147+(D148/2)</f>
        <v>0</v>
      </c>
      <c r="P148" s="1197">
        <f t="shared" si="46"/>
        <v>0</v>
      </c>
      <c r="Q148" s="1197">
        <f t="shared" si="47"/>
        <v>0</v>
      </c>
      <c r="R148" s="1197">
        <f t="shared" si="68"/>
        <v>146.5</v>
      </c>
      <c r="S148" s="1197">
        <f t="shared" si="72"/>
        <v>146.5</v>
      </c>
      <c r="T148" s="1196">
        <f t="shared" si="48"/>
        <v>146.5</v>
      </c>
      <c r="V148" s="1193">
        <f t="shared" si="49"/>
        <v>0</v>
      </c>
      <c r="W148" s="1193"/>
      <c r="X148" s="1193"/>
      <c r="Y148" s="1193"/>
      <c r="Z148" s="1193"/>
      <c r="AA148" s="1193"/>
      <c r="AB148" s="1195" t="str">
        <f t="shared" si="50"/>
        <v>pin in groundstacking hole</v>
      </c>
      <c r="AC148" s="1194"/>
      <c r="AD148" s="1194"/>
      <c r="AE148" s="1194"/>
      <c r="AF148" s="1193">
        <f t="shared" si="69"/>
        <v>0</v>
      </c>
      <c r="AG148" s="1192">
        <f>SUM(D128:D148)+$C$127</f>
        <v>0</v>
      </c>
      <c r="AH148" s="1192"/>
      <c r="AI148" s="568">
        <f t="shared" si="51"/>
        <v>69.344714800000006</v>
      </c>
      <c r="AJ148" s="1191">
        <f t="shared" si="52"/>
        <v>0.93571960494171247</v>
      </c>
      <c r="AK148" s="658">
        <f t="shared" si="53"/>
        <v>180.0511663828843</v>
      </c>
      <c r="AL148" s="568">
        <f t="shared" si="54"/>
        <v>50.174479900000001</v>
      </c>
      <c r="AM148" s="1190">
        <f t="shared" si="55"/>
        <v>0.76799833627881664</v>
      </c>
      <c r="AN148" s="658">
        <f t="shared" si="56"/>
        <v>146.50336262854705</v>
      </c>
      <c r="AO148" s="1200"/>
      <c r="AP148" s="658">
        <f t="shared" si="70"/>
        <v>-510</v>
      </c>
      <c r="AQ148" s="1188"/>
      <c r="AR148" s="1188">
        <f t="shared" si="57"/>
        <v>326.55452901143133</v>
      </c>
      <c r="AS148" s="1187">
        <f t="shared" si="58"/>
        <v>-146.50336262854705</v>
      </c>
      <c r="AT148" s="1187"/>
      <c r="AU148" s="1187">
        <f t="shared" si="59"/>
        <v>146.50336262854705</v>
      </c>
      <c r="AV148" s="1186">
        <f t="shared" si="60"/>
        <v>-281.19681920582559</v>
      </c>
      <c r="AW148" s="1186">
        <f t="shared" si="61"/>
        <v>-228.80318079417441</v>
      </c>
      <c r="AX148" s="1185">
        <f t="shared" si="62"/>
        <v>-41.252244718704418</v>
      </c>
      <c r="AY148" s="1185">
        <f t="shared" si="63"/>
        <v>-43.705686106679387</v>
      </c>
      <c r="AZ148" s="1184">
        <f t="shared" si="64"/>
        <v>41.252244718704418</v>
      </c>
      <c r="BA148" s="1184">
        <f t="shared" si="65"/>
        <v>43.705686106679387</v>
      </c>
      <c r="BB148" s="474">
        <f t="shared" si="71"/>
        <v>0.3</v>
      </c>
      <c r="BF148" s="524"/>
      <c r="BG148" s="524"/>
      <c r="BH148" s="524"/>
      <c r="BI148" s="524"/>
      <c r="BJ148" s="524"/>
      <c r="BK148" s="524"/>
      <c r="BL148" s="524"/>
      <c r="BM148" s="524"/>
      <c r="BN148" s="524"/>
      <c r="BO148" s="473"/>
    </row>
    <row r="149" spans="2:126" ht="21" customHeight="1" thickBot="1" x14ac:dyDescent="0.35">
      <c r="B149" s="631">
        <v>23</v>
      </c>
      <c r="C149" s="612"/>
      <c r="D149" s="463">
        <v>0</v>
      </c>
      <c r="E149" s="632" t="s">
        <v>72</v>
      </c>
      <c r="F149" s="584">
        <f t="shared" si="41"/>
        <v>0.3</v>
      </c>
      <c r="G149" s="584">
        <f t="shared" si="66"/>
        <v>0.3</v>
      </c>
      <c r="H149" s="1199">
        <v>190.76</v>
      </c>
      <c r="I149" s="1198">
        <v>79.651040199999997</v>
      </c>
      <c r="J149" s="1197">
        <f t="shared" si="67"/>
        <v>79.651040199999997</v>
      </c>
      <c r="K149" s="1197">
        <f t="shared" si="42"/>
        <v>39.825520099999999</v>
      </c>
      <c r="L149" s="1197">
        <f t="shared" si="43"/>
        <v>0.64045183696587837</v>
      </c>
      <c r="M149" s="1197">
        <f t="shared" si="44"/>
        <v>122.17259241961095</v>
      </c>
      <c r="N149" s="1197">
        <f t="shared" si="45"/>
        <v>244.3451848392219</v>
      </c>
      <c r="O149" s="1197">
        <f>+C127+D128+D129+D130+D131+D132+D133+D134+D135+D136+D137+D138+D139+D140+D141+D142+D143+D144+D145+D146+D147+D148+(D149/2)</f>
        <v>0</v>
      </c>
      <c r="P149" s="1197">
        <f t="shared" si="46"/>
        <v>0</v>
      </c>
      <c r="Q149" s="1197">
        <f t="shared" si="47"/>
        <v>0</v>
      </c>
      <c r="R149" s="1197">
        <f t="shared" si="68"/>
        <v>146.5</v>
      </c>
      <c r="S149" s="1197">
        <f t="shared" si="72"/>
        <v>146.5</v>
      </c>
      <c r="T149" s="1196">
        <f t="shared" si="48"/>
        <v>146.5</v>
      </c>
      <c r="V149" s="1193">
        <f t="shared" si="49"/>
        <v>0</v>
      </c>
      <c r="W149" s="1193"/>
      <c r="X149" s="1193"/>
      <c r="Y149" s="1193"/>
      <c r="Z149" s="1193"/>
      <c r="AA149" s="1193"/>
      <c r="AB149" s="1195" t="str">
        <f t="shared" si="50"/>
        <v>pin in groundstacking hole</v>
      </c>
      <c r="AC149" s="1194"/>
      <c r="AD149" s="1194"/>
      <c r="AE149" s="1194"/>
      <c r="AF149" s="1193">
        <f t="shared" si="69"/>
        <v>0</v>
      </c>
      <c r="AG149" s="1192">
        <f>SUM(D128:D149)+$C$127</f>
        <v>0</v>
      </c>
      <c r="AH149" s="1192"/>
      <c r="AI149" s="568">
        <f t="shared" si="51"/>
        <v>69.344714800000006</v>
      </c>
      <c r="AJ149" s="1191">
        <f t="shared" si="52"/>
        <v>0.93571960494171247</v>
      </c>
      <c r="AK149" s="658">
        <f t="shared" si="53"/>
        <v>180.0511663828843</v>
      </c>
      <c r="AL149" s="568">
        <f t="shared" si="54"/>
        <v>50.174479900000001</v>
      </c>
      <c r="AM149" s="1190">
        <f t="shared" si="55"/>
        <v>0.76799833627881664</v>
      </c>
      <c r="AN149" s="658">
        <f t="shared" si="56"/>
        <v>146.50336262854705</v>
      </c>
      <c r="AO149" s="1200"/>
      <c r="AP149" s="658">
        <f t="shared" si="70"/>
        <v>-535.5</v>
      </c>
      <c r="AQ149" s="1188"/>
      <c r="AR149" s="1188">
        <f t="shared" si="57"/>
        <v>326.55452901143133</v>
      </c>
      <c r="AS149" s="1187">
        <f t="shared" si="58"/>
        <v>-146.50336262854705</v>
      </c>
      <c r="AT149" s="1187"/>
      <c r="AU149" s="1187">
        <f t="shared" si="59"/>
        <v>146.50336262854705</v>
      </c>
      <c r="AV149" s="1186">
        <f t="shared" si="60"/>
        <v>-295.25666016611689</v>
      </c>
      <c r="AW149" s="1186">
        <f t="shared" si="61"/>
        <v>-240.24333983388314</v>
      </c>
      <c r="AX149" s="1185">
        <f t="shared" si="62"/>
        <v>-39.287852113051827</v>
      </c>
      <c r="AY149" s="1185">
        <f t="shared" si="63"/>
        <v>-41.624462958742271</v>
      </c>
      <c r="AZ149" s="1184">
        <f t="shared" si="64"/>
        <v>39.287852113051827</v>
      </c>
      <c r="BA149" s="1184">
        <f t="shared" si="65"/>
        <v>41.624462958742271</v>
      </c>
      <c r="BB149" s="474">
        <f t="shared" si="71"/>
        <v>0.3</v>
      </c>
      <c r="BF149" s="524"/>
      <c r="BG149" s="524"/>
      <c r="BH149" s="524"/>
      <c r="BI149" s="524"/>
      <c r="BJ149" s="524"/>
      <c r="BK149" s="524"/>
      <c r="BL149" s="524"/>
      <c r="BM149" s="524"/>
      <c r="BN149" s="524"/>
      <c r="BO149" s="473"/>
      <c r="CW149" s="647"/>
    </row>
    <row r="150" spans="2:126" ht="21" customHeight="1" thickBot="1" x14ac:dyDescent="0.35">
      <c r="B150" s="631">
        <v>24</v>
      </c>
      <c r="C150" s="612"/>
      <c r="D150" s="463">
        <v>0</v>
      </c>
      <c r="E150" s="632" t="s">
        <v>72</v>
      </c>
      <c r="F150" s="584">
        <f t="shared" si="41"/>
        <v>0.3</v>
      </c>
      <c r="G150" s="584">
        <f t="shared" si="66"/>
        <v>0.3</v>
      </c>
      <c r="H150" s="1199">
        <v>190.76</v>
      </c>
      <c r="I150" s="1198">
        <v>79.651040199999997</v>
      </c>
      <c r="J150" s="1197">
        <f t="shared" si="67"/>
        <v>79.651040199999997</v>
      </c>
      <c r="K150" s="1197">
        <f t="shared" si="42"/>
        <v>39.825520099999999</v>
      </c>
      <c r="L150" s="1197">
        <f t="shared" si="43"/>
        <v>0.64045183696587837</v>
      </c>
      <c r="M150" s="1197">
        <f t="shared" si="44"/>
        <v>122.17259241961095</v>
      </c>
      <c r="N150" s="1197">
        <f t="shared" si="45"/>
        <v>244.3451848392219</v>
      </c>
      <c r="O150" s="1197">
        <f>+SUM(D128:D149)+(D150/2)+C127</f>
        <v>0</v>
      </c>
      <c r="P150" s="1197">
        <f t="shared" si="46"/>
        <v>0</v>
      </c>
      <c r="Q150" s="1197">
        <f t="shared" si="47"/>
        <v>0</v>
      </c>
      <c r="R150" s="1197">
        <f t="shared" si="68"/>
        <v>146.5</v>
      </c>
      <c r="S150" s="1197">
        <f t="shared" si="72"/>
        <v>146.5</v>
      </c>
      <c r="T150" s="1196">
        <f t="shared" si="48"/>
        <v>146.5</v>
      </c>
      <c r="V150" s="1193">
        <f t="shared" si="49"/>
        <v>0</v>
      </c>
      <c r="W150" s="1193"/>
      <c r="X150" s="1193"/>
      <c r="Y150" s="1193"/>
      <c r="Z150" s="1193"/>
      <c r="AA150" s="1193"/>
      <c r="AB150" s="1195" t="str">
        <f t="shared" si="50"/>
        <v>pin in groundstacking hole</v>
      </c>
      <c r="AC150" s="1194"/>
      <c r="AD150" s="1194"/>
      <c r="AE150" s="1194"/>
      <c r="AF150" s="1193">
        <f t="shared" si="69"/>
        <v>0</v>
      </c>
      <c r="AG150" s="1192">
        <f>SUM(D128:D150)+$C$127</f>
        <v>0</v>
      </c>
      <c r="AH150" s="1192"/>
      <c r="AI150" s="568">
        <f t="shared" si="51"/>
        <v>69.344714800000006</v>
      </c>
      <c r="AJ150" s="1191">
        <f t="shared" si="52"/>
        <v>0.93571960494171247</v>
      </c>
      <c r="AK150" s="658">
        <f t="shared" si="53"/>
        <v>180.0511663828843</v>
      </c>
      <c r="AL150" s="568">
        <f t="shared" si="54"/>
        <v>50.174479900000001</v>
      </c>
      <c r="AM150" s="1190">
        <f t="shared" si="55"/>
        <v>0.76799833627881664</v>
      </c>
      <c r="AN150" s="658">
        <f t="shared" si="56"/>
        <v>146.50336262854705</v>
      </c>
      <c r="AO150" s="1189"/>
      <c r="AP150" s="658">
        <f t="shared" si="70"/>
        <v>-561</v>
      </c>
      <c r="AQ150" s="1188"/>
      <c r="AR150" s="1188">
        <f t="shared" si="57"/>
        <v>326.55452901143133</v>
      </c>
      <c r="AS150" s="1187">
        <f t="shared" si="58"/>
        <v>-146.50336262854705</v>
      </c>
      <c r="AT150" s="1187"/>
      <c r="AU150" s="1187">
        <f t="shared" si="59"/>
        <v>146.50336262854705</v>
      </c>
      <c r="AV150" s="1186">
        <f t="shared" si="60"/>
        <v>-309.31650112640813</v>
      </c>
      <c r="AW150" s="1186">
        <f t="shared" si="61"/>
        <v>-251.68349887359184</v>
      </c>
      <c r="AX150" s="1185">
        <f t="shared" si="62"/>
        <v>-37.502040653367658</v>
      </c>
      <c r="AY150" s="1185">
        <f t="shared" si="63"/>
        <v>-39.732441915163079</v>
      </c>
      <c r="AZ150" s="1184">
        <f t="shared" si="64"/>
        <v>37.502040653367658</v>
      </c>
      <c r="BA150" s="1184">
        <f t="shared" si="65"/>
        <v>39.732441915163079</v>
      </c>
      <c r="BB150" s="474">
        <f t="shared" si="71"/>
        <v>0.3</v>
      </c>
      <c r="BF150" s="524"/>
      <c r="BG150" s="524"/>
      <c r="BH150" s="524"/>
      <c r="BI150" s="524"/>
      <c r="BJ150" s="524"/>
      <c r="BK150" s="524"/>
      <c r="BL150" s="524"/>
      <c r="BM150" s="524"/>
      <c r="BN150" s="524"/>
      <c r="BO150" s="473"/>
      <c r="CW150" s="647"/>
    </row>
    <row r="151" spans="2:126" ht="21" customHeight="1" x14ac:dyDescent="0.3">
      <c r="BF151" s="524"/>
      <c r="BG151" s="524"/>
      <c r="BH151" s="524"/>
      <c r="BI151" s="524"/>
      <c r="BJ151" s="524"/>
      <c r="BK151" s="524"/>
      <c r="BL151" s="524"/>
      <c r="BO151" s="473"/>
      <c r="CP151" s="466"/>
      <c r="CW151" s="647"/>
      <c r="CX151" s="473"/>
    </row>
    <row r="152" spans="2:126" x14ac:dyDescent="0.3">
      <c r="BF152" s="524"/>
      <c r="BG152" s="524"/>
      <c r="BH152" s="524"/>
      <c r="BI152" s="524"/>
      <c r="BJ152" s="524"/>
      <c r="BK152" s="524"/>
      <c r="BL152" s="524"/>
      <c r="BM152" s="639"/>
      <c r="BO152" s="473"/>
      <c r="CP152" s="466"/>
      <c r="CW152" s="647"/>
      <c r="CX152" s="473"/>
    </row>
    <row r="153" spans="2:126" x14ac:dyDescent="0.3">
      <c r="BF153" s="524"/>
      <c r="BG153" s="524"/>
      <c r="BH153" s="524"/>
      <c r="BI153" s="524"/>
      <c r="BJ153" s="524"/>
      <c r="BK153" s="524"/>
      <c r="BL153" s="524"/>
      <c r="BM153" s="524"/>
      <c r="BN153" s="524"/>
      <c r="BO153" s="473"/>
      <c r="CW153" s="647"/>
      <c r="CX153" s="473"/>
    </row>
    <row r="154" spans="2:126" x14ac:dyDescent="0.3">
      <c r="BF154" s="640"/>
      <c r="BG154" s="640"/>
      <c r="BH154" s="640"/>
      <c r="BI154" s="640"/>
      <c r="BJ154" s="640"/>
      <c r="BK154" s="640"/>
      <c r="BL154" s="640"/>
      <c r="BM154" s="640"/>
      <c r="BN154" s="640"/>
      <c r="BO154" s="473"/>
      <c r="CW154" s="647"/>
      <c r="CX154" s="473"/>
    </row>
    <row r="155" spans="2:126" x14ac:dyDescent="0.3">
      <c r="BF155" s="600"/>
      <c r="BG155" s="600"/>
      <c r="BH155" s="600"/>
      <c r="BI155" s="600"/>
      <c r="BJ155" s="600"/>
      <c r="BK155" s="600"/>
      <c r="BL155" s="600"/>
      <c r="BM155" s="600"/>
      <c r="BN155" s="600"/>
      <c r="BO155" s="473"/>
      <c r="CW155" s="647"/>
      <c r="CX155" s="473"/>
    </row>
    <row r="156" spans="2:126" x14ac:dyDescent="0.3">
      <c r="BF156" s="600"/>
      <c r="BG156" s="600"/>
      <c r="BH156" s="600"/>
      <c r="BI156" s="600"/>
      <c r="BJ156" s="600"/>
      <c r="BK156" s="600"/>
      <c r="BL156" s="600"/>
      <c r="BM156" s="600"/>
      <c r="BN156" s="600"/>
      <c r="BO156" s="473"/>
      <c r="CW156" s="647"/>
      <c r="CX156" s="473"/>
    </row>
    <row r="157" spans="2:126" x14ac:dyDescent="0.3">
      <c r="BO157" s="473"/>
      <c r="CW157" s="647"/>
      <c r="CX157" s="473"/>
    </row>
    <row r="158" spans="2:126" x14ac:dyDescent="0.3">
      <c r="BF158" s="644"/>
      <c r="BO158" s="473"/>
      <c r="CW158" s="647"/>
    </row>
    <row r="159" spans="2:126" x14ac:dyDescent="0.3">
      <c r="BN159" s="647"/>
      <c r="BO159" s="473"/>
      <c r="CW159" s="647"/>
    </row>
    <row r="160" spans="2:126" x14ac:dyDescent="0.3">
      <c r="BN160" s="647"/>
      <c r="BO160" s="473"/>
    </row>
    <row r="161" spans="66:67" x14ac:dyDescent="0.3">
      <c r="BN161" s="647"/>
      <c r="BO161" s="473"/>
    </row>
    <row r="162" spans="66:67" x14ac:dyDescent="0.3">
      <c r="BN162" s="647"/>
      <c r="BO162" s="473"/>
    </row>
    <row r="163" spans="66:67" x14ac:dyDescent="0.3">
      <c r="BN163" s="647"/>
      <c r="BO163" s="473"/>
    </row>
    <row r="164" spans="66:67" x14ac:dyDescent="0.3">
      <c r="BN164" s="647"/>
      <c r="BO164" s="473"/>
    </row>
    <row r="165" spans="66:67" x14ac:dyDescent="0.3">
      <c r="BN165" s="647"/>
      <c r="BO165" s="473"/>
    </row>
    <row r="166" spans="66:67" x14ac:dyDescent="0.3">
      <c r="BN166" s="647"/>
      <c r="BO166" s="473"/>
    </row>
    <row r="167" spans="66:67" x14ac:dyDescent="0.3">
      <c r="BN167" s="647"/>
      <c r="BO167" s="473"/>
    </row>
    <row r="168" spans="66:67" x14ac:dyDescent="0.3">
      <c r="BN168" s="647"/>
      <c r="BO168" s="473"/>
    </row>
    <row r="169" spans="66:67" x14ac:dyDescent="0.3">
      <c r="BN169" s="647"/>
      <c r="BO169" s="473"/>
    </row>
    <row r="170" spans="66:67" x14ac:dyDescent="0.3">
      <c r="BO170" s="473"/>
    </row>
    <row r="171" spans="66:67" x14ac:dyDescent="0.3">
      <c r="BO171" s="473"/>
    </row>
    <row r="172" spans="66:67" x14ac:dyDescent="0.3">
      <c r="BO172" s="473"/>
    </row>
    <row r="193" spans="67:127" x14ac:dyDescent="0.3">
      <c r="CX193" s="661"/>
      <c r="CY193" s="661"/>
      <c r="CZ193" s="661"/>
      <c r="DA193" s="661"/>
      <c r="DB193" s="661"/>
      <c r="DC193" s="661"/>
      <c r="DD193" s="2065"/>
      <c r="DE193" s="2065"/>
      <c r="DF193" s="2065"/>
      <c r="DG193" s="478"/>
      <c r="DH193" s="506"/>
      <c r="DI193" s="506"/>
      <c r="DJ193" s="506"/>
      <c r="DK193" s="506"/>
      <c r="DL193" s="506"/>
      <c r="DM193" s="506"/>
      <c r="DN193" s="506"/>
      <c r="DO193" s="506"/>
      <c r="DP193" s="506"/>
      <c r="DQ193" s="506"/>
      <c r="DR193" s="506"/>
      <c r="DS193" s="506"/>
      <c r="DT193" s="506"/>
      <c r="DU193" s="506"/>
      <c r="DV193" s="506"/>
      <c r="DW193" s="506"/>
    </row>
    <row r="194" spans="67:127" x14ac:dyDescent="0.3">
      <c r="CX194" s="506"/>
      <c r="CY194" s="506"/>
      <c r="CZ194" s="506"/>
      <c r="DA194" s="506"/>
      <c r="DB194" s="506"/>
      <c r="DC194" s="506"/>
      <c r="DD194" s="662"/>
      <c r="DE194" s="506"/>
      <c r="DF194" s="506"/>
      <c r="DG194" s="506"/>
      <c r="DH194" s="506"/>
      <c r="DI194" s="506"/>
      <c r="DJ194" s="506"/>
      <c r="DK194" s="506"/>
      <c r="DL194" s="506"/>
      <c r="DM194" s="506"/>
      <c r="DN194" s="506"/>
      <c r="DO194" s="506"/>
      <c r="DP194" s="506"/>
      <c r="DQ194" s="662"/>
      <c r="DR194" s="506"/>
      <c r="DS194" s="506"/>
      <c r="DT194" s="506"/>
      <c r="DU194" s="506"/>
      <c r="DV194" s="506"/>
      <c r="DW194" s="506"/>
    </row>
    <row r="195" spans="67:127" x14ac:dyDescent="0.3">
      <c r="CX195" s="663"/>
      <c r="CY195" s="663"/>
      <c r="CZ195" s="663"/>
      <c r="DA195" s="663"/>
      <c r="DB195" s="663"/>
      <c r="DC195" s="663"/>
      <c r="DD195" s="2066"/>
      <c r="DE195" s="2066"/>
      <c r="DF195" s="506"/>
      <c r="DG195" s="506"/>
      <c r="DH195" s="506"/>
      <c r="DI195" s="506"/>
      <c r="DJ195" s="506"/>
      <c r="DK195" s="506"/>
      <c r="DL195" s="506"/>
      <c r="DM195" s="506"/>
      <c r="DN195" s="506"/>
      <c r="DO195" s="506"/>
      <c r="DP195" s="2061"/>
      <c r="DQ195" s="2061"/>
      <c r="DR195" s="506"/>
      <c r="DS195" s="506"/>
      <c r="DT195" s="506"/>
      <c r="DU195" s="506"/>
      <c r="DV195" s="506"/>
      <c r="DW195" s="506"/>
    </row>
    <row r="196" spans="67:127" x14ac:dyDescent="0.3">
      <c r="CX196" s="506"/>
      <c r="CY196" s="506"/>
      <c r="CZ196" s="506"/>
      <c r="DA196" s="506"/>
      <c r="DB196" s="506"/>
      <c r="DC196" s="506"/>
      <c r="DD196" s="506"/>
      <c r="DE196" s="506"/>
      <c r="DF196" s="506"/>
      <c r="DG196" s="506"/>
      <c r="DH196" s="506"/>
      <c r="DI196" s="506"/>
      <c r="DJ196" s="506"/>
      <c r="DK196" s="506"/>
      <c r="DL196" s="506"/>
      <c r="DM196" s="506"/>
      <c r="DN196" s="506"/>
      <c r="DO196" s="506"/>
      <c r="DP196" s="506"/>
      <c r="DQ196" s="506"/>
      <c r="DR196" s="506"/>
      <c r="DS196" s="506"/>
      <c r="DT196" s="506"/>
      <c r="DU196" s="506"/>
      <c r="DV196" s="506"/>
      <c r="DW196" s="506"/>
    </row>
    <row r="197" spans="67:127" x14ac:dyDescent="0.3">
      <c r="CX197" s="506"/>
      <c r="CY197" s="506"/>
      <c r="CZ197" s="506"/>
      <c r="DA197" s="506"/>
      <c r="DB197" s="506"/>
      <c r="DC197" s="506"/>
      <c r="DD197" s="506"/>
      <c r="DE197" s="506"/>
      <c r="DF197" s="506"/>
      <c r="DG197" s="506"/>
      <c r="DH197" s="506"/>
      <c r="DI197" s="506"/>
      <c r="DJ197" s="506"/>
      <c r="DK197" s="506"/>
      <c r="DL197" s="506"/>
      <c r="DM197" s="506"/>
      <c r="DN197" s="506"/>
      <c r="DO197" s="506"/>
      <c r="DP197" s="506"/>
      <c r="DQ197" s="506"/>
      <c r="DR197" s="506"/>
      <c r="DS197" s="506"/>
      <c r="DT197" s="506"/>
      <c r="DU197" s="506"/>
      <c r="DV197" s="506"/>
      <c r="DW197" s="506"/>
    </row>
    <row r="198" spans="67:127" x14ac:dyDescent="0.3">
      <c r="CX198" s="506"/>
      <c r="CY198" s="506"/>
      <c r="CZ198" s="506"/>
      <c r="DA198" s="506"/>
      <c r="DB198" s="506"/>
      <c r="DC198" s="506"/>
      <c r="DD198" s="506"/>
      <c r="DE198" s="506"/>
      <c r="DF198" s="506"/>
      <c r="DG198" s="506"/>
      <c r="DH198" s="506"/>
      <c r="DI198" s="506"/>
      <c r="DJ198" s="506"/>
      <c r="DK198" s="506"/>
      <c r="DL198" s="506"/>
      <c r="DM198" s="506"/>
      <c r="DN198" s="506"/>
      <c r="DO198" s="506"/>
      <c r="DP198" s="506"/>
      <c r="DQ198" s="506"/>
      <c r="DR198" s="506"/>
      <c r="DS198" s="506"/>
      <c r="DT198" s="506"/>
      <c r="DU198" s="506"/>
      <c r="DV198" s="506"/>
      <c r="DW198" s="506"/>
    </row>
    <row r="199" spans="67:127" x14ac:dyDescent="0.3">
      <c r="CX199" s="506"/>
      <c r="CY199" s="506"/>
      <c r="CZ199" s="506"/>
      <c r="DA199" s="506"/>
      <c r="DB199" s="506"/>
      <c r="DC199" s="506"/>
      <c r="DD199" s="506"/>
      <c r="DE199" s="506"/>
      <c r="DF199" s="506"/>
      <c r="DG199" s="506"/>
      <c r="DH199" s="506"/>
      <c r="DI199" s="506"/>
      <c r="DJ199" s="506"/>
      <c r="DK199" s="506"/>
      <c r="DL199" s="506"/>
      <c r="DM199" s="506"/>
      <c r="DN199" s="506"/>
      <c r="DO199" s="506"/>
      <c r="DP199" s="506"/>
      <c r="DQ199" s="506"/>
      <c r="DR199" s="506"/>
      <c r="DS199" s="506"/>
      <c r="DT199" s="506"/>
      <c r="DU199" s="506"/>
      <c r="DV199" s="506"/>
      <c r="DW199" s="506"/>
    </row>
    <row r="200" spans="67:127" x14ac:dyDescent="0.3">
      <c r="CX200" s="506"/>
      <c r="CY200" s="506"/>
      <c r="CZ200" s="506"/>
      <c r="DA200" s="506"/>
      <c r="DB200" s="506"/>
      <c r="DC200" s="506"/>
      <c r="DD200" s="506"/>
      <c r="DE200" s="506"/>
      <c r="DF200" s="506"/>
      <c r="DG200" s="506"/>
      <c r="DH200" s="506"/>
      <c r="DI200" s="506"/>
      <c r="DJ200" s="506"/>
      <c r="DK200" s="506"/>
      <c r="DL200" s="506"/>
      <c r="DM200" s="506"/>
      <c r="DN200" s="506"/>
      <c r="DO200" s="506"/>
      <c r="DP200" s="506"/>
      <c r="DQ200" s="506"/>
      <c r="DR200" s="506"/>
      <c r="DS200" s="506"/>
      <c r="DT200" s="506"/>
      <c r="DU200" s="506"/>
      <c r="DV200" s="506"/>
      <c r="DW200" s="506"/>
    </row>
    <row r="201" spans="67:127" x14ac:dyDescent="0.3">
      <c r="CX201" s="506"/>
      <c r="CY201" s="506"/>
      <c r="CZ201" s="506"/>
      <c r="DA201" s="506"/>
      <c r="DB201" s="506"/>
      <c r="DC201" s="506"/>
      <c r="DD201" s="506"/>
      <c r="DE201" s="506"/>
      <c r="DF201" s="506"/>
      <c r="DG201" s="506"/>
      <c r="DH201" s="506"/>
      <c r="DI201" s="506"/>
      <c r="DJ201" s="506"/>
      <c r="DK201" s="506"/>
      <c r="DL201" s="506"/>
      <c r="DM201" s="506"/>
      <c r="DN201" s="506"/>
      <c r="DO201" s="506"/>
      <c r="DP201" s="506"/>
      <c r="DQ201" s="506"/>
      <c r="DR201" s="506"/>
      <c r="DS201" s="506"/>
      <c r="DT201" s="506"/>
      <c r="DU201" s="506"/>
      <c r="DV201" s="506"/>
      <c r="DW201" s="506"/>
    </row>
    <row r="202" spans="67:127" x14ac:dyDescent="0.3">
      <c r="CX202" s="506"/>
      <c r="CY202" s="506"/>
      <c r="CZ202" s="506"/>
      <c r="DA202" s="506"/>
      <c r="DB202" s="506"/>
      <c r="DC202" s="506"/>
      <c r="DD202" s="506"/>
      <c r="DE202" s="506"/>
      <c r="DF202" s="506"/>
      <c r="DG202" s="506"/>
      <c r="DH202" s="506"/>
      <c r="DI202" s="506"/>
      <c r="DJ202" s="506"/>
      <c r="DK202" s="506"/>
      <c r="DL202" s="506"/>
      <c r="DM202" s="506"/>
      <c r="DN202" s="506"/>
      <c r="DO202" s="506"/>
      <c r="DP202" s="506"/>
      <c r="DQ202" s="506"/>
      <c r="DR202" s="506"/>
      <c r="DS202" s="506"/>
      <c r="DT202" s="506"/>
      <c r="DU202" s="506"/>
      <c r="DV202" s="506"/>
      <c r="DW202" s="506"/>
    </row>
    <row r="203" spans="67:127" x14ac:dyDescent="0.3">
      <c r="BO203" s="661"/>
      <c r="BP203" s="661"/>
      <c r="BQ203" s="661"/>
      <c r="BR203" s="661"/>
      <c r="BS203" s="661"/>
      <c r="BT203" s="661"/>
      <c r="BU203" s="2065"/>
      <c r="BV203" s="2065"/>
      <c r="BW203" s="2065"/>
      <c r="BX203" s="478"/>
      <c r="BY203" s="506"/>
      <c r="BZ203" s="506"/>
      <c r="CA203" s="506"/>
      <c r="CB203" s="506"/>
      <c r="CC203" s="506"/>
      <c r="CD203" s="506"/>
      <c r="CE203" s="506"/>
      <c r="CF203" s="506"/>
      <c r="CG203" s="506"/>
      <c r="CH203" s="506"/>
      <c r="CI203" s="506"/>
      <c r="CJ203" s="506"/>
      <c r="CK203" s="506"/>
      <c r="CL203" s="506"/>
      <c r="CM203" s="506"/>
      <c r="CN203" s="506"/>
      <c r="CX203" s="506"/>
      <c r="CY203" s="506"/>
      <c r="CZ203" s="506"/>
      <c r="DA203" s="506"/>
      <c r="DB203" s="506"/>
      <c r="DC203" s="506"/>
      <c r="DD203" s="506"/>
      <c r="DE203" s="506"/>
      <c r="DF203" s="506"/>
      <c r="DG203" s="506"/>
      <c r="DH203" s="506"/>
      <c r="DI203" s="506"/>
      <c r="DJ203" s="506"/>
      <c r="DK203" s="506"/>
      <c r="DL203" s="506"/>
      <c r="DM203" s="506"/>
      <c r="DN203" s="506"/>
      <c r="DO203" s="506"/>
      <c r="DP203" s="506"/>
      <c r="DQ203" s="506"/>
      <c r="DR203" s="506"/>
      <c r="DS203" s="506"/>
      <c r="DT203" s="506"/>
      <c r="DU203" s="506"/>
      <c r="DV203" s="506"/>
      <c r="DW203" s="506"/>
    </row>
    <row r="204" spans="67:127" x14ac:dyDescent="0.3">
      <c r="BO204" s="506"/>
      <c r="BP204" s="506"/>
      <c r="BQ204" s="506"/>
      <c r="BR204" s="506"/>
      <c r="BS204" s="506"/>
      <c r="BT204" s="506"/>
      <c r="BU204" s="662"/>
      <c r="BV204" s="506"/>
      <c r="BW204" s="506"/>
      <c r="BX204" s="506"/>
      <c r="BY204" s="506"/>
      <c r="BZ204" s="506"/>
      <c r="CA204" s="506"/>
      <c r="CB204" s="506"/>
      <c r="CC204" s="506"/>
      <c r="CD204" s="506"/>
      <c r="CE204" s="506"/>
      <c r="CF204" s="506"/>
      <c r="CG204" s="506"/>
      <c r="CH204" s="662"/>
      <c r="CI204" s="506"/>
      <c r="CJ204" s="506"/>
      <c r="CK204" s="506"/>
      <c r="CL204" s="506"/>
      <c r="CM204" s="506"/>
      <c r="CN204" s="506"/>
      <c r="CX204" s="506"/>
      <c r="CY204" s="506"/>
      <c r="CZ204" s="506"/>
      <c r="DA204" s="506"/>
      <c r="DB204" s="506"/>
      <c r="DC204" s="506"/>
      <c r="DD204" s="506"/>
      <c r="DE204" s="506"/>
      <c r="DF204" s="506"/>
      <c r="DG204" s="506"/>
      <c r="DH204" s="506"/>
      <c r="DI204" s="506"/>
      <c r="DJ204" s="506"/>
      <c r="DK204" s="506"/>
      <c r="DL204" s="506"/>
      <c r="DM204" s="506"/>
      <c r="DN204" s="506"/>
      <c r="DO204" s="506"/>
      <c r="DP204" s="506"/>
      <c r="DQ204" s="506"/>
      <c r="DR204" s="506"/>
      <c r="DS204" s="506"/>
      <c r="DT204" s="506"/>
      <c r="DU204" s="506"/>
      <c r="DV204" s="506"/>
      <c r="DW204" s="506"/>
    </row>
    <row r="205" spans="67:127" x14ac:dyDescent="0.3">
      <c r="BO205" s="663"/>
      <c r="BP205" s="663"/>
      <c r="BQ205" s="663"/>
      <c r="BR205" s="663"/>
      <c r="BS205" s="663"/>
      <c r="BT205" s="663"/>
      <c r="BU205" s="2066"/>
      <c r="BV205" s="2066"/>
      <c r="BW205" s="506"/>
      <c r="BX205" s="506"/>
      <c r="BY205" s="506"/>
      <c r="BZ205" s="506"/>
      <c r="CA205" s="506"/>
      <c r="CB205" s="506"/>
      <c r="CC205" s="506"/>
      <c r="CD205" s="506"/>
      <c r="CE205" s="506"/>
      <c r="CF205" s="506"/>
      <c r="CG205" s="2061"/>
      <c r="CH205" s="2061"/>
      <c r="CI205" s="506"/>
      <c r="CJ205" s="506"/>
      <c r="CK205" s="506"/>
      <c r="CL205" s="506"/>
      <c r="CM205" s="506"/>
      <c r="CN205" s="506"/>
      <c r="CX205" s="506"/>
      <c r="CY205" s="506"/>
      <c r="CZ205" s="506"/>
      <c r="DA205" s="506"/>
      <c r="DB205" s="506"/>
      <c r="DC205" s="506"/>
      <c r="DD205" s="506"/>
      <c r="DE205" s="506"/>
      <c r="DF205" s="506"/>
      <c r="DG205" s="506"/>
      <c r="DH205" s="506"/>
      <c r="DI205" s="506"/>
      <c r="DJ205" s="506"/>
      <c r="DK205" s="506"/>
      <c r="DL205" s="506"/>
      <c r="DM205" s="506"/>
      <c r="DN205" s="506"/>
      <c r="DO205" s="506"/>
      <c r="DP205" s="506"/>
      <c r="DQ205" s="506"/>
      <c r="DR205" s="506"/>
      <c r="DS205" s="506"/>
      <c r="DT205" s="506"/>
      <c r="DU205" s="506"/>
      <c r="DV205" s="506"/>
      <c r="DW205" s="506"/>
    </row>
    <row r="206" spans="67:127" x14ac:dyDescent="0.3">
      <c r="BO206" s="506"/>
      <c r="BP206" s="506"/>
      <c r="BQ206" s="506"/>
      <c r="BR206" s="506"/>
      <c r="BS206" s="506"/>
      <c r="BT206" s="506"/>
      <c r="BU206" s="506"/>
      <c r="BV206" s="506"/>
      <c r="BW206" s="506"/>
      <c r="BX206" s="506"/>
      <c r="BY206" s="506"/>
      <c r="BZ206" s="506"/>
      <c r="CA206" s="506"/>
      <c r="CB206" s="506"/>
      <c r="CC206" s="506"/>
      <c r="CD206" s="506"/>
      <c r="CE206" s="506"/>
      <c r="CF206" s="506"/>
      <c r="CG206" s="506"/>
      <c r="CH206" s="506"/>
      <c r="CI206" s="506"/>
      <c r="CJ206" s="506"/>
      <c r="CK206" s="506"/>
      <c r="CL206" s="506"/>
      <c r="CM206" s="506"/>
      <c r="CN206" s="506"/>
      <c r="CX206" s="506"/>
      <c r="CY206" s="506"/>
      <c r="CZ206" s="506"/>
      <c r="DA206" s="506"/>
      <c r="DB206" s="506"/>
      <c r="DC206" s="506"/>
      <c r="DD206" s="506"/>
      <c r="DE206" s="506"/>
      <c r="DF206" s="506"/>
      <c r="DG206" s="506"/>
      <c r="DH206" s="506"/>
      <c r="DI206" s="506"/>
      <c r="DJ206" s="506"/>
      <c r="DK206" s="506"/>
      <c r="DL206" s="506"/>
      <c r="DM206" s="506"/>
      <c r="DN206" s="506"/>
      <c r="DO206" s="506"/>
      <c r="DP206" s="506"/>
      <c r="DQ206" s="506"/>
      <c r="DR206" s="506"/>
      <c r="DS206" s="506"/>
      <c r="DT206" s="506"/>
      <c r="DU206" s="506"/>
      <c r="DV206" s="506"/>
      <c r="DW206" s="506"/>
    </row>
    <row r="207" spans="67:127" x14ac:dyDescent="0.3">
      <c r="BO207" s="506"/>
      <c r="BP207" s="506"/>
      <c r="BQ207" s="506"/>
      <c r="BR207" s="506"/>
      <c r="BS207" s="506"/>
      <c r="BT207" s="506"/>
      <c r="BU207" s="506"/>
      <c r="BV207" s="506"/>
      <c r="BW207" s="506"/>
      <c r="BX207" s="506"/>
      <c r="BY207" s="506"/>
      <c r="BZ207" s="506"/>
      <c r="CA207" s="506"/>
      <c r="CB207" s="506"/>
      <c r="CC207" s="506"/>
      <c r="CD207" s="506"/>
      <c r="CE207" s="506"/>
      <c r="CF207" s="506"/>
      <c r="CG207" s="506"/>
      <c r="CH207" s="506"/>
      <c r="CI207" s="506"/>
      <c r="CJ207" s="506"/>
      <c r="CK207" s="506"/>
      <c r="CL207" s="506"/>
      <c r="CM207" s="506"/>
      <c r="CN207" s="506"/>
      <c r="CX207" s="506"/>
      <c r="CY207" s="506"/>
      <c r="CZ207" s="506"/>
      <c r="DA207" s="506"/>
      <c r="DB207" s="506"/>
      <c r="DC207" s="506"/>
      <c r="DD207" s="506"/>
      <c r="DE207" s="506"/>
      <c r="DF207" s="506"/>
      <c r="DG207" s="506"/>
      <c r="DH207" s="506"/>
      <c r="DI207" s="506"/>
      <c r="DJ207" s="506"/>
      <c r="DK207" s="506"/>
      <c r="DL207" s="506"/>
      <c r="DM207" s="506"/>
      <c r="DN207" s="506"/>
      <c r="DO207" s="506"/>
      <c r="DP207" s="506"/>
      <c r="DQ207" s="506"/>
      <c r="DR207" s="506"/>
      <c r="DS207" s="506"/>
      <c r="DT207" s="506"/>
      <c r="DU207" s="506"/>
      <c r="DV207" s="506"/>
      <c r="DW207" s="506"/>
    </row>
    <row r="208" spans="67:127" x14ac:dyDescent="0.3">
      <c r="BO208" s="506"/>
      <c r="BP208" s="506"/>
      <c r="BQ208" s="506"/>
      <c r="BR208" s="506"/>
      <c r="BS208" s="506"/>
      <c r="BT208" s="506"/>
      <c r="BU208" s="506"/>
      <c r="BV208" s="506"/>
      <c r="BW208" s="506"/>
      <c r="BX208" s="506"/>
      <c r="BY208" s="506"/>
      <c r="BZ208" s="506"/>
      <c r="CA208" s="506"/>
      <c r="CB208" s="506"/>
      <c r="CC208" s="506"/>
      <c r="CD208" s="506"/>
      <c r="CE208" s="506"/>
      <c r="CF208" s="506"/>
      <c r="CG208" s="506"/>
      <c r="CH208" s="506"/>
      <c r="CI208" s="506"/>
      <c r="CJ208" s="506"/>
      <c r="CK208" s="506"/>
      <c r="CL208" s="506"/>
      <c r="CM208" s="506"/>
      <c r="CN208" s="506"/>
      <c r="CX208" s="506"/>
      <c r="CY208" s="506"/>
      <c r="CZ208" s="506"/>
      <c r="DA208" s="506"/>
      <c r="DB208" s="506"/>
      <c r="DC208" s="516"/>
      <c r="DD208" s="516"/>
      <c r="DE208" s="516"/>
      <c r="DF208" s="516"/>
      <c r="DG208" s="516"/>
      <c r="DH208" s="516"/>
      <c r="DI208" s="516"/>
      <c r="DJ208" s="516"/>
      <c r="DK208" s="516"/>
      <c r="DL208" s="516"/>
      <c r="DM208" s="506"/>
      <c r="DN208" s="506"/>
      <c r="DO208" s="506"/>
      <c r="DP208" s="506"/>
      <c r="DQ208" s="506"/>
      <c r="DR208" s="506"/>
      <c r="DS208" s="506"/>
      <c r="DT208" s="506"/>
      <c r="DU208" s="506"/>
      <c r="DV208" s="506"/>
      <c r="DW208" s="506"/>
    </row>
    <row r="209" spans="67:127" x14ac:dyDescent="0.3">
      <c r="BO209" s="506"/>
      <c r="BP209" s="506"/>
      <c r="BQ209" s="506"/>
      <c r="BR209" s="506"/>
      <c r="BS209" s="506"/>
      <c r="BT209" s="506"/>
      <c r="BU209" s="506"/>
      <c r="BV209" s="506"/>
      <c r="BW209" s="506"/>
      <c r="BX209" s="506"/>
      <c r="BY209" s="506"/>
      <c r="BZ209" s="506"/>
      <c r="CA209" s="506"/>
      <c r="CB209" s="506"/>
      <c r="CC209" s="506"/>
      <c r="CD209" s="506"/>
      <c r="CE209" s="506"/>
      <c r="CF209" s="506"/>
      <c r="CG209" s="506"/>
      <c r="CH209" s="506"/>
      <c r="CI209" s="506"/>
      <c r="CJ209" s="506"/>
      <c r="CK209" s="506"/>
      <c r="CL209" s="506"/>
      <c r="CM209" s="506"/>
      <c r="CN209" s="506"/>
      <c r="CX209" s="506"/>
      <c r="CY209" s="506"/>
      <c r="CZ209" s="506"/>
      <c r="DA209" s="506"/>
      <c r="DB209" s="506"/>
      <c r="DC209" s="516"/>
      <c r="DD209" s="516"/>
      <c r="DE209" s="516"/>
      <c r="DF209" s="516"/>
      <c r="DG209" s="516"/>
      <c r="DH209" s="516"/>
      <c r="DI209" s="516"/>
      <c r="DJ209" s="516"/>
      <c r="DK209" s="516"/>
      <c r="DL209" s="516"/>
      <c r="DM209" s="506"/>
      <c r="DN209" s="506"/>
      <c r="DO209" s="506"/>
      <c r="DP209" s="506"/>
      <c r="DQ209" s="506"/>
      <c r="DR209" s="506"/>
      <c r="DS209" s="506"/>
      <c r="DT209" s="506"/>
      <c r="DU209" s="506"/>
      <c r="DV209" s="506"/>
      <c r="DW209" s="506"/>
    </row>
    <row r="210" spans="67:127" x14ac:dyDescent="0.3">
      <c r="BO210" s="506"/>
      <c r="BP210" s="506"/>
      <c r="BQ210" s="506"/>
      <c r="BR210" s="506"/>
      <c r="BS210" s="506"/>
      <c r="BT210" s="506"/>
      <c r="BU210" s="506"/>
      <c r="BV210" s="506"/>
      <c r="BW210" s="506"/>
      <c r="BX210" s="506"/>
      <c r="BY210" s="506"/>
      <c r="BZ210" s="506"/>
      <c r="CA210" s="506"/>
      <c r="CB210" s="506"/>
      <c r="CC210" s="506"/>
      <c r="CD210" s="506"/>
      <c r="CE210" s="506"/>
      <c r="CF210" s="506"/>
      <c r="CG210" s="506"/>
      <c r="CH210" s="506"/>
      <c r="CI210" s="506"/>
      <c r="CJ210" s="506"/>
      <c r="CK210" s="506"/>
      <c r="CL210" s="506"/>
      <c r="CM210" s="506"/>
      <c r="CN210" s="506"/>
      <c r="CX210" s="506"/>
      <c r="CY210" s="506"/>
      <c r="CZ210" s="506"/>
      <c r="DA210" s="506"/>
      <c r="DB210" s="506"/>
      <c r="DC210" s="516"/>
      <c r="DD210" s="516"/>
      <c r="DE210" s="516"/>
      <c r="DF210" s="516"/>
      <c r="DG210" s="516"/>
      <c r="DH210" s="516"/>
      <c r="DI210" s="516"/>
      <c r="DJ210" s="516"/>
      <c r="DK210" s="516"/>
      <c r="DL210" s="516"/>
      <c r="DM210" s="506"/>
      <c r="DN210" s="506"/>
      <c r="DO210" s="506"/>
      <c r="DP210" s="506"/>
      <c r="DQ210" s="506"/>
      <c r="DR210" s="506"/>
      <c r="DS210" s="506"/>
      <c r="DT210" s="506"/>
      <c r="DU210" s="506"/>
      <c r="DV210" s="506"/>
      <c r="DW210" s="506"/>
    </row>
    <row r="211" spans="67:127" x14ac:dyDescent="0.3">
      <c r="BO211" s="506"/>
      <c r="BP211" s="506"/>
      <c r="BQ211" s="506"/>
      <c r="BR211" s="506"/>
      <c r="BS211" s="506"/>
      <c r="BT211" s="506"/>
      <c r="BU211" s="506"/>
      <c r="BV211" s="506"/>
      <c r="BW211" s="506"/>
      <c r="BX211" s="506"/>
      <c r="BY211" s="506"/>
      <c r="BZ211" s="506"/>
      <c r="CA211" s="506"/>
      <c r="CB211" s="506"/>
      <c r="CC211" s="506"/>
      <c r="CD211" s="506"/>
      <c r="CE211" s="506"/>
      <c r="CF211" s="506"/>
      <c r="CG211" s="506"/>
      <c r="CH211" s="506"/>
      <c r="CI211" s="506"/>
      <c r="CJ211" s="506"/>
      <c r="CK211" s="506"/>
      <c r="CL211" s="506"/>
      <c r="CM211" s="506"/>
      <c r="CN211" s="506"/>
      <c r="CX211" s="506"/>
      <c r="CY211" s="506"/>
      <c r="CZ211" s="506"/>
      <c r="DA211" s="506"/>
      <c r="DB211" s="506"/>
      <c r="DC211" s="516"/>
      <c r="DD211" s="516"/>
      <c r="DE211" s="516"/>
      <c r="DF211" s="516"/>
      <c r="DG211" s="516"/>
      <c r="DH211" s="516"/>
      <c r="DI211" s="516"/>
      <c r="DJ211" s="516"/>
      <c r="DK211" s="516"/>
      <c r="DL211" s="516"/>
      <c r="DM211" s="506"/>
      <c r="DN211" s="506"/>
      <c r="DO211" s="506"/>
      <c r="DP211" s="506"/>
      <c r="DQ211" s="506"/>
      <c r="DR211" s="506"/>
      <c r="DS211" s="506"/>
      <c r="DT211" s="506"/>
      <c r="DU211" s="506"/>
      <c r="DV211" s="506"/>
      <c r="DW211" s="506"/>
    </row>
    <row r="212" spans="67:127" x14ac:dyDescent="0.3">
      <c r="BO212" s="506"/>
      <c r="BP212" s="506"/>
      <c r="BQ212" s="506"/>
      <c r="BR212" s="506"/>
      <c r="BS212" s="506"/>
      <c r="BT212" s="506"/>
      <c r="BU212" s="506"/>
      <c r="BV212" s="506"/>
      <c r="BW212" s="506"/>
      <c r="BX212" s="506"/>
      <c r="BY212" s="506"/>
      <c r="BZ212" s="506"/>
      <c r="CA212" s="506"/>
      <c r="CB212" s="506"/>
      <c r="CC212" s="506"/>
      <c r="CD212" s="506"/>
      <c r="CE212" s="506"/>
      <c r="CF212" s="506"/>
      <c r="CG212" s="506"/>
      <c r="CH212" s="506"/>
      <c r="CI212" s="506"/>
      <c r="CJ212" s="506"/>
      <c r="CK212" s="506"/>
      <c r="CL212" s="506"/>
      <c r="CM212" s="506"/>
      <c r="CN212" s="506"/>
      <c r="CX212" s="478"/>
      <c r="CY212" s="506"/>
      <c r="CZ212" s="478"/>
      <c r="DA212" s="506"/>
      <c r="DB212" s="478"/>
      <c r="DC212" s="516"/>
      <c r="DD212" s="516"/>
      <c r="DE212" s="516"/>
      <c r="DF212" s="516"/>
      <c r="DG212" s="516"/>
      <c r="DH212" s="516"/>
      <c r="DI212" s="516"/>
      <c r="DJ212" s="516"/>
      <c r="DK212" s="516"/>
      <c r="DL212" s="516"/>
      <c r="DM212" s="506"/>
      <c r="DN212" s="506"/>
      <c r="DO212" s="506"/>
      <c r="DP212" s="506"/>
      <c r="DQ212" s="506"/>
      <c r="DR212" s="506"/>
      <c r="DS212" s="506"/>
      <c r="DT212" s="506"/>
      <c r="DU212" s="506"/>
      <c r="DV212" s="506"/>
      <c r="DW212" s="506"/>
    </row>
    <row r="213" spans="67:127" x14ac:dyDescent="0.3">
      <c r="BO213" s="506"/>
      <c r="BP213" s="506"/>
      <c r="BQ213" s="506"/>
      <c r="BR213" s="506"/>
      <c r="BS213" s="506"/>
      <c r="BT213" s="506"/>
      <c r="BU213" s="506"/>
      <c r="BV213" s="506"/>
      <c r="BW213" s="506"/>
      <c r="BX213" s="506"/>
      <c r="BY213" s="506"/>
      <c r="BZ213" s="506"/>
      <c r="CA213" s="506"/>
      <c r="CB213" s="506"/>
      <c r="CC213" s="506"/>
      <c r="CD213" s="506"/>
      <c r="CE213" s="506"/>
      <c r="CF213" s="506"/>
      <c r="CG213" s="506"/>
      <c r="CH213" s="506"/>
      <c r="CI213" s="506"/>
      <c r="CJ213" s="506"/>
      <c r="CK213" s="506"/>
      <c r="CL213" s="506"/>
      <c r="CM213" s="506"/>
      <c r="CN213" s="506"/>
      <c r="CX213" s="478"/>
      <c r="CY213" s="506"/>
      <c r="CZ213" s="506"/>
      <c r="DA213" s="506"/>
      <c r="DB213" s="478"/>
      <c r="DC213" s="516"/>
      <c r="DD213" s="516"/>
      <c r="DE213" s="516"/>
      <c r="DF213" s="516"/>
      <c r="DG213" s="516"/>
      <c r="DH213" s="516"/>
      <c r="DI213" s="516"/>
      <c r="DJ213" s="516"/>
      <c r="DK213" s="516"/>
      <c r="DL213" s="516"/>
      <c r="DM213" s="506"/>
      <c r="DN213" s="506"/>
      <c r="DO213" s="506"/>
      <c r="DP213" s="506"/>
      <c r="DQ213" s="506"/>
      <c r="DR213" s="506"/>
      <c r="DS213" s="506"/>
      <c r="DT213" s="506"/>
      <c r="DU213" s="506"/>
      <c r="DV213" s="506"/>
      <c r="DW213" s="506"/>
    </row>
    <row r="214" spans="67:127" x14ac:dyDescent="0.3">
      <c r="BO214" s="506"/>
      <c r="BP214" s="506"/>
      <c r="BQ214" s="506"/>
      <c r="BR214" s="506"/>
      <c r="BS214" s="506"/>
      <c r="BT214" s="506"/>
      <c r="BU214" s="506"/>
      <c r="BV214" s="506"/>
      <c r="BW214" s="506"/>
      <c r="BX214" s="506"/>
      <c r="BY214" s="506"/>
      <c r="BZ214" s="506"/>
      <c r="CA214" s="506"/>
      <c r="CB214" s="506"/>
      <c r="CC214" s="506"/>
      <c r="CD214" s="506"/>
      <c r="CE214" s="506"/>
      <c r="CF214" s="506"/>
      <c r="CG214" s="506"/>
      <c r="CH214" s="506"/>
      <c r="CI214" s="506"/>
      <c r="CJ214" s="506"/>
      <c r="CK214" s="506"/>
      <c r="CL214" s="506"/>
      <c r="CM214" s="506"/>
      <c r="CN214" s="506"/>
      <c r="CX214" s="478"/>
      <c r="CY214" s="503"/>
      <c r="CZ214" s="503"/>
      <c r="DA214" s="503"/>
      <c r="DB214" s="503"/>
      <c r="DC214" s="503"/>
      <c r="DD214" s="503"/>
      <c r="DE214" s="503"/>
      <c r="DF214" s="503"/>
      <c r="DG214" s="503"/>
      <c r="DH214" s="503"/>
      <c r="DI214" s="503"/>
      <c r="DJ214" s="503"/>
      <c r="DK214" s="503"/>
      <c r="DL214" s="503"/>
      <c r="DM214" s="503"/>
      <c r="DN214" s="503"/>
      <c r="DO214" s="503"/>
      <c r="DP214" s="503"/>
      <c r="DQ214" s="503"/>
      <c r="DR214" s="503"/>
      <c r="DS214" s="503"/>
      <c r="DT214" s="503"/>
      <c r="DU214" s="503"/>
      <c r="DV214" s="503"/>
      <c r="DW214" s="506"/>
    </row>
    <row r="215" spans="67:127" x14ac:dyDescent="0.3">
      <c r="BO215" s="506"/>
      <c r="BP215" s="506"/>
      <c r="BQ215" s="506"/>
      <c r="BR215" s="506"/>
      <c r="BS215" s="506"/>
      <c r="BT215" s="506"/>
      <c r="BU215" s="506"/>
      <c r="BV215" s="506"/>
      <c r="BW215" s="506"/>
      <c r="BX215" s="506"/>
      <c r="BY215" s="506"/>
      <c r="BZ215" s="506"/>
      <c r="CA215" s="506"/>
      <c r="CB215" s="506"/>
      <c r="CC215" s="506"/>
      <c r="CD215" s="506"/>
      <c r="CE215" s="506"/>
      <c r="CF215" s="506"/>
      <c r="CG215" s="506"/>
      <c r="CH215" s="506"/>
      <c r="CI215" s="506"/>
      <c r="CJ215" s="506"/>
      <c r="CK215" s="506"/>
      <c r="CL215" s="506"/>
      <c r="CM215" s="506"/>
      <c r="CN215" s="506"/>
      <c r="CX215" s="478"/>
      <c r="CY215" s="506"/>
      <c r="CZ215" s="506"/>
      <c r="DA215" s="506"/>
      <c r="DB215" s="506"/>
      <c r="DC215" s="506"/>
      <c r="DD215" s="506"/>
      <c r="DE215" s="506"/>
      <c r="DF215" s="506"/>
      <c r="DG215" s="506"/>
      <c r="DH215" s="506"/>
      <c r="DI215" s="506"/>
      <c r="DJ215" s="506"/>
      <c r="DK215" s="506"/>
      <c r="DL215" s="506"/>
      <c r="DM215" s="506"/>
      <c r="DN215" s="506"/>
      <c r="DO215" s="506"/>
      <c r="DP215" s="506"/>
      <c r="DQ215" s="506"/>
      <c r="DR215" s="506"/>
      <c r="DS215" s="506"/>
      <c r="DT215" s="506"/>
      <c r="DU215" s="506"/>
      <c r="DV215" s="506"/>
      <c r="DW215" s="506"/>
    </row>
    <row r="216" spans="67:127" x14ac:dyDescent="0.3">
      <c r="BO216" s="506"/>
      <c r="BP216" s="506"/>
      <c r="BQ216" s="506"/>
      <c r="BR216" s="506"/>
      <c r="BS216" s="506"/>
      <c r="BT216" s="506"/>
      <c r="BU216" s="506"/>
      <c r="BV216" s="506"/>
      <c r="BW216" s="506"/>
      <c r="BX216" s="506"/>
      <c r="BY216" s="506"/>
      <c r="BZ216" s="506"/>
      <c r="CA216" s="506"/>
      <c r="CB216" s="506"/>
      <c r="CC216" s="506"/>
      <c r="CD216" s="506"/>
      <c r="CE216" s="506"/>
      <c r="CF216" s="506"/>
      <c r="CG216" s="506"/>
      <c r="CH216" s="506"/>
      <c r="CI216" s="506"/>
      <c r="CJ216" s="506"/>
      <c r="CK216" s="506"/>
      <c r="CL216" s="506"/>
      <c r="CM216" s="506"/>
      <c r="CN216" s="506"/>
      <c r="CX216" s="520"/>
      <c r="CY216" s="664"/>
      <c r="CZ216" s="664"/>
      <c r="DA216" s="664"/>
      <c r="DB216" s="664"/>
      <c r="DC216" s="664"/>
      <c r="DD216" s="664"/>
      <c r="DE216" s="664"/>
      <c r="DF216" s="664"/>
      <c r="DG216" s="664"/>
      <c r="DH216" s="664"/>
      <c r="DI216" s="664"/>
      <c r="DJ216" s="664"/>
      <c r="DK216" s="664"/>
      <c r="DL216" s="664"/>
      <c r="DM216" s="664"/>
      <c r="DN216" s="664"/>
      <c r="DO216" s="664"/>
      <c r="DP216" s="664"/>
      <c r="DQ216" s="664"/>
      <c r="DR216" s="664"/>
      <c r="DS216" s="664"/>
      <c r="DT216" s="664"/>
      <c r="DU216" s="664"/>
      <c r="DV216" s="664"/>
      <c r="DW216" s="506"/>
    </row>
    <row r="217" spans="67:127" x14ac:dyDescent="0.3">
      <c r="BO217" s="506"/>
      <c r="BP217" s="506"/>
      <c r="BQ217" s="506"/>
      <c r="BR217" s="506"/>
      <c r="BS217" s="506"/>
      <c r="BT217" s="506"/>
      <c r="BU217" s="506"/>
      <c r="BV217" s="506"/>
      <c r="BW217" s="506"/>
      <c r="BX217" s="506"/>
      <c r="BY217" s="506"/>
      <c r="BZ217" s="506"/>
      <c r="CA217" s="506"/>
      <c r="CB217" s="506"/>
      <c r="CC217" s="506"/>
      <c r="CD217" s="506"/>
      <c r="CE217" s="506"/>
      <c r="CF217" s="506"/>
      <c r="CG217" s="506"/>
      <c r="CH217" s="506"/>
      <c r="CI217" s="506"/>
      <c r="CJ217" s="506"/>
      <c r="CK217" s="506"/>
      <c r="CL217" s="506"/>
      <c r="CM217" s="506"/>
      <c r="CN217" s="506"/>
      <c r="CX217" s="478"/>
      <c r="CY217" s="519"/>
      <c r="CZ217" s="519"/>
      <c r="DA217" s="519"/>
      <c r="DB217" s="519"/>
      <c r="DC217" s="519"/>
      <c r="DD217" s="519"/>
      <c r="DE217" s="519"/>
      <c r="DF217" s="519"/>
      <c r="DG217" s="519"/>
      <c r="DH217" s="519"/>
      <c r="DI217" s="519"/>
      <c r="DJ217" s="519"/>
      <c r="DK217" s="519"/>
      <c r="DL217" s="519"/>
      <c r="DM217" s="519"/>
      <c r="DN217" s="519"/>
      <c r="DO217" s="519"/>
      <c r="DP217" s="519"/>
      <c r="DQ217" s="519"/>
      <c r="DR217" s="519"/>
      <c r="DS217" s="519"/>
      <c r="DT217" s="519"/>
      <c r="DU217" s="519"/>
      <c r="DV217" s="519"/>
      <c r="DW217" s="506"/>
    </row>
    <row r="218" spans="67:127" x14ac:dyDescent="0.3">
      <c r="BO218" s="506"/>
      <c r="BP218" s="506"/>
      <c r="BQ218" s="506"/>
      <c r="BR218" s="506"/>
      <c r="BS218" s="506"/>
      <c r="BT218" s="506"/>
      <c r="BU218" s="506"/>
      <c r="BV218" s="506"/>
      <c r="BW218" s="506"/>
      <c r="BX218" s="506"/>
      <c r="BY218" s="506"/>
      <c r="BZ218" s="506"/>
      <c r="CA218" s="506"/>
      <c r="CB218" s="506"/>
      <c r="CC218" s="506"/>
      <c r="CD218" s="506"/>
      <c r="CE218" s="506"/>
      <c r="CF218" s="506"/>
      <c r="CG218" s="506"/>
      <c r="CH218" s="506"/>
      <c r="CI218" s="506"/>
      <c r="CJ218" s="506"/>
      <c r="CK218" s="506"/>
      <c r="CL218" s="506"/>
      <c r="CM218" s="506"/>
      <c r="CN218" s="506"/>
      <c r="CX218" s="506"/>
      <c r="CY218" s="506"/>
      <c r="CZ218" s="506"/>
      <c r="DA218" s="506"/>
      <c r="DB218" s="506"/>
      <c r="DC218" s="506"/>
      <c r="DD218" s="506"/>
      <c r="DE218" s="506"/>
      <c r="DF218" s="506"/>
      <c r="DG218" s="506"/>
      <c r="DH218" s="506"/>
      <c r="DI218" s="506"/>
      <c r="DJ218" s="506"/>
      <c r="DK218" s="506"/>
      <c r="DL218" s="506"/>
      <c r="DM218" s="506"/>
      <c r="DN218" s="506"/>
      <c r="DO218" s="506"/>
      <c r="DP218" s="506"/>
      <c r="DQ218" s="506"/>
      <c r="DR218" s="506"/>
      <c r="DS218" s="506"/>
      <c r="DT218" s="506"/>
      <c r="DU218" s="506"/>
      <c r="DV218" s="506"/>
      <c r="DW218" s="506"/>
    </row>
    <row r="219" spans="67:127" x14ac:dyDescent="0.3">
      <c r="BO219" s="506"/>
      <c r="BP219" s="506"/>
      <c r="BQ219" s="506"/>
      <c r="BR219" s="506"/>
      <c r="BS219" s="506"/>
      <c r="BT219" s="506"/>
      <c r="BU219" s="506"/>
      <c r="BV219" s="506"/>
      <c r="BW219" s="506"/>
      <c r="BX219" s="506"/>
      <c r="BY219" s="506"/>
      <c r="BZ219" s="506"/>
      <c r="CA219" s="506"/>
      <c r="CB219" s="506"/>
      <c r="CC219" s="506"/>
      <c r="CD219" s="506"/>
      <c r="CE219" s="506"/>
      <c r="CF219" s="506"/>
      <c r="CG219" s="506"/>
      <c r="CH219" s="506"/>
      <c r="CI219" s="506"/>
      <c r="CJ219" s="506"/>
      <c r="CK219" s="506"/>
      <c r="CL219" s="506"/>
      <c r="CM219" s="506"/>
      <c r="CN219" s="506"/>
      <c r="CX219" s="506"/>
      <c r="CY219" s="665"/>
      <c r="CZ219" s="665"/>
      <c r="DA219" s="665"/>
      <c r="DB219" s="665"/>
      <c r="DC219" s="665"/>
      <c r="DD219" s="665"/>
      <c r="DE219" s="478"/>
      <c r="DF219" s="478"/>
      <c r="DG219" s="478"/>
      <c r="DH219" s="478"/>
      <c r="DI219" s="478"/>
      <c r="DJ219" s="665"/>
      <c r="DK219" s="665"/>
      <c r="DL219" s="665"/>
      <c r="DM219" s="478"/>
      <c r="DN219" s="478"/>
      <c r="DO219" s="478"/>
      <c r="DP219" s="478"/>
      <c r="DQ219" s="478"/>
      <c r="DR219" s="478"/>
      <c r="DS219" s="478"/>
      <c r="DT219" s="478"/>
      <c r="DU219" s="478"/>
      <c r="DV219" s="478"/>
      <c r="DW219" s="506"/>
    </row>
    <row r="220" spans="67:127" x14ac:dyDescent="0.3">
      <c r="BO220" s="506"/>
      <c r="BP220" s="506"/>
      <c r="BQ220" s="506"/>
      <c r="BR220" s="506"/>
      <c r="BS220" s="506"/>
      <c r="BT220" s="506"/>
      <c r="BU220" s="506"/>
      <c r="BV220" s="506"/>
      <c r="BW220" s="506"/>
      <c r="BX220" s="506"/>
      <c r="BY220" s="506"/>
      <c r="BZ220" s="506"/>
      <c r="CA220" s="506"/>
      <c r="CB220" s="506"/>
      <c r="CC220" s="506"/>
      <c r="CD220" s="506"/>
      <c r="CE220" s="506"/>
      <c r="CF220" s="506"/>
      <c r="CG220" s="506"/>
      <c r="CH220" s="506"/>
      <c r="CI220" s="506"/>
      <c r="CJ220" s="506"/>
      <c r="CK220" s="506"/>
      <c r="CL220" s="506"/>
      <c r="CM220" s="506"/>
      <c r="CN220" s="506"/>
      <c r="CX220" s="506"/>
      <c r="CY220" s="665"/>
      <c r="CZ220" s="665"/>
      <c r="DA220" s="665"/>
      <c r="DB220" s="665"/>
      <c r="DC220" s="665"/>
      <c r="DD220" s="665"/>
      <c r="DE220" s="506"/>
      <c r="DF220" s="506"/>
      <c r="DG220" s="506"/>
      <c r="DH220" s="506"/>
      <c r="DI220" s="665"/>
      <c r="DJ220" s="665"/>
      <c r="DK220" s="665"/>
      <c r="DL220" s="665"/>
      <c r="DM220" s="506"/>
      <c r="DN220" s="506"/>
      <c r="DO220" s="506"/>
      <c r="DP220" s="506"/>
      <c r="DQ220" s="665"/>
      <c r="DR220" s="665"/>
      <c r="DS220" s="665"/>
      <c r="DT220" s="665"/>
      <c r="DU220" s="665"/>
      <c r="DV220" s="665"/>
      <c r="DW220" s="506"/>
    </row>
    <row r="221" spans="67:127" x14ac:dyDescent="0.3">
      <c r="BO221" s="506"/>
      <c r="BP221" s="506"/>
      <c r="BQ221" s="506"/>
      <c r="BR221" s="506"/>
      <c r="BS221" s="506"/>
      <c r="BT221" s="506"/>
      <c r="BU221" s="506"/>
      <c r="BV221" s="506"/>
      <c r="BW221" s="506"/>
      <c r="BX221" s="1029"/>
      <c r="BY221" s="1029"/>
      <c r="BZ221" s="506"/>
      <c r="CA221" s="1029"/>
      <c r="CB221" s="506"/>
      <c r="CC221" s="506"/>
      <c r="CD221" s="506"/>
      <c r="CE221" s="506"/>
      <c r="CF221" s="506"/>
      <c r="CG221" s="506"/>
      <c r="CH221" s="506"/>
      <c r="CI221" s="506"/>
      <c r="CJ221" s="506"/>
      <c r="CK221" s="506"/>
      <c r="CL221" s="506"/>
      <c r="CM221" s="506"/>
      <c r="CN221" s="506"/>
      <c r="CX221" s="506"/>
      <c r="CY221" s="506"/>
      <c r="CZ221" s="506"/>
      <c r="DA221" s="506"/>
      <c r="DB221" s="506"/>
      <c r="DC221" s="506"/>
      <c r="DD221" s="506"/>
      <c r="DE221" s="506"/>
      <c r="DF221" s="506"/>
      <c r="DG221" s="506"/>
      <c r="DH221" s="506"/>
      <c r="DI221" s="506"/>
      <c r="DJ221" s="506"/>
      <c r="DK221" s="506"/>
      <c r="DL221" s="506"/>
      <c r="DM221" s="506"/>
      <c r="DN221" s="506"/>
      <c r="DO221" s="506"/>
      <c r="DP221" s="506"/>
      <c r="DQ221" s="506"/>
      <c r="DR221" s="506"/>
      <c r="DS221" s="506"/>
      <c r="DT221" s="506"/>
      <c r="DU221" s="506"/>
      <c r="DV221" s="506"/>
      <c r="DW221" s="506"/>
    </row>
    <row r="222" spans="67:127" x14ac:dyDescent="0.3">
      <c r="BO222" s="478"/>
      <c r="BP222" s="506"/>
      <c r="BQ222" s="478"/>
      <c r="BR222" s="506"/>
      <c r="BS222" s="478"/>
      <c r="BT222" s="506"/>
      <c r="BU222" s="506"/>
      <c r="BV222" s="506"/>
      <c r="BW222" s="506"/>
      <c r="BX222" s="506"/>
      <c r="BY222" s="506"/>
      <c r="BZ222" s="506"/>
      <c r="CA222" s="506"/>
      <c r="CB222" s="506"/>
      <c r="CC222" s="506"/>
      <c r="CD222" s="506"/>
      <c r="CE222" s="506"/>
      <c r="CF222" s="506"/>
      <c r="CG222" s="506"/>
      <c r="CH222" s="506"/>
      <c r="CI222" s="506"/>
      <c r="CJ222" s="506"/>
      <c r="CK222" s="506"/>
      <c r="CL222" s="506"/>
      <c r="CM222" s="506"/>
      <c r="CN222" s="506"/>
      <c r="CX222" s="506"/>
      <c r="CY222" s="506"/>
      <c r="CZ222" s="506"/>
      <c r="DA222" s="506"/>
      <c r="DB222" s="506"/>
      <c r="DC222" s="506"/>
      <c r="DD222" s="506"/>
      <c r="DE222" s="506"/>
      <c r="DF222" s="506"/>
      <c r="DG222" s="506"/>
      <c r="DH222" s="506"/>
      <c r="DI222" s="506"/>
      <c r="DJ222" s="506"/>
      <c r="DK222" s="506"/>
      <c r="DL222" s="506"/>
      <c r="DM222" s="506"/>
      <c r="DN222" s="506"/>
      <c r="DO222" s="506"/>
      <c r="DP222" s="506"/>
      <c r="DQ222" s="506"/>
      <c r="DR222" s="506"/>
      <c r="DS222" s="506"/>
      <c r="DT222" s="506"/>
      <c r="DU222" s="506"/>
      <c r="DV222" s="506"/>
      <c r="DW222" s="506"/>
    </row>
    <row r="223" spans="67:127" x14ac:dyDescent="0.3">
      <c r="BO223" s="478"/>
      <c r="BP223" s="506"/>
      <c r="BQ223" s="506"/>
      <c r="BR223" s="506"/>
      <c r="BS223" s="478"/>
      <c r="BT223" s="506"/>
      <c r="BU223" s="506"/>
      <c r="BV223" s="506"/>
      <c r="BW223" s="506"/>
      <c r="BX223" s="506"/>
      <c r="BY223" s="506"/>
      <c r="BZ223" s="506"/>
      <c r="CA223" s="506"/>
      <c r="CB223" s="506"/>
      <c r="CC223" s="506"/>
      <c r="CD223" s="506"/>
      <c r="CE223" s="506"/>
      <c r="CF223" s="506"/>
      <c r="CG223" s="506"/>
      <c r="CH223" s="506"/>
      <c r="CI223" s="506"/>
      <c r="CJ223" s="506"/>
      <c r="CK223" s="506"/>
      <c r="CL223" s="506"/>
      <c r="CM223" s="506"/>
      <c r="CN223" s="506"/>
    </row>
    <row r="224" spans="67:127" x14ac:dyDescent="0.3">
      <c r="BO224" s="478"/>
      <c r="BP224" s="503"/>
      <c r="BQ224" s="503"/>
      <c r="BR224" s="503"/>
      <c r="BS224" s="503"/>
      <c r="BT224" s="503"/>
      <c r="BU224" s="503"/>
      <c r="BV224" s="503"/>
      <c r="BW224" s="503"/>
      <c r="BX224" s="503"/>
      <c r="BY224" s="503"/>
      <c r="BZ224" s="503"/>
      <c r="CA224" s="503"/>
      <c r="CB224" s="503"/>
      <c r="CC224" s="503"/>
      <c r="CD224" s="503"/>
      <c r="CE224" s="503"/>
      <c r="CF224" s="503"/>
      <c r="CG224" s="503"/>
      <c r="CH224" s="503"/>
      <c r="CI224" s="503"/>
      <c r="CJ224" s="503"/>
      <c r="CK224" s="503"/>
      <c r="CL224" s="503"/>
      <c r="CM224" s="503"/>
      <c r="CN224" s="506"/>
    </row>
    <row r="225" spans="67:92" x14ac:dyDescent="0.3">
      <c r="BO225" s="478"/>
      <c r="BP225" s="506"/>
      <c r="BQ225" s="506"/>
      <c r="BR225" s="506"/>
      <c r="BS225" s="506"/>
      <c r="BT225" s="506"/>
      <c r="BU225" s="506"/>
      <c r="BV225" s="506"/>
      <c r="BW225" s="506"/>
      <c r="BX225" s="506"/>
      <c r="BY225" s="506"/>
      <c r="BZ225" s="506"/>
      <c r="CA225" s="506"/>
      <c r="CB225" s="506"/>
      <c r="CC225" s="506"/>
      <c r="CD225" s="506"/>
      <c r="CE225" s="506"/>
      <c r="CF225" s="506"/>
      <c r="CG225" s="506"/>
      <c r="CH225" s="506"/>
      <c r="CI225" s="506"/>
      <c r="CJ225" s="506"/>
      <c r="CK225" s="506"/>
      <c r="CL225" s="506"/>
      <c r="CM225" s="506"/>
      <c r="CN225" s="506"/>
    </row>
    <row r="226" spans="67:92" x14ac:dyDescent="0.3">
      <c r="BO226" s="520"/>
      <c r="BP226" s="664"/>
      <c r="BQ226" s="664"/>
      <c r="BR226" s="664"/>
      <c r="BS226" s="664"/>
      <c r="BT226" s="664"/>
      <c r="BU226" s="664"/>
      <c r="BV226" s="664"/>
      <c r="BW226" s="664"/>
      <c r="BX226" s="664"/>
      <c r="BY226" s="664"/>
      <c r="BZ226" s="664"/>
      <c r="CA226" s="664"/>
      <c r="CB226" s="664"/>
      <c r="CC226" s="664"/>
      <c r="CD226" s="664"/>
      <c r="CE226" s="664"/>
      <c r="CF226" s="664"/>
      <c r="CG226" s="664"/>
      <c r="CH226" s="664"/>
      <c r="CI226" s="664"/>
      <c r="CJ226" s="664"/>
      <c r="CK226" s="664"/>
      <c r="CL226" s="664"/>
      <c r="CM226" s="664"/>
      <c r="CN226" s="506"/>
    </row>
    <row r="227" spans="67:92" x14ac:dyDescent="0.3">
      <c r="BO227" s="478"/>
      <c r="BP227" s="519"/>
      <c r="BQ227" s="519"/>
      <c r="BR227" s="519"/>
      <c r="BS227" s="519"/>
      <c r="BT227" s="519"/>
      <c r="BU227" s="519"/>
      <c r="BV227" s="519"/>
      <c r="BW227" s="519"/>
      <c r="BX227" s="519"/>
      <c r="BY227" s="519"/>
      <c r="BZ227" s="519"/>
      <c r="CA227" s="519"/>
      <c r="CB227" s="519"/>
      <c r="CC227" s="519"/>
      <c r="CD227" s="519"/>
      <c r="CE227" s="519"/>
      <c r="CF227" s="519"/>
      <c r="CG227" s="519"/>
      <c r="CH227" s="519"/>
      <c r="CI227" s="519"/>
      <c r="CJ227" s="519"/>
      <c r="CK227" s="519"/>
      <c r="CL227" s="519"/>
      <c r="CM227" s="519"/>
      <c r="CN227" s="506"/>
    </row>
    <row r="228" spans="67:92" x14ac:dyDescent="0.3">
      <c r="BO228" s="506"/>
      <c r="BP228" s="506"/>
      <c r="BQ228" s="506"/>
      <c r="BR228" s="506"/>
      <c r="BS228" s="506"/>
      <c r="BT228" s="506"/>
      <c r="BU228" s="506"/>
      <c r="BV228" s="506"/>
      <c r="BW228" s="506"/>
      <c r="BX228" s="506"/>
      <c r="BY228" s="506"/>
      <c r="BZ228" s="506"/>
      <c r="CA228" s="506"/>
      <c r="CB228" s="506"/>
      <c r="CC228" s="506"/>
      <c r="CD228" s="506"/>
      <c r="CE228" s="506"/>
      <c r="CF228" s="506"/>
      <c r="CG228" s="506"/>
      <c r="CH228" s="506"/>
      <c r="CI228" s="506"/>
      <c r="CJ228" s="506"/>
      <c r="CK228" s="506"/>
      <c r="CL228" s="506"/>
      <c r="CM228" s="506"/>
      <c r="CN228" s="506"/>
    </row>
    <row r="229" spans="67:92" x14ac:dyDescent="0.3">
      <c r="BO229" s="506"/>
      <c r="BP229" s="665"/>
      <c r="BQ229" s="665"/>
      <c r="BR229" s="665"/>
      <c r="BS229" s="665"/>
      <c r="BT229" s="665"/>
      <c r="BU229" s="665"/>
      <c r="BV229" s="478"/>
      <c r="BW229" s="478"/>
      <c r="BX229" s="478"/>
      <c r="BY229" s="478"/>
      <c r="BZ229" s="478"/>
      <c r="CA229" s="665"/>
      <c r="CB229" s="665"/>
      <c r="CC229" s="665"/>
      <c r="CD229" s="478"/>
      <c r="CE229" s="478"/>
      <c r="CF229" s="478"/>
      <c r="CG229" s="478"/>
      <c r="CH229" s="478"/>
      <c r="CI229" s="478"/>
      <c r="CJ229" s="478"/>
      <c r="CK229" s="478"/>
      <c r="CL229" s="478"/>
      <c r="CM229" s="478"/>
      <c r="CN229" s="506"/>
    </row>
    <row r="230" spans="67:92" x14ac:dyDescent="0.3">
      <c r="BO230" s="506"/>
      <c r="BP230" s="665"/>
      <c r="BQ230" s="665"/>
      <c r="BR230" s="665"/>
      <c r="BS230" s="665"/>
      <c r="BT230" s="665"/>
      <c r="BU230" s="665"/>
      <c r="BV230" s="506"/>
      <c r="BW230" s="506"/>
      <c r="BX230" s="506"/>
      <c r="BY230" s="506"/>
      <c r="BZ230" s="665"/>
      <c r="CA230" s="665"/>
      <c r="CB230" s="665"/>
      <c r="CC230" s="665"/>
      <c r="CD230" s="506"/>
      <c r="CE230" s="506"/>
      <c r="CF230" s="506"/>
      <c r="CG230" s="506"/>
      <c r="CH230" s="665"/>
      <c r="CI230" s="665"/>
      <c r="CJ230" s="665"/>
      <c r="CK230" s="665"/>
      <c r="CL230" s="665"/>
      <c r="CM230" s="665"/>
      <c r="CN230" s="506"/>
    </row>
    <row r="231" spans="67:92" x14ac:dyDescent="0.3">
      <c r="BO231" s="506"/>
      <c r="BP231" s="506"/>
      <c r="BQ231" s="506"/>
      <c r="BR231" s="506"/>
      <c r="BS231" s="506"/>
      <c r="BT231" s="506"/>
      <c r="BU231" s="506"/>
      <c r="BV231" s="506"/>
      <c r="BW231" s="506"/>
      <c r="BX231" s="506"/>
      <c r="BY231" s="506"/>
      <c r="BZ231" s="506"/>
      <c r="CA231" s="506"/>
      <c r="CB231" s="506"/>
      <c r="CC231" s="506"/>
      <c r="CD231" s="506"/>
      <c r="CE231" s="506"/>
      <c r="CF231" s="506"/>
      <c r="CG231" s="506"/>
      <c r="CH231" s="506"/>
      <c r="CI231" s="506"/>
      <c r="CJ231" s="506"/>
      <c r="CK231" s="506"/>
      <c r="CL231" s="506"/>
      <c r="CM231" s="506"/>
      <c r="CN231" s="506"/>
    </row>
    <row r="232" spans="67:92" x14ac:dyDescent="0.3">
      <c r="BO232" s="506"/>
      <c r="BP232" s="506"/>
      <c r="BQ232" s="506"/>
      <c r="BR232" s="506"/>
      <c r="BS232" s="506"/>
      <c r="BT232" s="506"/>
      <c r="BU232" s="506"/>
      <c r="BV232" s="506"/>
      <c r="BW232" s="506"/>
      <c r="BX232" s="506"/>
      <c r="BY232" s="506"/>
      <c r="BZ232" s="506"/>
      <c r="CA232" s="506"/>
      <c r="CB232" s="506"/>
      <c r="CC232" s="506"/>
      <c r="CD232" s="506"/>
      <c r="CE232" s="506"/>
      <c r="CF232" s="506"/>
      <c r="CG232" s="506"/>
      <c r="CH232" s="506"/>
      <c r="CI232" s="506"/>
      <c r="CJ232" s="506"/>
      <c r="CK232" s="506"/>
      <c r="CL232" s="506"/>
      <c r="CM232" s="506"/>
      <c r="CN232" s="506"/>
    </row>
  </sheetData>
  <sheetProtection algorithmName="SHA-512" hashValue="COab25eUT0vlVmpayaF+3iu4SxMW9DkVKM18/g/C3EfvyO3JvOX8b6RJDkiEOFeihlUPYwJAgRtZrsSCEr1Ipg==" saltValue="UmDo4pxohg7VqMvtX1E/Sw==" spinCount="100000" sheet="1" objects="1" scenarios="1"/>
  <protectedRanges>
    <protectedRange sqref="B100 B103 D106:D117 B124 D127:D150" name="Range1"/>
  </protectedRanges>
  <mergeCells count="25">
    <mergeCell ref="CG205:CH205"/>
    <mergeCell ref="BP26:BQ26"/>
    <mergeCell ref="B98:B99"/>
    <mergeCell ref="BU203:BW203"/>
    <mergeCell ref="BU205:BV205"/>
    <mergeCell ref="AZ103:BA103"/>
    <mergeCell ref="AZ124:BA124"/>
    <mergeCell ref="W103:AA103"/>
    <mergeCell ref="B82:E82"/>
    <mergeCell ref="BX67:BY67"/>
    <mergeCell ref="BX30:BY30"/>
    <mergeCell ref="BP28:BQ28"/>
    <mergeCell ref="DD195:DE195"/>
    <mergeCell ref="DP195:DQ195"/>
    <mergeCell ref="BP66:BW67"/>
    <mergeCell ref="CL66:CS67"/>
    <mergeCell ref="CL27:CS28"/>
    <mergeCell ref="BP29:BW30"/>
    <mergeCell ref="CY79:CZ79"/>
    <mergeCell ref="BP82:BW82"/>
    <mergeCell ref="CL82:CS82"/>
    <mergeCell ref="DD193:DF193"/>
    <mergeCell ref="CJ67:CK67"/>
    <mergeCell ref="CR30:CS30"/>
    <mergeCell ref="CJ28:CK28"/>
  </mergeCells>
  <conditionalFormatting sqref="AB53:AE90 U53:U90 AB50:AE50 U50 BF31:BN31 U27">
    <cfRule type="cellIs" dxfId="409" priority="92" stopIfTrue="1" operator="between">
      <formula>"OVERLOAD"</formula>
      <formula>"OVERLOAD"</formula>
    </cfRule>
  </conditionalFormatting>
  <conditionalFormatting sqref="BP84:CS85 CY216:DV217 BP226:CM227 DD143:DQ146 BU89:CH96">
    <cfRule type="cellIs" dxfId="408" priority="89" stopIfTrue="1" operator="equal">
      <formula>FALSE</formula>
    </cfRule>
  </conditionalFormatting>
  <conditionalFormatting sqref="BX82:CK82 CY214:DV214 BP224:CM224 BP62:CS62">
    <cfRule type="cellIs" dxfId="407" priority="4" stopIfTrue="1" operator="equal">
      <formula>0</formula>
    </cfRule>
  </conditionalFormatting>
  <conditionalFormatting sqref="BN99:BN128 BL68:BL90 BN159:BN169 CW149:CW159">
    <cfRule type="cellIs" dxfId="406" priority="91" stopIfTrue="1" operator="equal">
      <formula>FALSE</formula>
    </cfRule>
  </conditionalFormatting>
  <conditionalFormatting sqref="D106 K106:O106 AB106 T106:Y106">
    <cfRule type="expression" dxfId="405" priority="83" stopIfTrue="1">
      <formula>$B$103&lt;1</formula>
    </cfRule>
  </conditionalFormatting>
  <conditionalFormatting sqref="AX107:BA107 D107">
    <cfRule type="expression" dxfId="404" priority="81" stopIfTrue="1">
      <formula>$B$103&lt;2</formula>
    </cfRule>
  </conditionalFormatting>
  <conditionalFormatting sqref="AX108:BA108 D108">
    <cfRule type="expression" dxfId="403" priority="80" stopIfTrue="1">
      <formula>$B$103&lt;3</formula>
    </cfRule>
  </conditionalFormatting>
  <conditionalFormatting sqref="AX109:BA109 D109">
    <cfRule type="expression" dxfId="402" priority="79" stopIfTrue="1">
      <formula>$B$103&lt;4</formula>
    </cfRule>
  </conditionalFormatting>
  <conditionalFormatting sqref="AX110:BA110 D110">
    <cfRule type="expression" dxfId="401" priority="78" stopIfTrue="1">
      <formula>$B$103&lt;5</formula>
    </cfRule>
  </conditionalFormatting>
  <conditionalFormatting sqref="AX111:BA111 D111">
    <cfRule type="expression" dxfId="400" priority="77" stopIfTrue="1">
      <formula>$B$103&lt;6</formula>
    </cfRule>
  </conditionalFormatting>
  <conditionalFormatting sqref="AX112:BA112 D112">
    <cfRule type="expression" dxfId="399" priority="76" stopIfTrue="1">
      <formula>$B$103&lt;7</formula>
    </cfRule>
  </conditionalFormatting>
  <conditionalFormatting sqref="AX113:BA113 D113">
    <cfRule type="expression" dxfId="398" priority="75" stopIfTrue="1">
      <formula>$B$103&lt;8</formula>
    </cfRule>
  </conditionalFormatting>
  <conditionalFormatting sqref="AX114:BA114 D114">
    <cfRule type="expression" dxfId="397" priority="74" stopIfTrue="1">
      <formula>$B$103&lt;9</formula>
    </cfRule>
  </conditionalFormatting>
  <conditionalFormatting sqref="AX115:BA115 D115">
    <cfRule type="expression" dxfId="396" priority="48" stopIfTrue="1">
      <formula>$B$103&lt;10</formula>
    </cfRule>
  </conditionalFormatting>
  <conditionalFormatting sqref="AX116:BA116 D116">
    <cfRule type="expression" dxfId="395" priority="35" stopIfTrue="1">
      <formula>$B$103&lt;11</formula>
    </cfRule>
  </conditionalFormatting>
  <conditionalFormatting sqref="AX117:BA117 D117">
    <cfRule type="expression" dxfId="394" priority="21" stopIfTrue="1">
      <formula>$B$103&lt;12</formula>
    </cfRule>
  </conditionalFormatting>
  <conditionalFormatting sqref="D97:G98">
    <cfRule type="cellIs" dxfId="393" priority="86" stopIfTrue="1" operator="equal">
      <formula>"change the angle of frame or of cabinets"</formula>
    </cfRule>
  </conditionalFormatting>
  <conditionalFormatting sqref="E100:G100">
    <cfRule type="cellIs" dxfId="392" priority="87" stopIfTrue="1" operator="equal">
      <formula>"USE EXBAR VR AT THE BACK"</formula>
    </cfRule>
  </conditionalFormatting>
  <conditionalFormatting sqref="E99:G99 E100">
    <cfRule type="cellIs" dxfId="391" priority="88" stopIfTrue="1" operator="equal">
      <formula>"USE EXBAR VR AT THE FRONT"</formula>
    </cfRule>
  </conditionalFormatting>
  <conditionalFormatting sqref="B106:B117">
    <cfRule type="cellIs" dxfId="390" priority="84" stopIfTrue="1" operator="greaterThan">
      <formula>$B$103</formula>
    </cfRule>
  </conditionalFormatting>
  <conditionalFormatting sqref="B127:B150">
    <cfRule type="cellIs" dxfId="389" priority="72" stopIfTrue="1" operator="greaterThan">
      <formula>$B$124</formula>
    </cfRule>
  </conditionalFormatting>
  <conditionalFormatting sqref="AX127:BA127 AB127:AE127 D127:G127 AX128:AY150">
    <cfRule type="expression" dxfId="388" priority="70" stopIfTrue="1">
      <formula>$B$124&lt;1</formula>
    </cfRule>
  </conditionalFormatting>
  <conditionalFormatting sqref="AX128:BA128 AB128:AE128 D128:G128">
    <cfRule type="expression" dxfId="387" priority="69" stopIfTrue="1">
      <formula>$B$124&lt;2</formula>
    </cfRule>
  </conditionalFormatting>
  <conditionalFormatting sqref="AX129:BA129 AB129:AE129 D129:G129">
    <cfRule type="expression" dxfId="386" priority="68" stopIfTrue="1">
      <formula>$B$124&lt;3</formula>
    </cfRule>
  </conditionalFormatting>
  <conditionalFormatting sqref="AX130:BA130 AB130:AE130 D130:G130">
    <cfRule type="expression" dxfId="385" priority="67" stopIfTrue="1">
      <formula>$B$124&lt;4</formula>
    </cfRule>
  </conditionalFormatting>
  <conditionalFormatting sqref="AX131:BA131 AB131:AE131 D131:G131">
    <cfRule type="expression" dxfId="384" priority="66" stopIfTrue="1">
      <formula>$B$124&lt;5</formula>
    </cfRule>
  </conditionalFormatting>
  <conditionalFormatting sqref="AX132:BA132 AB132:AE132 D132:G132">
    <cfRule type="expression" dxfId="383" priority="65">
      <formula>$B$124&lt;6</formula>
    </cfRule>
  </conditionalFormatting>
  <conditionalFormatting sqref="AX133:BA133 AB133:AE133 D133:G133">
    <cfRule type="expression" dxfId="382" priority="64">
      <formula>$B$124&lt;7</formula>
    </cfRule>
  </conditionalFormatting>
  <conditionalFormatting sqref="AX134:BA134 AB134:AE134 D134:G134">
    <cfRule type="expression" dxfId="381" priority="63">
      <formula>$B$124&lt;8</formula>
    </cfRule>
  </conditionalFormatting>
  <conditionalFormatting sqref="AX135:BA135 AB135:AE135 D135:G135">
    <cfRule type="expression" dxfId="380" priority="62">
      <formula>$B$124&lt;9</formula>
    </cfRule>
  </conditionalFormatting>
  <conditionalFormatting sqref="AX136:BA136 AB136:AE136 D136:G136">
    <cfRule type="expression" dxfId="379" priority="61">
      <formula>$B$124&lt;10</formula>
    </cfRule>
  </conditionalFormatting>
  <conditionalFormatting sqref="AX137:BA137 AB137:AE137 D137:G137">
    <cfRule type="expression" dxfId="378" priority="60">
      <formula>$B$124&lt;11</formula>
    </cfRule>
  </conditionalFormatting>
  <conditionalFormatting sqref="AX138:BA138 AB138:AE138 D138:G138">
    <cfRule type="expression" dxfId="377" priority="59">
      <formula>$B$124&lt;12</formula>
    </cfRule>
  </conditionalFormatting>
  <conditionalFormatting sqref="AX139:BA139 AB139:AE139 D139:G139">
    <cfRule type="expression" dxfId="376" priority="58">
      <formula>$B$124&lt;13</formula>
    </cfRule>
  </conditionalFormatting>
  <conditionalFormatting sqref="AX140:BA140 AB140:AE140 D140:G140">
    <cfRule type="expression" dxfId="375" priority="57">
      <formula>$B$124&lt;14</formula>
    </cfRule>
  </conditionalFormatting>
  <conditionalFormatting sqref="AX141:BA141 AB141:AE141 D141:G141">
    <cfRule type="expression" dxfId="374" priority="56">
      <formula>$B$124&lt;15</formula>
    </cfRule>
  </conditionalFormatting>
  <conditionalFormatting sqref="AX142:BA142 AB142:AE142 D142:G142">
    <cfRule type="expression" dxfId="373" priority="55">
      <formula>$B$124&lt;16</formula>
    </cfRule>
  </conditionalFormatting>
  <conditionalFormatting sqref="AX143:BA143 AB143:AE143 D143:G143">
    <cfRule type="expression" dxfId="372" priority="54">
      <formula>$B$124&lt;17</formula>
    </cfRule>
  </conditionalFormatting>
  <conditionalFormatting sqref="AX144:BA144 AB144:AE144 D144:G144">
    <cfRule type="expression" dxfId="371" priority="53">
      <formula>$B$124&lt;18</formula>
    </cfRule>
  </conditionalFormatting>
  <conditionalFormatting sqref="AX145:BA145 AB145:AE145 D145:G145">
    <cfRule type="expression" dxfId="370" priority="52">
      <formula>$B$124&lt;19</formula>
    </cfRule>
  </conditionalFormatting>
  <conditionalFormatting sqref="AX146:BA146 AB146:AE146 D146:G146">
    <cfRule type="expression" dxfId="369" priority="51">
      <formula>$B$124&lt;20</formula>
    </cfRule>
  </conditionalFormatting>
  <conditionalFormatting sqref="AX147:BA147 AB147:AE147 D147:G147">
    <cfRule type="expression" dxfId="368" priority="50">
      <formula>$B$124&lt;21</formula>
    </cfRule>
  </conditionalFormatting>
  <conditionalFormatting sqref="AX148:BA148 AB148:AE148 D148:G148">
    <cfRule type="expression" dxfId="367" priority="49">
      <formula>$B$124&lt;22</formula>
    </cfRule>
  </conditionalFormatting>
  <conditionalFormatting sqref="AX149:BA149 AB149:AE149 D149:G149">
    <cfRule type="expression" dxfId="366" priority="34">
      <formula>$B$124&lt;23</formula>
    </cfRule>
  </conditionalFormatting>
  <conditionalFormatting sqref="AX150:BA150 AB150:AE150 D150:G150">
    <cfRule type="expression" dxfId="365" priority="20">
      <formula>$B$124&lt;24</formula>
    </cfRule>
  </conditionalFormatting>
  <conditionalFormatting sqref="E106">
    <cfRule type="expression" dxfId="364" priority="47" stopIfTrue="1">
      <formula>$B$103&lt;1</formula>
    </cfRule>
  </conditionalFormatting>
  <conditionalFormatting sqref="E107">
    <cfRule type="expression" dxfId="363" priority="46" stopIfTrue="1">
      <formula>$B$103&lt;2</formula>
    </cfRule>
  </conditionalFormatting>
  <conditionalFormatting sqref="E108">
    <cfRule type="expression" dxfId="362" priority="45" stopIfTrue="1">
      <formula>$B$103&lt;3</formula>
    </cfRule>
  </conditionalFormatting>
  <conditionalFormatting sqref="E109">
    <cfRule type="expression" dxfId="361" priority="44" stopIfTrue="1">
      <formula>$B$103&lt;4</formula>
    </cfRule>
  </conditionalFormatting>
  <conditionalFormatting sqref="E110">
    <cfRule type="expression" dxfId="360" priority="43" stopIfTrue="1">
      <formula>$B$103&lt;5</formula>
    </cfRule>
  </conditionalFormatting>
  <conditionalFormatting sqref="E111">
    <cfRule type="expression" dxfId="359" priority="42" stopIfTrue="1">
      <formula>$B$103&lt;6</formula>
    </cfRule>
  </conditionalFormatting>
  <conditionalFormatting sqref="E112">
    <cfRule type="expression" dxfId="358" priority="41" stopIfTrue="1">
      <formula>$B$103&lt;7</formula>
    </cfRule>
  </conditionalFormatting>
  <conditionalFormatting sqref="E113">
    <cfRule type="expression" dxfId="357" priority="40" stopIfTrue="1">
      <formula>$B$103&lt;8</formula>
    </cfRule>
  </conditionalFormatting>
  <conditionalFormatting sqref="E114">
    <cfRule type="expression" dxfId="356" priority="39" stopIfTrue="1">
      <formula>$B$103&lt;9</formula>
    </cfRule>
  </conditionalFormatting>
  <conditionalFormatting sqref="E115">
    <cfRule type="expression" dxfId="355" priority="38" stopIfTrue="1">
      <formula>$B$103&lt;10</formula>
    </cfRule>
  </conditionalFormatting>
  <conditionalFormatting sqref="E116">
    <cfRule type="expression" dxfId="354" priority="37" stopIfTrue="1">
      <formula>$B$103&lt;11</formula>
    </cfRule>
  </conditionalFormatting>
  <conditionalFormatting sqref="E117">
    <cfRule type="expression" dxfId="353" priority="36" stopIfTrue="1">
      <formula>$B$103&lt;12</formula>
    </cfRule>
  </conditionalFormatting>
  <conditionalFormatting sqref="AZ106:BA117 D86 B86">
    <cfRule type="cellIs" dxfId="352" priority="82" stopIfTrue="1" operator="lessThan">
      <formula>10</formula>
    </cfRule>
  </conditionalFormatting>
  <conditionalFormatting sqref="AZ127:BA150">
    <cfRule type="cellIs" dxfId="351" priority="71" stopIfTrue="1" operator="lessThan">
      <formula>10</formula>
    </cfRule>
  </conditionalFormatting>
  <conditionalFormatting sqref="F106:G106">
    <cfRule type="expression" dxfId="350" priority="33" stopIfTrue="1">
      <formula>$B$103&lt;1</formula>
    </cfRule>
  </conditionalFormatting>
  <conditionalFormatting sqref="F107:G107 J107:AB107">
    <cfRule type="expression" dxfId="349" priority="32" stopIfTrue="1">
      <formula>$B$103&lt;2</formula>
    </cfRule>
  </conditionalFormatting>
  <conditionalFormatting sqref="F108:G108 J108:AB108">
    <cfRule type="expression" dxfId="348" priority="31" stopIfTrue="1">
      <formula>$B$103&lt;3</formula>
    </cfRule>
  </conditionalFormatting>
  <conditionalFormatting sqref="F109:G109 J109:AB109">
    <cfRule type="expression" dxfId="347" priority="30" stopIfTrue="1">
      <formula>$B$103&lt;4</formula>
    </cfRule>
  </conditionalFormatting>
  <conditionalFormatting sqref="F110:G110 J110:AB110">
    <cfRule type="expression" dxfId="346" priority="29" stopIfTrue="1">
      <formula>$B$103&lt;5</formula>
    </cfRule>
  </conditionalFormatting>
  <conditionalFormatting sqref="F111:G111 J111:AB111">
    <cfRule type="expression" dxfId="345" priority="28" stopIfTrue="1">
      <formula>$B$103&lt;6</formula>
    </cfRule>
  </conditionalFormatting>
  <conditionalFormatting sqref="F112:G112 J112:AB112">
    <cfRule type="expression" dxfId="344" priority="27" stopIfTrue="1">
      <formula>$B$103&lt;7</formula>
    </cfRule>
  </conditionalFormatting>
  <conditionalFormatting sqref="F113:G113 J113:AB113">
    <cfRule type="expression" dxfId="343" priority="26" stopIfTrue="1">
      <formula>$B$103&lt;8</formula>
    </cfRule>
  </conditionalFormatting>
  <conditionalFormatting sqref="F114:G114 J114:AB114">
    <cfRule type="expression" dxfId="342" priority="25" stopIfTrue="1">
      <formula>$B$103&lt;9</formula>
    </cfRule>
  </conditionalFormatting>
  <conditionalFormatting sqref="F115:G115 J115:AB115">
    <cfRule type="expression" dxfId="341" priority="24" stopIfTrue="1">
      <formula>$B$103&lt;10</formula>
    </cfRule>
  </conditionalFormatting>
  <conditionalFormatting sqref="F116:G116 J116:AB116">
    <cfRule type="expression" dxfId="340" priority="23" stopIfTrue="1">
      <formula>$B$103&lt;11</formula>
    </cfRule>
  </conditionalFormatting>
  <conditionalFormatting sqref="F117:G117 J117:AB117">
    <cfRule type="expression" dxfId="339" priority="22" stopIfTrue="1">
      <formula>$B$103&lt;12</formula>
    </cfRule>
  </conditionalFormatting>
  <conditionalFormatting sqref="D106:D117">
    <cfRule type="cellIs" dxfId="338" priority="85" stopIfTrue="1" operator="notEqual">
      <formula>0</formula>
    </cfRule>
  </conditionalFormatting>
  <conditionalFormatting sqref="D127:D150">
    <cfRule type="cellIs" dxfId="337" priority="73" stopIfTrue="1" operator="notEqual">
      <formula>0</formula>
    </cfRule>
  </conditionalFormatting>
  <conditionalFormatting sqref="B68">
    <cfRule type="cellIs" dxfId="336" priority="19" stopIfTrue="1" operator="equal">
      <formula>"overload"</formula>
    </cfRule>
  </conditionalFormatting>
  <conditionalFormatting sqref="E68">
    <cfRule type="cellIs" dxfId="335" priority="17" stopIfTrue="1" operator="between">
      <formula>"OVERLOAD"</formula>
      <formula>"OVERLOAD"</formula>
    </cfRule>
  </conditionalFormatting>
  <conditionalFormatting sqref="Z106:AA106">
    <cfRule type="expression" dxfId="334" priority="16" stopIfTrue="1">
      <formula>$B$106&lt;1</formula>
    </cfRule>
  </conditionalFormatting>
  <conditionalFormatting sqref="AD107:AD117">
    <cfRule type="expression" dxfId="333" priority="11" stopIfTrue="1">
      <formula>$B$106&lt;1</formula>
    </cfRule>
  </conditionalFormatting>
  <conditionalFormatting sqref="AC106:AD106">
    <cfRule type="expression" dxfId="332" priority="15" stopIfTrue="1">
      <formula>$B$106&lt;1</formula>
    </cfRule>
  </conditionalFormatting>
  <conditionalFormatting sqref="AD106:AD117">
    <cfRule type="expression" dxfId="331" priority="14" stopIfTrue="1">
      <formula>$B$106&lt;1</formula>
    </cfRule>
  </conditionalFormatting>
  <conditionalFormatting sqref="AD107:AD117">
    <cfRule type="expression" dxfId="330" priority="13" stopIfTrue="1">
      <formula>$B$106&lt;1</formula>
    </cfRule>
  </conditionalFormatting>
  <conditionalFormatting sqref="AC107:AC117">
    <cfRule type="expression" dxfId="329" priority="12" stopIfTrue="1">
      <formula>$B$106&lt;1</formula>
    </cfRule>
  </conditionalFormatting>
  <conditionalFormatting sqref="AD107:AD117">
    <cfRule type="expression" dxfId="328" priority="10" stopIfTrue="1">
      <formula>$B$106&lt;1</formula>
    </cfRule>
  </conditionalFormatting>
  <conditionalFormatting sqref="AE106">
    <cfRule type="expression" dxfId="327" priority="9" stopIfTrue="1">
      <formula>$B$106&lt;1</formula>
    </cfRule>
  </conditionalFormatting>
  <conditionalFormatting sqref="AE107:AE117">
    <cfRule type="expression" dxfId="326" priority="8" stopIfTrue="1">
      <formula>$B$106&lt;1</formula>
    </cfRule>
  </conditionalFormatting>
  <conditionalFormatting sqref="C90">
    <cfRule type="cellIs" dxfId="325" priority="7" stopIfTrue="1" operator="between">
      <formula>"OVERLOAD"</formula>
      <formula>"OVERLOAD"</formula>
    </cfRule>
  </conditionalFormatting>
  <conditionalFormatting sqref="D100">
    <cfRule type="cellIs" dxfId="324" priority="5" stopIfTrue="1" operator="equal">
      <formula>"USE EXBAR VR AT THE BACK"</formula>
    </cfRule>
  </conditionalFormatting>
  <conditionalFormatting sqref="D99">
    <cfRule type="cellIs" dxfId="323" priority="6" stopIfTrue="1" operator="equal">
      <formula>"USE EXBAR VR AT THE FRONT"</formula>
    </cfRule>
  </conditionalFormatting>
  <conditionalFormatting sqref="BP63:CS63 BX82:CK82">
    <cfRule type="expression" dxfId="322" priority="3">
      <formula>$B$100=0</formula>
    </cfRule>
    <cfRule type="expression" dxfId="321" priority="90">
      <formula>$B$100=0</formula>
    </cfRule>
  </conditionalFormatting>
  <conditionalFormatting sqref="E86">
    <cfRule type="cellIs" dxfId="320" priority="2" stopIfTrue="1" operator="lessThan">
      <formula>10</formula>
    </cfRule>
  </conditionalFormatting>
  <conditionalFormatting sqref="B68 E68 B86 D86:E86">
    <cfRule type="expression" dxfId="319" priority="1">
      <formula>$BM$67=0</formula>
    </cfRule>
  </conditionalFormatting>
  <dataValidations count="9">
    <dataValidation type="decimal" operator="notEqual" allowBlank="1" showInputMessage="1" showErrorMessage="1" sqref="F90" xr:uid="{00000000-0002-0000-0C00-000000000000}">
      <formula1>90</formula1>
    </dataValidation>
    <dataValidation type="decimal" allowBlank="1" showInputMessage="1" showErrorMessage="1" sqref="B100" xr:uid="{00000000-0002-0000-0C00-000001000000}">
      <formula1>-89.9</formula1>
      <formula2>89.9</formula2>
    </dataValidation>
    <dataValidation type="custom" allowBlank="1" showInputMessage="1" showErrorMessage="1" sqref="D106:D117" xr:uid="{00000000-0002-0000-0C00-000002000000}">
      <formula1>OR(D106=0,D106=2.5,D106=5)</formula1>
    </dataValidation>
    <dataValidation type="decimal" allowBlank="1" showInputMessage="1" showErrorMessage="1" sqref="D128:D150" xr:uid="{00000000-0002-0000-0C00-000003000000}">
      <formula1>0</formula1>
      <formula2>10</formula2>
    </dataValidation>
    <dataValidation type="decimal" allowBlank="1" showInputMessage="1" showErrorMessage="1" sqref="D127" xr:uid="{00000000-0002-0000-0C00-000004000000}">
      <formula1>0</formula1>
      <formula2>5</formula2>
    </dataValidation>
    <dataValidation type="whole" allowBlank="1" showInputMessage="1" showErrorMessage="1" errorTitle="Coda Audio" error="YOU HAVE ENTERED A WRONG NUMBER OF CABINETS" promptTitle="Coda Audio" prompt="ENTER THE NUMBER OF CABINETS FROM 1 UP TO 24" sqref="B124" xr:uid="{00000000-0002-0000-0C00-000005000000}">
      <formula1>1</formula1>
      <formula2>24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03" xr:uid="{00000000-0002-0000-0C00-000006000000}">
      <formula1>0</formula1>
      <formula2>10</formula2>
    </dataValidation>
    <dataValidation type="decimal" allowBlank="1" showInputMessage="1" showErrorMessage="1" sqref="G107:G117 G128:G150 F108:F117 F129:F150" xr:uid="{00000000-0002-0000-0C00-000007000000}">
      <formula1>0</formula1>
      <formula2>8</formula2>
    </dataValidation>
    <dataValidation type="decimal" allowBlank="1" showInputMessage="1" showErrorMessage="1" sqref="F106:G106 F127:G127" xr:uid="{00000000-0002-0000-0C00-000008000000}">
      <formula1>0</formula1>
      <formula2>4</formula2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EF233"/>
  <sheetViews>
    <sheetView topLeftCell="A25" zoomScale="50" zoomScaleNormal="50" workbookViewId="0">
      <selection activeCell="B127" sqref="B127"/>
    </sheetView>
  </sheetViews>
  <sheetFormatPr baseColWidth="10" defaultColWidth="9.109375" defaultRowHeight="17.399999999999999" x14ac:dyDescent="0.3"/>
  <cols>
    <col min="1" max="1" width="1.5546875" style="474" customWidth="1"/>
    <col min="2" max="2" width="27.44140625" style="472" customWidth="1"/>
    <col min="3" max="3" width="19.5546875" style="472" hidden="1" customWidth="1"/>
    <col min="4" max="5" width="27.44140625" style="473" customWidth="1"/>
    <col min="6" max="6" width="48.6640625" style="473" hidden="1" customWidth="1"/>
    <col min="7" max="7" width="10" style="473" hidden="1" customWidth="1"/>
    <col min="8" max="11" width="17.5546875" style="466" hidden="1" customWidth="1"/>
    <col min="12" max="14" width="19.44140625" style="466" hidden="1" customWidth="1"/>
    <col min="15" max="15" width="8.6640625" style="466" hidden="1" customWidth="1"/>
    <col min="16" max="16" width="18.33203125" style="466" hidden="1" customWidth="1"/>
    <col min="17" max="17" width="19.5546875" style="466" hidden="1" customWidth="1"/>
    <col min="18" max="18" width="28" style="466" hidden="1" customWidth="1"/>
    <col min="19" max="19" width="18.33203125" style="466" hidden="1" customWidth="1"/>
    <col min="20" max="20" width="22.33203125" style="466" hidden="1" customWidth="1"/>
    <col min="21" max="21" width="14.88671875" style="466" hidden="1" customWidth="1"/>
    <col min="22" max="22" width="16.33203125" style="466" hidden="1" customWidth="1"/>
    <col min="23" max="23" width="17.5546875" style="466" hidden="1" customWidth="1"/>
    <col min="24" max="24" width="15" style="466" hidden="1" customWidth="1"/>
    <col min="25" max="25" width="14.44140625" style="466" hidden="1" customWidth="1"/>
    <col min="26" max="26" width="15" style="466" hidden="1" customWidth="1"/>
    <col min="27" max="27" width="17.33203125" style="466" hidden="1" customWidth="1"/>
    <col min="28" max="28" width="37.5546875" style="466" bestFit="1" customWidth="1"/>
    <col min="29" max="31" width="16.5546875" style="466" hidden="1" customWidth="1"/>
    <col min="32" max="32" width="46.5546875" style="466" hidden="1" customWidth="1"/>
    <col min="33" max="34" width="17" style="466" hidden="1" customWidth="1"/>
    <col min="35" max="35" width="20.88671875" style="466" hidden="1" customWidth="1"/>
    <col min="36" max="36" width="19.44140625" style="466" hidden="1" customWidth="1"/>
    <col min="37" max="37" width="22.44140625" style="466" hidden="1" customWidth="1"/>
    <col min="38" max="38" width="20.88671875" style="466" hidden="1" customWidth="1"/>
    <col min="39" max="39" width="19.44140625" style="466" hidden="1" customWidth="1"/>
    <col min="40" max="40" width="22.6640625" style="466" hidden="1" customWidth="1"/>
    <col min="41" max="41" width="33.6640625" style="466" hidden="1" customWidth="1"/>
    <col min="42" max="42" width="27.109375" style="466" hidden="1" customWidth="1"/>
    <col min="43" max="43" width="68.33203125" style="466" hidden="1" customWidth="1"/>
    <col min="44" max="44" width="22.6640625" style="466" hidden="1" customWidth="1"/>
    <col min="45" max="45" width="24.5546875" style="466" hidden="1" customWidth="1"/>
    <col min="46" max="46" width="33.6640625" style="466" hidden="1" customWidth="1"/>
    <col min="47" max="47" width="22.6640625" style="466" hidden="1" customWidth="1"/>
    <col min="48" max="49" width="24.5546875" style="466" hidden="1" customWidth="1"/>
    <col min="50" max="50" width="39" style="466" hidden="1" customWidth="1"/>
    <col min="51" max="51" width="13.88671875" style="466" hidden="1" customWidth="1"/>
    <col min="52" max="53" width="14" style="466" customWidth="1"/>
    <col min="54" max="54" width="91" style="474" hidden="1" customWidth="1"/>
    <col min="55" max="55" width="14.44140625" style="474" hidden="1" customWidth="1"/>
    <col min="56" max="57" width="9.33203125" style="474" hidden="1" customWidth="1"/>
    <col min="58" max="58" width="4" style="474" hidden="1" customWidth="1"/>
    <col min="59" max="59" width="4.88671875" style="474" hidden="1" customWidth="1"/>
    <col min="60" max="60" width="9.44140625" style="474" hidden="1" customWidth="1"/>
    <col min="61" max="62" width="17" style="474" hidden="1" customWidth="1"/>
    <col min="63" max="64" width="16.33203125" style="474" hidden="1" customWidth="1"/>
    <col min="65" max="65" width="17.88671875" style="474" hidden="1" customWidth="1"/>
    <col min="66" max="66" width="20.109375" style="474" hidden="1" customWidth="1"/>
    <col min="67" max="67" width="44.33203125" style="474" customWidth="1"/>
    <col min="68" max="97" width="7.88671875" style="474" customWidth="1"/>
    <col min="98" max="98" width="10.44140625" style="474" hidden="1" customWidth="1"/>
    <col min="99" max="99" width="17.6640625" style="474" hidden="1" customWidth="1"/>
    <col min="100" max="100" width="21.88671875" style="474" hidden="1" customWidth="1"/>
    <col min="101" max="101" width="9.109375" style="474" hidden="1" customWidth="1"/>
    <col min="102" max="102" width="41.44140625" style="474" hidden="1" customWidth="1"/>
    <col min="103" max="126" width="6.5546875" style="474" hidden="1" customWidth="1"/>
    <col min="127" max="132" width="6.5546875" style="474" customWidth="1"/>
    <col min="133" max="135" width="9.109375" style="474"/>
    <col min="136" max="136" width="11.44140625" style="474" customWidth="1"/>
    <col min="137" max="137" width="9.33203125" style="474" customWidth="1"/>
    <col min="138" max="16384" width="9.109375" style="474"/>
  </cols>
  <sheetData>
    <row r="1" spans="2:6" ht="18" hidden="1" customHeight="1" x14ac:dyDescent="0.3">
      <c r="D1" s="1183" t="s">
        <v>202</v>
      </c>
      <c r="E1" s="1183" t="s">
        <v>203</v>
      </c>
      <c r="F1" s="1183" t="s">
        <v>204</v>
      </c>
    </row>
    <row r="2" spans="2:6" ht="20.25" hidden="1" customHeight="1" x14ac:dyDescent="0.4">
      <c r="B2" s="1005" t="s">
        <v>29</v>
      </c>
      <c r="C2" s="1284">
        <v>650</v>
      </c>
      <c r="D2" s="1177">
        <f>+COS(($B$101*-1)*3.14159265358979/180)*C2</f>
        <v>650</v>
      </c>
      <c r="E2" s="1035">
        <f>+COS(($B$101*-1)*3.14159265358979/180)*50</f>
        <v>50</v>
      </c>
      <c r="F2" s="1035">
        <f>+COS((($B$101*-1)+58.1516306)*3.14159265358979/180)*91.9127</f>
        <v>48.499858560820385</v>
      </c>
    </row>
    <row r="3" spans="2:6" ht="20.25" hidden="1" customHeight="1" x14ac:dyDescent="0.4">
      <c r="B3" s="1005" t="s">
        <v>99</v>
      </c>
      <c r="C3" s="1284">
        <f>+C9-48.5</f>
        <v>169.69407832640624</v>
      </c>
      <c r="D3" s="1177">
        <f>+C9-F2</f>
        <v>169.69421976558584</v>
      </c>
    </row>
    <row r="4" spans="2:6" ht="54.75" hidden="1" customHeight="1" x14ac:dyDescent="0.4">
      <c r="B4" s="1007" t="s">
        <v>40</v>
      </c>
      <c r="C4" s="1283">
        <v>1050</v>
      </c>
      <c r="D4" s="1177">
        <f>+COS(($B$101*-1)*3.14159265358979/180)*C4</f>
        <v>1050</v>
      </c>
    </row>
    <row r="5" spans="2:6" ht="54.75" hidden="1" customHeight="1" x14ac:dyDescent="0.4">
      <c r="B5" s="1007" t="s">
        <v>206</v>
      </c>
      <c r="C5" s="1283">
        <f>+C9+401.5</f>
        <v>619.69407832640627</v>
      </c>
      <c r="D5" s="1177">
        <f>+(COS(($B$101*-1)*3.14159265358979/180)*400)+$D$3</f>
        <v>569.69421976558579</v>
      </c>
    </row>
    <row r="6" spans="2:6" hidden="1" x14ac:dyDescent="0.3">
      <c r="B6" s="464"/>
      <c r="C6" s="464"/>
    </row>
    <row r="7" spans="2:6" hidden="1" x14ac:dyDescent="0.3">
      <c r="B7" s="1281" t="s">
        <v>18</v>
      </c>
      <c r="C7" s="1282">
        <f>+C11+C14+30+4.3</f>
        <v>191.8</v>
      </c>
    </row>
    <row r="8" spans="2:6" hidden="1" x14ac:dyDescent="0.3">
      <c r="B8" s="1281" t="s">
        <v>19</v>
      </c>
      <c r="C8" s="1281">
        <f>+AR107</f>
        <v>746.99500648721551</v>
      </c>
    </row>
    <row r="9" spans="2:6" hidden="1" x14ac:dyDescent="0.3">
      <c r="B9" s="1281" t="s">
        <v>14</v>
      </c>
      <c r="C9" s="1281">
        <f>+AO107</f>
        <v>218.19407832640624</v>
      </c>
    </row>
    <row r="10" spans="2:6" hidden="1" x14ac:dyDescent="0.3"/>
    <row r="11" spans="2:6" hidden="1" x14ac:dyDescent="0.3">
      <c r="B11" s="1279" t="s">
        <v>219</v>
      </c>
      <c r="C11" s="1280">
        <f>+B104*72+30</f>
        <v>102</v>
      </c>
    </row>
    <row r="12" spans="2:6" hidden="1" x14ac:dyDescent="0.3">
      <c r="B12" s="1279" t="s">
        <v>218</v>
      </c>
      <c r="C12" s="1278">
        <v>747</v>
      </c>
      <c r="D12" s="490"/>
    </row>
    <row r="13" spans="2:6" hidden="1" x14ac:dyDescent="0.3">
      <c r="D13" s="490"/>
    </row>
    <row r="14" spans="2:6" hidden="1" x14ac:dyDescent="0.3">
      <c r="B14" s="1091" t="s">
        <v>101</v>
      </c>
      <c r="C14" s="1277">
        <f>(+B125*25.5)+30</f>
        <v>55.5</v>
      </c>
      <c r="D14" s="490"/>
    </row>
    <row r="15" spans="2:6" hidden="1" x14ac:dyDescent="0.3">
      <c r="B15" s="1091" t="s">
        <v>103</v>
      </c>
      <c r="C15" s="1277">
        <v>326.60000000000002</v>
      </c>
      <c r="D15" s="490"/>
    </row>
    <row r="16" spans="2:6" hidden="1" x14ac:dyDescent="0.3">
      <c r="B16" s="491"/>
      <c r="C16" s="491"/>
      <c r="D16" s="490"/>
    </row>
    <row r="17" spans="2:136" hidden="1" x14ac:dyDescent="0.3">
      <c r="B17" s="491"/>
      <c r="C17" s="491"/>
      <c r="D17" s="490"/>
    </row>
    <row r="18" spans="2:136" ht="34.799999999999997" hidden="1" x14ac:dyDescent="0.3">
      <c r="B18" s="1026" t="s">
        <v>120</v>
      </c>
      <c r="C18" s="1091">
        <v>5800</v>
      </c>
      <c r="D18" s="1091">
        <v>10000</v>
      </c>
    </row>
    <row r="19" spans="2:136" ht="34.799999999999997" hidden="1" x14ac:dyDescent="0.3">
      <c r="B19" s="1026" t="s">
        <v>121</v>
      </c>
      <c r="C19" s="1091">
        <v>5800</v>
      </c>
      <c r="D19" s="1091">
        <v>5800</v>
      </c>
    </row>
    <row r="20" spans="2:136" ht="34.799999999999997" hidden="1" x14ac:dyDescent="0.3">
      <c r="B20" s="1026" t="s">
        <v>169</v>
      </c>
      <c r="C20" s="1091">
        <v>8000</v>
      </c>
      <c r="D20" s="1091">
        <v>8000</v>
      </c>
      <c r="E20" s="1170">
        <v>8000</v>
      </c>
    </row>
    <row r="21" spans="2:136" hidden="1" x14ac:dyDescent="0.3">
      <c r="B21" s="1091"/>
      <c r="C21" s="1091" t="s">
        <v>22</v>
      </c>
      <c r="D21" s="1091" t="s">
        <v>23</v>
      </c>
    </row>
    <row r="22" spans="2:136" hidden="1" x14ac:dyDescent="0.3">
      <c r="B22" s="1276" t="s">
        <v>102</v>
      </c>
      <c r="C22" s="1091">
        <f>+((C8-C9)/C8)*C7</f>
        <v>135.77603215608517</v>
      </c>
      <c r="D22" s="1091">
        <f>+(C9/C8)*C7</f>
        <v>56.023967843914839</v>
      </c>
    </row>
    <row r="23" spans="2:136" hidden="1" x14ac:dyDescent="0.3"/>
    <row r="24" spans="2:136" hidden="1" x14ac:dyDescent="0.3"/>
    <row r="26" spans="2:136" s="466" customFormat="1" ht="21.6" thickBot="1" x14ac:dyDescent="0.45">
      <c r="B26" s="464"/>
      <c r="C26" s="464"/>
      <c r="D26" s="465"/>
      <c r="E26" s="465"/>
      <c r="F26" s="465"/>
      <c r="G26" s="465"/>
      <c r="BC26" s="1275"/>
      <c r="BD26" s="471"/>
      <c r="BE26" s="465"/>
      <c r="BF26" s="465"/>
      <c r="BG26" s="465"/>
      <c r="BH26" s="465"/>
      <c r="BI26" s="465"/>
      <c r="BJ26" s="465"/>
      <c r="BK26" s="465"/>
      <c r="BL26" s="465"/>
      <c r="BM26" s="465"/>
      <c r="BN26" s="465"/>
      <c r="BO26" s="1169" t="s">
        <v>28</v>
      </c>
      <c r="BP26" s="2064">
        <f>+C7</f>
        <v>191.8</v>
      </c>
      <c r="BQ26" s="2064"/>
      <c r="BR26" s="1096" t="s">
        <v>17</v>
      </c>
      <c r="BS26" s="1093"/>
      <c r="BT26" s="1168" t="s">
        <v>217</v>
      </c>
      <c r="BU26" s="1094"/>
      <c r="BV26" s="1094"/>
      <c r="BW26" s="1094"/>
      <c r="BX26" s="1094"/>
      <c r="BY26" s="1094"/>
      <c r="BZ26" s="1094"/>
      <c r="CA26" s="1094"/>
      <c r="CB26" s="1094"/>
      <c r="CC26" s="1094"/>
      <c r="CD26" s="1094"/>
      <c r="CE26" s="1094"/>
      <c r="CF26" s="1094"/>
      <c r="CG26" s="1094"/>
      <c r="CH26" s="1094"/>
      <c r="CI26" s="1094"/>
      <c r="CJ26" s="1094"/>
      <c r="CK26" s="1094"/>
      <c r="CL26" s="1043"/>
      <c r="CM26" s="1043"/>
      <c r="CN26" s="1053"/>
      <c r="CQ26" s="474"/>
      <c r="CR26" s="474"/>
      <c r="CS26" s="474"/>
      <c r="CT26" s="474"/>
      <c r="CU26" s="474"/>
      <c r="CV26" s="474"/>
      <c r="CW26" s="474"/>
      <c r="CX26" s="474"/>
      <c r="CY26" s="474"/>
      <c r="CZ26" s="474"/>
      <c r="DA26" s="474"/>
      <c r="DB26" s="474"/>
      <c r="DC26" s="474"/>
      <c r="DD26" s="474"/>
      <c r="DE26" s="474"/>
      <c r="DF26" s="474"/>
      <c r="DG26" s="474"/>
      <c r="DH26" s="474"/>
      <c r="DI26" s="474"/>
      <c r="DJ26" s="474"/>
      <c r="DK26" s="474"/>
      <c r="DL26" s="474"/>
      <c r="DM26" s="474"/>
      <c r="DN26" s="474"/>
      <c r="DO26" s="474"/>
      <c r="DP26" s="474"/>
      <c r="DQ26" s="474"/>
      <c r="DR26" s="474"/>
      <c r="DS26" s="474"/>
      <c r="DT26" s="474"/>
      <c r="DU26" s="474"/>
      <c r="DV26" s="474"/>
      <c r="DW26" s="474"/>
      <c r="DX26" s="474"/>
      <c r="DY26" s="474"/>
      <c r="DZ26" s="474"/>
      <c r="EA26" s="474"/>
      <c r="EB26" s="474"/>
      <c r="EC26" s="474"/>
      <c r="ED26" s="474"/>
      <c r="EE26" s="474"/>
      <c r="EF26" s="474"/>
    </row>
    <row r="27" spans="2:136" ht="25.2" x14ac:dyDescent="0.45">
      <c r="U27" s="493"/>
      <c r="BC27" s="475"/>
      <c r="BE27" s="473"/>
      <c r="BF27" s="475"/>
      <c r="BG27" s="475"/>
      <c r="BH27" s="475"/>
      <c r="BI27" s="475"/>
      <c r="BJ27" s="475"/>
      <c r="BK27" s="475"/>
      <c r="BL27" s="475"/>
      <c r="BM27" s="475"/>
      <c r="BN27" s="475"/>
      <c r="BO27" s="1167" t="s">
        <v>30</v>
      </c>
      <c r="BP27" s="1166" t="s">
        <v>31</v>
      </c>
      <c r="BQ27" s="1001"/>
      <c r="BR27" s="1001"/>
      <c r="BS27" s="1001"/>
      <c r="BT27" s="1001"/>
      <c r="BU27" s="1001"/>
      <c r="BV27" s="1001"/>
      <c r="BW27" s="1001"/>
      <c r="BX27" s="1001"/>
      <c r="BY27" s="1001"/>
      <c r="BZ27" s="1001"/>
      <c r="CA27" s="1001"/>
      <c r="CB27" s="1001"/>
      <c r="CC27" s="1001"/>
      <c r="CD27" s="1001"/>
      <c r="CE27" s="1001"/>
      <c r="CF27" s="1001"/>
      <c r="CG27" s="1001"/>
      <c r="CH27" s="594"/>
      <c r="CI27" s="1274"/>
      <c r="CJ27" s="1274"/>
      <c r="CK27" s="1162" t="s">
        <v>32</v>
      </c>
      <c r="CL27" s="2071"/>
      <c r="CM27" s="2072"/>
      <c r="CN27" s="2072"/>
      <c r="CO27" s="2072"/>
      <c r="CP27" s="2072"/>
      <c r="CQ27" s="2072"/>
      <c r="CR27" s="2072"/>
      <c r="CS27" s="2073"/>
    </row>
    <row r="28" spans="2:136" ht="32.25" customHeight="1" thickBot="1" x14ac:dyDescent="0.5">
      <c r="BE28" s="473"/>
      <c r="BF28" s="475"/>
      <c r="BG28" s="475"/>
      <c r="BH28" s="475"/>
      <c r="BI28" s="475"/>
      <c r="BJ28" s="475"/>
      <c r="BK28" s="475"/>
      <c r="BL28" s="475"/>
      <c r="BM28" s="475"/>
      <c r="BN28" s="1896">
        <f>+IF(AND(CJ28&gt;0,BP28&gt;0),BP28)</f>
        <v>87.735855856152995</v>
      </c>
      <c r="BO28" s="1890" t="s">
        <v>78</v>
      </c>
      <c r="BP28" s="2083">
        <f>+((D4-D5)/D4)*C7</f>
        <v>87.735855856152995</v>
      </c>
      <c r="BQ28" s="2084"/>
      <c r="BR28" s="1273"/>
      <c r="BS28" s="1273"/>
      <c r="BT28" s="1273"/>
      <c r="BU28" s="1273"/>
      <c r="BV28" s="1273"/>
      <c r="BW28" s="1273"/>
      <c r="BX28" s="1273"/>
      <c r="BY28" s="1273"/>
      <c r="BZ28" s="1273"/>
      <c r="CA28" s="1273"/>
      <c r="CB28" s="1273"/>
      <c r="CC28" s="1273"/>
      <c r="CD28" s="1273"/>
      <c r="CE28" s="1273"/>
      <c r="CF28" s="1273"/>
      <c r="CG28" s="1273"/>
      <c r="CH28" s="586"/>
      <c r="CI28" s="1272"/>
      <c r="CJ28" s="2081">
        <f>+(D5/D4)*C7</f>
        <v>104.06414414384702</v>
      </c>
      <c r="CK28" s="2082"/>
      <c r="CL28" s="2074"/>
      <c r="CM28" s="2075"/>
      <c r="CN28" s="2075"/>
      <c r="CO28" s="2075"/>
      <c r="CP28" s="2075"/>
      <c r="CQ28" s="2075"/>
      <c r="CR28" s="2075"/>
      <c r="CS28" s="2076"/>
      <c r="CT28" s="1897">
        <f>+IF(AND(BP28&gt;0,CJ28&gt;0),CJ28)</f>
        <v>104.06414414384702</v>
      </c>
    </row>
    <row r="29" spans="2:136" s="506" customFormat="1" ht="9" customHeight="1" thickBot="1" x14ac:dyDescent="0.5">
      <c r="B29" s="515"/>
      <c r="C29" s="515"/>
      <c r="D29" s="516"/>
      <c r="E29" s="516"/>
      <c r="F29" s="516"/>
      <c r="G29" s="516"/>
      <c r="H29" s="471"/>
      <c r="I29" s="471"/>
      <c r="J29" s="471"/>
      <c r="K29" s="471"/>
      <c r="L29" s="471"/>
      <c r="M29" s="471"/>
      <c r="N29" s="471"/>
      <c r="O29" s="471"/>
      <c r="P29" s="471"/>
      <c r="Q29" s="471"/>
      <c r="R29" s="471"/>
      <c r="S29" s="471"/>
      <c r="T29" s="471"/>
      <c r="U29" s="471"/>
      <c r="V29" s="471"/>
      <c r="W29" s="471"/>
      <c r="X29" s="471"/>
      <c r="Y29" s="471"/>
      <c r="Z29" s="471"/>
      <c r="AA29" s="471"/>
      <c r="AB29" s="471"/>
      <c r="AC29" s="471"/>
      <c r="AD29" s="471"/>
      <c r="AE29" s="471"/>
      <c r="AF29" s="471"/>
      <c r="AG29" s="471"/>
      <c r="AH29" s="471"/>
      <c r="AI29" s="471"/>
      <c r="AJ29" s="471"/>
      <c r="AK29" s="471"/>
      <c r="AL29" s="471"/>
      <c r="AM29" s="471"/>
      <c r="AN29" s="471"/>
      <c r="AO29" s="471"/>
      <c r="AP29" s="471"/>
      <c r="AQ29" s="471"/>
      <c r="AR29" s="471"/>
      <c r="AS29" s="471"/>
      <c r="AT29" s="471"/>
      <c r="AU29" s="471"/>
      <c r="AV29" s="471"/>
      <c r="AW29" s="471"/>
      <c r="AX29" s="471"/>
      <c r="AY29" s="471"/>
      <c r="AZ29" s="471"/>
      <c r="BA29" s="471"/>
      <c r="BE29" s="516"/>
      <c r="BF29" s="475"/>
      <c r="BG29" s="475"/>
      <c r="BH29" s="475"/>
      <c r="BI29" s="475"/>
      <c r="BJ29" s="475"/>
      <c r="BK29" s="475"/>
      <c r="BL29" s="475"/>
      <c r="BM29" s="475"/>
      <c r="BN29" s="1624"/>
      <c r="BO29" s="1898"/>
      <c r="BP29" s="1894"/>
      <c r="BQ29" s="1894"/>
      <c r="BR29" s="1002"/>
      <c r="BS29" s="1002"/>
      <c r="BT29" s="1002"/>
      <c r="BU29" s="1002"/>
      <c r="BV29" s="1002"/>
      <c r="BW29" s="1002"/>
      <c r="BX29" s="1002"/>
      <c r="BY29" s="1002"/>
      <c r="BZ29" s="1002"/>
      <c r="CA29" s="1002"/>
      <c r="CB29" s="1002"/>
      <c r="CC29" s="1002"/>
      <c r="CD29" s="1002"/>
      <c r="CE29" s="1002"/>
      <c r="CF29" s="1002"/>
      <c r="CG29" s="1002"/>
      <c r="CI29" s="495"/>
      <c r="CJ29" s="1895"/>
      <c r="CK29" s="1899"/>
      <c r="CL29" s="1900"/>
      <c r="CM29" s="1900"/>
      <c r="CN29" s="1900"/>
      <c r="CO29" s="1900"/>
      <c r="CP29" s="1900"/>
      <c r="CQ29" s="1900"/>
      <c r="CR29" s="1900"/>
      <c r="CS29" s="1900"/>
      <c r="CT29" s="1601"/>
      <c r="CU29" s="516"/>
      <c r="CV29" s="516"/>
      <c r="CW29" s="516"/>
      <c r="CX29" s="516"/>
      <c r="CY29" s="516"/>
      <c r="CZ29" s="516"/>
      <c r="DA29" s="516"/>
      <c r="DB29" s="516"/>
      <c r="DC29" s="516"/>
      <c r="DD29" s="516"/>
      <c r="DE29" s="516"/>
      <c r="DF29" s="516"/>
      <c r="DG29" s="516"/>
      <c r="DH29" s="516"/>
      <c r="DI29" s="516"/>
      <c r="DJ29" s="516"/>
      <c r="DK29" s="516"/>
      <c r="DL29" s="516"/>
      <c r="DM29" s="516"/>
      <c r="DN29" s="516"/>
      <c r="DO29" s="516"/>
      <c r="DP29" s="516"/>
      <c r="DQ29" s="516"/>
      <c r="DR29" s="516"/>
      <c r="DS29" s="516"/>
      <c r="DT29" s="516"/>
      <c r="DU29" s="516"/>
      <c r="DV29" s="516"/>
      <c r="DW29" s="516"/>
      <c r="DX29" s="516"/>
    </row>
    <row r="30" spans="2:136" ht="25.2" x14ac:dyDescent="0.45">
      <c r="F30" s="479"/>
      <c r="G30" s="479"/>
      <c r="BE30" s="473"/>
      <c r="BF30" s="475"/>
      <c r="BG30" s="475"/>
      <c r="BH30" s="475"/>
      <c r="BI30" s="475"/>
      <c r="BJ30" s="475"/>
      <c r="BK30" s="475"/>
      <c r="BL30" s="475"/>
      <c r="BM30" s="475"/>
      <c r="BN30" s="475"/>
      <c r="BO30" s="1159" t="s">
        <v>30</v>
      </c>
      <c r="BP30" s="2071"/>
      <c r="BQ30" s="2072"/>
      <c r="BR30" s="2072"/>
      <c r="BS30" s="2072"/>
      <c r="BT30" s="2072"/>
      <c r="BU30" s="2072"/>
      <c r="BV30" s="2072"/>
      <c r="BW30" s="2073"/>
      <c r="BX30" s="1158" t="s">
        <v>31</v>
      </c>
      <c r="BY30" s="1003"/>
      <c r="BZ30" s="1003"/>
      <c r="CA30" s="1003"/>
      <c r="CB30" s="1003"/>
      <c r="CC30" s="1003"/>
      <c r="CD30" s="1003"/>
      <c r="CE30" s="1003"/>
      <c r="CF30" s="1003"/>
      <c r="CG30" s="1003"/>
      <c r="CH30" s="1003"/>
      <c r="CI30" s="1003"/>
      <c r="CJ30" s="1003"/>
      <c r="CK30" s="594"/>
      <c r="CL30" s="1003"/>
      <c r="CM30" s="594"/>
      <c r="CN30" s="1271"/>
      <c r="CO30" s="594"/>
      <c r="CP30" s="594"/>
      <c r="CQ30" s="594"/>
      <c r="CR30" s="594"/>
      <c r="CS30" s="1155" t="s">
        <v>32</v>
      </c>
    </row>
    <row r="31" spans="2:136" ht="33" customHeight="1" thickBot="1" x14ac:dyDescent="0.5">
      <c r="H31" s="465"/>
      <c r="I31" s="465"/>
      <c r="J31" s="465"/>
      <c r="K31" s="465"/>
      <c r="L31" s="465"/>
      <c r="M31" s="465"/>
      <c r="N31" s="465"/>
      <c r="O31" s="465"/>
      <c r="P31" s="465"/>
      <c r="Q31" s="465"/>
      <c r="R31" s="465"/>
      <c r="S31" s="465"/>
      <c r="T31" s="465"/>
      <c r="AF31" s="465"/>
      <c r="AG31" s="465"/>
      <c r="AH31" s="465"/>
      <c r="AI31" s="465"/>
      <c r="AJ31" s="465"/>
      <c r="AK31" s="465"/>
      <c r="AL31" s="465"/>
      <c r="AM31" s="465"/>
      <c r="AN31" s="465"/>
      <c r="AO31" s="465"/>
      <c r="AP31" s="465"/>
      <c r="AQ31" s="465"/>
      <c r="AR31" s="465"/>
      <c r="AS31" s="465"/>
      <c r="AT31" s="465"/>
      <c r="AU31" s="465"/>
      <c r="AV31" s="465"/>
      <c r="AW31" s="465"/>
      <c r="AX31" s="465"/>
      <c r="AY31" s="465"/>
      <c r="AZ31" s="465"/>
      <c r="BA31" s="465"/>
      <c r="BB31" s="473"/>
      <c r="BE31" s="473"/>
      <c r="BF31" s="473"/>
      <c r="BG31" s="473"/>
      <c r="BH31" s="473"/>
      <c r="BI31" s="473"/>
      <c r="BJ31" s="473"/>
      <c r="BK31" s="473"/>
      <c r="BL31" s="473"/>
      <c r="BM31" s="473"/>
      <c r="BN31" s="1347">
        <f>+IF(AND(CR31&gt;0,BX31&gt;0),BX31)</f>
        <v>160.80252252281966</v>
      </c>
      <c r="BO31" s="1891" t="s">
        <v>79</v>
      </c>
      <c r="BP31" s="2074"/>
      <c r="BQ31" s="2075"/>
      <c r="BR31" s="2075"/>
      <c r="BS31" s="2075"/>
      <c r="BT31" s="2075"/>
      <c r="BU31" s="2075"/>
      <c r="BV31" s="2075"/>
      <c r="BW31" s="2076"/>
      <c r="BX31" s="2094">
        <f>+((D4-D3)/D4)*C7</f>
        <v>160.80252252281966</v>
      </c>
      <c r="BY31" s="2095"/>
      <c r="BZ31" s="1004"/>
      <c r="CA31" s="1004"/>
      <c r="CB31" s="1004"/>
      <c r="CC31" s="1004"/>
      <c r="CD31" s="1004"/>
      <c r="CE31" s="1004"/>
      <c r="CF31" s="1004"/>
      <c r="CG31" s="1004"/>
      <c r="CH31" s="1004"/>
      <c r="CI31" s="1004"/>
      <c r="CJ31" s="1004"/>
      <c r="CK31" s="586"/>
      <c r="CL31" s="1004"/>
      <c r="CM31" s="586"/>
      <c r="CN31" s="1270"/>
      <c r="CO31" s="586"/>
      <c r="CP31" s="586"/>
      <c r="CQ31" s="586"/>
      <c r="CR31" s="2092">
        <f>+(D3/D4)*C7</f>
        <v>30.997477477180347</v>
      </c>
      <c r="CS31" s="2093"/>
      <c r="CT31" s="1347">
        <f>+IF(AND(BX31&gt;0,CR31&gt;0),CR31)</f>
        <v>30.997477477180347</v>
      </c>
    </row>
    <row r="32" spans="2:136" ht="10.5" customHeight="1" thickBot="1" x14ac:dyDescent="0.4">
      <c r="H32" s="465"/>
      <c r="I32" s="465"/>
      <c r="J32" s="465"/>
      <c r="K32" s="465"/>
      <c r="L32" s="465"/>
      <c r="M32" s="465"/>
      <c r="N32" s="465"/>
      <c r="O32" s="465"/>
      <c r="P32" s="465"/>
      <c r="Q32" s="465"/>
      <c r="R32" s="465"/>
      <c r="S32" s="465"/>
      <c r="T32" s="465"/>
      <c r="AF32" s="465"/>
      <c r="AG32" s="465"/>
      <c r="AH32" s="465"/>
      <c r="AI32" s="465"/>
      <c r="AJ32" s="465"/>
      <c r="AK32" s="465"/>
      <c r="AL32" s="465"/>
      <c r="AM32" s="465"/>
      <c r="AN32" s="465"/>
      <c r="AO32" s="465"/>
      <c r="AP32" s="465"/>
      <c r="AQ32" s="465"/>
      <c r="AR32" s="465"/>
      <c r="AS32" s="465"/>
      <c r="AT32" s="465"/>
      <c r="AU32" s="465"/>
      <c r="AV32" s="465"/>
      <c r="AW32" s="465"/>
      <c r="AX32" s="465"/>
      <c r="AY32" s="465"/>
      <c r="AZ32" s="465"/>
      <c r="BA32" s="465"/>
      <c r="BB32" s="473"/>
      <c r="BE32" s="473"/>
      <c r="BF32" s="493"/>
      <c r="BG32" s="493"/>
      <c r="BH32" s="493"/>
      <c r="BI32" s="493"/>
      <c r="BJ32" s="493"/>
      <c r="BK32" s="493"/>
      <c r="BL32" s="493"/>
      <c r="BM32" s="493"/>
      <c r="BN32" s="493"/>
      <c r="BO32" s="1093"/>
      <c r="BP32" s="1053"/>
      <c r="BQ32" s="1053"/>
      <c r="BR32" s="1053"/>
      <c r="BS32" s="1053"/>
      <c r="BT32" s="1053"/>
      <c r="BU32" s="1053"/>
      <c r="BV32" s="1053"/>
      <c r="BW32" s="1053"/>
      <c r="BX32" s="1053"/>
      <c r="BY32" s="1053"/>
      <c r="BZ32" s="1053"/>
      <c r="CA32" s="1053"/>
      <c r="CB32" s="1053"/>
      <c r="CC32" s="1053"/>
      <c r="CD32" s="1053"/>
      <c r="CE32" s="1053"/>
      <c r="CF32" s="1053"/>
      <c r="CG32" s="1053"/>
      <c r="CH32" s="1053"/>
      <c r="CI32" s="1053"/>
      <c r="CJ32" s="1053"/>
      <c r="CK32" s="1053"/>
      <c r="CL32" s="1053"/>
      <c r="CM32" s="1053"/>
      <c r="CN32" s="1053"/>
      <c r="CQ32" s="473"/>
      <c r="CR32" s="473"/>
      <c r="CS32" s="473"/>
      <c r="CT32" s="473"/>
      <c r="CU32" s="473"/>
      <c r="CV32" s="473"/>
      <c r="CW32" s="473"/>
      <c r="CX32" s="473"/>
      <c r="CY32" s="473"/>
      <c r="CZ32" s="473"/>
      <c r="DA32" s="473"/>
      <c r="DB32" s="473"/>
      <c r="DC32" s="473"/>
      <c r="DD32" s="473"/>
      <c r="DE32" s="473"/>
      <c r="DF32" s="473"/>
      <c r="DG32" s="473"/>
      <c r="DH32" s="473"/>
      <c r="DI32" s="473"/>
      <c r="DJ32" s="473"/>
      <c r="DK32" s="473"/>
      <c r="DL32" s="473"/>
      <c r="DM32" s="473"/>
      <c r="DN32" s="473"/>
      <c r="DO32" s="473"/>
      <c r="DP32" s="473"/>
      <c r="DQ32" s="473"/>
      <c r="DR32" s="473"/>
      <c r="DS32" s="473"/>
      <c r="DT32" s="473"/>
      <c r="DU32" s="473"/>
      <c r="DV32" s="473"/>
      <c r="DW32" s="473"/>
      <c r="DX32" s="473"/>
      <c r="DY32" s="473"/>
      <c r="DZ32" s="473"/>
      <c r="EA32" s="473"/>
      <c r="EB32" s="473"/>
      <c r="EC32" s="473"/>
      <c r="ED32" s="473"/>
      <c r="EE32" s="473"/>
      <c r="EF32" s="473"/>
    </row>
    <row r="33" spans="5:97" ht="26.25" hidden="1" customHeight="1" thickBot="1" x14ac:dyDescent="0.4">
      <c r="E33" s="490"/>
      <c r="F33" s="490"/>
      <c r="G33" s="490"/>
      <c r="H33" s="465"/>
      <c r="I33" s="465"/>
      <c r="J33" s="465"/>
      <c r="K33" s="465"/>
      <c r="L33" s="465"/>
      <c r="M33" s="465"/>
      <c r="N33" s="465"/>
      <c r="O33" s="465"/>
      <c r="P33" s="465"/>
      <c r="Q33" s="465"/>
      <c r="R33" s="465"/>
      <c r="S33" s="465"/>
      <c r="T33" s="465"/>
      <c r="U33" s="465"/>
      <c r="V33" s="465"/>
      <c r="W33" s="465"/>
      <c r="X33" s="465"/>
      <c r="Y33" s="465"/>
      <c r="Z33" s="465"/>
      <c r="AA33" s="465"/>
      <c r="AB33" s="465"/>
      <c r="AC33" s="465"/>
      <c r="AD33" s="465"/>
      <c r="AE33" s="465"/>
      <c r="AF33" s="465"/>
      <c r="AG33" s="465"/>
      <c r="AH33" s="465"/>
      <c r="AI33" s="465"/>
      <c r="AJ33" s="465"/>
      <c r="AK33" s="465"/>
      <c r="AL33" s="465"/>
      <c r="AM33" s="465"/>
      <c r="AN33" s="465"/>
      <c r="AO33" s="465"/>
      <c r="AP33" s="465"/>
      <c r="AQ33" s="465"/>
      <c r="AR33" s="465"/>
      <c r="AS33" s="465"/>
      <c r="AT33" s="465"/>
      <c r="AU33" s="465"/>
      <c r="AV33" s="465"/>
      <c r="AW33" s="465"/>
      <c r="AX33" s="465"/>
      <c r="AY33" s="465"/>
      <c r="AZ33" s="465"/>
      <c r="BA33" s="465"/>
      <c r="BB33" s="473"/>
      <c r="BE33" s="473"/>
      <c r="BF33" s="1269"/>
      <c r="BG33" s="1269"/>
      <c r="BH33" s="1269"/>
      <c r="BI33" s="1269"/>
      <c r="BJ33" s="1269"/>
      <c r="BK33" s="1269"/>
      <c r="BL33" s="1269"/>
      <c r="BM33" s="1269"/>
      <c r="BN33" s="1269"/>
      <c r="BO33" s="1093"/>
      <c r="CN33" s="1053"/>
    </row>
    <row r="34" spans="5:97" ht="26.25" hidden="1" customHeight="1" thickBot="1" x14ac:dyDescent="0.45">
      <c r="E34" s="490"/>
      <c r="F34" s="490"/>
      <c r="G34" s="490"/>
      <c r="H34" s="465"/>
      <c r="I34" s="465"/>
      <c r="J34" s="465"/>
      <c r="K34" s="465"/>
      <c r="L34" s="465"/>
      <c r="M34" s="465"/>
      <c r="N34" s="465"/>
      <c r="O34" s="465"/>
      <c r="P34" s="465"/>
      <c r="Q34" s="465"/>
      <c r="R34" s="465"/>
      <c r="S34" s="465"/>
      <c r="T34" s="465"/>
      <c r="U34" s="465"/>
      <c r="V34" s="465"/>
      <c r="W34" s="465"/>
      <c r="X34" s="465"/>
      <c r="Y34" s="465"/>
      <c r="Z34" s="465"/>
      <c r="AA34" s="465"/>
      <c r="AB34" s="465"/>
      <c r="AC34" s="465"/>
      <c r="AD34" s="465"/>
      <c r="AE34" s="465"/>
      <c r="AF34" s="465"/>
      <c r="AG34" s="465"/>
      <c r="AH34" s="465"/>
      <c r="AI34" s="465"/>
      <c r="AJ34" s="465"/>
      <c r="AK34" s="465"/>
      <c r="AL34" s="465"/>
      <c r="AM34" s="465"/>
      <c r="AN34" s="465"/>
      <c r="AO34" s="465"/>
      <c r="AP34" s="465"/>
      <c r="AQ34" s="465"/>
      <c r="AR34" s="465"/>
      <c r="AS34" s="465"/>
      <c r="AT34" s="465"/>
      <c r="AU34" s="465"/>
      <c r="AV34" s="465"/>
      <c r="AW34" s="465"/>
      <c r="AX34" s="465"/>
      <c r="AY34" s="465"/>
      <c r="AZ34" s="465"/>
      <c r="BA34" s="465"/>
      <c r="BB34" s="473"/>
      <c r="BF34" s="489"/>
      <c r="BG34" s="489"/>
      <c r="BH34" s="489"/>
      <c r="BI34" s="489"/>
      <c r="BJ34" s="489"/>
      <c r="BK34" s="489"/>
      <c r="BL34" s="489"/>
      <c r="BM34" s="489"/>
      <c r="BN34" s="489"/>
      <c r="BO34" s="1892" t="s">
        <v>93</v>
      </c>
      <c r="BP34" s="1104"/>
      <c r="BQ34" s="1104"/>
      <c r="BR34" s="1104"/>
      <c r="BS34" s="1104"/>
      <c r="BT34" s="1104"/>
      <c r="BU34" s="1105"/>
      <c r="BV34" s="1104"/>
      <c r="BW34" s="1104"/>
      <c r="BX34" s="1104"/>
      <c r="BY34" s="1104"/>
      <c r="BZ34" s="1104"/>
      <c r="CA34" s="1104"/>
      <c r="CB34" s="1104"/>
      <c r="CC34" s="1104"/>
      <c r="CD34" s="1104"/>
      <c r="CE34" s="1104"/>
      <c r="CF34" s="1104"/>
      <c r="CG34" s="1104"/>
      <c r="CH34" s="1104"/>
      <c r="CI34" s="1104"/>
      <c r="CJ34" s="1104"/>
      <c r="CK34" s="1104"/>
      <c r="CL34" s="1104"/>
      <c r="CM34" s="1105"/>
      <c r="CN34" s="1093"/>
      <c r="CO34" s="1093"/>
      <c r="CP34" s="1093"/>
      <c r="CQ34" s="1093"/>
      <c r="CR34" s="1093"/>
      <c r="CS34" s="1093"/>
    </row>
    <row r="35" spans="5:97" ht="26.25" hidden="1" customHeight="1" thickBot="1" x14ac:dyDescent="0.45">
      <c r="E35" s="490"/>
      <c r="F35" s="490"/>
      <c r="G35" s="490"/>
      <c r="H35" s="465"/>
      <c r="I35" s="465"/>
      <c r="J35" s="465"/>
      <c r="K35" s="465"/>
      <c r="L35" s="465"/>
      <c r="M35" s="465"/>
      <c r="N35" s="465"/>
      <c r="O35" s="465"/>
      <c r="P35" s="465"/>
      <c r="Q35" s="465"/>
      <c r="R35" s="465"/>
      <c r="S35" s="465"/>
      <c r="T35" s="465"/>
      <c r="U35" s="465"/>
      <c r="V35" s="465"/>
      <c r="W35" s="465"/>
      <c r="X35" s="465"/>
      <c r="Y35" s="465"/>
      <c r="Z35" s="465"/>
      <c r="AA35" s="465"/>
      <c r="AB35" s="465"/>
      <c r="AC35" s="465"/>
      <c r="AD35" s="465"/>
      <c r="AE35" s="465"/>
      <c r="AF35" s="465"/>
      <c r="AG35" s="465"/>
      <c r="AH35" s="465"/>
      <c r="AI35" s="465"/>
      <c r="AJ35" s="465"/>
      <c r="AK35" s="465"/>
      <c r="AL35" s="465"/>
      <c r="AM35" s="465"/>
      <c r="AN35" s="465"/>
      <c r="AO35" s="465"/>
      <c r="AP35" s="465"/>
      <c r="AQ35" s="465"/>
      <c r="AR35" s="465"/>
      <c r="AS35" s="465"/>
      <c r="AT35" s="465"/>
      <c r="AU35" s="465"/>
      <c r="AV35" s="465"/>
      <c r="AW35" s="465"/>
      <c r="AX35" s="465"/>
      <c r="AY35" s="465"/>
      <c r="AZ35" s="465"/>
      <c r="BA35" s="465"/>
      <c r="BB35" s="473"/>
      <c r="BF35" s="489"/>
      <c r="BG35" s="489"/>
      <c r="BH35" s="489"/>
      <c r="BI35" s="489"/>
      <c r="BJ35" s="489"/>
      <c r="BK35" s="489"/>
      <c r="BL35" s="489"/>
      <c r="BM35" s="489"/>
      <c r="BN35" s="489"/>
      <c r="BO35" s="1892" t="s">
        <v>92</v>
      </c>
      <c r="BP35" s="1093"/>
      <c r="BQ35" s="1093"/>
      <c r="BR35" s="1093"/>
      <c r="BS35" s="1093"/>
      <c r="BT35" s="1093"/>
      <c r="BU35" s="1093"/>
      <c r="BV35" s="1093"/>
      <c r="BW35" s="1093"/>
      <c r="BX35" s="1093"/>
      <c r="BY35" s="1093"/>
      <c r="BZ35" s="1093"/>
      <c r="CA35" s="1093"/>
      <c r="CB35" s="1093"/>
      <c r="CC35" s="1093"/>
      <c r="CD35" s="1093"/>
      <c r="CE35" s="1093"/>
      <c r="CF35" s="1093"/>
      <c r="CG35" s="1093"/>
      <c r="CH35" s="1093"/>
      <c r="CI35" s="1093"/>
      <c r="CJ35" s="1093"/>
      <c r="CK35" s="1093"/>
      <c r="CL35" s="1093"/>
      <c r="CM35" s="1093"/>
      <c r="CN35" s="1093"/>
      <c r="CO35" s="1093"/>
      <c r="CP35" s="1093"/>
      <c r="CQ35" s="1101" t="b">
        <f>IF(CR85=29,28)</f>
        <v>0</v>
      </c>
      <c r="CR35" s="1150"/>
      <c r="CS35" s="1116" t="b">
        <f>IF(CR85=29,30)</f>
        <v>0</v>
      </c>
    </row>
    <row r="36" spans="5:97" ht="26.25" hidden="1" customHeight="1" thickBot="1" x14ac:dyDescent="0.45">
      <c r="E36" s="490"/>
      <c r="F36" s="490"/>
      <c r="G36" s="490"/>
      <c r="H36" s="465"/>
      <c r="I36" s="465"/>
      <c r="J36" s="465"/>
      <c r="K36" s="465"/>
      <c r="L36" s="465"/>
      <c r="M36" s="465"/>
      <c r="N36" s="465"/>
      <c r="O36" s="465"/>
      <c r="P36" s="465"/>
      <c r="Q36" s="465"/>
      <c r="R36" s="465"/>
      <c r="S36" s="465"/>
      <c r="T36" s="465"/>
      <c r="U36" s="465"/>
      <c r="V36" s="465"/>
      <c r="W36" s="465"/>
      <c r="X36" s="465"/>
      <c r="Y36" s="465"/>
      <c r="Z36" s="465"/>
      <c r="AA36" s="465"/>
      <c r="AB36" s="465"/>
      <c r="AC36" s="465"/>
      <c r="AD36" s="465"/>
      <c r="AE36" s="465"/>
      <c r="AF36" s="465"/>
      <c r="AG36" s="465"/>
      <c r="AH36" s="465"/>
      <c r="AI36" s="465"/>
      <c r="AJ36" s="465"/>
      <c r="AK36" s="465"/>
      <c r="AL36" s="465"/>
      <c r="AM36" s="465"/>
      <c r="AN36" s="465"/>
      <c r="AO36" s="465"/>
      <c r="AP36" s="465"/>
      <c r="AQ36" s="465"/>
      <c r="AR36" s="465"/>
      <c r="AS36" s="465"/>
      <c r="AT36" s="465"/>
      <c r="AU36" s="465"/>
      <c r="AV36" s="465"/>
      <c r="AW36" s="465"/>
      <c r="AX36" s="465"/>
      <c r="AY36" s="465"/>
      <c r="AZ36" s="465"/>
      <c r="BA36" s="465"/>
      <c r="BB36" s="473"/>
      <c r="BF36" s="489"/>
      <c r="BG36" s="489"/>
      <c r="BH36" s="489"/>
      <c r="BI36" s="489"/>
      <c r="BJ36" s="489"/>
      <c r="BK36" s="489"/>
      <c r="BL36" s="489"/>
      <c r="BM36" s="489"/>
      <c r="BN36" s="489"/>
      <c r="BO36" s="1892" t="s">
        <v>91</v>
      </c>
      <c r="BP36" s="1093"/>
      <c r="BQ36" s="1093"/>
      <c r="BR36" s="1093"/>
      <c r="BS36" s="1093"/>
      <c r="BT36" s="1093"/>
      <c r="BU36" s="1093"/>
      <c r="BV36" s="1093"/>
      <c r="BW36" s="1093"/>
      <c r="BX36" s="1093"/>
      <c r="BY36" s="1093"/>
      <c r="BZ36" s="1093"/>
      <c r="CA36" s="1093"/>
      <c r="CB36" s="1093"/>
      <c r="CC36" s="1093"/>
      <c r="CD36" s="1093"/>
      <c r="CE36" s="1093"/>
      <c r="CF36" s="1093"/>
      <c r="CG36" s="1093"/>
      <c r="CH36" s="1093"/>
      <c r="CI36" s="1093"/>
      <c r="CJ36" s="1093"/>
      <c r="CK36" s="1093"/>
      <c r="CL36" s="1093"/>
      <c r="CM36" s="1093"/>
      <c r="CN36" s="1093"/>
      <c r="CO36" s="1101" t="b">
        <f>IF(CQ85=28,26)</f>
        <v>0</v>
      </c>
      <c r="CP36" s="1150"/>
      <c r="CQ36" s="1150"/>
      <c r="CR36" s="1150"/>
      <c r="CS36" s="1116" t="b">
        <f>IF(CQ85=28,30)</f>
        <v>0</v>
      </c>
    </row>
    <row r="37" spans="5:97" ht="26.25" hidden="1" customHeight="1" thickBot="1" x14ac:dyDescent="0.45">
      <c r="E37" s="490"/>
      <c r="F37" s="490"/>
      <c r="G37" s="490"/>
      <c r="H37" s="465"/>
      <c r="I37" s="465"/>
      <c r="J37" s="465"/>
      <c r="K37" s="465"/>
      <c r="L37" s="465"/>
      <c r="M37" s="465"/>
      <c r="N37" s="465"/>
      <c r="O37" s="465"/>
      <c r="P37" s="465"/>
      <c r="Q37" s="465"/>
      <c r="R37" s="465"/>
      <c r="S37" s="465"/>
      <c r="T37" s="465"/>
      <c r="U37" s="465"/>
      <c r="V37" s="465"/>
      <c r="W37" s="465"/>
      <c r="X37" s="465"/>
      <c r="Y37" s="465"/>
      <c r="Z37" s="465"/>
      <c r="AA37" s="465"/>
      <c r="AB37" s="465"/>
      <c r="AC37" s="465"/>
      <c r="AD37" s="465"/>
      <c r="AE37" s="465"/>
      <c r="AF37" s="465"/>
      <c r="AG37" s="465"/>
      <c r="AH37" s="465"/>
      <c r="AI37" s="465"/>
      <c r="AJ37" s="465"/>
      <c r="AK37" s="465"/>
      <c r="AL37" s="465"/>
      <c r="AM37" s="465"/>
      <c r="AN37" s="465"/>
      <c r="AO37" s="465"/>
      <c r="AP37" s="465"/>
      <c r="AQ37" s="465"/>
      <c r="AR37" s="465"/>
      <c r="AS37" s="465"/>
      <c r="AT37" s="465"/>
      <c r="AU37" s="465"/>
      <c r="AV37" s="465"/>
      <c r="AW37" s="465"/>
      <c r="AX37" s="465"/>
      <c r="AY37" s="465"/>
      <c r="AZ37" s="465"/>
      <c r="BA37" s="465"/>
      <c r="BB37" s="473"/>
      <c r="BF37" s="489"/>
      <c r="BG37" s="489"/>
      <c r="BH37" s="489"/>
      <c r="BI37" s="489"/>
      <c r="BJ37" s="489"/>
      <c r="BK37" s="489"/>
      <c r="BL37" s="489"/>
      <c r="BM37" s="489"/>
      <c r="BN37" s="489"/>
      <c r="BO37" s="1892" t="s">
        <v>90</v>
      </c>
      <c r="BP37" s="1093"/>
      <c r="BQ37" s="1093"/>
      <c r="BR37" s="1093"/>
      <c r="BS37" s="1093"/>
      <c r="BT37" s="1093"/>
      <c r="BU37" s="1093"/>
      <c r="BV37" s="1093"/>
      <c r="BW37" s="1093"/>
      <c r="BX37" s="1093"/>
      <c r="BY37" s="1093"/>
      <c r="BZ37" s="1093"/>
      <c r="CA37" s="1093"/>
      <c r="CB37" s="1093"/>
      <c r="CC37" s="1093"/>
      <c r="CD37" s="1093"/>
      <c r="CE37" s="1093"/>
      <c r="CF37" s="1093"/>
      <c r="CG37" s="1093"/>
      <c r="CH37" s="1093"/>
      <c r="CI37" s="1093"/>
      <c r="CJ37" s="1093"/>
      <c r="CK37" s="1093"/>
      <c r="CL37" s="1093"/>
      <c r="CM37" s="1101" t="b">
        <f>IF(CP85=27,24)</f>
        <v>0</v>
      </c>
      <c r="CN37" s="1150"/>
      <c r="CO37" s="1150"/>
      <c r="CP37" s="1150"/>
      <c r="CQ37" s="1150"/>
      <c r="CR37" s="1150"/>
      <c r="CS37" s="1116" t="b">
        <f>IF(CP85=27,30)</f>
        <v>0</v>
      </c>
    </row>
    <row r="38" spans="5:97" ht="26.25" hidden="1" customHeight="1" thickBot="1" x14ac:dyDescent="0.45">
      <c r="E38" s="490"/>
      <c r="F38" s="490"/>
      <c r="G38" s="490"/>
      <c r="H38" s="465"/>
      <c r="I38" s="465"/>
      <c r="J38" s="465"/>
      <c r="K38" s="465"/>
      <c r="L38" s="465"/>
      <c r="M38" s="465"/>
      <c r="N38" s="465"/>
      <c r="O38" s="465"/>
      <c r="P38" s="465"/>
      <c r="Q38" s="465"/>
      <c r="R38" s="465"/>
      <c r="S38" s="465"/>
      <c r="T38" s="465"/>
      <c r="U38" s="465"/>
      <c r="V38" s="465"/>
      <c r="W38" s="465"/>
      <c r="X38" s="465"/>
      <c r="Y38" s="465"/>
      <c r="Z38" s="465"/>
      <c r="AA38" s="465"/>
      <c r="AB38" s="465"/>
      <c r="AC38" s="465"/>
      <c r="AD38" s="465"/>
      <c r="AE38" s="465"/>
      <c r="AF38" s="465"/>
      <c r="AG38" s="465"/>
      <c r="AH38" s="465"/>
      <c r="AI38" s="465"/>
      <c r="AJ38" s="465"/>
      <c r="AK38" s="465"/>
      <c r="AL38" s="465"/>
      <c r="AM38" s="465"/>
      <c r="AN38" s="465"/>
      <c r="AO38" s="465"/>
      <c r="AP38" s="465"/>
      <c r="AQ38" s="465"/>
      <c r="AR38" s="465"/>
      <c r="AS38" s="465"/>
      <c r="AT38" s="465"/>
      <c r="AU38" s="465"/>
      <c r="AV38" s="465"/>
      <c r="AW38" s="465"/>
      <c r="AX38" s="465"/>
      <c r="AY38" s="465"/>
      <c r="AZ38" s="465"/>
      <c r="BA38" s="465"/>
      <c r="BB38" s="473"/>
      <c r="BF38" s="489"/>
      <c r="BG38" s="489"/>
      <c r="BH38" s="489"/>
      <c r="BI38" s="489"/>
      <c r="BJ38" s="489"/>
      <c r="BK38" s="489"/>
      <c r="BL38" s="489"/>
      <c r="BM38" s="489"/>
      <c r="BN38" s="489"/>
      <c r="BO38" s="1892" t="s">
        <v>89</v>
      </c>
      <c r="BP38" s="1093"/>
      <c r="BQ38" s="1093"/>
      <c r="BR38" s="1093"/>
      <c r="BS38" s="1093"/>
      <c r="BT38" s="1093"/>
      <c r="BU38" s="1093"/>
      <c r="BV38" s="1093"/>
      <c r="BW38" s="1093"/>
      <c r="BX38" s="1093"/>
      <c r="BY38" s="1093"/>
      <c r="BZ38" s="1093"/>
      <c r="CA38" s="1093"/>
      <c r="CB38" s="1093"/>
      <c r="CC38" s="1093"/>
      <c r="CD38" s="1093"/>
      <c r="CE38" s="1093"/>
      <c r="CF38" s="1093"/>
      <c r="CG38" s="1093"/>
      <c r="CH38" s="1093"/>
      <c r="CI38" s="1093"/>
      <c r="CJ38" s="1093"/>
      <c r="CK38" s="1101" t="b">
        <f>IF(CO85=26,22)</f>
        <v>0</v>
      </c>
      <c r="CL38" s="1150"/>
      <c r="CM38" s="1150"/>
      <c r="CN38" s="1150"/>
      <c r="CO38" s="1150"/>
      <c r="CP38" s="1150"/>
      <c r="CQ38" s="1150"/>
      <c r="CR38" s="1150"/>
      <c r="CS38" s="1116" t="b">
        <f>IF(CO85=26,30)</f>
        <v>0</v>
      </c>
    </row>
    <row r="39" spans="5:97" ht="26.25" hidden="1" customHeight="1" thickBot="1" x14ac:dyDescent="0.45">
      <c r="E39" s="490"/>
      <c r="F39" s="490"/>
      <c r="G39" s="490"/>
      <c r="H39" s="465"/>
      <c r="I39" s="465"/>
      <c r="J39" s="465"/>
      <c r="K39" s="465"/>
      <c r="L39" s="465"/>
      <c r="M39" s="465"/>
      <c r="N39" s="465"/>
      <c r="O39" s="465"/>
      <c r="P39" s="465"/>
      <c r="Q39" s="465"/>
      <c r="R39" s="465"/>
      <c r="S39" s="465"/>
      <c r="T39" s="465"/>
      <c r="U39" s="465"/>
      <c r="V39" s="465"/>
      <c r="W39" s="465"/>
      <c r="X39" s="465"/>
      <c r="Y39" s="465"/>
      <c r="Z39" s="465"/>
      <c r="AA39" s="465"/>
      <c r="AB39" s="465"/>
      <c r="AC39" s="465"/>
      <c r="AD39" s="465"/>
      <c r="AE39" s="465"/>
      <c r="AF39" s="465"/>
      <c r="AG39" s="465"/>
      <c r="AH39" s="465"/>
      <c r="AI39" s="465"/>
      <c r="AJ39" s="465"/>
      <c r="AK39" s="465"/>
      <c r="AL39" s="465"/>
      <c r="AM39" s="465"/>
      <c r="AN39" s="465"/>
      <c r="AO39" s="465"/>
      <c r="AP39" s="465"/>
      <c r="AQ39" s="465"/>
      <c r="AR39" s="465"/>
      <c r="AS39" s="465"/>
      <c r="AT39" s="465"/>
      <c r="AU39" s="465"/>
      <c r="AV39" s="465"/>
      <c r="AW39" s="465"/>
      <c r="AX39" s="465"/>
      <c r="AY39" s="465"/>
      <c r="AZ39" s="465"/>
      <c r="BA39" s="465"/>
      <c r="BB39" s="473"/>
      <c r="BF39" s="489"/>
      <c r="BG39" s="489"/>
      <c r="BH39" s="489"/>
      <c r="BI39" s="489"/>
      <c r="BJ39" s="489"/>
      <c r="BK39" s="489"/>
      <c r="BL39" s="489"/>
      <c r="BM39" s="489"/>
      <c r="BN39" s="489"/>
      <c r="BO39" s="1892" t="s">
        <v>88</v>
      </c>
      <c r="BP39" s="1093"/>
      <c r="BQ39" s="1093"/>
      <c r="BR39" s="1093"/>
      <c r="BS39" s="1093"/>
      <c r="BT39" s="1093"/>
      <c r="BU39" s="1093"/>
      <c r="BV39" s="1093"/>
      <c r="BW39" s="1093"/>
      <c r="BX39" s="1093"/>
      <c r="BY39" s="1093"/>
      <c r="BZ39" s="1093"/>
      <c r="CA39" s="1093"/>
      <c r="CB39" s="1093"/>
      <c r="CC39" s="1093"/>
      <c r="CD39" s="1093"/>
      <c r="CE39" s="1093"/>
      <c r="CF39" s="1093"/>
      <c r="CG39" s="1093"/>
      <c r="CH39" s="1093"/>
      <c r="CI39" s="1101" t="b">
        <f>IF(CN85=25,20)</f>
        <v>0</v>
      </c>
      <c r="CJ39" s="1150"/>
      <c r="CK39" s="1150"/>
      <c r="CL39" s="1150"/>
      <c r="CM39" s="1150"/>
      <c r="CN39" s="1150"/>
      <c r="CO39" s="1150"/>
      <c r="CP39" s="1150"/>
      <c r="CQ39" s="1150"/>
      <c r="CR39" s="1150"/>
      <c r="CS39" s="1116" t="b">
        <f>IF(CN85=25,30)</f>
        <v>0</v>
      </c>
    </row>
    <row r="40" spans="5:97" ht="26.25" hidden="1" customHeight="1" thickBot="1" x14ac:dyDescent="0.45">
      <c r="E40" s="490"/>
      <c r="F40" s="490"/>
      <c r="G40" s="490"/>
      <c r="H40" s="465"/>
      <c r="I40" s="465"/>
      <c r="J40" s="465"/>
      <c r="K40" s="465"/>
      <c r="L40" s="465"/>
      <c r="M40" s="465"/>
      <c r="N40" s="465"/>
      <c r="O40" s="465"/>
      <c r="P40" s="465"/>
      <c r="Q40" s="465"/>
      <c r="R40" s="465"/>
      <c r="S40" s="465"/>
      <c r="T40" s="465"/>
      <c r="U40" s="465"/>
      <c r="V40" s="465"/>
      <c r="W40" s="465"/>
      <c r="X40" s="465"/>
      <c r="Y40" s="465"/>
      <c r="Z40" s="465"/>
      <c r="AA40" s="465"/>
      <c r="AB40" s="465"/>
      <c r="AC40" s="465"/>
      <c r="AD40" s="465"/>
      <c r="AE40" s="465"/>
      <c r="AF40" s="465"/>
      <c r="AG40" s="465"/>
      <c r="AH40" s="465"/>
      <c r="AI40" s="465"/>
      <c r="AJ40" s="465"/>
      <c r="AK40" s="465"/>
      <c r="AL40" s="465"/>
      <c r="AM40" s="465"/>
      <c r="AN40" s="465"/>
      <c r="AO40" s="465"/>
      <c r="AP40" s="465"/>
      <c r="AQ40" s="465"/>
      <c r="AR40" s="465"/>
      <c r="AS40" s="465"/>
      <c r="AT40" s="465"/>
      <c r="AU40" s="465"/>
      <c r="AV40" s="465"/>
      <c r="AW40" s="465"/>
      <c r="AX40" s="465"/>
      <c r="AY40" s="465"/>
      <c r="AZ40" s="465"/>
      <c r="BA40" s="465"/>
      <c r="BB40" s="473"/>
      <c r="BF40" s="489"/>
      <c r="BG40" s="489"/>
      <c r="BH40" s="489"/>
      <c r="BI40" s="489"/>
      <c r="BJ40" s="489"/>
      <c r="BK40" s="489"/>
      <c r="BL40" s="489"/>
      <c r="BM40" s="489"/>
      <c r="BN40" s="489"/>
      <c r="BO40" s="1169" t="s">
        <v>15</v>
      </c>
      <c r="BP40" s="1093"/>
      <c r="BQ40" s="1093"/>
      <c r="BR40" s="1093"/>
      <c r="BS40" s="1093"/>
      <c r="BT40" s="1093"/>
      <c r="BU40" s="1093"/>
      <c r="BV40" s="1093"/>
      <c r="BW40" s="1093"/>
      <c r="BX40" s="1093"/>
      <c r="BY40" s="1093"/>
      <c r="BZ40" s="1093"/>
      <c r="CA40" s="1093"/>
      <c r="CB40" s="1093"/>
      <c r="CC40" s="1093"/>
      <c r="CD40" s="1093"/>
      <c r="CE40" s="1093"/>
      <c r="CF40" s="1093"/>
      <c r="CG40" s="1101" t="b">
        <f>IF(CM85=24,18)</f>
        <v>0</v>
      </c>
      <c r="CH40" s="1150"/>
      <c r="CI40" s="1150"/>
      <c r="CJ40" s="1150"/>
      <c r="CK40" s="1150"/>
      <c r="CL40" s="1150"/>
      <c r="CM40" s="1150"/>
      <c r="CN40" s="1150"/>
      <c r="CO40" s="1150"/>
      <c r="CP40" s="1150"/>
      <c r="CQ40" s="1150"/>
      <c r="CR40" s="1150"/>
      <c r="CS40" s="1116" t="b">
        <f>IF(CM85=24,30)</f>
        <v>0</v>
      </c>
    </row>
    <row r="41" spans="5:97" ht="26.25" hidden="1" customHeight="1" thickBot="1" x14ac:dyDescent="0.45">
      <c r="E41" s="490"/>
      <c r="F41" s="490"/>
      <c r="G41" s="490"/>
      <c r="H41" s="465"/>
      <c r="I41" s="465"/>
      <c r="J41" s="465"/>
      <c r="K41" s="465"/>
      <c r="L41" s="465"/>
      <c r="M41" s="465"/>
      <c r="N41" s="465"/>
      <c r="O41" s="465"/>
      <c r="P41" s="465"/>
      <c r="Q41" s="465"/>
      <c r="R41" s="465"/>
      <c r="S41" s="465"/>
      <c r="T41" s="465"/>
      <c r="U41" s="465"/>
      <c r="V41" s="465"/>
      <c r="W41" s="465"/>
      <c r="X41" s="465"/>
      <c r="Y41" s="465"/>
      <c r="Z41" s="465"/>
      <c r="AA41" s="465"/>
      <c r="AB41" s="465"/>
      <c r="AC41" s="465"/>
      <c r="AD41" s="465"/>
      <c r="AE41" s="465"/>
      <c r="AF41" s="465"/>
      <c r="AG41" s="465"/>
      <c r="AH41" s="465"/>
      <c r="AI41" s="465"/>
      <c r="AJ41" s="465"/>
      <c r="AK41" s="465"/>
      <c r="AL41" s="465"/>
      <c r="AM41" s="465"/>
      <c r="AN41" s="465"/>
      <c r="AO41" s="465"/>
      <c r="AP41" s="465"/>
      <c r="AQ41" s="465"/>
      <c r="AR41" s="465"/>
      <c r="AS41" s="465"/>
      <c r="AT41" s="465"/>
      <c r="AU41" s="465"/>
      <c r="AV41" s="465"/>
      <c r="AW41" s="465"/>
      <c r="AX41" s="465"/>
      <c r="AY41" s="465"/>
      <c r="AZ41" s="465"/>
      <c r="BA41" s="465"/>
      <c r="BB41" s="473"/>
      <c r="BF41" s="489"/>
      <c r="BG41" s="489"/>
      <c r="BH41" s="489"/>
      <c r="BI41" s="489"/>
      <c r="BJ41" s="489"/>
      <c r="BK41" s="489"/>
      <c r="BL41" s="489"/>
      <c r="BM41" s="489"/>
      <c r="BN41" s="489"/>
      <c r="BO41" s="1169" t="s">
        <v>87</v>
      </c>
      <c r="BP41" s="1093"/>
      <c r="BQ41" s="1093"/>
      <c r="BR41" s="1093"/>
      <c r="BS41" s="1093"/>
      <c r="BT41" s="1093"/>
      <c r="BU41" s="1093"/>
      <c r="BV41" s="1093"/>
      <c r="BW41" s="1093"/>
      <c r="BX41" s="1093"/>
      <c r="BY41" s="1093"/>
      <c r="BZ41" s="1093"/>
      <c r="CA41" s="1093"/>
      <c r="CB41" s="1093"/>
      <c r="CC41" s="1093"/>
      <c r="CD41" s="1093"/>
      <c r="CE41" s="1101" t="b">
        <f>IF(CL85=23,16)</f>
        <v>0</v>
      </c>
      <c r="CF41" s="1150"/>
      <c r="CG41" s="1150"/>
      <c r="CH41" s="1150"/>
      <c r="CI41" s="1150"/>
      <c r="CJ41" s="1150"/>
      <c r="CK41" s="1150"/>
      <c r="CL41" s="1150"/>
      <c r="CM41" s="1150"/>
      <c r="CN41" s="1150"/>
      <c r="CO41" s="1150"/>
      <c r="CP41" s="1150"/>
      <c r="CQ41" s="1150"/>
      <c r="CR41" s="1150"/>
      <c r="CS41" s="1116" t="b">
        <f>IF(CL85=23,30)</f>
        <v>0</v>
      </c>
    </row>
    <row r="42" spans="5:97" ht="26.25" hidden="1" customHeight="1" thickBot="1" x14ac:dyDescent="0.45">
      <c r="E42" s="490"/>
      <c r="F42" s="490"/>
      <c r="G42" s="490"/>
      <c r="H42" s="465"/>
      <c r="I42" s="465"/>
      <c r="J42" s="465"/>
      <c r="K42" s="465"/>
      <c r="L42" s="465"/>
      <c r="M42" s="465"/>
      <c r="N42" s="465"/>
      <c r="O42" s="465"/>
      <c r="P42" s="465"/>
      <c r="Q42" s="465"/>
      <c r="R42" s="465"/>
      <c r="S42" s="465"/>
      <c r="T42" s="465"/>
      <c r="U42" s="465"/>
      <c r="V42" s="465"/>
      <c r="W42" s="465"/>
      <c r="X42" s="465"/>
      <c r="Y42" s="465"/>
      <c r="Z42" s="465"/>
      <c r="AA42" s="465"/>
      <c r="AB42" s="465"/>
      <c r="AC42" s="465"/>
      <c r="AD42" s="465"/>
      <c r="AE42" s="465"/>
      <c r="AF42" s="465"/>
      <c r="AG42" s="465"/>
      <c r="AH42" s="465"/>
      <c r="AI42" s="465"/>
      <c r="AJ42" s="465"/>
      <c r="AK42" s="465"/>
      <c r="AL42" s="465"/>
      <c r="AM42" s="465"/>
      <c r="AN42" s="465"/>
      <c r="AO42" s="465"/>
      <c r="AP42" s="465"/>
      <c r="AQ42" s="465"/>
      <c r="AR42" s="465"/>
      <c r="AS42" s="465"/>
      <c r="AT42" s="465"/>
      <c r="AU42" s="465"/>
      <c r="AV42" s="465"/>
      <c r="AW42" s="465"/>
      <c r="AX42" s="465"/>
      <c r="AY42" s="465"/>
      <c r="AZ42" s="465"/>
      <c r="BA42" s="465"/>
      <c r="BB42" s="473"/>
      <c r="BF42" s="489"/>
      <c r="BG42" s="489"/>
      <c r="BH42" s="489"/>
      <c r="BI42" s="489"/>
      <c r="BJ42" s="489"/>
      <c r="BK42" s="489"/>
      <c r="BL42" s="489"/>
      <c r="BM42" s="489"/>
      <c r="BN42" s="489"/>
      <c r="BO42" s="1169">
        <v>12</v>
      </c>
      <c r="BP42" s="1096"/>
      <c r="BQ42" s="1096"/>
      <c r="BR42" s="1096"/>
      <c r="BS42" s="1096"/>
      <c r="BT42" s="1096"/>
      <c r="BU42" s="1096"/>
      <c r="BV42" s="1096"/>
      <c r="BW42" s="1096"/>
      <c r="BX42" s="1096"/>
      <c r="BY42" s="1096"/>
      <c r="BZ42" s="1096"/>
      <c r="CA42" s="1096"/>
      <c r="CB42" s="1096"/>
      <c r="CC42" s="1096"/>
      <c r="CD42" s="1096"/>
      <c r="CE42" s="1115" t="b">
        <f>IF(CK85=22,16)</f>
        <v>0</v>
      </c>
      <c r="CF42" s="1139"/>
      <c r="CG42" s="1139"/>
      <c r="CH42" s="1139"/>
      <c r="CI42" s="1139"/>
      <c r="CJ42" s="1139"/>
      <c r="CK42" s="1139"/>
      <c r="CL42" s="1139"/>
      <c r="CM42" s="1139"/>
      <c r="CN42" s="1126"/>
      <c r="CO42" s="1126"/>
      <c r="CP42" s="1113" t="b">
        <f>IF(CK85=22,27)</f>
        <v>0</v>
      </c>
      <c r="CQ42" s="1093"/>
      <c r="CR42" s="1093"/>
      <c r="CS42" s="1093"/>
    </row>
    <row r="43" spans="5:97" ht="26.25" hidden="1" customHeight="1" thickBot="1" x14ac:dyDescent="0.45">
      <c r="E43" s="490"/>
      <c r="F43" s="490"/>
      <c r="G43" s="490"/>
      <c r="H43" s="465"/>
      <c r="I43" s="465"/>
      <c r="J43" s="465"/>
      <c r="K43" s="465"/>
      <c r="L43" s="465"/>
      <c r="M43" s="465"/>
      <c r="N43" s="465"/>
      <c r="O43" s="465"/>
      <c r="P43" s="465"/>
      <c r="Q43" s="465"/>
      <c r="R43" s="465"/>
      <c r="S43" s="465"/>
      <c r="T43" s="465"/>
      <c r="U43" s="465"/>
      <c r="V43" s="465"/>
      <c r="W43" s="465"/>
      <c r="X43" s="465"/>
      <c r="Y43" s="465"/>
      <c r="Z43" s="465"/>
      <c r="AA43" s="465"/>
      <c r="AB43" s="465"/>
      <c r="AC43" s="465"/>
      <c r="AD43" s="465"/>
      <c r="AE43" s="465"/>
      <c r="AF43" s="465"/>
      <c r="AG43" s="465"/>
      <c r="AH43" s="465"/>
      <c r="AI43" s="465"/>
      <c r="AJ43" s="465"/>
      <c r="AK43" s="465"/>
      <c r="AL43" s="465"/>
      <c r="AM43" s="465"/>
      <c r="AN43" s="465"/>
      <c r="AO43" s="465"/>
      <c r="AP43" s="465"/>
      <c r="AQ43" s="465"/>
      <c r="AR43" s="465"/>
      <c r="AS43" s="465"/>
      <c r="AT43" s="465"/>
      <c r="AU43" s="465"/>
      <c r="AV43" s="465"/>
      <c r="AW43" s="465"/>
      <c r="AX43" s="465"/>
      <c r="AY43" s="465"/>
      <c r="AZ43" s="465"/>
      <c r="BA43" s="465"/>
      <c r="BB43" s="473"/>
      <c r="BF43" s="489"/>
      <c r="BG43" s="489"/>
      <c r="BH43" s="489"/>
      <c r="BI43" s="489"/>
      <c r="BJ43" s="489"/>
      <c r="BK43" s="489"/>
      <c r="BL43" s="489"/>
      <c r="BM43" s="489"/>
      <c r="BN43" s="489"/>
      <c r="BO43" s="1169">
        <v>11</v>
      </c>
      <c r="BP43" s="1093"/>
      <c r="BQ43" s="1093"/>
      <c r="BR43" s="1093"/>
      <c r="BS43" s="1093"/>
      <c r="BT43" s="1093"/>
      <c r="BU43" s="1093"/>
      <c r="BV43" s="1093"/>
      <c r="BW43" s="1093"/>
      <c r="BX43" s="1093"/>
      <c r="BY43" s="1093"/>
      <c r="BZ43" s="1093"/>
      <c r="CA43" s="1101" t="b">
        <f>IF(CJ85=21,12)</f>
        <v>0</v>
      </c>
      <c r="CB43" s="1150"/>
      <c r="CC43" s="1150"/>
      <c r="CD43" s="1150"/>
      <c r="CE43" s="1150"/>
      <c r="CF43" s="1150"/>
      <c r="CG43" s="1150"/>
      <c r="CH43" s="1150"/>
      <c r="CI43" s="1150"/>
      <c r="CJ43" s="1150"/>
      <c r="CK43" s="1150"/>
      <c r="CL43" s="1150"/>
      <c r="CM43" s="1150"/>
      <c r="CN43" s="1150"/>
      <c r="CO43" s="1150"/>
      <c r="CP43" s="1150"/>
      <c r="CQ43" s="1150"/>
      <c r="CR43" s="1150"/>
      <c r="CS43" s="1116" t="b">
        <f>IF(CJ85=21,30)</f>
        <v>0</v>
      </c>
    </row>
    <row r="44" spans="5:97" ht="26.25" hidden="1" customHeight="1" thickBot="1" x14ac:dyDescent="0.45">
      <c r="E44" s="490"/>
      <c r="F44" s="490"/>
      <c r="G44" s="490"/>
      <c r="H44" s="465"/>
      <c r="I44" s="465"/>
      <c r="J44" s="465"/>
      <c r="K44" s="465"/>
      <c r="L44" s="465"/>
      <c r="M44" s="465"/>
      <c r="N44" s="465"/>
      <c r="O44" s="465"/>
      <c r="P44" s="465"/>
      <c r="Q44" s="465"/>
      <c r="R44" s="465"/>
      <c r="S44" s="465"/>
      <c r="T44" s="465"/>
      <c r="U44" s="465"/>
      <c r="V44" s="465"/>
      <c r="W44" s="465"/>
      <c r="X44" s="465"/>
      <c r="Y44" s="465"/>
      <c r="Z44" s="465"/>
      <c r="AA44" s="465"/>
      <c r="AB44" s="465"/>
      <c r="AC44" s="465"/>
      <c r="AD44" s="465"/>
      <c r="AE44" s="465"/>
      <c r="AF44" s="465"/>
      <c r="AG44" s="465"/>
      <c r="AH44" s="465"/>
      <c r="AI44" s="465"/>
      <c r="AJ44" s="465"/>
      <c r="AK44" s="465"/>
      <c r="AL44" s="465"/>
      <c r="AM44" s="465"/>
      <c r="AN44" s="465"/>
      <c r="AO44" s="465"/>
      <c r="AP44" s="465"/>
      <c r="AQ44" s="465"/>
      <c r="AR44" s="465"/>
      <c r="AS44" s="465"/>
      <c r="AT44" s="465"/>
      <c r="AU44" s="465"/>
      <c r="AV44" s="465"/>
      <c r="AW44" s="465"/>
      <c r="AX44" s="465"/>
      <c r="AY44" s="465"/>
      <c r="AZ44" s="465"/>
      <c r="BA44" s="465"/>
      <c r="BB44" s="473"/>
      <c r="BF44" s="489"/>
      <c r="BG44" s="489"/>
      <c r="BH44" s="489"/>
      <c r="BI44" s="489"/>
      <c r="BJ44" s="489"/>
      <c r="BK44" s="489"/>
      <c r="BL44" s="489"/>
      <c r="BM44" s="489"/>
      <c r="BN44" s="489"/>
      <c r="BO44" s="1169">
        <v>10</v>
      </c>
      <c r="BP44" s="1093"/>
      <c r="BQ44" s="1093"/>
      <c r="BR44" s="1093"/>
      <c r="BS44" s="1093"/>
      <c r="BT44" s="1093"/>
      <c r="BU44" s="1093"/>
      <c r="BV44" s="1093"/>
      <c r="BW44" s="1093"/>
      <c r="BY44" s="1101" t="b">
        <f>IF(CI85=20,10)</f>
        <v>0</v>
      </c>
      <c r="BZ44" s="1150"/>
      <c r="CA44" s="1150"/>
      <c r="CB44" s="1150"/>
      <c r="CC44" s="1150"/>
      <c r="CD44" s="1150"/>
      <c r="CE44" s="1150"/>
      <c r="CF44" s="1150"/>
      <c r="CG44" s="1150"/>
      <c r="CH44" s="1150"/>
      <c r="CI44" s="1150"/>
      <c r="CJ44" s="1150"/>
      <c r="CK44" s="1150"/>
      <c r="CL44" s="1150"/>
      <c r="CM44" s="1150"/>
      <c r="CN44" s="1150"/>
      <c r="CO44" s="1150"/>
      <c r="CP44" s="1150"/>
      <c r="CQ44" s="1150"/>
      <c r="CR44" s="1150"/>
      <c r="CS44" s="1116" t="b">
        <f>IF(CI85=20,30)</f>
        <v>0</v>
      </c>
    </row>
    <row r="45" spans="5:97" ht="26.25" hidden="1" customHeight="1" thickBot="1" x14ac:dyDescent="0.45">
      <c r="E45" s="490"/>
      <c r="F45" s="490"/>
      <c r="G45" s="490"/>
      <c r="H45" s="465"/>
      <c r="I45" s="465"/>
      <c r="J45" s="465"/>
      <c r="K45" s="465"/>
      <c r="L45" s="465"/>
      <c r="M45" s="465"/>
      <c r="N45" s="465"/>
      <c r="O45" s="465"/>
      <c r="P45" s="465"/>
      <c r="Q45" s="465"/>
      <c r="R45" s="465"/>
      <c r="S45" s="465"/>
      <c r="T45" s="465"/>
      <c r="U45" s="465"/>
      <c r="V45" s="465"/>
      <c r="W45" s="465"/>
      <c r="X45" s="465"/>
      <c r="Y45" s="465"/>
      <c r="Z45" s="465"/>
      <c r="AA45" s="465"/>
      <c r="AB45" s="465"/>
      <c r="AC45" s="465"/>
      <c r="AD45" s="465"/>
      <c r="AE45" s="465"/>
      <c r="AF45" s="465"/>
      <c r="AG45" s="465"/>
      <c r="AH45" s="465"/>
      <c r="AI45" s="465"/>
      <c r="AJ45" s="465"/>
      <c r="AK45" s="465"/>
      <c r="AL45" s="465"/>
      <c r="AM45" s="465"/>
      <c r="AN45" s="465"/>
      <c r="AO45" s="465"/>
      <c r="AP45" s="465"/>
      <c r="AQ45" s="465"/>
      <c r="AR45" s="465"/>
      <c r="AS45" s="465"/>
      <c r="AT45" s="465"/>
      <c r="AU45" s="465"/>
      <c r="AV45" s="465"/>
      <c r="AW45" s="465"/>
      <c r="AX45" s="465"/>
      <c r="AY45" s="465"/>
      <c r="AZ45" s="465"/>
      <c r="BA45" s="465"/>
      <c r="BB45" s="473"/>
      <c r="BF45" s="489"/>
      <c r="BG45" s="489"/>
      <c r="BH45" s="489"/>
      <c r="BI45" s="489"/>
      <c r="BJ45" s="489"/>
      <c r="BK45" s="489"/>
      <c r="BL45" s="489"/>
      <c r="BM45" s="489"/>
      <c r="BN45" s="489"/>
      <c r="BO45" s="1169">
        <v>9</v>
      </c>
      <c r="BP45" s="1093"/>
      <c r="BQ45" s="1093"/>
      <c r="BR45" s="1093"/>
      <c r="BS45" s="1093"/>
      <c r="BT45" s="1093"/>
      <c r="BU45" s="1093"/>
      <c r="BV45" s="1093"/>
      <c r="BW45" s="1093"/>
      <c r="BX45" s="1101" t="b">
        <f>IF(CH85=19,9)</f>
        <v>0</v>
      </c>
      <c r="BY45" s="1142"/>
      <c r="BZ45" s="1142"/>
      <c r="CA45" s="1142"/>
      <c r="CB45" s="1142"/>
      <c r="CC45" s="1142"/>
      <c r="CD45" s="1118"/>
      <c r="CE45" s="1142"/>
      <c r="CF45" s="1142"/>
      <c r="CG45" s="1142"/>
      <c r="CH45" s="1142"/>
      <c r="CI45" s="1142"/>
      <c r="CJ45" s="1118"/>
      <c r="CK45" s="1142"/>
      <c r="CL45" s="1142"/>
      <c r="CM45" s="1142"/>
      <c r="CN45" s="1150"/>
      <c r="CO45" s="1150"/>
      <c r="CP45" s="1118"/>
      <c r="CQ45" s="1150"/>
      <c r="CR45" s="1116" t="b">
        <f>IF(CH85=19,29)</f>
        <v>0</v>
      </c>
      <c r="CS45" s="1093"/>
    </row>
    <row r="46" spans="5:97" ht="26.25" hidden="1" customHeight="1" thickBot="1" x14ac:dyDescent="0.45">
      <c r="E46" s="490"/>
      <c r="F46" s="490"/>
      <c r="G46" s="490"/>
      <c r="H46" s="465"/>
      <c r="I46" s="465"/>
      <c r="J46" s="465"/>
      <c r="K46" s="465"/>
      <c r="L46" s="465"/>
      <c r="M46" s="465"/>
      <c r="N46" s="465"/>
      <c r="O46" s="465"/>
      <c r="P46" s="465"/>
      <c r="Q46" s="465"/>
      <c r="R46" s="465"/>
      <c r="S46" s="465"/>
      <c r="AF46" s="465"/>
      <c r="AG46" s="465"/>
      <c r="AH46" s="465"/>
      <c r="AI46" s="465"/>
      <c r="AJ46" s="465"/>
      <c r="AK46" s="465"/>
      <c r="AL46" s="465"/>
      <c r="AM46" s="465"/>
      <c r="AN46" s="465"/>
      <c r="AO46" s="465"/>
      <c r="AP46" s="465"/>
      <c r="AQ46" s="465"/>
      <c r="AR46" s="465"/>
      <c r="AS46" s="465"/>
      <c r="AT46" s="465"/>
      <c r="AU46" s="465"/>
      <c r="AV46" s="465"/>
      <c r="AW46" s="465"/>
      <c r="AX46" s="465"/>
      <c r="AY46" s="465"/>
      <c r="AZ46" s="465"/>
      <c r="BA46" s="465"/>
      <c r="BB46" s="473"/>
      <c r="BF46" s="489"/>
      <c r="BG46" s="489"/>
      <c r="BH46" s="489"/>
      <c r="BI46" s="489"/>
      <c r="BJ46" s="489"/>
      <c r="BK46" s="489"/>
      <c r="BL46" s="489"/>
      <c r="BM46" s="489"/>
      <c r="BN46" s="489"/>
      <c r="BO46" s="1169">
        <v>8</v>
      </c>
      <c r="BP46" s="1096"/>
      <c r="BQ46" s="1096"/>
      <c r="BR46" s="1096"/>
      <c r="BS46" s="1096"/>
      <c r="BT46" s="1096"/>
      <c r="BU46" s="1096"/>
      <c r="BV46" s="1096"/>
      <c r="BW46" s="1096"/>
      <c r="BX46" s="1115" t="b">
        <f>IF(CG85=18,9)</f>
        <v>0</v>
      </c>
      <c r="BY46" s="1139"/>
      <c r="BZ46" s="1139"/>
      <c r="CA46" s="1139"/>
      <c r="CB46" s="1139"/>
      <c r="CC46" s="1139"/>
      <c r="CD46" s="586"/>
      <c r="CE46" s="1139"/>
      <c r="CF46" s="1139"/>
      <c r="CG46" s="1139"/>
      <c r="CH46" s="1139"/>
      <c r="CI46" s="1139"/>
      <c r="CJ46" s="586"/>
      <c r="CK46" s="1139"/>
      <c r="CL46" s="1139"/>
      <c r="CM46" s="1139"/>
      <c r="CN46" s="1126"/>
      <c r="CO46" s="1126"/>
      <c r="CP46" s="1113" t="b">
        <f>IF(CG85=18,27)</f>
        <v>0</v>
      </c>
      <c r="CQ46" s="1093"/>
      <c r="CR46" s="1093"/>
      <c r="CS46" s="1093"/>
    </row>
    <row r="47" spans="5:97" ht="26.25" hidden="1" customHeight="1" thickBot="1" x14ac:dyDescent="0.45">
      <c r="E47" s="490"/>
      <c r="F47" s="490"/>
      <c r="G47" s="490"/>
      <c r="H47" s="465"/>
      <c r="I47" s="465"/>
      <c r="J47" s="465"/>
      <c r="K47" s="465"/>
      <c r="L47" s="465"/>
      <c r="M47" s="465"/>
      <c r="N47" s="465"/>
      <c r="O47" s="465"/>
      <c r="P47" s="465"/>
      <c r="Q47" s="465"/>
      <c r="R47" s="465"/>
      <c r="S47" s="465"/>
      <c r="AF47" s="465"/>
      <c r="AG47" s="465"/>
      <c r="AH47" s="465"/>
      <c r="AI47" s="465"/>
      <c r="AJ47" s="465"/>
      <c r="AK47" s="465"/>
      <c r="AL47" s="465"/>
      <c r="AM47" s="465"/>
      <c r="AN47" s="465"/>
      <c r="AO47" s="465"/>
      <c r="AP47" s="465"/>
      <c r="AQ47" s="465"/>
      <c r="AR47" s="465"/>
      <c r="AS47" s="465"/>
      <c r="AT47" s="465"/>
      <c r="AU47" s="465"/>
      <c r="AV47" s="465"/>
      <c r="AW47" s="465"/>
      <c r="AX47" s="465"/>
      <c r="AY47" s="465"/>
      <c r="AZ47" s="465"/>
      <c r="BA47" s="465"/>
      <c r="BB47" s="473"/>
      <c r="BF47" s="489"/>
      <c r="BG47" s="489"/>
      <c r="BH47" s="489"/>
      <c r="BI47" s="489"/>
      <c r="BJ47" s="489"/>
      <c r="BK47" s="489"/>
      <c r="BL47" s="489"/>
      <c r="BM47" s="489"/>
      <c r="BN47" s="489"/>
      <c r="BO47" s="1893">
        <v>7</v>
      </c>
      <c r="BP47" s="1096"/>
      <c r="BQ47" s="1096"/>
      <c r="BR47" s="1096"/>
      <c r="BS47" s="1096"/>
      <c r="BT47" s="1096"/>
      <c r="BU47" s="1096"/>
      <c r="BV47" s="1096"/>
      <c r="BW47" s="1096"/>
      <c r="BX47" s="1115" t="b">
        <f>IF(CF85=17,9)</f>
        <v>0</v>
      </c>
      <c r="BY47" s="586"/>
      <c r="BZ47" s="1139"/>
      <c r="CA47" s="1139"/>
      <c r="CB47" s="1139"/>
      <c r="CC47" s="1139"/>
      <c r="CD47" s="1139"/>
      <c r="CE47" s="1139"/>
      <c r="CF47" s="1139"/>
      <c r="CG47" s="1139"/>
      <c r="CH47" s="1139"/>
      <c r="CI47" s="1139"/>
      <c r="CJ47" s="1139"/>
      <c r="CK47" s="1139"/>
      <c r="CL47" s="1139"/>
      <c r="CM47" s="586"/>
      <c r="CN47" s="1113" t="b">
        <f>IF(CF85=17,25)</f>
        <v>0</v>
      </c>
      <c r="CO47" s="1093"/>
      <c r="CP47" s="1093"/>
      <c r="CQ47" s="1093"/>
      <c r="CR47" s="1093"/>
      <c r="CS47" s="1093"/>
    </row>
    <row r="48" spans="5:97" ht="26.25" hidden="1" customHeight="1" thickBot="1" x14ac:dyDescent="0.45">
      <c r="E48" s="490"/>
      <c r="F48" s="490"/>
      <c r="G48" s="490"/>
      <c r="H48" s="465"/>
      <c r="I48" s="465"/>
      <c r="J48" s="465"/>
      <c r="K48" s="465"/>
      <c r="L48" s="465"/>
      <c r="M48" s="465"/>
      <c r="N48" s="465"/>
      <c r="O48" s="465"/>
      <c r="P48" s="465"/>
      <c r="Q48" s="465"/>
      <c r="R48" s="465"/>
      <c r="S48" s="465"/>
      <c r="AF48" s="465"/>
      <c r="AG48" s="465"/>
      <c r="AH48" s="465"/>
      <c r="AI48" s="465"/>
      <c r="AJ48" s="465"/>
      <c r="AK48" s="465"/>
      <c r="AL48" s="465"/>
      <c r="AM48" s="465"/>
      <c r="AN48" s="465"/>
      <c r="AO48" s="465"/>
      <c r="AP48" s="465"/>
      <c r="AQ48" s="465"/>
      <c r="AR48" s="465"/>
      <c r="AS48" s="465"/>
      <c r="AT48" s="465"/>
      <c r="AU48" s="465"/>
      <c r="AV48" s="465"/>
      <c r="AW48" s="465"/>
      <c r="AX48" s="465"/>
      <c r="AY48" s="465"/>
      <c r="AZ48" s="465"/>
      <c r="BA48" s="465"/>
      <c r="BB48" s="473"/>
      <c r="BF48" s="489"/>
      <c r="BG48" s="489"/>
      <c r="BH48" s="489"/>
      <c r="BI48" s="489"/>
      <c r="BJ48" s="489"/>
      <c r="BK48" s="489"/>
      <c r="BL48" s="489"/>
      <c r="BM48" s="489"/>
      <c r="BN48" s="489"/>
      <c r="BO48" s="1893">
        <v>6</v>
      </c>
      <c r="BP48" s="1096"/>
      <c r="BQ48" s="1096"/>
      <c r="BR48" s="1096"/>
      <c r="BS48" s="1096"/>
      <c r="BT48" s="1096"/>
      <c r="BU48" s="1096"/>
      <c r="BV48" s="1096"/>
      <c r="BX48" s="1148" t="b">
        <f>IF(CE85=16,9)</f>
        <v>0</v>
      </c>
      <c r="BY48" s="1096"/>
      <c r="BZ48" s="1096"/>
      <c r="CA48" s="1096"/>
      <c r="CB48" s="1096"/>
      <c r="CC48" s="1096"/>
      <c r="CD48" s="1096"/>
      <c r="CE48" s="1096"/>
      <c r="CF48" s="1096"/>
      <c r="CG48" s="1096"/>
      <c r="CH48" s="1096"/>
      <c r="CI48" s="1096"/>
      <c r="CJ48" s="1096"/>
      <c r="CK48" s="1096"/>
      <c r="CL48" s="1113" t="b">
        <f>IF(CE85=16,23)</f>
        <v>0</v>
      </c>
      <c r="CN48" s="1093"/>
      <c r="CO48" s="1093"/>
      <c r="CP48" s="1093"/>
      <c r="CQ48" s="1093"/>
      <c r="CR48" s="1093"/>
      <c r="CS48" s="1093"/>
    </row>
    <row r="49" spans="2:97" ht="26.25" hidden="1" customHeight="1" thickBot="1" x14ac:dyDescent="0.45">
      <c r="E49" s="490"/>
      <c r="F49" s="490"/>
      <c r="G49" s="490"/>
      <c r="H49" s="465"/>
      <c r="I49" s="465"/>
      <c r="J49" s="465"/>
      <c r="K49" s="465"/>
      <c r="L49" s="465"/>
      <c r="M49" s="465"/>
      <c r="N49" s="465"/>
      <c r="O49" s="465"/>
      <c r="P49" s="465"/>
      <c r="Q49" s="465"/>
      <c r="R49" s="465"/>
      <c r="S49" s="465"/>
      <c r="AF49" s="465"/>
      <c r="AG49" s="465"/>
      <c r="AH49" s="465"/>
      <c r="AI49" s="465"/>
      <c r="AJ49" s="465"/>
      <c r="AK49" s="465"/>
      <c r="AL49" s="465"/>
      <c r="AM49" s="465"/>
      <c r="AN49" s="465"/>
      <c r="AO49" s="465"/>
      <c r="AP49" s="465"/>
      <c r="AQ49" s="465"/>
      <c r="AR49" s="465"/>
      <c r="AS49" s="465"/>
      <c r="AT49" s="465"/>
      <c r="AU49" s="465"/>
      <c r="AV49" s="465"/>
      <c r="AW49" s="465"/>
      <c r="AX49" s="465"/>
      <c r="AY49" s="465"/>
      <c r="AZ49" s="465"/>
      <c r="BA49" s="465"/>
      <c r="BB49" s="473"/>
      <c r="BF49" s="489"/>
      <c r="BG49" s="489"/>
      <c r="BH49" s="489"/>
      <c r="BI49" s="489"/>
      <c r="BJ49" s="489"/>
      <c r="BK49" s="489"/>
      <c r="BL49" s="489"/>
      <c r="BM49" s="489"/>
      <c r="BN49" s="489"/>
      <c r="BO49" s="1169" t="s">
        <v>86</v>
      </c>
      <c r="BP49" s="1096"/>
      <c r="BQ49" s="1096"/>
      <c r="BR49" s="1096"/>
      <c r="BS49" s="1096"/>
      <c r="BT49" s="1096"/>
      <c r="BU49" s="1096"/>
      <c r="BV49" s="1096"/>
      <c r="BW49" s="1101" t="b">
        <f>IF(CD85=15,8)</f>
        <v>0</v>
      </c>
      <c r="BX49" s="1142"/>
      <c r="BY49" s="1142"/>
      <c r="BZ49" s="1118"/>
      <c r="CA49" s="1142"/>
      <c r="CB49" s="1142"/>
      <c r="CC49" s="1142"/>
      <c r="CD49" s="1142"/>
      <c r="CE49" s="1142"/>
      <c r="CF49" s="1142"/>
      <c r="CG49" s="1142"/>
      <c r="CH49" s="1118"/>
      <c r="CI49" s="1142"/>
      <c r="CJ49" s="1142"/>
      <c r="CK49" s="1116" t="b">
        <f>IF(CD85=15,22)</f>
        <v>0</v>
      </c>
      <c r="CL49" s="1096"/>
      <c r="CM49" s="1096"/>
      <c r="CN49" s="1093"/>
      <c r="CO49" s="1093"/>
      <c r="CP49" s="1093"/>
      <c r="CQ49" s="1093"/>
      <c r="CR49" s="1093"/>
      <c r="CS49" s="1093"/>
    </row>
    <row r="50" spans="2:97" ht="26.25" hidden="1" customHeight="1" thickBot="1" x14ac:dyDescent="0.45">
      <c r="E50" s="490"/>
      <c r="F50" s="490"/>
      <c r="G50" s="490"/>
      <c r="H50" s="465"/>
      <c r="I50" s="465"/>
      <c r="J50" s="465"/>
      <c r="K50" s="465"/>
      <c r="L50" s="465"/>
      <c r="M50" s="465"/>
      <c r="N50" s="465"/>
      <c r="O50" s="465"/>
      <c r="P50" s="465"/>
      <c r="Q50" s="465"/>
      <c r="R50" s="465"/>
      <c r="S50" s="465"/>
      <c r="AF50" s="465"/>
      <c r="AG50" s="465"/>
      <c r="AH50" s="465"/>
      <c r="AI50" s="465"/>
      <c r="AJ50" s="465"/>
      <c r="AK50" s="465"/>
      <c r="AL50" s="465"/>
      <c r="AM50" s="465"/>
      <c r="AN50" s="465"/>
      <c r="AO50" s="465"/>
      <c r="AP50" s="465"/>
      <c r="AQ50" s="465"/>
      <c r="AR50" s="465"/>
      <c r="AS50" s="465"/>
      <c r="AT50" s="465"/>
      <c r="AU50" s="465"/>
      <c r="AV50" s="465"/>
      <c r="AW50" s="465"/>
      <c r="AX50" s="465"/>
      <c r="AY50" s="465"/>
      <c r="AZ50" s="465"/>
      <c r="BA50" s="465"/>
      <c r="BB50" s="473"/>
      <c r="BF50" s="489"/>
      <c r="BG50" s="489"/>
      <c r="BH50" s="489"/>
      <c r="BI50" s="489"/>
      <c r="BJ50" s="489"/>
      <c r="BK50" s="489"/>
      <c r="BL50" s="489"/>
      <c r="BM50" s="489"/>
      <c r="BN50" s="489"/>
      <c r="BO50" s="1169" t="s">
        <v>85</v>
      </c>
      <c r="BP50" s="1096"/>
      <c r="BQ50" s="1096"/>
      <c r="BR50" s="1096"/>
      <c r="BS50" s="1096"/>
      <c r="BT50" s="1096"/>
      <c r="BU50" s="1101" t="b">
        <f>IF(CC85=14,6)</f>
        <v>0</v>
      </c>
      <c r="BV50" s="1142"/>
      <c r="BW50" s="1142"/>
      <c r="BX50" s="1118"/>
      <c r="BY50" s="1142"/>
      <c r="BZ50" s="1142"/>
      <c r="CA50" s="1142"/>
      <c r="CB50" s="1142"/>
      <c r="CC50" s="1142"/>
      <c r="CD50" s="1142"/>
      <c r="CE50" s="1142"/>
      <c r="CF50" s="1142"/>
      <c r="CG50" s="1142"/>
      <c r="CH50" s="1118"/>
      <c r="CI50" s="1142"/>
      <c r="CJ50" s="1142"/>
      <c r="CK50" s="1116" t="b">
        <f>IF(CC85=14,22)</f>
        <v>0</v>
      </c>
      <c r="CL50" s="1096"/>
      <c r="CM50" s="1096"/>
      <c r="CN50" s="1093"/>
      <c r="CO50" s="1093"/>
      <c r="CP50" s="1093"/>
      <c r="CQ50" s="1093"/>
      <c r="CR50" s="1093"/>
      <c r="CS50" s="1093"/>
    </row>
    <row r="51" spans="2:97" ht="21.6" hidden="1" thickBot="1" x14ac:dyDescent="0.45">
      <c r="E51" s="490"/>
      <c r="F51" s="490"/>
      <c r="G51" s="490"/>
      <c r="H51" s="465"/>
      <c r="I51" s="465"/>
      <c r="J51" s="465"/>
      <c r="K51" s="465"/>
      <c r="L51" s="465"/>
      <c r="M51" s="465"/>
      <c r="N51" s="465"/>
      <c r="O51" s="465"/>
      <c r="P51" s="465"/>
      <c r="Q51" s="465"/>
      <c r="R51" s="465"/>
      <c r="S51" s="465"/>
      <c r="T51" s="465"/>
      <c r="U51" s="493"/>
      <c r="V51" s="465"/>
      <c r="W51" s="465"/>
      <c r="X51" s="465"/>
      <c r="Y51" s="465"/>
      <c r="Z51" s="465"/>
      <c r="AA51" s="465"/>
      <c r="AB51" s="493"/>
      <c r="AC51" s="493"/>
      <c r="AD51" s="493"/>
      <c r="AE51" s="493"/>
      <c r="AF51" s="465"/>
      <c r="AG51" s="465"/>
      <c r="AH51" s="465"/>
      <c r="AI51" s="465"/>
      <c r="AJ51" s="465"/>
      <c r="AK51" s="465"/>
      <c r="AL51" s="465"/>
      <c r="AM51" s="465"/>
      <c r="AN51" s="465"/>
      <c r="AO51" s="465"/>
      <c r="AP51" s="465"/>
      <c r="AQ51" s="465"/>
      <c r="AR51" s="465"/>
      <c r="AS51" s="465"/>
      <c r="AT51" s="465"/>
      <c r="AU51" s="465"/>
      <c r="AV51" s="465"/>
      <c r="AW51" s="465"/>
      <c r="AX51" s="465"/>
      <c r="AY51" s="465"/>
      <c r="AZ51" s="465"/>
      <c r="BA51" s="465"/>
      <c r="BB51" s="473"/>
      <c r="BF51" s="489"/>
      <c r="BG51" s="489"/>
      <c r="BH51" s="489"/>
      <c r="BI51" s="489"/>
      <c r="BJ51" s="489"/>
      <c r="BK51" s="489"/>
      <c r="BL51" s="489"/>
      <c r="BM51" s="489"/>
      <c r="BN51" s="489"/>
      <c r="BO51" s="1169">
        <v>5</v>
      </c>
      <c r="BP51" s="1096"/>
      <c r="BQ51" s="1096"/>
      <c r="BR51" s="1096"/>
      <c r="BS51" s="1101" t="b">
        <f>IF(CB85=13,4)</f>
        <v>0</v>
      </c>
      <c r="BT51" s="1142"/>
      <c r="BU51" s="1142"/>
      <c r="BV51" s="1118"/>
      <c r="BW51" s="1142"/>
      <c r="BX51" s="1142"/>
      <c r="BY51" s="1142"/>
      <c r="BZ51" s="1142"/>
      <c r="CA51" s="1142"/>
      <c r="CB51" s="1142"/>
      <c r="CC51" s="1142"/>
      <c r="CD51" s="1142"/>
      <c r="CE51" s="1142"/>
      <c r="CF51" s="1142"/>
      <c r="CG51" s="1142"/>
      <c r="CH51" s="1118"/>
      <c r="CI51" s="1142"/>
      <c r="CJ51" s="1142"/>
      <c r="CK51" s="1116" t="b">
        <f>IF(CB85=13,22)</f>
        <v>0</v>
      </c>
      <c r="CL51" s="1096"/>
      <c r="CM51" s="1096"/>
      <c r="CN51" s="1093"/>
      <c r="CO51" s="1093"/>
      <c r="CP51" s="1093"/>
      <c r="CQ51" s="1093"/>
      <c r="CR51" s="1093"/>
      <c r="CS51" s="1093"/>
    </row>
    <row r="52" spans="2:97" ht="21.6" hidden="1" thickBot="1" x14ac:dyDescent="0.45">
      <c r="E52" s="490"/>
      <c r="F52" s="490"/>
      <c r="G52" s="490"/>
      <c r="H52" s="465"/>
      <c r="I52" s="465"/>
      <c r="J52" s="465"/>
      <c r="K52" s="465"/>
      <c r="L52" s="465"/>
      <c r="M52" s="465"/>
      <c r="N52" s="465"/>
      <c r="O52" s="465"/>
      <c r="P52" s="465"/>
      <c r="Q52" s="465"/>
      <c r="R52" s="465"/>
      <c r="S52" s="1214"/>
      <c r="T52" s="471"/>
      <c r="U52" s="471"/>
      <c r="AF52" s="465"/>
      <c r="AG52" s="465"/>
      <c r="AH52" s="465"/>
      <c r="AI52" s="465"/>
      <c r="AJ52" s="465"/>
      <c r="AK52" s="465"/>
      <c r="AL52" s="465"/>
      <c r="AM52" s="465"/>
      <c r="AN52" s="465"/>
      <c r="AO52" s="465"/>
      <c r="AP52" s="465"/>
      <c r="AQ52" s="465"/>
      <c r="AR52" s="465"/>
      <c r="AS52" s="465"/>
      <c r="AT52" s="465"/>
      <c r="AU52" s="465"/>
      <c r="AV52" s="465"/>
      <c r="AW52" s="465"/>
      <c r="AX52" s="465"/>
      <c r="AY52" s="465"/>
      <c r="AZ52" s="465"/>
      <c r="BA52" s="465"/>
      <c r="BB52" s="473"/>
      <c r="BF52" s="489"/>
      <c r="BG52" s="489"/>
      <c r="BH52" s="489"/>
      <c r="BI52" s="489"/>
      <c r="BJ52" s="489"/>
      <c r="BK52" s="489"/>
      <c r="BL52" s="489"/>
      <c r="BM52" s="489"/>
      <c r="BN52" s="489"/>
      <c r="BO52" s="1169">
        <v>4</v>
      </c>
      <c r="BP52" s="1096"/>
      <c r="BQ52" s="1101">
        <f>IF(CA85=12,2)</f>
        <v>2</v>
      </c>
      <c r="BR52" s="1142"/>
      <c r="BS52" s="1142"/>
      <c r="BT52" s="1118"/>
      <c r="BU52" s="1142"/>
      <c r="BV52" s="1142"/>
      <c r="BW52" s="1142"/>
      <c r="BX52" s="1142"/>
      <c r="BY52" s="1142"/>
      <c r="BZ52" s="1142"/>
      <c r="CA52" s="1142"/>
      <c r="CB52" s="1142"/>
      <c r="CC52" s="1142"/>
      <c r="CD52" s="1142"/>
      <c r="CE52" s="1142"/>
      <c r="CF52" s="1142"/>
      <c r="CG52" s="1142"/>
      <c r="CH52" s="1118"/>
      <c r="CI52" s="1142"/>
      <c r="CJ52" s="1142"/>
      <c r="CK52" s="1116">
        <f>IF(CA85=12,22)</f>
        <v>22</v>
      </c>
      <c r="CL52" s="1096"/>
      <c r="CM52" s="1096"/>
      <c r="CN52" s="1093"/>
      <c r="CO52" s="1093"/>
      <c r="CP52" s="1093"/>
      <c r="CQ52" s="1093"/>
      <c r="CR52" s="1093"/>
      <c r="CS52" s="1093"/>
    </row>
    <row r="53" spans="2:97" ht="21.6" hidden="1" thickBot="1" x14ac:dyDescent="0.45">
      <c r="E53" s="490"/>
      <c r="F53" s="490"/>
      <c r="G53" s="490"/>
      <c r="H53" s="465"/>
      <c r="I53" s="465"/>
      <c r="J53" s="465"/>
      <c r="K53" s="465"/>
      <c r="L53" s="465"/>
      <c r="M53" s="465"/>
      <c r="N53" s="465"/>
      <c r="O53" s="465"/>
      <c r="P53" s="465"/>
      <c r="Q53" s="465"/>
      <c r="R53" s="465"/>
      <c r="S53" s="1214"/>
      <c r="T53" s="1227"/>
      <c r="U53" s="471"/>
      <c r="AF53" s="465"/>
      <c r="AG53" s="465"/>
      <c r="AH53" s="465"/>
      <c r="AI53" s="465"/>
      <c r="AJ53" s="465"/>
      <c r="AK53" s="465"/>
      <c r="AL53" s="465"/>
      <c r="AM53" s="465"/>
      <c r="AN53" s="465"/>
      <c r="AO53" s="465"/>
      <c r="AP53" s="465"/>
      <c r="AQ53" s="465"/>
      <c r="AR53" s="465"/>
      <c r="AS53" s="465"/>
      <c r="AT53" s="465"/>
      <c r="AU53" s="465"/>
      <c r="AV53" s="465"/>
      <c r="AW53" s="465"/>
      <c r="AX53" s="465"/>
      <c r="AY53" s="465"/>
      <c r="AZ53" s="465"/>
      <c r="BA53" s="465"/>
      <c r="BB53" s="473"/>
      <c r="BF53" s="489"/>
      <c r="BG53" s="489"/>
      <c r="BH53" s="489"/>
      <c r="BI53" s="489"/>
      <c r="BJ53" s="489"/>
      <c r="BK53" s="489"/>
      <c r="BL53" s="489"/>
      <c r="BM53" s="489"/>
      <c r="BN53" s="489"/>
      <c r="BO53" s="1169">
        <v>3</v>
      </c>
      <c r="BP53" s="1101" t="b">
        <f>IF(BZ85=11,1)</f>
        <v>0</v>
      </c>
      <c r="BQ53" s="1139"/>
      <c r="BR53" s="586"/>
      <c r="BS53" s="1139"/>
      <c r="BT53" s="1139"/>
      <c r="BU53" s="1139"/>
      <c r="BV53" s="1139"/>
      <c r="BW53" s="1139"/>
      <c r="BX53" s="1139"/>
      <c r="BY53" s="1139"/>
      <c r="BZ53" s="1139"/>
      <c r="CA53" s="1139"/>
      <c r="CB53" s="1139"/>
      <c r="CC53" s="1139"/>
      <c r="CD53" s="1139"/>
      <c r="CE53" s="1139"/>
      <c r="CF53" s="1139"/>
      <c r="CG53" s="1139"/>
      <c r="CH53" s="586"/>
      <c r="CI53" s="1139"/>
      <c r="CJ53" s="1113" t="b">
        <f>IF(BZ85=11,21)</f>
        <v>0</v>
      </c>
      <c r="CK53" s="1096"/>
      <c r="CL53" s="1096"/>
      <c r="CM53" s="1096"/>
      <c r="CN53" s="1093"/>
      <c r="CO53" s="1093"/>
      <c r="CP53" s="1093"/>
      <c r="CQ53" s="1093"/>
      <c r="CR53" s="1093"/>
      <c r="CS53" s="1093"/>
    </row>
    <row r="54" spans="2:97" ht="21.6" hidden="1" thickBot="1" x14ac:dyDescent="0.45">
      <c r="E54" s="490"/>
      <c r="F54" s="490"/>
      <c r="G54" s="490"/>
      <c r="H54" s="465"/>
      <c r="I54" s="465"/>
      <c r="J54" s="465"/>
      <c r="K54" s="465"/>
      <c r="L54" s="465"/>
      <c r="M54" s="465"/>
      <c r="N54" s="465"/>
      <c r="O54" s="465"/>
      <c r="P54" s="465"/>
      <c r="Q54" s="465"/>
      <c r="R54" s="465"/>
      <c r="S54" s="1214"/>
      <c r="T54" s="1214"/>
      <c r="U54" s="493"/>
      <c r="V54" s="465"/>
      <c r="W54" s="465"/>
      <c r="X54" s="465"/>
      <c r="Y54" s="465"/>
      <c r="Z54" s="465"/>
      <c r="AA54" s="465"/>
      <c r="AB54" s="493"/>
      <c r="AC54" s="493"/>
      <c r="AD54" s="493"/>
      <c r="AE54" s="493"/>
      <c r="AF54" s="465"/>
      <c r="AG54" s="465"/>
      <c r="AH54" s="465"/>
      <c r="AI54" s="465"/>
      <c r="AJ54" s="465"/>
      <c r="AK54" s="465"/>
      <c r="AL54" s="465"/>
      <c r="AM54" s="465"/>
      <c r="AN54" s="465"/>
      <c r="AO54" s="465"/>
      <c r="AP54" s="465"/>
      <c r="AQ54" s="465"/>
      <c r="AR54" s="465"/>
      <c r="AS54" s="465"/>
      <c r="AT54" s="465"/>
      <c r="AU54" s="465"/>
      <c r="AV54" s="465"/>
      <c r="AW54" s="465"/>
      <c r="AX54" s="465"/>
      <c r="AY54" s="465"/>
      <c r="AZ54" s="465"/>
      <c r="BA54" s="465"/>
      <c r="BB54" s="473"/>
      <c r="BF54" s="489"/>
      <c r="BG54" s="489"/>
      <c r="BH54" s="489"/>
      <c r="BI54" s="489"/>
      <c r="BJ54" s="489"/>
      <c r="BK54" s="489"/>
      <c r="BL54" s="489"/>
      <c r="BM54" s="489"/>
      <c r="BN54" s="489"/>
      <c r="BO54" s="1169">
        <v>2</v>
      </c>
      <c r="BP54" s="1115" t="b">
        <f>IF(BY85=10,1)</f>
        <v>0</v>
      </c>
      <c r="BQ54" s="1139"/>
      <c r="BR54" s="1139"/>
      <c r="BS54" s="1139"/>
      <c r="BT54" s="1139"/>
      <c r="BU54" s="1139"/>
      <c r="BV54" s="1139"/>
      <c r="BW54" s="1139"/>
      <c r="BX54" s="1139"/>
      <c r="BY54" s="1139"/>
      <c r="BZ54" s="1139"/>
      <c r="CA54" s="1139"/>
      <c r="CB54" s="1139"/>
      <c r="CC54" s="1139"/>
      <c r="CD54" s="1139"/>
      <c r="CE54" s="1139"/>
      <c r="CF54" s="1139"/>
      <c r="CG54" s="1139"/>
      <c r="CH54" s="1113" t="b">
        <f>IF(BY85=10,19)</f>
        <v>0</v>
      </c>
      <c r="CI54" s="1096"/>
      <c r="CJ54" s="1096"/>
      <c r="CK54" s="1096"/>
      <c r="CL54" s="1096"/>
      <c r="CM54" s="1096"/>
      <c r="CN54" s="1093"/>
      <c r="CO54" s="1093"/>
      <c r="CP54" s="1093"/>
      <c r="CQ54" s="1093"/>
      <c r="CR54" s="1093"/>
      <c r="CS54" s="1093"/>
    </row>
    <row r="55" spans="2:97" ht="21.6" hidden="1" thickBot="1" x14ac:dyDescent="0.45">
      <c r="E55" s="490"/>
      <c r="F55" s="490"/>
      <c r="G55" s="490"/>
      <c r="H55" s="465"/>
      <c r="I55" s="465"/>
      <c r="J55" s="465"/>
      <c r="K55" s="465"/>
      <c r="L55" s="465"/>
      <c r="M55" s="465"/>
      <c r="N55" s="465"/>
      <c r="O55" s="465"/>
      <c r="P55" s="465"/>
      <c r="Q55" s="465"/>
      <c r="R55" s="465"/>
      <c r="U55" s="493"/>
      <c r="V55" s="465"/>
      <c r="W55" s="465"/>
      <c r="X55" s="465"/>
      <c r="Y55" s="465"/>
      <c r="Z55" s="465"/>
      <c r="AA55" s="465"/>
      <c r="AB55" s="493"/>
      <c r="AC55" s="493"/>
      <c r="AD55" s="493"/>
      <c r="AE55" s="493"/>
      <c r="AF55" s="465"/>
      <c r="AG55" s="465"/>
      <c r="AH55" s="465"/>
      <c r="AI55" s="465"/>
      <c r="AJ55" s="465"/>
      <c r="AK55" s="465"/>
      <c r="AL55" s="465"/>
      <c r="AM55" s="465"/>
      <c r="AN55" s="465"/>
      <c r="AO55" s="465"/>
      <c r="AP55" s="465"/>
      <c r="AQ55" s="465"/>
      <c r="AR55" s="465"/>
      <c r="AS55" s="465"/>
      <c r="AT55" s="465"/>
      <c r="AU55" s="465"/>
      <c r="AV55" s="465"/>
      <c r="AW55" s="465"/>
      <c r="AX55" s="465"/>
      <c r="AY55" s="465"/>
      <c r="AZ55" s="465"/>
      <c r="BA55" s="465"/>
      <c r="BB55" s="473"/>
      <c r="BF55" s="489"/>
      <c r="BG55" s="489"/>
      <c r="BH55" s="489"/>
      <c r="BI55" s="489"/>
      <c r="BJ55" s="489"/>
      <c r="BK55" s="489"/>
      <c r="BL55" s="489"/>
      <c r="BM55" s="489"/>
      <c r="BN55" s="489"/>
      <c r="BO55" s="1169">
        <v>1</v>
      </c>
      <c r="BP55" s="1115" t="b">
        <f>IF(BX85=9,1)</f>
        <v>0</v>
      </c>
      <c r="BQ55" s="1139"/>
      <c r="BR55" s="1139"/>
      <c r="BS55" s="1139"/>
      <c r="BT55" s="1139"/>
      <c r="BU55" s="1139"/>
      <c r="BV55" s="1139"/>
      <c r="BW55" s="1139"/>
      <c r="BX55" s="1139"/>
      <c r="BY55" s="1139"/>
      <c r="BZ55" s="1139"/>
      <c r="CA55" s="1139"/>
      <c r="CB55" s="1139"/>
      <c r="CC55" s="1139"/>
      <c r="CD55" s="1139"/>
      <c r="CE55" s="1139"/>
      <c r="CF55" s="1113" t="b">
        <f>IF(BX85=9,17)</f>
        <v>0</v>
      </c>
      <c r="CG55" s="1096"/>
      <c r="CH55" s="1096"/>
      <c r="CI55" s="1096"/>
      <c r="CJ55" s="1096"/>
      <c r="CK55" s="1096"/>
      <c r="CL55" s="1096"/>
      <c r="CM55" s="1096"/>
      <c r="CN55" s="1093"/>
      <c r="CO55" s="1093"/>
      <c r="CP55" s="1093"/>
      <c r="CQ55" s="1093"/>
      <c r="CR55" s="1093"/>
      <c r="CS55" s="1093"/>
    </row>
    <row r="56" spans="2:97" ht="21.6" hidden="1" thickBot="1" x14ac:dyDescent="0.45">
      <c r="E56" s="490"/>
      <c r="F56" s="490"/>
      <c r="G56" s="490"/>
      <c r="H56" s="465"/>
      <c r="I56" s="465"/>
      <c r="J56" s="465"/>
      <c r="K56" s="465"/>
      <c r="L56" s="465"/>
      <c r="M56" s="465"/>
      <c r="N56" s="465"/>
      <c r="O56" s="465"/>
      <c r="P56" s="465"/>
      <c r="Q56" s="465"/>
      <c r="R56" s="465"/>
      <c r="U56" s="493"/>
      <c r="V56" s="465"/>
      <c r="W56" s="465"/>
      <c r="X56" s="465"/>
      <c r="Y56" s="465"/>
      <c r="Z56" s="465"/>
      <c r="AA56" s="465"/>
      <c r="AB56" s="493"/>
      <c r="AC56" s="493"/>
      <c r="AD56" s="493"/>
      <c r="AE56" s="493"/>
      <c r="AF56" s="465"/>
      <c r="AG56" s="465"/>
      <c r="AH56" s="465"/>
      <c r="AI56" s="465"/>
      <c r="AJ56" s="465"/>
      <c r="AK56" s="465"/>
      <c r="AL56" s="465"/>
      <c r="AM56" s="465"/>
      <c r="AN56" s="465"/>
      <c r="AO56" s="465"/>
      <c r="AP56" s="465"/>
      <c r="AQ56" s="465"/>
      <c r="AR56" s="465"/>
      <c r="AS56" s="465"/>
      <c r="AT56" s="465"/>
      <c r="AU56" s="465"/>
      <c r="AV56" s="465"/>
      <c r="AW56" s="465"/>
      <c r="AX56" s="465"/>
      <c r="AY56" s="465"/>
      <c r="AZ56" s="465"/>
      <c r="BA56" s="465"/>
      <c r="BB56" s="473"/>
      <c r="BF56" s="489"/>
      <c r="BG56" s="489"/>
      <c r="BH56" s="489"/>
      <c r="BI56" s="489"/>
      <c r="BJ56" s="489"/>
      <c r="BK56" s="489"/>
      <c r="BL56" s="489"/>
      <c r="BM56" s="489"/>
      <c r="BN56" s="489"/>
      <c r="BO56" s="1169" t="s">
        <v>84</v>
      </c>
      <c r="BQ56" s="1096"/>
      <c r="BR56" s="1115" t="b">
        <f>IF(BW85=8,3)</f>
        <v>0</v>
      </c>
      <c r="BS56" s="1139"/>
      <c r="BT56" s="1139"/>
      <c r="BU56" s="1139"/>
      <c r="BV56" s="1139"/>
      <c r="BW56" s="1139"/>
      <c r="BX56" s="1139"/>
      <c r="BY56" s="1139"/>
      <c r="BZ56" s="1139"/>
      <c r="CA56" s="1139"/>
      <c r="CB56" s="1113" t="b">
        <f>IF(BW85=8,5)</f>
        <v>0</v>
      </c>
      <c r="CC56" s="1096"/>
      <c r="CE56" s="1096"/>
      <c r="CF56" s="1096"/>
      <c r="CG56" s="1096"/>
      <c r="CH56" s="1096"/>
      <c r="CI56" s="1096"/>
      <c r="CJ56" s="1096"/>
      <c r="CK56" s="1096"/>
      <c r="CL56" s="1096"/>
      <c r="CM56" s="1096"/>
      <c r="CN56" s="1093"/>
      <c r="CO56" s="1093"/>
      <c r="CP56" s="1093"/>
      <c r="CQ56" s="1093"/>
      <c r="CR56" s="1093"/>
      <c r="CS56" s="1093"/>
    </row>
    <row r="57" spans="2:97" ht="21.6" hidden="1" thickBot="1" x14ac:dyDescent="0.45">
      <c r="E57" s="490"/>
      <c r="F57" s="490"/>
      <c r="G57" s="490"/>
      <c r="H57" s="465"/>
      <c r="I57" s="465"/>
      <c r="J57" s="465"/>
      <c r="K57" s="465"/>
      <c r="L57" s="465"/>
      <c r="M57" s="465"/>
      <c r="N57" s="465"/>
      <c r="O57" s="465"/>
      <c r="P57" s="465"/>
      <c r="Q57" s="465"/>
      <c r="R57" s="465"/>
      <c r="U57" s="493"/>
      <c r="V57" s="465"/>
      <c r="W57" s="465"/>
      <c r="X57" s="465"/>
      <c r="Y57" s="465"/>
      <c r="Z57" s="465"/>
      <c r="AA57" s="465"/>
      <c r="AB57" s="493"/>
      <c r="AC57" s="493"/>
      <c r="AD57" s="493"/>
      <c r="AE57" s="493"/>
      <c r="AF57" s="465"/>
      <c r="AG57" s="465"/>
      <c r="AH57" s="465"/>
      <c r="AI57" s="465"/>
      <c r="AJ57" s="465"/>
      <c r="AK57" s="465"/>
      <c r="AL57" s="465"/>
      <c r="AM57" s="465"/>
      <c r="AN57" s="465"/>
      <c r="AO57" s="465"/>
      <c r="AP57" s="465"/>
      <c r="AQ57" s="465"/>
      <c r="AR57" s="465"/>
      <c r="AS57" s="465"/>
      <c r="AT57" s="465"/>
      <c r="AU57" s="465"/>
      <c r="AV57" s="465"/>
      <c r="AW57" s="465"/>
      <c r="AX57" s="465"/>
      <c r="AY57" s="465"/>
      <c r="AZ57" s="465"/>
      <c r="BA57" s="465"/>
      <c r="BB57" s="473"/>
      <c r="BF57" s="489"/>
      <c r="BG57" s="489"/>
      <c r="BH57" s="489"/>
      <c r="BI57" s="489"/>
      <c r="BJ57" s="489"/>
      <c r="BK57" s="489"/>
      <c r="BL57" s="489"/>
      <c r="BM57" s="489"/>
      <c r="BN57" s="489"/>
      <c r="BO57" s="1169" t="s">
        <v>16</v>
      </c>
      <c r="BP57" s="1096"/>
      <c r="BQ57" s="1101" t="b">
        <f>IF(BV85=7,2)</f>
        <v>0</v>
      </c>
      <c r="BR57" s="1139"/>
      <c r="BS57" s="1139"/>
      <c r="BT57" s="1139"/>
      <c r="BU57" s="1139"/>
      <c r="BV57" s="1139"/>
      <c r="BW57" s="1139"/>
      <c r="BX57" s="1139"/>
      <c r="BY57" s="1139"/>
      <c r="BZ57" s="586"/>
      <c r="CA57" s="1113" t="b">
        <f>IF(BV85=7,12)</f>
        <v>0</v>
      </c>
      <c r="CB57" s="1096"/>
      <c r="CC57" s="1096"/>
      <c r="CD57" s="1096"/>
      <c r="CE57" s="1096"/>
      <c r="CF57" s="1096"/>
      <c r="CG57" s="1096"/>
      <c r="CH57" s="1096"/>
      <c r="CI57" s="1096"/>
      <c r="CJ57" s="1096"/>
      <c r="CK57" s="1096"/>
      <c r="CL57" s="1096"/>
      <c r="CM57" s="1096"/>
      <c r="CN57" s="1093"/>
      <c r="CO57" s="1093"/>
      <c r="CP57" s="1093"/>
      <c r="CQ57" s="1093"/>
      <c r="CR57" s="1093"/>
      <c r="CS57" s="1093"/>
    </row>
    <row r="58" spans="2:97" ht="21.6" hidden="1" thickBot="1" x14ac:dyDescent="0.45">
      <c r="E58" s="490"/>
      <c r="F58" s="490"/>
      <c r="G58" s="490"/>
      <c r="H58" s="465"/>
      <c r="I58" s="465"/>
      <c r="J58" s="465"/>
      <c r="K58" s="465"/>
      <c r="L58" s="465"/>
      <c r="M58" s="465"/>
      <c r="N58" s="465"/>
      <c r="O58" s="465"/>
      <c r="P58" s="465"/>
      <c r="Q58" s="465"/>
      <c r="R58" s="465"/>
      <c r="S58" s="465"/>
      <c r="T58" s="465"/>
      <c r="U58" s="493"/>
      <c r="V58" s="465"/>
      <c r="W58" s="465"/>
      <c r="X58" s="465"/>
      <c r="Y58" s="465"/>
      <c r="Z58" s="465"/>
      <c r="AA58" s="465"/>
      <c r="AB58" s="493"/>
      <c r="AC58" s="493"/>
      <c r="AD58" s="493"/>
      <c r="AE58" s="493"/>
      <c r="AF58" s="465"/>
      <c r="AG58" s="465"/>
      <c r="AH58" s="465"/>
      <c r="AI58" s="465"/>
      <c r="AJ58" s="465"/>
      <c r="AK58" s="465"/>
      <c r="AL58" s="465"/>
      <c r="AM58" s="465"/>
      <c r="AN58" s="465"/>
      <c r="AO58" s="465"/>
      <c r="AP58" s="465"/>
      <c r="AQ58" s="465"/>
      <c r="AR58" s="465"/>
      <c r="AS58" s="465"/>
      <c r="AT58" s="465"/>
      <c r="AU58" s="465"/>
      <c r="AV58" s="465"/>
      <c r="AW58" s="465"/>
      <c r="AX58" s="465"/>
      <c r="AY58" s="465"/>
      <c r="AZ58" s="465"/>
      <c r="BA58" s="465"/>
      <c r="BB58" s="473"/>
      <c r="BF58" s="489"/>
      <c r="BG58" s="489"/>
      <c r="BH58" s="489"/>
      <c r="BI58" s="489"/>
      <c r="BJ58" s="489"/>
      <c r="BK58" s="489"/>
      <c r="BL58" s="489"/>
      <c r="BM58" s="489"/>
      <c r="BN58" s="489"/>
      <c r="BO58" s="1169" t="s">
        <v>83</v>
      </c>
      <c r="BP58" s="1101" t="b">
        <f>IF(BU85=6,1)</f>
        <v>0</v>
      </c>
      <c r="BQ58" s="1142"/>
      <c r="BR58" s="1142"/>
      <c r="BS58" s="1142"/>
      <c r="BT58" s="1142"/>
      <c r="BU58" s="1142"/>
      <c r="BV58" s="1142"/>
      <c r="BW58" s="1142"/>
      <c r="BX58" s="1142"/>
      <c r="BY58" s="1142"/>
      <c r="BZ58" s="1116" t="b">
        <f>IF(BU85=6,11)</f>
        <v>0</v>
      </c>
      <c r="CA58" s="1096"/>
      <c r="CB58" s="1096"/>
      <c r="CC58" s="1096"/>
      <c r="CD58" s="1096"/>
      <c r="CE58" s="1096"/>
      <c r="CF58" s="1096"/>
      <c r="CG58" s="1096"/>
      <c r="CH58" s="1096"/>
      <c r="CI58" s="1096"/>
      <c r="CJ58" s="1096"/>
      <c r="CK58" s="1096"/>
      <c r="CL58" s="1096"/>
      <c r="CM58" s="1096"/>
      <c r="CN58" s="1093"/>
      <c r="CO58" s="1093"/>
      <c r="CP58" s="1093"/>
      <c r="CQ58" s="1093"/>
      <c r="CR58" s="1093"/>
      <c r="CS58" s="1093"/>
    </row>
    <row r="59" spans="2:97" ht="21.6" hidden="1" thickBot="1" x14ac:dyDescent="0.45">
      <c r="E59" s="490"/>
      <c r="F59" s="490"/>
      <c r="G59" s="490"/>
      <c r="H59" s="465"/>
      <c r="I59" s="465"/>
      <c r="J59" s="465"/>
      <c r="K59" s="465"/>
      <c r="L59" s="465"/>
      <c r="M59" s="465"/>
      <c r="N59" s="465"/>
      <c r="O59" s="465"/>
      <c r="P59" s="465"/>
      <c r="Q59" s="465"/>
      <c r="R59" s="465"/>
      <c r="S59" s="465"/>
      <c r="T59" s="465"/>
      <c r="U59" s="493"/>
      <c r="V59" s="465"/>
      <c r="W59" s="465"/>
      <c r="X59" s="465"/>
      <c r="Y59" s="465"/>
      <c r="Z59" s="465"/>
      <c r="AA59" s="465"/>
      <c r="AB59" s="493"/>
      <c r="AC59" s="493"/>
      <c r="AD59" s="493"/>
      <c r="AE59" s="493"/>
      <c r="AF59" s="465"/>
      <c r="AG59" s="465"/>
      <c r="AH59" s="465"/>
      <c r="AI59" s="465"/>
      <c r="AJ59" s="465"/>
      <c r="AK59" s="465"/>
      <c r="AL59" s="465"/>
      <c r="AM59" s="465"/>
      <c r="AN59" s="465"/>
      <c r="AO59" s="465"/>
      <c r="AP59" s="465"/>
      <c r="AQ59" s="465"/>
      <c r="AR59" s="465"/>
      <c r="AS59" s="465"/>
      <c r="AT59" s="465"/>
      <c r="AU59" s="465"/>
      <c r="AV59" s="465"/>
      <c r="AW59" s="465"/>
      <c r="AX59" s="465"/>
      <c r="AY59" s="465"/>
      <c r="AZ59" s="465"/>
      <c r="BA59" s="465"/>
      <c r="BB59" s="473"/>
      <c r="BF59" s="489"/>
      <c r="BG59" s="489"/>
      <c r="BH59" s="489"/>
      <c r="BI59" s="489"/>
      <c r="BJ59" s="489"/>
      <c r="BK59" s="489"/>
      <c r="BL59" s="489"/>
      <c r="BM59" s="489"/>
      <c r="BN59" s="489"/>
      <c r="BO59" s="1169" t="s">
        <v>37</v>
      </c>
      <c r="BP59" s="1115" t="b">
        <f>IF(BT85=5,1)</f>
        <v>0</v>
      </c>
      <c r="BQ59" s="586"/>
      <c r="BR59" s="1139"/>
      <c r="BS59" s="1139"/>
      <c r="BT59" s="1139"/>
      <c r="BU59" s="1139"/>
      <c r="BV59" s="1139"/>
      <c r="BW59" s="586"/>
      <c r="BX59" s="1113" t="b">
        <f>IF(BT85=5,9)</f>
        <v>0</v>
      </c>
      <c r="BY59" s="1096"/>
      <c r="BZ59" s="1096"/>
      <c r="CA59" s="1096"/>
      <c r="CB59" s="1096"/>
      <c r="CC59" s="1096"/>
      <c r="CD59" s="1096"/>
      <c r="CE59" s="1096"/>
      <c r="CF59" s="1096"/>
      <c r="CG59" s="1096"/>
      <c r="CH59" s="1096"/>
      <c r="CI59" s="1096"/>
      <c r="CJ59" s="1096"/>
      <c r="CK59" s="1096"/>
      <c r="CL59" s="1096"/>
      <c r="CM59" s="1096"/>
      <c r="CN59" s="1093"/>
      <c r="CO59" s="1093"/>
      <c r="CP59" s="1093"/>
      <c r="CQ59" s="1093"/>
      <c r="CR59" s="1093"/>
      <c r="CS59" s="1093"/>
    </row>
    <row r="60" spans="2:97" ht="21.6" hidden="1" thickBot="1" x14ac:dyDescent="0.45">
      <c r="E60" s="490"/>
      <c r="F60" s="490"/>
      <c r="G60" s="490"/>
      <c r="H60" s="465"/>
      <c r="I60" s="465"/>
      <c r="J60" s="465"/>
      <c r="K60" s="465"/>
      <c r="L60" s="465"/>
      <c r="M60" s="465"/>
      <c r="N60" s="465"/>
      <c r="O60" s="465"/>
      <c r="P60" s="465"/>
      <c r="Q60" s="465"/>
      <c r="R60" s="465"/>
      <c r="S60" s="465"/>
      <c r="T60" s="465"/>
      <c r="U60" s="493"/>
      <c r="V60" s="465"/>
      <c r="W60" s="465"/>
      <c r="X60" s="465"/>
      <c r="Y60" s="465"/>
      <c r="Z60" s="465"/>
      <c r="AA60" s="465"/>
      <c r="AB60" s="493"/>
      <c r="AC60" s="493"/>
      <c r="AD60" s="493"/>
      <c r="AE60" s="493"/>
      <c r="AF60" s="465"/>
      <c r="AG60" s="465"/>
      <c r="AH60" s="465"/>
      <c r="AI60" s="465"/>
      <c r="AJ60" s="465"/>
      <c r="AK60" s="465"/>
      <c r="AL60" s="465"/>
      <c r="AM60" s="465"/>
      <c r="AN60" s="465"/>
      <c r="AO60" s="465"/>
      <c r="AP60" s="465"/>
      <c r="AQ60" s="465"/>
      <c r="AR60" s="465"/>
      <c r="AS60" s="465"/>
      <c r="AT60" s="465"/>
      <c r="AU60" s="465"/>
      <c r="AV60" s="465"/>
      <c r="AW60" s="465"/>
      <c r="AX60" s="465"/>
      <c r="AY60" s="465"/>
      <c r="AZ60" s="465"/>
      <c r="BA60" s="465"/>
      <c r="BB60" s="473"/>
      <c r="BF60" s="489"/>
      <c r="BG60" s="489"/>
      <c r="BH60" s="489"/>
      <c r="BI60" s="489"/>
      <c r="BJ60" s="489"/>
      <c r="BK60" s="489"/>
      <c r="BL60" s="489"/>
      <c r="BM60" s="489"/>
      <c r="BN60" s="489"/>
      <c r="BO60" s="1169" t="s">
        <v>36</v>
      </c>
      <c r="BP60" s="1115" t="b">
        <f>IF(BS85=4,1)</f>
        <v>0</v>
      </c>
      <c r="BQ60" s="1139"/>
      <c r="BR60" s="1139"/>
      <c r="BS60" s="1139"/>
      <c r="BT60" s="1139"/>
      <c r="BU60" s="1139"/>
      <c r="BV60" s="1113" t="b">
        <f>IF(BS85=4,7)</f>
        <v>0</v>
      </c>
      <c r="BW60" s="1096"/>
      <c r="BX60" s="1141"/>
      <c r="BY60" s="1141"/>
      <c r="BZ60" s="1096"/>
      <c r="CA60" s="1141"/>
      <c r="CB60" s="1096"/>
      <c r="CC60" s="1096"/>
      <c r="CD60" s="1096"/>
      <c r="CE60" s="1096"/>
      <c r="CF60" s="1096"/>
      <c r="CG60" s="1096"/>
      <c r="CH60" s="1096"/>
      <c r="CI60" s="1096"/>
      <c r="CJ60" s="1096"/>
      <c r="CK60" s="1096"/>
      <c r="CL60" s="1096"/>
      <c r="CM60" s="1096"/>
      <c r="CN60" s="1093"/>
      <c r="CO60" s="1093"/>
      <c r="CP60" s="1093"/>
      <c r="CQ60" s="1093"/>
      <c r="CR60" s="1093"/>
      <c r="CS60" s="1093"/>
    </row>
    <row r="61" spans="2:97" ht="21.6" hidden="1" thickBot="1" x14ac:dyDescent="0.45">
      <c r="D61" s="490"/>
      <c r="E61" s="490"/>
      <c r="F61" s="490"/>
      <c r="G61" s="490"/>
      <c r="H61" s="465"/>
      <c r="I61" s="465"/>
      <c r="J61" s="465"/>
      <c r="K61" s="465"/>
      <c r="L61" s="465"/>
      <c r="M61" s="465"/>
      <c r="N61" s="465"/>
      <c r="O61" s="465"/>
      <c r="P61" s="465"/>
      <c r="Q61" s="465"/>
      <c r="R61" s="465"/>
      <c r="S61" s="465"/>
      <c r="T61" s="465"/>
      <c r="U61" s="493"/>
      <c r="V61" s="465"/>
      <c r="W61" s="465"/>
      <c r="X61" s="465"/>
      <c r="Y61" s="465"/>
      <c r="Z61" s="465"/>
      <c r="AA61" s="465"/>
      <c r="AB61" s="493"/>
      <c r="AC61" s="493"/>
      <c r="AD61" s="493"/>
      <c r="AE61" s="493"/>
      <c r="AF61" s="465"/>
      <c r="AG61" s="465"/>
      <c r="AH61" s="465"/>
      <c r="AI61" s="465"/>
      <c r="AJ61" s="465"/>
      <c r="AK61" s="465"/>
      <c r="AL61" s="465"/>
      <c r="AM61" s="465"/>
      <c r="AN61" s="465"/>
      <c r="AO61" s="465"/>
      <c r="AP61" s="465"/>
      <c r="AQ61" s="465"/>
      <c r="AR61" s="465"/>
      <c r="AS61" s="465"/>
      <c r="AT61" s="465"/>
      <c r="AU61" s="465"/>
      <c r="AV61" s="465"/>
      <c r="AW61" s="465"/>
      <c r="AX61" s="465"/>
      <c r="AY61" s="465"/>
      <c r="AZ61" s="465"/>
      <c r="BA61" s="465"/>
      <c r="BB61" s="473"/>
      <c r="BF61" s="489"/>
      <c r="BG61" s="489"/>
      <c r="BH61" s="489"/>
      <c r="BI61" s="489"/>
      <c r="BJ61" s="489"/>
      <c r="BK61" s="489"/>
      <c r="BL61" s="489"/>
      <c r="BM61" s="489"/>
      <c r="BN61" s="489"/>
      <c r="BO61" s="1169" t="s">
        <v>35</v>
      </c>
      <c r="BP61" s="1115" t="b">
        <f>IF(BR85=3,1)</f>
        <v>0</v>
      </c>
      <c r="BQ61" s="1139"/>
      <c r="BR61" s="1139"/>
      <c r="BS61" s="1139"/>
      <c r="BT61" s="1113" t="b">
        <f>IF(BR85=3,5)</f>
        <v>0</v>
      </c>
      <c r="BU61" s="1096"/>
      <c r="BV61" s="1096"/>
      <c r="BW61" s="1096"/>
      <c r="BX61" s="1096"/>
      <c r="BY61" s="1096"/>
      <c r="BZ61" s="1096"/>
      <c r="CA61" s="1096"/>
      <c r="CB61" s="1096"/>
      <c r="CC61" s="1096"/>
      <c r="CD61" s="1096"/>
      <c r="CE61" s="1096"/>
      <c r="CF61" s="1096"/>
      <c r="CG61" s="1096"/>
      <c r="CH61" s="1096"/>
      <c r="CI61" s="1096"/>
      <c r="CJ61" s="1096"/>
      <c r="CK61" s="1096"/>
      <c r="CL61" s="1096"/>
      <c r="CM61" s="1096"/>
      <c r="CN61" s="1093"/>
      <c r="CO61" s="1093"/>
      <c r="CP61" s="1093"/>
      <c r="CQ61" s="1093"/>
      <c r="CR61" s="1093"/>
      <c r="CS61" s="1093"/>
    </row>
    <row r="62" spans="2:97" ht="21.6" hidden="1" thickBot="1" x14ac:dyDescent="0.45">
      <c r="D62" s="490"/>
      <c r="E62" s="490"/>
      <c r="F62" s="490"/>
      <c r="G62" s="490"/>
      <c r="H62" s="465"/>
      <c r="I62" s="465"/>
      <c r="J62" s="465"/>
      <c r="K62" s="465"/>
      <c r="L62" s="465"/>
      <c r="M62" s="465"/>
      <c r="N62" s="465"/>
      <c r="O62" s="465"/>
      <c r="P62" s="465"/>
      <c r="Q62" s="465"/>
      <c r="R62" s="465"/>
      <c r="S62" s="465"/>
      <c r="T62" s="465"/>
      <c r="U62" s="493"/>
      <c r="V62" s="465"/>
      <c r="W62" s="465"/>
      <c r="X62" s="465"/>
      <c r="Y62" s="465"/>
      <c r="Z62" s="465"/>
      <c r="AA62" s="465"/>
      <c r="AB62" s="493"/>
      <c r="AC62" s="493"/>
      <c r="AD62" s="493"/>
      <c r="AE62" s="493"/>
      <c r="AF62" s="465"/>
      <c r="AG62" s="465"/>
      <c r="AH62" s="465"/>
      <c r="AI62" s="465"/>
      <c r="AJ62" s="465"/>
      <c r="AK62" s="465"/>
      <c r="AL62" s="465"/>
      <c r="AM62" s="465"/>
      <c r="AN62" s="465"/>
      <c r="AO62" s="465"/>
      <c r="AP62" s="465"/>
      <c r="AQ62" s="465"/>
      <c r="AR62" s="465"/>
      <c r="AS62" s="465"/>
      <c r="AT62" s="465"/>
      <c r="AU62" s="465"/>
      <c r="AV62" s="465"/>
      <c r="AW62" s="465"/>
      <c r="AX62" s="465"/>
      <c r="AY62" s="465"/>
      <c r="AZ62" s="465"/>
      <c r="BA62" s="465"/>
      <c r="BB62" s="473"/>
      <c r="BF62" s="489"/>
      <c r="BG62" s="489"/>
      <c r="BH62" s="489"/>
      <c r="BI62" s="489"/>
      <c r="BJ62" s="489"/>
      <c r="BK62" s="489"/>
      <c r="BL62" s="489"/>
      <c r="BM62" s="489"/>
      <c r="BN62" s="489"/>
      <c r="BO62" s="1169" t="s">
        <v>34</v>
      </c>
      <c r="BP62" s="1115" t="b">
        <f>IF(BQ85=2,1)</f>
        <v>0</v>
      </c>
      <c r="BQ62" s="1139"/>
      <c r="BR62" s="1113" t="b">
        <f>IF(BQ85=2,3)</f>
        <v>0</v>
      </c>
      <c r="BS62" s="1096"/>
      <c r="BT62" s="1096"/>
      <c r="BU62" s="1096"/>
      <c r="BV62" s="1096"/>
      <c r="BW62" s="1096"/>
      <c r="BX62" s="1096"/>
      <c r="BY62" s="1096"/>
      <c r="BZ62" s="1096"/>
      <c r="CA62" s="1096"/>
      <c r="CB62" s="1096"/>
      <c r="CC62" s="1096"/>
      <c r="CD62" s="1096"/>
      <c r="CE62" s="1096"/>
      <c r="CF62" s="1096"/>
      <c r="CG62" s="1096"/>
      <c r="CH62" s="1096"/>
      <c r="CI62" s="1096"/>
      <c r="CJ62" s="1096"/>
      <c r="CK62" s="1096"/>
      <c r="CL62" s="1096"/>
      <c r="CM62" s="1096"/>
      <c r="CN62" s="1093"/>
      <c r="CO62" s="1093"/>
      <c r="CP62" s="1093"/>
      <c r="CQ62" s="1093"/>
      <c r="CR62" s="1093"/>
      <c r="CS62" s="1093"/>
    </row>
    <row r="63" spans="2:97" ht="21.6" hidden="1" thickBot="1" x14ac:dyDescent="0.45">
      <c r="B63" s="491"/>
      <c r="C63" s="491"/>
      <c r="D63" s="490"/>
      <c r="E63" s="490"/>
      <c r="F63" s="490"/>
      <c r="G63" s="490"/>
      <c r="H63" s="465"/>
      <c r="I63" s="465"/>
      <c r="J63" s="465"/>
      <c r="K63" s="465"/>
      <c r="L63" s="465"/>
      <c r="M63" s="465"/>
      <c r="N63" s="465"/>
      <c r="O63" s="465"/>
      <c r="P63" s="465"/>
      <c r="Q63" s="465"/>
      <c r="R63" s="465"/>
      <c r="S63" s="465"/>
      <c r="T63" s="465"/>
      <c r="U63" s="493"/>
      <c r="V63" s="465"/>
      <c r="W63" s="465"/>
      <c r="X63" s="465"/>
      <c r="Y63" s="465"/>
      <c r="Z63" s="465"/>
      <c r="AA63" s="465"/>
      <c r="AB63" s="493"/>
      <c r="AC63" s="493"/>
      <c r="AD63" s="493"/>
      <c r="AE63" s="493"/>
      <c r="AF63" s="465"/>
      <c r="AG63" s="465"/>
      <c r="AH63" s="465"/>
      <c r="AI63" s="465"/>
      <c r="AJ63" s="465"/>
      <c r="AK63" s="465"/>
      <c r="AL63" s="465"/>
      <c r="AM63" s="465"/>
      <c r="AN63" s="465"/>
      <c r="AO63" s="465"/>
      <c r="AP63" s="465"/>
      <c r="AQ63" s="465"/>
      <c r="AR63" s="465"/>
      <c r="AS63" s="465"/>
      <c r="AT63" s="465"/>
      <c r="AU63" s="465"/>
      <c r="AV63" s="465"/>
      <c r="AW63" s="465"/>
      <c r="AX63" s="465"/>
      <c r="AY63" s="465"/>
      <c r="AZ63" s="465"/>
      <c r="BA63" s="465"/>
      <c r="BB63" s="473"/>
      <c r="BF63" s="489"/>
      <c r="BG63" s="489"/>
      <c r="BH63" s="489"/>
      <c r="BI63" s="489"/>
      <c r="BJ63" s="489"/>
      <c r="BK63" s="489"/>
      <c r="BL63" s="489"/>
      <c r="BM63" s="489"/>
      <c r="BN63" s="489"/>
      <c r="BO63" s="1135"/>
      <c r="BP63" s="1133">
        <f t="shared" ref="BP63:CS63" si="0">SUM(BP34:BP62)</f>
        <v>0</v>
      </c>
      <c r="BQ63" s="1133">
        <f t="shared" si="0"/>
        <v>2</v>
      </c>
      <c r="BR63" s="1133">
        <f t="shared" si="0"/>
        <v>0</v>
      </c>
      <c r="BS63" s="1133">
        <f t="shared" si="0"/>
        <v>0</v>
      </c>
      <c r="BT63" s="1133">
        <f t="shared" si="0"/>
        <v>0</v>
      </c>
      <c r="BU63" s="1133">
        <f t="shared" si="0"/>
        <v>0</v>
      </c>
      <c r="BV63" s="1133">
        <f t="shared" si="0"/>
        <v>0</v>
      </c>
      <c r="BW63" s="1133">
        <f t="shared" si="0"/>
        <v>0</v>
      </c>
      <c r="BX63" s="1133">
        <f t="shared" si="0"/>
        <v>0</v>
      </c>
      <c r="BY63" s="1133">
        <f t="shared" si="0"/>
        <v>0</v>
      </c>
      <c r="BZ63" s="1133">
        <f t="shared" si="0"/>
        <v>0</v>
      </c>
      <c r="CA63" s="1133">
        <f t="shared" si="0"/>
        <v>0</v>
      </c>
      <c r="CB63" s="1133">
        <f t="shared" si="0"/>
        <v>0</v>
      </c>
      <c r="CC63" s="1133">
        <f t="shared" si="0"/>
        <v>0</v>
      </c>
      <c r="CD63" s="1133">
        <f t="shared" si="0"/>
        <v>0</v>
      </c>
      <c r="CE63" s="1133">
        <f t="shared" si="0"/>
        <v>0</v>
      </c>
      <c r="CF63" s="1133">
        <f t="shared" si="0"/>
        <v>0</v>
      </c>
      <c r="CG63" s="1133">
        <f t="shared" si="0"/>
        <v>0</v>
      </c>
      <c r="CH63" s="1133">
        <f t="shared" si="0"/>
        <v>0</v>
      </c>
      <c r="CI63" s="1133">
        <f t="shared" si="0"/>
        <v>0</v>
      </c>
      <c r="CJ63" s="1133">
        <f t="shared" si="0"/>
        <v>0</v>
      </c>
      <c r="CK63" s="1133">
        <f t="shared" si="0"/>
        <v>22</v>
      </c>
      <c r="CL63" s="1133">
        <f t="shared" si="0"/>
        <v>0</v>
      </c>
      <c r="CM63" s="1133">
        <f t="shared" si="0"/>
        <v>0</v>
      </c>
      <c r="CN63" s="1133">
        <f t="shared" si="0"/>
        <v>0</v>
      </c>
      <c r="CO63" s="1133">
        <f t="shared" si="0"/>
        <v>0</v>
      </c>
      <c r="CP63" s="1133">
        <f t="shared" si="0"/>
        <v>0</v>
      </c>
      <c r="CQ63" s="1133">
        <f t="shared" si="0"/>
        <v>0</v>
      </c>
      <c r="CR63" s="1133">
        <f t="shared" si="0"/>
        <v>0</v>
      </c>
      <c r="CS63" s="1133">
        <f t="shared" si="0"/>
        <v>0</v>
      </c>
    </row>
    <row r="64" spans="2:97" ht="42.6" thickBot="1" x14ac:dyDescent="0.45">
      <c r="B64" s="491"/>
      <c r="C64" s="491"/>
      <c r="D64" s="490"/>
      <c r="E64" s="490"/>
      <c r="F64" s="490"/>
      <c r="G64" s="490"/>
      <c r="H64" s="465"/>
      <c r="I64" s="465"/>
      <c r="J64" s="465"/>
      <c r="K64" s="465"/>
      <c r="L64" s="465"/>
      <c r="M64" s="465"/>
      <c r="N64" s="465"/>
      <c r="O64" s="465"/>
      <c r="P64" s="465"/>
      <c r="Q64" s="465"/>
      <c r="R64" s="465"/>
      <c r="S64" s="465"/>
      <c r="T64" s="465"/>
      <c r="U64" s="493"/>
      <c r="V64" s="465"/>
      <c r="W64" s="465"/>
      <c r="X64" s="465"/>
      <c r="Y64" s="465"/>
      <c r="Z64" s="465"/>
      <c r="AA64" s="465"/>
      <c r="AB64" s="493"/>
      <c r="AC64" s="493"/>
      <c r="AD64" s="493"/>
      <c r="AE64" s="493"/>
      <c r="AF64" s="465"/>
      <c r="AG64" s="465"/>
      <c r="AH64" s="465"/>
      <c r="AI64" s="465"/>
      <c r="AJ64" s="465"/>
      <c r="AK64" s="465"/>
      <c r="AL64" s="465"/>
      <c r="AM64" s="465"/>
      <c r="AN64" s="465"/>
      <c r="AO64" s="465"/>
      <c r="AP64" s="465"/>
      <c r="AQ64" s="465"/>
      <c r="AR64" s="465"/>
      <c r="AS64" s="465"/>
      <c r="AT64" s="465"/>
      <c r="AU64" s="465"/>
      <c r="AV64" s="465"/>
      <c r="AW64" s="465"/>
      <c r="AX64" s="465"/>
      <c r="AY64" s="465"/>
      <c r="AZ64" s="465"/>
      <c r="BA64" s="465"/>
      <c r="BB64" s="473"/>
      <c r="BF64" s="489"/>
      <c r="BG64" s="489"/>
      <c r="BH64" s="489"/>
      <c r="BI64" s="489"/>
      <c r="BJ64" s="489"/>
      <c r="BK64" s="489"/>
      <c r="BL64" s="489"/>
      <c r="BM64" s="489"/>
      <c r="BN64" s="489"/>
      <c r="BO64" s="1134" t="s">
        <v>80</v>
      </c>
      <c r="BP64" s="1109" t="str">
        <f>IF(BP63=1,"A ","")</f>
        <v/>
      </c>
      <c r="BQ64" s="1108" t="str">
        <f>IF(BQ63=2,"B ","")</f>
        <v xml:space="preserve">B </v>
      </c>
      <c r="BR64" s="1108" t="str">
        <f>IF(BR63=3,"C ","")</f>
        <v/>
      </c>
      <c r="BS64" s="1108" t="str">
        <f>IF(BS63=4,"D ","")</f>
        <v/>
      </c>
      <c r="BT64" s="1108" t="str">
        <f>IF(BT63=5,"E ","")</f>
        <v/>
      </c>
      <c r="BU64" s="1108" t="str">
        <f>IF(BU63=6,"F ","")</f>
        <v/>
      </c>
      <c r="BV64" s="1108" t="str">
        <f>IF(BV63=7,"G ","")</f>
        <v/>
      </c>
      <c r="BW64" s="1108" t="str">
        <f>IF(BW63=8,"H ","")</f>
        <v/>
      </c>
      <c r="BX64" s="1108" t="str">
        <f>IF(BX63=9,"1 ","")</f>
        <v/>
      </c>
      <c r="BY64" s="1108" t="str">
        <f>IF(BY63=10,"2 ","")</f>
        <v/>
      </c>
      <c r="BZ64" s="1108" t="str">
        <f>IF(BZ63=11,"3 ","")</f>
        <v/>
      </c>
      <c r="CA64" s="1108" t="str">
        <f>IF(CA63=12,"4 ","")</f>
        <v/>
      </c>
      <c r="CB64" s="1108" t="str">
        <f>IF(CB63=13,"5 ","")</f>
        <v/>
      </c>
      <c r="CC64" s="1108" t="str">
        <f>IF(CC63=14,"i ","")</f>
        <v/>
      </c>
      <c r="CD64" s="1108" t="str">
        <f>IF(CD63=15,"J ","")</f>
        <v/>
      </c>
      <c r="CE64" s="1108" t="str">
        <f>IF(CE63=16,"6 ","")</f>
        <v/>
      </c>
      <c r="CF64" s="1108" t="str">
        <f>IF(CF63=17,"7 ","")</f>
        <v/>
      </c>
      <c r="CG64" s="1108" t="str">
        <f>IF(CG63=18,"8 ","")</f>
        <v/>
      </c>
      <c r="CH64" s="1108" t="str">
        <f>IF(CH63=19,"9 ","")</f>
        <v/>
      </c>
      <c r="CI64" s="1108" t="str">
        <f>IF(CI63=20,"10 ","")</f>
        <v/>
      </c>
      <c r="CJ64" s="1108" t="str">
        <f>IF(CJ63=21,"11 ","")</f>
        <v/>
      </c>
      <c r="CK64" s="1108" t="str">
        <f>IF(CK63=22,"12 ","")</f>
        <v xml:space="preserve">12 </v>
      </c>
      <c r="CL64" s="1108" t="str">
        <f>IF(CL63=23,"K ","")</f>
        <v/>
      </c>
      <c r="CM64" s="1108" t="str">
        <f>IF(CM63=24,"L ","")</f>
        <v/>
      </c>
      <c r="CN64" s="1108" t="str">
        <f>IF(CN63=25,"M ","")</f>
        <v/>
      </c>
      <c r="CO64" s="1108" t="str">
        <f>IF(CO63=26,"N ","")</f>
        <v/>
      </c>
      <c r="CP64" s="1108" t="str">
        <f>IF(CP63=27,"O ","")</f>
        <v/>
      </c>
      <c r="CQ64" s="1108" t="str">
        <f>IF(CQ63=28,"P ","")</f>
        <v/>
      </c>
      <c r="CR64" s="1108" t="str">
        <f>IF(CR63=29,"Q ","")</f>
        <v/>
      </c>
      <c r="CS64" s="1107" t="str">
        <f>IF(CS63=30,"R ","")</f>
        <v/>
      </c>
    </row>
    <row r="65" spans="2:136" ht="10.5" customHeight="1" thickBot="1" x14ac:dyDescent="0.45">
      <c r="B65" s="1227"/>
      <c r="E65" s="490"/>
      <c r="F65" s="490"/>
      <c r="G65" s="490"/>
      <c r="H65" s="465"/>
      <c r="I65" s="465"/>
      <c r="J65" s="465"/>
      <c r="K65" s="465"/>
      <c r="L65" s="465"/>
      <c r="M65" s="465"/>
      <c r="N65" s="465"/>
      <c r="O65" s="465"/>
      <c r="P65" s="465"/>
      <c r="Q65" s="465"/>
      <c r="R65" s="465"/>
      <c r="S65" s="465"/>
      <c r="T65" s="465"/>
      <c r="U65" s="493"/>
      <c r="V65" s="465"/>
      <c r="W65" s="465"/>
      <c r="X65" s="465"/>
      <c r="Y65" s="465"/>
      <c r="Z65" s="465"/>
      <c r="AA65" s="465"/>
      <c r="AB65" s="493"/>
      <c r="AC65" s="493"/>
      <c r="AD65" s="493"/>
      <c r="AE65" s="493"/>
      <c r="AF65" s="465"/>
      <c r="AG65" s="465"/>
      <c r="AH65" s="465"/>
      <c r="AI65" s="465"/>
      <c r="AJ65" s="465"/>
      <c r="AK65" s="465"/>
      <c r="AL65" s="465"/>
      <c r="AM65" s="465"/>
      <c r="AN65" s="465"/>
      <c r="AO65" s="465"/>
      <c r="AP65" s="465"/>
      <c r="AQ65" s="465"/>
      <c r="AR65" s="465"/>
      <c r="AS65" s="465"/>
      <c r="AT65" s="465"/>
      <c r="AU65" s="465"/>
      <c r="AV65" s="465"/>
      <c r="AW65" s="465"/>
      <c r="AX65" s="465"/>
      <c r="AY65" s="465"/>
      <c r="AZ65" s="465"/>
      <c r="BA65" s="465"/>
      <c r="BB65" s="473"/>
      <c r="BF65" s="489"/>
      <c r="BG65" s="489"/>
      <c r="BH65" s="489"/>
      <c r="BI65" s="489"/>
      <c r="BJ65" s="489"/>
      <c r="BK65" s="489"/>
      <c r="BL65" s="489"/>
      <c r="BM65" s="489"/>
      <c r="BN65" s="489"/>
      <c r="BO65" s="1093"/>
      <c r="BP65" s="1093"/>
      <c r="BQ65" s="1093"/>
      <c r="BR65" s="1093"/>
      <c r="BS65" s="1093"/>
      <c r="BT65" s="1093"/>
      <c r="BU65" s="1093"/>
      <c r="BV65" s="1093"/>
      <c r="BW65" s="1093"/>
      <c r="BX65" s="1093"/>
      <c r="BY65" s="1093"/>
      <c r="BZ65" s="1093"/>
      <c r="CA65" s="1093"/>
      <c r="CB65" s="1093"/>
      <c r="CC65" s="1093"/>
      <c r="CD65" s="1093"/>
      <c r="CE65" s="1093"/>
      <c r="CF65" s="1093"/>
      <c r="CG65" s="1093"/>
      <c r="CH65" s="1093"/>
      <c r="CI65" s="1104"/>
      <c r="CJ65" s="1104"/>
      <c r="CK65" s="1104"/>
      <c r="CL65" s="1104"/>
      <c r="CM65" s="1105"/>
      <c r="CN65" s="1093"/>
      <c r="CO65" s="1093"/>
      <c r="CP65" s="1093"/>
      <c r="CQ65" s="1093"/>
      <c r="CR65" s="1093"/>
      <c r="CS65" s="1093"/>
    </row>
    <row r="66" spans="2:136" ht="21" hidden="1" thickBot="1" x14ac:dyDescent="0.4">
      <c r="B66" s="1025" t="b">
        <f>AND(B87&gt;=10,D87&gt;=10,AZ107&gt;=10,BA107&gt;=10)</f>
        <v>1</v>
      </c>
      <c r="C66" s="491"/>
      <c r="D66" s="490"/>
      <c r="E66" s="1025" t="b">
        <f>AND(B87&gt;=10,D87&gt;=10,E87&gt;=10,AZ107&gt;=10,BA107&gt;=10)</f>
        <v>1</v>
      </c>
      <c r="G66" s="490"/>
      <c r="H66" s="465"/>
      <c r="I66" s="465"/>
      <c r="J66" s="465"/>
      <c r="K66" s="465"/>
      <c r="L66" s="465"/>
      <c r="M66" s="465"/>
      <c r="N66" s="465"/>
      <c r="O66" s="465"/>
      <c r="P66" s="465"/>
      <c r="Q66" s="465"/>
      <c r="R66" s="465"/>
      <c r="S66" s="465"/>
      <c r="T66" s="465"/>
      <c r="U66" s="493"/>
      <c r="V66" s="465"/>
      <c r="W66" s="465"/>
      <c r="X66" s="465"/>
      <c r="Y66" s="465"/>
      <c r="Z66" s="465"/>
      <c r="AA66" s="465"/>
      <c r="AB66" s="493"/>
      <c r="AC66" s="493"/>
      <c r="AD66" s="493"/>
      <c r="AE66" s="493"/>
      <c r="AF66" s="465"/>
      <c r="AG66" s="465"/>
      <c r="AH66" s="465"/>
      <c r="AI66" s="465"/>
      <c r="AJ66" s="465"/>
      <c r="AK66" s="465"/>
      <c r="AL66" s="465"/>
      <c r="AM66" s="465"/>
      <c r="AN66" s="465"/>
      <c r="AO66" s="465"/>
      <c r="AP66" s="465"/>
      <c r="AQ66" s="465"/>
      <c r="AR66" s="465"/>
      <c r="AS66" s="465"/>
      <c r="AT66" s="465"/>
      <c r="AU66" s="465"/>
      <c r="AV66" s="465"/>
      <c r="AW66" s="465"/>
      <c r="AX66" s="465"/>
      <c r="AY66" s="465"/>
      <c r="AZ66" s="465"/>
      <c r="BA66" s="465"/>
      <c r="BB66" s="473"/>
      <c r="BF66" s="489"/>
      <c r="BG66" s="489"/>
      <c r="BH66" s="489"/>
      <c r="BI66" s="489"/>
      <c r="BJ66" s="489"/>
      <c r="BK66" s="489"/>
      <c r="BL66" s="489"/>
      <c r="BM66" s="489"/>
      <c r="BN66" s="489"/>
      <c r="BO66" s="1093"/>
      <c r="BP66" s="1053"/>
      <c r="BQ66" s="1053"/>
      <c r="BR66" s="1053"/>
      <c r="BS66" s="1053"/>
      <c r="BT66" s="1053"/>
      <c r="BU66" s="1053"/>
      <c r="BV66" s="1053"/>
      <c r="BW66" s="1053"/>
      <c r="BX66" s="1053"/>
      <c r="BY66" s="1053"/>
      <c r="BZ66" s="1053"/>
      <c r="CA66" s="1053"/>
      <c r="CB66" s="1053"/>
      <c r="CC66" s="1053"/>
      <c r="CD66" s="1053"/>
      <c r="CE66" s="1053"/>
      <c r="CF66" s="1053"/>
      <c r="CG66" s="1053"/>
      <c r="CH66" s="1053"/>
      <c r="CI66" s="1267"/>
      <c r="CJ66" s="1267"/>
      <c r="CK66" s="1267"/>
      <c r="CL66" s="1267"/>
      <c r="CM66" s="505"/>
      <c r="CN66" s="1053"/>
    </row>
    <row r="67" spans="2:136" ht="21.6" thickBot="1" x14ac:dyDescent="0.45">
      <c r="B67" s="491"/>
      <c r="C67" s="491"/>
      <c r="D67" s="490"/>
      <c r="E67" s="490"/>
      <c r="F67" s="490"/>
      <c r="G67" s="490"/>
      <c r="H67" s="465"/>
      <c r="I67" s="465"/>
      <c r="J67" s="465"/>
      <c r="K67" s="465"/>
      <c r="L67" s="465"/>
      <c r="M67" s="465"/>
      <c r="N67" s="465"/>
      <c r="O67" s="465"/>
      <c r="P67" s="465"/>
      <c r="Q67" s="465"/>
      <c r="R67" s="465"/>
      <c r="S67" s="465"/>
      <c r="T67" s="465"/>
      <c r="U67" s="493"/>
      <c r="V67" s="465"/>
      <c r="W67" s="465"/>
      <c r="X67" s="465"/>
      <c r="Y67" s="465"/>
      <c r="Z67" s="465"/>
      <c r="AA67" s="465"/>
      <c r="AB67" s="493"/>
      <c r="AC67" s="493"/>
      <c r="AD67" s="493"/>
      <c r="AE67" s="493"/>
      <c r="AF67" s="465"/>
      <c r="AG67" s="465"/>
      <c r="AH67" s="465"/>
      <c r="AI67" s="465"/>
      <c r="AJ67" s="465"/>
      <c r="AK67" s="465"/>
      <c r="AL67" s="465"/>
      <c r="AM67" s="465"/>
      <c r="AN67" s="465"/>
      <c r="AO67" s="465"/>
      <c r="AP67" s="465"/>
      <c r="AQ67" s="465"/>
      <c r="AR67" s="465"/>
      <c r="AS67" s="465"/>
      <c r="AT67" s="465"/>
      <c r="AU67" s="465"/>
      <c r="AV67" s="465"/>
      <c r="AW67" s="465"/>
      <c r="AX67" s="465"/>
      <c r="AY67" s="465"/>
      <c r="AZ67" s="465"/>
      <c r="BA67" s="465"/>
      <c r="BB67" s="473"/>
      <c r="BF67" s="489"/>
      <c r="BG67" s="489"/>
      <c r="BH67" s="489"/>
      <c r="BI67" s="489"/>
      <c r="BJ67" s="489"/>
      <c r="BK67" s="489"/>
      <c r="BL67" s="489"/>
      <c r="BM67" s="489"/>
      <c r="BN67" s="489"/>
      <c r="BO67" s="1132" t="s">
        <v>30</v>
      </c>
      <c r="BP67" s="2071"/>
      <c r="BQ67" s="2072"/>
      <c r="BR67" s="2072"/>
      <c r="BS67" s="2072"/>
      <c r="BT67" s="2072"/>
      <c r="BU67" s="2072"/>
      <c r="BV67" s="2072"/>
      <c r="BW67" s="2073"/>
      <c r="BX67" s="1131" t="s">
        <v>31</v>
      </c>
      <c r="BY67" s="1014"/>
      <c r="BZ67" s="1014"/>
      <c r="CA67" s="1014"/>
      <c r="CB67" s="1014"/>
      <c r="CC67" s="1014"/>
      <c r="CD67" s="1014"/>
      <c r="CE67" s="1014"/>
      <c r="CF67" s="1014"/>
      <c r="CG67" s="1014"/>
      <c r="CH67" s="594"/>
      <c r="CI67" s="1003"/>
      <c r="CJ67" s="1003"/>
      <c r="CK67" s="1128" t="s">
        <v>32</v>
      </c>
      <c r="CL67" s="2071"/>
      <c r="CM67" s="2072"/>
      <c r="CN67" s="2072"/>
      <c r="CO67" s="2072"/>
      <c r="CP67" s="2072"/>
      <c r="CQ67" s="2072"/>
      <c r="CR67" s="2072"/>
      <c r="CS67" s="2073"/>
    </row>
    <row r="68" spans="2:136" ht="24.75" customHeight="1" thickTop="1" thickBot="1" x14ac:dyDescent="0.5">
      <c r="B68" s="1356" t="s">
        <v>190</v>
      </c>
      <c r="C68" s="1423"/>
      <c r="D68" s="1450"/>
      <c r="E68" s="1356" t="s">
        <v>191</v>
      </c>
      <c r="G68" s="490"/>
      <c r="H68" s="465"/>
      <c r="I68" s="465"/>
      <c r="J68" s="465"/>
      <c r="K68" s="465"/>
      <c r="L68" s="465"/>
      <c r="M68" s="465"/>
      <c r="N68" s="465"/>
      <c r="O68" s="465"/>
      <c r="P68" s="465"/>
      <c r="Q68" s="465"/>
      <c r="R68" s="465"/>
      <c r="S68" s="465"/>
      <c r="T68" s="465"/>
      <c r="U68" s="493"/>
      <c r="V68" s="465"/>
      <c r="W68" s="465"/>
      <c r="X68" s="465"/>
      <c r="Y68" s="465"/>
      <c r="Z68" s="465"/>
      <c r="AA68" s="465"/>
      <c r="AB68" s="493"/>
      <c r="AC68" s="493"/>
      <c r="AD68" s="493"/>
      <c r="AE68" s="493"/>
      <c r="AF68" s="465"/>
      <c r="AG68" s="465"/>
      <c r="AH68" s="465"/>
      <c r="AI68" s="465"/>
      <c r="AJ68" s="465"/>
      <c r="AK68" s="465"/>
      <c r="AL68" s="465"/>
      <c r="AM68" s="465"/>
      <c r="AN68" s="465"/>
      <c r="AO68" s="465"/>
      <c r="AP68" s="465"/>
      <c r="AQ68" s="465"/>
      <c r="AR68" s="465"/>
      <c r="AS68" s="465"/>
      <c r="AT68" s="465"/>
      <c r="AU68" s="465"/>
      <c r="AV68" s="465"/>
      <c r="AW68" s="465"/>
      <c r="AX68" s="465"/>
      <c r="AY68" s="465"/>
      <c r="AZ68" s="465"/>
      <c r="BA68" s="465"/>
      <c r="BB68" s="473"/>
      <c r="BE68" s="644"/>
      <c r="BF68" s="1099"/>
      <c r="BG68" s="1099"/>
      <c r="BH68" s="1053"/>
      <c r="BI68" s="1053"/>
      <c r="BJ68" s="1053"/>
      <c r="BK68" s="1053"/>
      <c r="BL68" s="1348" t="s">
        <v>223</v>
      </c>
      <c r="BM68" s="1348">
        <f>+MAX(BN28,BN31,BN68)</f>
        <v>160.80252252281966</v>
      </c>
      <c r="BN68" s="1347">
        <f>+IF(AND(CJ68&gt;0,BX68&gt;0),BX68)</f>
        <v>141.72715176763177</v>
      </c>
      <c r="BO68" s="1127" t="s">
        <v>41</v>
      </c>
      <c r="BP68" s="2074"/>
      <c r="BQ68" s="2075"/>
      <c r="BR68" s="2075"/>
      <c r="BS68" s="2075"/>
      <c r="BT68" s="2075"/>
      <c r="BU68" s="2075"/>
      <c r="BV68" s="2075"/>
      <c r="BW68" s="2076"/>
      <c r="BX68" s="2088">
        <f>+((D2-D3)/D2)*C7</f>
        <v>141.72715176763177</v>
      </c>
      <c r="BY68" s="2089"/>
      <c r="BZ68" s="1015"/>
      <c r="CA68" s="1015"/>
      <c r="CB68" s="1015"/>
      <c r="CC68" s="1015"/>
      <c r="CD68" s="1015"/>
      <c r="CE68" s="1015"/>
      <c r="CF68" s="1015"/>
      <c r="CG68" s="1015"/>
      <c r="CH68" s="586"/>
      <c r="CI68" s="1004"/>
      <c r="CJ68" s="2090">
        <f>+(D3/D2)*C7</f>
        <v>50.072848232368258</v>
      </c>
      <c r="CK68" s="2091"/>
      <c r="CL68" s="2074"/>
      <c r="CM68" s="2075"/>
      <c r="CN68" s="2075"/>
      <c r="CO68" s="2075"/>
      <c r="CP68" s="2075"/>
      <c r="CQ68" s="2075"/>
      <c r="CR68" s="2075"/>
      <c r="CS68" s="2076"/>
      <c r="CT68" s="1347">
        <f>+IF(AND(BX68&gt;0,CJ68&gt;0),CJ68)</f>
        <v>50.072848232368258</v>
      </c>
      <c r="CU68" s="1348">
        <f>+MAX(CT28,CT31,CT68)</f>
        <v>104.06414414384702</v>
      </c>
      <c r="CV68" s="1348" t="s">
        <v>224</v>
      </c>
    </row>
    <row r="69" spans="2:136" ht="31.2" thickTop="1" thickBot="1" x14ac:dyDescent="0.55000000000000004">
      <c r="B69" s="1443" t="str">
        <f>IF(B66=TRUE,"O K","OVERLOAD")</f>
        <v>O K</v>
      </c>
      <c r="C69" s="1423"/>
      <c r="D69" s="1422"/>
      <c r="E69" s="1420" t="str">
        <f>IF(E66=TRUE,"O K ","OVERLOAD")</f>
        <v xml:space="preserve">O K </v>
      </c>
      <c r="G69" s="490"/>
      <c r="H69" s="465"/>
      <c r="I69" s="465"/>
      <c r="J69" s="465"/>
      <c r="K69" s="465"/>
      <c r="L69" s="465"/>
      <c r="M69" s="465"/>
      <c r="N69" s="465"/>
      <c r="O69" s="465"/>
      <c r="P69" s="465"/>
      <c r="Q69" s="465"/>
      <c r="R69" s="465"/>
      <c r="S69" s="465"/>
      <c r="T69" s="465"/>
      <c r="U69" s="493"/>
      <c r="V69" s="465"/>
      <c r="W69" s="465"/>
      <c r="X69" s="465"/>
      <c r="Y69" s="465"/>
      <c r="Z69" s="465"/>
      <c r="AA69" s="465"/>
      <c r="AB69" s="493"/>
      <c r="AC69" s="493"/>
      <c r="AD69" s="493"/>
      <c r="AE69" s="493"/>
      <c r="AF69" s="465"/>
      <c r="AG69" s="465"/>
      <c r="AH69" s="465"/>
      <c r="AI69" s="465"/>
      <c r="AJ69" s="465"/>
      <c r="AK69" s="465"/>
      <c r="AL69" s="465"/>
      <c r="AM69" s="465"/>
      <c r="AN69" s="465"/>
      <c r="AO69" s="465"/>
      <c r="AP69" s="465"/>
      <c r="AQ69" s="465"/>
      <c r="AR69" s="465"/>
      <c r="AS69" s="465"/>
      <c r="AT69" s="465"/>
      <c r="AU69" s="465"/>
      <c r="AV69" s="465"/>
      <c r="AW69" s="465"/>
      <c r="AX69" s="465"/>
      <c r="AY69" s="465"/>
      <c r="AZ69" s="465"/>
      <c r="BA69" s="465"/>
      <c r="BB69" s="473"/>
      <c r="BE69" s="644"/>
      <c r="BF69" s="1099"/>
      <c r="BG69" s="1099"/>
      <c r="BH69" s="1053"/>
      <c r="BI69" s="1053"/>
      <c r="BJ69" s="1053"/>
      <c r="BK69" s="1053"/>
      <c r="BL69" s="1053"/>
      <c r="BM69" s="489"/>
      <c r="BN69" s="489"/>
      <c r="BO69" s="1112"/>
      <c r="BP69" s="1268"/>
      <c r="BQ69" s="509"/>
      <c r="BR69" s="1268"/>
      <c r="BS69" s="1268"/>
      <c r="BT69" s="1268"/>
      <c r="BU69" s="509"/>
      <c r="BV69" s="1268"/>
      <c r="BW69" s="1268"/>
      <c r="BX69" s="1268"/>
      <c r="BY69" s="1268"/>
      <c r="BZ69" s="1268"/>
      <c r="CA69" s="1268"/>
      <c r="CB69" s="1268"/>
      <c r="CC69" s="1268"/>
      <c r="CD69" s="1268"/>
      <c r="CE69" s="1268"/>
      <c r="CF69" s="495"/>
      <c r="CG69" s="1268"/>
      <c r="CH69" s="495"/>
      <c r="CI69" s="1267"/>
      <c r="CJ69" s="1267"/>
      <c r="CK69" s="1267"/>
      <c r="CL69" s="1267"/>
      <c r="CM69" s="1043"/>
      <c r="CN69" s="1043"/>
    </row>
    <row r="70" spans="2:136" ht="22.2" hidden="1" thickTop="1" thickBot="1" x14ac:dyDescent="0.45">
      <c r="B70" s="1423"/>
      <c r="C70" s="1423"/>
      <c r="D70" s="1425"/>
      <c r="E70" s="1425"/>
      <c r="F70" s="490"/>
      <c r="G70" s="490"/>
      <c r="H70" s="465"/>
      <c r="I70" s="465"/>
      <c r="J70" s="465"/>
      <c r="K70" s="465"/>
      <c r="L70" s="465"/>
      <c r="M70" s="465"/>
      <c r="N70" s="465"/>
      <c r="O70" s="465"/>
      <c r="P70" s="465"/>
      <c r="Q70" s="465"/>
      <c r="R70" s="465"/>
      <c r="S70" s="465"/>
      <c r="T70" s="465"/>
      <c r="U70" s="493"/>
      <c r="V70" s="465"/>
      <c r="W70" s="465"/>
      <c r="X70" s="465"/>
      <c r="Y70" s="465"/>
      <c r="Z70" s="465"/>
      <c r="AA70" s="465"/>
      <c r="AB70" s="493"/>
      <c r="AC70" s="493"/>
      <c r="AD70" s="493"/>
      <c r="AE70" s="493"/>
      <c r="AF70" s="465"/>
      <c r="AG70" s="465"/>
      <c r="AH70" s="465"/>
      <c r="AI70" s="465"/>
      <c r="AJ70" s="465"/>
      <c r="AK70" s="465"/>
      <c r="AL70" s="465"/>
      <c r="AM70" s="465"/>
      <c r="AN70" s="465"/>
      <c r="AO70" s="465"/>
      <c r="AP70" s="465"/>
      <c r="AQ70" s="465"/>
      <c r="AR70" s="465"/>
      <c r="AS70" s="465"/>
      <c r="AT70" s="465"/>
      <c r="AU70" s="465"/>
      <c r="AV70" s="465"/>
      <c r="AW70" s="465"/>
      <c r="AX70" s="465"/>
      <c r="AY70" s="465"/>
      <c r="AZ70" s="465"/>
      <c r="BA70" s="465"/>
      <c r="BB70" s="473"/>
      <c r="BE70" s="644"/>
      <c r="BF70" s="1099"/>
      <c r="BG70" s="1099"/>
      <c r="BH70" s="1053"/>
      <c r="BI70" s="1053"/>
      <c r="BJ70" s="1053"/>
      <c r="BK70" s="1053"/>
      <c r="BL70" s="1053"/>
      <c r="BM70" s="489"/>
      <c r="BN70" s="524"/>
      <c r="BO70" s="1112"/>
      <c r="BP70" s="1112"/>
      <c r="BQ70" s="1111"/>
      <c r="BR70" s="1112"/>
      <c r="BS70" s="1112"/>
      <c r="BT70" s="1112"/>
      <c r="BW70" s="474">
        <v>11</v>
      </c>
      <c r="BX70" s="1111"/>
      <c r="BY70" s="1112"/>
      <c r="BZ70" s="1112"/>
      <c r="CA70" s="1112"/>
      <c r="CB70" s="1112"/>
      <c r="CC70" s="1112"/>
      <c r="CD70" s="1112"/>
      <c r="CE70" s="1112"/>
      <c r="CF70" s="1112"/>
      <c r="CG70" s="1112"/>
      <c r="CH70" s="1112"/>
      <c r="CI70" s="1115" t="b">
        <f>IF(CJ85=21,10)</f>
        <v>0</v>
      </c>
      <c r="CJ70" s="1114"/>
      <c r="CK70" s="1113" t="b">
        <f>IF(CJ85=21,12)</f>
        <v>0</v>
      </c>
      <c r="CL70" s="1104"/>
      <c r="CM70" s="1094"/>
      <c r="CN70" s="1093"/>
      <c r="CO70" s="1093"/>
      <c r="CP70" s="1093"/>
      <c r="CQ70" s="1093"/>
      <c r="CR70" s="1093"/>
      <c r="CS70" s="1093"/>
      <c r="CT70" s="1093"/>
      <c r="CU70" s="1093"/>
    </row>
    <row r="71" spans="2:136" ht="22.2" hidden="1" thickTop="1" thickBot="1" x14ac:dyDescent="0.45">
      <c r="B71" s="1423"/>
      <c r="C71" s="1423"/>
      <c r="D71" s="1425"/>
      <c r="E71" s="1425"/>
      <c r="F71" s="490"/>
      <c r="G71" s="490"/>
      <c r="H71" s="465"/>
      <c r="I71" s="465"/>
      <c r="J71" s="465"/>
      <c r="K71" s="465"/>
      <c r="L71" s="465"/>
      <c r="M71" s="465"/>
      <c r="N71" s="465"/>
      <c r="O71" s="465"/>
      <c r="P71" s="465"/>
      <c r="Q71" s="465"/>
      <c r="R71" s="465"/>
      <c r="S71" s="465"/>
      <c r="T71" s="465"/>
      <c r="U71" s="493"/>
      <c r="V71" s="465"/>
      <c r="W71" s="465"/>
      <c r="X71" s="465"/>
      <c r="Y71" s="465"/>
      <c r="Z71" s="465"/>
      <c r="AA71" s="465"/>
      <c r="AB71" s="493"/>
      <c r="AC71" s="493"/>
      <c r="AD71" s="493"/>
      <c r="AE71" s="493"/>
      <c r="AF71" s="465"/>
      <c r="AG71" s="465"/>
      <c r="AH71" s="465"/>
      <c r="AI71" s="465"/>
      <c r="AJ71" s="465"/>
      <c r="AK71" s="465"/>
      <c r="AL71" s="465"/>
      <c r="AM71" s="465"/>
      <c r="AN71" s="465"/>
      <c r="AO71" s="465"/>
      <c r="AP71" s="465"/>
      <c r="AQ71" s="465"/>
      <c r="AR71" s="465"/>
      <c r="AS71" s="465"/>
      <c r="AT71" s="465"/>
      <c r="AU71" s="465"/>
      <c r="AV71" s="465"/>
      <c r="AW71" s="465"/>
      <c r="AX71" s="465"/>
      <c r="AY71" s="465"/>
      <c r="AZ71" s="465"/>
      <c r="BA71" s="465"/>
      <c r="BB71" s="473"/>
      <c r="BE71" s="644"/>
      <c r="BF71" s="1099"/>
      <c r="BG71" s="1099"/>
      <c r="BH71" s="1053"/>
      <c r="BI71" s="1053"/>
      <c r="BJ71" s="1053"/>
      <c r="BK71" s="1053"/>
      <c r="BL71" s="1053"/>
      <c r="BM71" s="489"/>
      <c r="BN71" s="524"/>
      <c r="BO71" s="1112"/>
      <c r="BP71" s="1112"/>
      <c r="BQ71" s="1111"/>
      <c r="BR71" s="1112"/>
      <c r="BS71" s="1112"/>
      <c r="BT71" s="1112"/>
      <c r="BW71" s="474">
        <v>10</v>
      </c>
      <c r="BX71" s="1111"/>
      <c r="BY71" s="1112"/>
      <c r="BZ71" s="1112"/>
      <c r="CA71" s="1112"/>
      <c r="CB71" s="1112"/>
      <c r="CC71" s="1112"/>
      <c r="CD71" s="1112"/>
      <c r="CE71" s="1112"/>
      <c r="CF71" s="1112"/>
      <c r="CG71" s="1121" t="b">
        <f>IF(CI85=20,8)</f>
        <v>0</v>
      </c>
      <c r="CH71" s="1120"/>
      <c r="CI71" s="1120"/>
      <c r="CJ71" s="1120"/>
      <c r="CK71" s="1119" t="b">
        <f>IF(CI85=20,12)</f>
        <v>0</v>
      </c>
      <c r="CL71" s="1104"/>
      <c r="CM71" s="1094"/>
      <c r="CN71" s="1093"/>
      <c r="CO71" s="1093"/>
      <c r="CP71" s="1093"/>
      <c r="CQ71" s="1093"/>
      <c r="CR71" s="1093"/>
      <c r="CS71" s="1093"/>
      <c r="CT71" s="1093"/>
      <c r="CU71" s="1093"/>
    </row>
    <row r="72" spans="2:136" ht="22.2" hidden="1" thickTop="1" thickBot="1" x14ac:dyDescent="0.45">
      <c r="B72" s="1423"/>
      <c r="C72" s="1423"/>
      <c r="D72" s="1425"/>
      <c r="E72" s="1425"/>
      <c r="F72" s="490"/>
      <c r="G72" s="490"/>
      <c r="H72" s="465"/>
      <c r="I72" s="465"/>
      <c r="J72" s="465"/>
      <c r="K72" s="465"/>
      <c r="L72" s="465"/>
      <c r="M72" s="465"/>
      <c r="N72" s="465"/>
      <c r="O72" s="465"/>
      <c r="P72" s="465"/>
      <c r="Q72" s="465"/>
      <c r="R72" s="465"/>
      <c r="S72" s="465"/>
      <c r="T72" s="465"/>
      <c r="U72" s="493"/>
      <c r="V72" s="465"/>
      <c r="W72" s="465"/>
      <c r="X72" s="465"/>
      <c r="Y72" s="465"/>
      <c r="Z72" s="465"/>
      <c r="AA72" s="465"/>
      <c r="AB72" s="493"/>
      <c r="AC72" s="493"/>
      <c r="AD72" s="493"/>
      <c r="AE72" s="493"/>
      <c r="AF72" s="465"/>
      <c r="AG72" s="465"/>
      <c r="AH72" s="465"/>
      <c r="AI72" s="465"/>
      <c r="AJ72" s="465"/>
      <c r="AK72" s="465"/>
      <c r="AL72" s="465"/>
      <c r="AM72" s="465"/>
      <c r="AN72" s="465"/>
      <c r="AO72" s="465"/>
      <c r="AP72" s="465"/>
      <c r="AQ72" s="465"/>
      <c r="AR72" s="465"/>
      <c r="AS72" s="465"/>
      <c r="AT72" s="465"/>
      <c r="AU72" s="465"/>
      <c r="AV72" s="465"/>
      <c r="AW72" s="465"/>
      <c r="AX72" s="465"/>
      <c r="AY72" s="465"/>
      <c r="AZ72" s="465"/>
      <c r="BA72" s="465"/>
      <c r="BB72" s="473"/>
      <c r="BE72" s="644"/>
      <c r="BF72" s="1099"/>
      <c r="BG72" s="1099"/>
      <c r="BH72" s="1053"/>
      <c r="BI72" s="1053"/>
      <c r="BJ72" s="1053"/>
      <c r="BK72" s="1053"/>
      <c r="BL72" s="1053"/>
      <c r="BM72" s="489"/>
      <c r="BN72" s="524"/>
      <c r="BO72" s="1112"/>
      <c r="BP72" s="1112"/>
      <c r="BQ72" s="1111"/>
      <c r="BR72" s="1112"/>
      <c r="BS72" s="1112"/>
      <c r="BT72" s="1112"/>
      <c r="BW72" s="474">
        <v>9</v>
      </c>
      <c r="BX72" s="1111"/>
      <c r="BY72" s="1112"/>
      <c r="BZ72" s="1112"/>
      <c r="CA72" s="1112"/>
      <c r="CB72" s="1112"/>
      <c r="CC72" s="1112"/>
      <c r="CD72" s="1112"/>
      <c r="CE72" s="1101" t="b">
        <f>IF(CH85=19,6)</f>
        <v>0</v>
      </c>
      <c r="CF72" s="1117"/>
      <c r="CG72" s="1118"/>
      <c r="CH72" s="1117"/>
      <c r="CI72" s="1118"/>
      <c r="CJ72" s="1117"/>
      <c r="CK72" s="1116" t="b">
        <f>IF(CH85=19,12)</f>
        <v>0</v>
      </c>
      <c r="CL72" s="1104"/>
      <c r="CM72" s="1094"/>
      <c r="CN72" s="1093"/>
      <c r="CO72" s="1093"/>
      <c r="CP72" s="1093"/>
      <c r="CQ72" s="1093"/>
      <c r="CR72" s="1093"/>
      <c r="CS72" s="1093"/>
      <c r="CT72" s="1093"/>
      <c r="CU72" s="1093"/>
    </row>
    <row r="73" spans="2:136" ht="22.2" hidden="1" thickTop="1" thickBot="1" x14ac:dyDescent="0.45">
      <c r="B73" s="1423"/>
      <c r="C73" s="1423"/>
      <c r="D73" s="1425"/>
      <c r="E73" s="1425"/>
      <c r="F73" s="490"/>
      <c r="G73" s="490"/>
      <c r="H73" s="465"/>
      <c r="I73" s="465"/>
      <c r="J73" s="465"/>
      <c r="K73" s="465"/>
      <c r="L73" s="465"/>
      <c r="M73" s="465"/>
      <c r="N73" s="465"/>
      <c r="O73" s="465"/>
      <c r="P73" s="465"/>
      <c r="Q73" s="465"/>
      <c r="R73" s="465"/>
      <c r="S73" s="465"/>
      <c r="T73" s="465"/>
      <c r="U73" s="493"/>
      <c r="V73" s="465"/>
      <c r="W73" s="465"/>
      <c r="X73" s="465"/>
      <c r="Y73" s="465"/>
      <c r="Z73" s="465"/>
      <c r="AA73" s="465"/>
      <c r="AB73" s="493"/>
      <c r="AC73" s="493"/>
      <c r="AD73" s="493"/>
      <c r="AE73" s="493"/>
      <c r="AF73" s="465"/>
      <c r="AG73" s="465"/>
      <c r="AH73" s="465"/>
      <c r="AI73" s="465"/>
      <c r="AJ73" s="465"/>
      <c r="AK73" s="465"/>
      <c r="AL73" s="465"/>
      <c r="AM73" s="465"/>
      <c r="AN73" s="465"/>
      <c r="AO73" s="465"/>
      <c r="AP73" s="465"/>
      <c r="AQ73" s="465"/>
      <c r="AR73" s="465"/>
      <c r="AS73" s="465"/>
      <c r="AT73" s="465"/>
      <c r="AU73" s="465"/>
      <c r="AV73" s="465"/>
      <c r="AW73" s="465"/>
      <c r="AX73" s="465"/>
      <c r="AY73" s="465"/>
      <c r="AZ73" s="465"/>
      <c r="BA73" s="465"/>
      <c r="BB73" s="473"/>
      <c r="BE73" s="644"/>
      <c r="BF73" s="1099"/>
      <c r="BG73" s="1099"/>
      <c r="BH73" s="1053"/>
      <c r="BI73" s="1053"/>
      <c r="BJ73" s="1053"/>
      <c r="BK73" s="1053"/>
      <c r="BL73" s="1053"/>
      <c r="BM73" s="489"/>
      <c r="BN73" s="524"/>
      <c r="BO73" s="1112"/>
      <c r="BP73" s="1112"/>
      <c r="BQ73" s="1111"/>
      <c r="BR73" s="1112"/>
      <c r="BS73" s="1112"/>
      <c r="BT73" s="1112"/>
      <c r="BW73" s="474">
        <v>8</v>
      </c>
      <c r="BX73" s="1111"/>
      <c r="BY73" s="1112"/>
      <c r="BZ73" s="1112"/>
      <c r="CA73" s="1112"/>
      <c r="CB73" s="1112"/>
      <c r="CE73" s="1115" t="b">
        <f>IF(CG85=18,6)</f>
        <v>0</v>
      </c>
      <c r="CF73" s="1114"/>
      <c r="CG73" s="1114"/>
      <c r="CH73" s="1114"/>
      <c r="CI73" s="1113" t="b">
        <f>IF(CG85=18,10)</f>
        <v>0</v>
      </c>
      <c r="CJ73" s="1112"/>
      <c r="CL73" s="1104"/>
      <c r="CM73" s="1094"/>
      <c r="CN73" s="1093"/>
      <c r="CO73" s="1093"/>
      <c r="CP73" s="1093"/>
      <c r="CQ73" s="1093"/>
      <c r="CR73" s="1093"/>
      <c r="CS73" s="1093"/>
      <c r="CT73" s="1093"/>
      <c r="CU73" s="1093"/>
    </row>
    <row r="74" spans="2:136" ht="22.2" hidden="1" thickTop="1" thickBot="1" x14ac:dyDescent="0.45">
      <c r="B74" s="1423"/>
      <c r="C74" s="1423"/>
      <c r="D74" s="1425"/>
      <c r="E74" s="1425"/>
      <c r="F74" s="490"/>
      <c r="G74" s="490"/>
      <c r="H74" s="465"/>
      <c r="I74" s="465"/>
      <c r="J74" s="465"/>
      <c r="K74" s="465"/>
      <c r="L74" s="465"/>
      <c r="M74" s="465"/>
      <c r="N74" s="465"/>
      <c r="O74" s="465"/>
      <c r="P74" s="465"/>
      <c r="Q74" s="465"/>
      <c r="R74" s="465"/>
      <c r="S74" s="465"/>
      <c r="T74" s="465"/>
      <c r="U74" s="493"/>
      <c r="V74" s="465"/>
      <c r="W74" s="465"/>
      <c r="X74" s="465"/>
      <c r="Y74" s="465"/>
      <c r="Z74" s="465"/>
      <c r="AA74" s="465"/>
      <c r="AB74" s="493"/>
      <c r="AC74" s="493"/>
      <c r="AD74" s="493"/>
      <c r="AE74" s="493"/>
      <c r="AF74" s="465"/>
      <c r="AG74" s="465"/>
      <c r="AH74" s="465"/>
      <c r="AI74" s="465"/>
      <c r="AJ74" s="465"/>
      <c r="AK74" s="465"/>
      <c r="AL74" s="465"/>
      <c r="AM74" s="465"/>
      <c r="AN74" s="465"/>
      <c r="AO74" s="465"/>
      <c r="AP74" s="465"/>
      <c r="AQ74" s="465"/>
      <c r="AR74" s="465"/>
      <c r="AS74" s="465"/>
      <c r="AT74" s="465"/>
      <c r="AU74" s="465"/>
      <c r="AV74" s="465"/>
      <c r="AW74" s="465"/>
      <c r="AX74" s="465"/>
      <c r="AY74" s="465"/>
      <c r="AZ74" s="465"/>
      <c r="BA74" s="465"/>
      <c r="BB74" s="473"/>
      <c r="BE74" s="644"/>
      <c r="BF74" s="1099"/>
      <c r="BG74" s="1099"/>
      <c r="BH74" s="1053"/>
      <c r="BI74" s="1053"/>
      <c r="BJ74" s="1053"/>
      <c r="BK74" s="1053"/>
      <c r="BL74" s="1053"/>
      <c r="BM74" s="489"/>
      <c r="BN74" s="524"/>
      <c r="BO74" s="1112"/>
      <c r="BP74" s="1112"/>
      <c r="BQ74" s="1111"/>
      <c r="BR74" s="1112"/>
      <c r="BS74" s="1112"/>
      <c r="BT74" s="1112"/>
      <c r="BW74" s="474">
        <v>7</v>
      </c>
      <c r="BX74" s="1111"/>
      <c r="BY74" s="1112"/>
      <c r="BZ74" s="1112"/>
      <c r="CA74" s="1101" t="b">
        <f>IF(CF85=17,4)</f>
        <v>0</v>
      </c>
      <c r="CB74" s="1117"/>
      <c r="CC74" s="1117"/>
      <c r="CD74" s="1117"/>
      <c r="CE74" s="1117"/>
      <c r="CF74" s="1117"/>
      <c r="CG74" s="1117"/>
      <c r="CH74" s="1117"/>
      <c r="CI74" s="1117"/>
      <c r="CJ74" s="1114"/>
      <c r="CK74" s="1116" t="b">
        <f>IF(CF85=17,12)</f>
        <v>0</v>
      </c>
      <c r="CL74" s="1104"/>
      <c r="CM74" s="1094"/>
      <c r="CN74" s="1093"/>
      <c r="CO74" s="1093"/>
      <c r="CP74" s="1093"/>
      <c r="CQ74" s="1093"/>
      <c r="CR74" s="1093"/>
      <c r="CS74" s="1093"/>
      <c r="CT74" s="1093"/>
      <c r="CU74" s="1093"/>
    </row>
    <row r="75" spans="2:136" ht="22.2" hidden="1" thickTop="1" thickBot="1" x14ac:dyDescent="0.45">
      <c r="B75" s="1423"/>
      <c r="C75" s="1423"/>
      <c r="D75" s="1425"/>
      <c r="E75" s="1425"/>
      <c r="F75" s="490"/>
      <c r="G75" s="490"/>
      <c r="H75" s="465"/>
      <c r="I75" s="465"/>
      <c r="J75" s="465"/>
      <c r="K75" s="465"/>
      <c r="L75" s="465"/>
      <c r="M75" s="465"/>
      <c r="N75" s="465"/>
      <c r="O75" s="465"/>
      <c r="P75" s="465"/>
      <c r="Q75" s="465"/>
      <c r="R75" s="465"/>
      <c r="S75" s="465"/>
      <c r="T75" s="465"/>
      <c r="U75" s="493"/>
      <c r="V75" s="465"/>
      <c r="W75" s="465"/>
      <c r="X75" s="465"/>
      <c r="Y75" s="465"/>
      <c r="Z75" s="465"/>
      <c r="AA75" s="465"/>
      <c r="AB75" s="493"/>
      <c r="AC75" s="493"/>
      <c r="AD75" s="493"/>
      <c r="AE75" s="493"/>
      <c r="AF75" s="465"/>
      <c r="AG75" s="465"/>
      <c r="AH75" s="465"/>
      <c r="AI75" s="465"/>
      <c r="AJ75" s="465"/>
      <c r="AK75" s="465"/>
      <c r="AL75" s="465"/>
      <c r="AM75" s="465"/>
      <c r="AN75" s="465"/>
      <c r="AO75" s="465"/>
      <c r="AP75" s="465"/>
      <c r="AQ75" s="465"/>
      <c r="AR75" s="465"/>
      <c r="AS75" s="465"/>
      <c r="AT75" s="465"/>
      <c r="AU75" s="465"/>
      <c r="AV75" s="465"/>
      <c r="AW75" s="465"/>
      <c r="AX75" s="465"/>
      <c r="AY75" s="465"/>
      <c r="AZ75" s="465"/>
      <c r="BA75" s="465"/>
      <c r="BB75" s="473"/>
      <c r="BE75" s="495"/>
      <c r="BF75" s="1099"/>
      <c r="BG75" s="1099"/>
      <c r="BH75" s="1053"/>
      <c r="BI75" s="1053"/>
      <c r="BJ75" s="1053"/>
      <c r="BK75" s="1053"/>
      <c r="BL75" s="1053"/>
      <c r="BM75" s="489"/>
      <c r="BN75" s="524"/>
      <c r="BO75" s="1112"/>
      <c r="BP75" s="1112"/>
      <c r="BQ75" s="1111"/>
      <c r="BR75" s="1112"/>
      <c r="BS75" s="1112"/>
      <c r="BT75" s="1112"/>
      <c r="BW75" s="474">
        <v>6</v>
      </c>
      <c r="BX75" s="1111"/>
      <c r="BY75" s="1101" t="b">
        <f>IF(CE85=16,2)</f>
        <v>0</v>
      </c>
      <c r="BZ75" s="1117"/>
      <c r="CA75" s="1117"/>
      <c r="CB75" s="1117"/>
      <c r="CC75" s="1117"/>
      <c r="CD75" s="1117"/>
      <c r="CE75" s="1117"/>
      <c r="CF75" s="1117"/>
      <c r="CG75" s="1117"/>
      <c r="CH75" s="1117"/>
      <c r="CI75" s="1117"/>
      <c r="CJ75" s="1117"/>
      <c r="CK75" s="1116" t="b">
        <f>IF(CE85=16,12)</f>
        <v>0</v>
      </c>
      <c r="CL75" s="1104"/>
      <c r="CM75" s="1094"/>
      <c r="CN75" s="1093"/>
      <c r="CO75" s="1093"/>
      <c r="CP75" s="1093"/>
      <c r="CQ75" s="1093"/>
      <c r="CR75" s="1093"/>
      <c r="CS75" s="1093"/>
      <c r="CT75" s="1093"/>
      <c r="CU75" s="1093"/>
    </row>
    <row r="76" spans="2:136" ht="22.2" hidden="1" thickTop="1" thickBot="1" x14ac:dyDescent="0.45">
      <c r="B76" s="1423"/>
      <c r="C76" s="1423"/>
      <c r="D76" s="1425"/>
      <c r="E76" s="1425"/>
      <c r="F76" s="490"/>
      <c r="G76" s="490"/>
      <c r="H76" s="465"/>
      <c r="I76" s="465"/>
      <c r="J76" s="465"/>
      <c r="K76" s="465"/>
      <c r="L76" s="465"/>
      <c r="M76" s="465"/>
      <c r="N76" s="465"/>
      <c r="O76" s="465"/>
      <c r="P76" s="465"/>
      <c r="Q76" s="465"/>
      <c r="R76" s="465"/>
      <c r="S76" s="465"/>
      <c r="T76" s="465"/>
      <c r="U76" s="493"/>
      <c r="V76" s="465"/>
      <c r="W76" s="465"/>
      <c r="X76" s="465"/>
      <c r="Y76" s="465"/>
      <c r="Z76" s="465"/>
      <c r="AA76" s="465"/>
      <c r="AB76" s="493"/>
      <c r="AC76" s="493"/>
      <c r="AD76" s="493"/>
      <c r="AE76" s="493"/>
      <c r="AF76" s="465"/>
      <c r="AG76" s="465"/>
      <c r="AH76" s="465"/>
      <c r="AI76" s="465"/>
      <c r="AJ76" s="465"/>
      <c r="AK76" s="465"/>
      <c r="AL76" s="465"/>
      <c r="AM76" s="465"/>
      <c r="AN76" s="465"/>
      <c r="AO76" s="465"/>
      <c r="AP76" s="465"/>
      <c r="AQ76" s="465"/>
      <c r="AR76" s="465"/>
      <c r="AS76" s="465"/>
      <c r="AT76" s="465"/>
      <c r="AU76" s="465"/>
      <c r="AV76" s="465"/>
      <c r="AW76" s="465"/>
      <c r="AX76" s="465"/>
      <c r="AY76" s="465"/>
      <c r="AZ76" s="465"/>
      <c r="BA76" s="465"/>
      <c r="BB76" s="473"/>
      <c r="BE76" s="1099"/>
      <c r="BF76" s="1099"/>
      <c r="BG76" s="1099"/>
      <c r="BH76" s="1053"/>
      <c r="BI76" s="1053"/>
      <c r="BJ76" s="1053"/>
      <c r="BK76" s="1053"/>
      <c r="BL76" s="1053"/>
      <c r="BM76" s="489"/>
      <c r="BN76" s="524"/>
      <c r="BO76" s="1112"/>
      <c r="BP76" s="1112"/>
      <c r="BQ76" s="1111"/>
      <c r="BR76" s="1112"/>
      <c r="BS76" s="1112"/>
      <c r="BT76" s="1112"/>
      <c r="BW76" s="476" t="s">
        <v>86</v>
      </c>
      <c r="BX76" s="1101" t="b">
        <f>IF(CD85=15,1)</f>
        <v>0</v>
      </c>
      <c r="BY76" s="1117"/>
      <c r="BZ76" s="1117"/>
      <c r="CA76" s="1117"/>
      <c r="CB76" s="1117"/>
      <c r="CC76" s="1117"/>
      <c r="CD76" s="1117"/>
      <c r="CE76" s="1117"/>
      <c r="CF76" s="1117"/>
      <c r="CG76" s="1117"/>
      <c r="CH76" s="1117"/>
      <c r="CI76" s="1117"/>
      <c r="CJ76" s="1116" t="b">
        <f>IF(CD85=15,11)</f>
        <v>0</v>
      </c>
      <c r="CK76" s="1111"/>
      <c r="CL76" s="1104"/>
      <c r="CM76" s="1094"/>
      <c r="CN76" s="1093"/>
      <c r="CO76" s="1093"/>
      <c r="CP76" s="1093"/>
      <c r="CQ76" s="1093"/>
      <c r="CR76" s="1093"/>
      <c r="CS76" s="1093"/>
      <c r="CT76" s="1093"/>
      <c r="CU76" s="1093"/>
    </row>
    <row r="77" spans="2:136" ht="22.2" hidden="1" thickTop="1" thickBot="1" x14ac:dyDescent="0.45">
      <c r="B77" s="1423"/>
      <c r="C77" s="1423"/>
      <c r="D77" s="1425"/>
      <c r="E77" s="1425"/>
      <c r="F77" s="490"/>
      <c r="G77" s="490"/>
      <c r="H77" s="465"/>
      <c r="I77" s="465"/>
      <c r="J77" s="465"/>
      <c r="K77" s="465"/>
      <c r="L77" s="465"/>
      <c r="M77" s="465"/>
      <c r="N77" s="465"/>
      <c r="O77" s="465"/>
      <c r="P77" s="465"/>
      <c r="Q77" s="465"/>
      <c r="R77" s="465"/>
      <c r="S77" s="465"/>
      <c r="T77" s="465"/>
      <c r="U77" s="493"/>
      <c r="V77" s="465"/>
      <c r="W77" s="465"/>
      <c r="X77" s="465"/>
      <c r="Y77" s="465"/>
      <c r="Z77" s="465"/>
      <c r="AA77" s="465"/>
      <c r="AB77" s="493"/>
      <c r="AC77" s="493"/>
      <c r="AD77" s="493"/>
      <c r="AE77" s="493"/>
      <c r="AF77" s="465"/>
      <c r="AG77" s="465"/>
      <c r="AH77" s="465"/>
      <c r="AI77" s="465"/>
      <c r="AJ77" s="465"/>
      <c r="AK77" s="465"/>
      <c r="AL77" s="465"/>
      <c r="AM77" s="465"/>
      <c r="AN77" s="465"/>
      <c r="AO77" s="465"/>
      <c r="AP77" s="465"/>
      <c r="AQ77" s="465"/>
      <c r="AR77" s="465"/>
      <c r="AS77" s="465"/>
      <c r="AT77" s="465"/>
      <c r="AU77" s="465"/>
      <c r="AV77" s="465"/>
      <c r="AW77" s="465"/>
      <c r="AX77" s="465"/>
      <c r="AY77" s="465"/>
      <c r="AZ77" s="465"/>
      <c r="BA77" s="465"/>
      <c r="BB77" s="473"/>
      <c r="BE77" s="1099"/>
      <c r="BF77" s="1099"/>
      <c r="BG77" s="1099"/>
      <c r="BH77" s="1053"/>
      <c r="BI77" s="1053"/>
      <c r="BJ77" s="1053"/>
      <c r="BK77" s="1053"/>
      <c r="BL77" s="1053"/>
      <c r="BM77" s="489"/>
      <c r="BN77" s="524"/>
      <c r="BO77" s="1112"/>
      <c r="BP77" s="1112"/>
      <c r="BQ77" s="1111"/>
      <c r="BR77" s="1112"/>
      <c r="BS77" s="1112"/>
      <c r="BT77" s="1112"/>
      <c r="BW77" s="476" t="s">
        <v>85</v>
      </c>
      <c r="BX77" s="1115" t="b">
        <f>IF(CC85=14,1)</f>
        <v>0</v>
      </c>
      <c r="BY77" s="1114"/>
      <c r="BZ77" s="1114"/>
      <c r="CA77" s="1114"/>
      <c r="CB77" s="1114"/>
      <c r="CC77" s="1114"/>
      <c r="CD77" s="1114"/>
      <c r="CE77" s="1114"/>
      <c r="CF77" s="1114"/>
      <c r="CG77" s="1114"/>
      <c r="CH77" s="1113" t="b">
        <f>IF(CC85=14,9)</f>
        <v>0</v>
      </c>
      <c r="CI77" s="1112"/>
      <c r="CJ77" s="1112"/>
      <c r="CK77" s="1111"/>
      <c r="CL77" s="1104"/>
      <c r="CM77" s="1094"/>
      <c r="CN77" s="1093"/>
      <c r="CO77" s="1093"/>
      <c r="CP77" s="1093"/>
      <c r="CQ77" s="1093"/>
      <c r="CR77" s="1093"/>
      <c r="CS77" s="1093"/>
      <c r="CT77" s="1093"/>
      <c r="CU77" s="1093"/>
    </row>
    <row r="78" spans="2:136" ht="22.2" hidden="1" thickTop="1" thickBot="1" x14ac:dyDescent="0.45">
      <c r="B78" s="1423"/>
      <c r="C78" s="1423"/>
      <c r="D78" s="1425"/>
      <c r="E78" s="1425"/>
      <c r="F78" s="490"/>
      <c r="G78" s="490"/>
      <c r="H78" s="465"/>
      <c r="I78" s="465"/>
      <c r="J78" s="465"/>
      <c r="K78" s="465"/>
      <c r="L78" s="465"/>
      <c r="M78" s="465"/>
      <c r="N78" s="465"/>
      <c r="O78" s="465"/>
      <c r="P78" s="465"/>
      <c r="Q78" s="465"/>
      <c r="R78" s="465"/>
      <c r="S78" s="465"/>
      <c r="T78" s="465"/>
      <c r="U78" s="493"/>
      <c r="V78" s="465"/>
      <c r="W78" s="465"/>
      <c r="X78" s="465"/>
      <c r="Y78" s="465"/>
      <c r="Z78" s="465"/>
      <c r="AA78" s="465"/>
      <c r="AB78" s="493"/>
      <c r="AC78" s="493"/>
      <c r="AD78" s="493"/>
      <c r="AE78" s="493"/>
      <c r="AF78" s="465"/>
      <c r="AG78" s="465"/>
      <c r="AH78" s="465"/>
      <c r="AI78" s="465"/>
      <c r="AJ78" s="465"/>
      <c r="AK78" s="465"/>
      <c r="AL78" s="465"/>
      <c r="AM78" s="465"/>
      <c r="AN78" s="465"/>
      <c r="AO78" s="465"/>
      <c r="AP78" s="465"/>
      <c r="AQ78" s="465"/>
      <c r="AR78" s="465"/>
      <c r="AS78" s="465"/>
      <c r="AT78" s="465"/>
      <c r="AU78" s="465"/>
      <c r="AV78" s="465"/>
      <c r="AW78" s="465"/>
      <c r="AX78" s="465"/>
      <c r="AY78" s="465"/>
      <c r="AZ78" s="465"/>
      <c r="BA78" s="465"/>
      <c r="BB78" s="473"/>
      <c r="BE78" s="1099"/>
      <c r="BF78" s="1099"/>
      <c r="BG78" s="1099"/>
      <c r="BH78" s="1053"/>
      <c r="BI78" s="1053"/>
      <c r="BJ78" s="1053"/>
      <c r="BK78" s="1053"/>
      <c r="BL78" s="1053"/>
      <c r="BM78" s="489"/>
      <c r="BN78" s="524"/>
      <c r="BO78" s="1112"/>
      <c r="BP78" s="1112"/>
      <c r="BQ78" s="1111"/>
      <c r="BR78" s="1112"/>
      <c r="BS78" s="1112"/>
      <c r="BT78" s="1112"/>
      <c r="BW78" s="474">
        <v>5</v>
      </c>
      <c r="BX78" s="1101" t="b">
        <f>IF(CB85=13,1)</f>
        <v>0</v>
      </c>
      <c r="BY78" s="1117"/>
      <c r="BZ78" s="1117"/>
      <c r="CA78" s="1118"/>
      <c r="CB78" s="1117"/>
      <c r="CC78" s="1118"/>
      <c r="CD78" s="1117"/>
      <c r="CE78" s="1117"/>
      <c r="CF78" s="1116" t="b">
        <f>IF(CB85=13,7)</f>
        <v>0</v>
      </c>
      <c r="CG78" s="1112"/>
      <c r="CH78" s="1112"/>
      <c r="CI78" s="1112"/>
      <c r="CJ78" s="1112"/>
      <c r="CK78" s="1111"/>
      <c r="CL78" s="1104"/>
      <c r="CM78" s="1094"/>
      <c r="CN78" s="1093"/>
      <c r="CO78" s="1093"/>
      <c r="CP78" s="1093"/>
      <c r="CQ78" s="1093"/>
      <c r="CR78" s="1093"/>
      <c r="CS78" s="1093"/>
      <c r="CT78" s="1093"/>
      <c r="CU78" s="1093"/>
    </row>
    <row r="79" spans="2:136" ht="22.2" hidden="1" thickTop="1" thickBot="1" x14ac:dyDescent="0.45">
      <c r="B79" s="1423"/>
      <c r="C79" s="1423"/>
      <c r="D79" s="1425"/>
      <c r="E79" s="1425"/>
      <c r="F79" s="490"/>
      <c r="G79" s="490"/>
      <c r="H79" s="465"/>
      <c r="I79" s="465"/>
      <c r="J79" s="465"/>
      <c r="K79" s="465"/>
      <c r="L79" s="465"/>
      <c r="M79" s="465"/>
      <c r="N79" s="465"/>
      <c r="O79" s="465"/>
      <c r="P79" s="465"/>
      <c r="Q79" s="465"/>
      <c r="R79" s="465"/>
      <c r="S79" s="465"/>
      <c r="T79" s="465"/>
      <c r="U79" s="493"/>
      <c r="V79" s="465"/>
      <c r="W79" s="465"/>
      <c r="X79" s="465"/>
      <c r="Y79" s="465"/>
      <c r="Z79" s="465"/>
      <c r="AA79" s="465"/>
      <c r="AB79" s="493"/>
      <c r="AC79" s="493"/>
      <c r="AD79" s="493"/>
      <c r="AE79" s="493"/>
      <c r="AF79" s="465"/>
      <c r="AG79" s="465"/>
      <c r="AH79" s="465"/>
      <c r="AI79" s="465"/>
      <c r="AJ79" s="465"/>
      <c r="AK79" s="465"/>
      <c r="AL79" s="465"/>
      <c r="AM79" s="465"/>
      <c r="AN79" s="465"/>
      <c r="AO79" s="465"/>
      <c r="AP79" s="465"/>
      <c r="AQ79" s="465"/>
      <c r="AR79" s="465"/>
      <c r="AS79" s="465"/>
      <c r="AT79" s="465"/>
      <c r="AU79" s="465"/>
      <c r="AV79" s="465"/>
      <c r="AW79" s="465"/>
      <c r="AX79" s="465"/>
      <c r="AY79" s="465"/>
      <c r="AZ79" s="465"/>
      <c r="BA79" s="465"/>
      <c r="BB79" s="473"/>
      <c r="BE79" s="1099"/>
      <c r="BF79" s="1099"/>
      <c r="BG79" s="1099"/>
      <c r="BH79" s="1053"/>
      <c r="BI79" s="1053"/>
      <c r="BJ79" s="1053"/>
      <c r="BK79" s="1053"/>
      <c r="BL79" s="1053"/>
      <c r="BM79" s="489"/>
      <c r="BN79" s="524"/>
      <c r="BO79" s="1112"/>
      <c r="BP79" s="1112"/>
      <c r="BQ79" s="1111"/>
      <c r="BR79" s="1112"/>
      <c r="BS79" s="1112"/>
      <c r="BT79" s="1112"/>
      <c r="BW79" s="474">
        <v>4</v>
      </c>
      <c r="BX79" s="1111"/>
      <c r="BZ79" s="1115">
        <f>IF(CA85=12,3)</f>
        <v>3</v>
      </c>
      <c r="CA79" s="1114"/>
      <c r="CB79" s="1113">
        <f>IF(CA85=12,5)</f>
        <v>5</v>
      </c>
      <c r="CD79" s="1112"/>
      <c r="CE79" s="1112"/>
      <c r="CF79" s="1112"/>
      <c r="CG79" s="1112"/>
      <c r="CH79" s="1112"/>
      <c r="CI79" s="1112"/>
      <c r="CJ79" s="1112"/>
      <c r="CK79" s="1111"/>
      <c r="CL79" s="1104"/>
      <c r="CM79" s="1094"/>
      <c r="CN79" s="1093"/>
      <c r="CO79" s="1093"/>
      <c r="CP79" s="1093"/>
      <c r="CQ79" s="1093"/>
      <c r="CR79" s="1093"/>
      <c r="CS79" s="1093"/>
      <c r="CT79" s="1093"/>
      <c r="CU79" s="1093"/>
    </row>
    <row r="80" spans="2:136" ht="22.2" hidden="1" thickTop="1" thickBot="1" x14ac:dyDescent="0.45">
      <c r="B80" s="1423"/>
      <c r="C80" s="1423"/>
      <c r="D80" s="1425"/>
      <c r="E80" s="1425"/>
      <c r="F80" s="490"/>
      <c r="G80" s="490"/>
      <c r="H80" s="465"/>
      <c r="I80" s="465"/>
      <c r="J80" s="465"/>
      <c r="K80" s="465"/>
      <c r="L80" s="465"/>
      <c r="M80" s="465"/>
      <c r="N80" s="465"/>
      <c r="O80" s="465"/>
      <c r="P80" s="465"/>
      <c r="Q80" s="465"/>
      <c r="R80" s="465"/>
      <c r="S80" s="465"/>
      <c r="T80" s="465"/>
      <c r="U80" s="493"/>
      <c r="V80" s="465"/>
      <c r="W80" s="465"/>
      <c r="X80" s="465"/>
      <c r="Y80" s="465"/>
      <c r="Z80" s="465"/>
      <c r="AA80" s="465"/>
      <c r="AB80" s="493"/>
      <c r="AC80" s="493"/>
      <c r="AD80" s="493"/>
      <c r="AE80" s="493"/>
      <c r="AF80" s="465"/>
      <c r="AG80" s="465"/>
      <c r="AH80" s="465"/>
      <c r="AI80" s="465"/>
      <c r="AJ80" s="465"/>
      <c r="AK80" s="465"/>
      <c r="AL80" s="465"/>
      <c r="AM80" s="465"/>
      <c r="AN80" s="465"/>
      <c r="AO80" s="465"/>
      <c r="AP80" s="465"/>
      <c r="AQ80" s="465"/>
      <c r="AR80" s="465"/>
      <c r="AS80" s="465"/>
      <c r="AT80" s="465"/>
      <c r="AU80" s="465"/>
      <c r="AV80" s="465"/>
      <c r="AW80" s="465"/>
      <c r="AX80" s="465"/>
      <c r="AY80" s="465"/>
      <c r="AZ80" s="465"/>
      <c r="BA80" s="465"/>
      <c r="BB80" s="473"/>
      <c r="BE80" s="1099"/>
      <c r="BF80" s="1099"/>
      <c r="BG80" s="1099"/>
      <c r="BH80" s="1053"/>
      <c r="BI80" s="1053"/>
      <c r="BJ80" s="1053"/>
      <c r="BK80" s="1053"/>
      <c r="BL80" s="1053"/>
      <c r="BM80" s="489"/>
      <c r="BN80" s="524"/>
      <c r="BO80" s="1112"/>
      <c r="BP80" s="1112"/>
      <c r="BQ80" s="1111"/>
      <c r="BR80" s="1112"/>
      <c r="BS80" s="1112"/>
      <c r="BT80" s="1112"/>
      <c r="BW80" s="474">
        <v>3</v>
      </c>
      <c r="BX80" s="1101" t="b">
        <f>IF(BZ85=11,1)</f>
        <v>0</v>
      </c>
      <c r="BY80" s="1117"/>
      <c r="BZ80" s="1117"/>
      <c r="CA80" s="1117"/>
      <c r="CB80" s="1116" t="b">
        <f>IF(BZ85=11,5)</f>
        <v>0</v>
      </c>
      <c r="CC80" s="1112"/>
      <c r="CD80" s="1112"/>
      <c r="CE80" s="1112"/>
      <c r="CF80" s="1112"/>
      <c r="CG80" s="1112"/>
      <c r="CH80" s="1112"/>
      <c r="CI80" s="1112"/>
      <c r="CJ80" s="1112"/>
      <c r="CK80" s="1111"/>
      <c r="CL80" s="1104"/>
      <c r="CM80" s="1094"/>
      <c r="CN80" s="1093"/>
      <c r="CO80" s="1093"/>
      <c r="CP80" s="1093"/>
      <c r="CQ80" s="1093"/>
      <c r="CR80" s="1093"/>
      <c r="CS80" s="1093"/>
      <c r="CT80" s="1093"/>
      <c r="CU80" s="1093"/>
      <c r="CY80" s="2064"/>
      <c r="CZ80" s="2064"/>
      <c r="DA80" s="1096"/>
      <c r="DB80" s="1096"/>
      <c r="DC80" s="1168"/>
      <c r="DD80" s="1094"/>
      <c r="DE80" s="1094"/>
      <c r="DF80" s="1094"/>
      <c r="DG80" s="1094"/>
      <c r="DH80" s="1094"/>
      <c r="DI80" s="1094"/>
      <c r="DJ80" s="1094"/>
      <c r="DK80" s="1094"/>
      <c r="DL80" s="1094"/>
      <c r="DM80" s="1094"/>
      <c r="DN80" s="1094"/>
      <c r="DO80" s="1094"/>
      <c r="DP80" s="1094"/>
      <c r="DQ80" s="1094"/>
      <c r="DR80" s="1094"/>
      <c r="DS80" s="1094"/>
      <c r="DT80" s="1094"/>
      <c r="DU80" s="1094"/>
      <c r="DV80" s="1094"/>
      <c r="DW80" s="1093"/>
      <c r="DX80" s="1093"/>
      <c r="DY80" s="1093"/>
      <c r="DZ80" s="1093"/>
      <c r="EA80" s="1093"/>
      <c r="EB80" s="1093"/>
      <c r="EC80" s="1093"/>
      <c r="ED80" s="1093"/>
      <c r="EE80" s="466"/>
      <c r="EF80" s="466"/>
    </row>
    <row r="81" spans="2:134" ht="22.2" hidden="1" thickTop="1" thickBot="1" x14ac:dyDescent="0.45">
      <c r="B81" s="1423"/>
      <c r="C81" s="1423"/>
      <c r="D81" s="1425"/>
      <c r="E81" s="1425"/>
      <c r="F81" s="490"/>
      <c r="G81" s="490"/>
      <c r="H81" s="465"/>
      <c r="I81" s="465"/>
      <c r="J81" s="465"/>
      <c r="K81" s="465"/>
      <c r="L81" s="465"/>
      <c r="M81" s="465"/>
      <c r="N81" s="465"/>
      <c r="O81" s="465"/>
      <c r="P81" s="465"/>
      <c r="Q81" s="465"/>
      <c r="R81" s="465"/>
      <c r="S81" s="465"/>
      <c r="T81" s="465"/>
      <c r="U81" s="493"/>
      <c r="V81" s="465"/>
      <c r="W81" s="465"/>
      <c r="X81" s="465"/>
      <c r="Y81" s="465"/>
      <c r="Z81" s="465"/>
      <c r="AA81" s="465"/>
      <c r="AB81" s="493"/>
      <c r="AC81" s="493"/>
      <c r="AD81" s="493"/>
      <c r="AE81" s="493"/>
      <c r="AF81" s="465"/>
      <c r="AG81" s="465"/>
      <c r="AH81" s="465"/>
      <c r="AI81" s="465"/>
      <c r="AJ81" s="465"/>
      <c r="AK81" s="465"/>
      <c r="AL81" s="465"/>
      <c r="AM81" s="465"/>
      <c r="AN81" s="465"/>
      <c r="AO81" s="465"/>
      <c r="AP81" s="465"/>
      <c r="AQ81" s="465"/>
      <c r="AR81" s="465"/>
      <c r="AS81" s="465"/>
      <c r="AT81" s="465"/>
      <c r="AU81" s="465"/>
      <c r="AV81" s="465"/>
      <c r="AW81" s="465"/>
      <c r="AX81" s="465"/>
      <c r="AY81" s="465"/>
      <c r="AZ81" s="465"/>
      <c r="BA81" s="465"/>
      <c r="BB81" s="473"/>
      <c r="BE81" s="1099"/>
      <c r="BF81" s="1099"/>
      <c r="BG81" s="1099"/>
      <c r="BH81" s="1053"/>
      <c r="BI81" s="1053"/>
      <c r="BJ81" s="1053"/>
      <c r="BK81" s="1053"/>
      <c r="BL81" s="1053"/>
      <c r="BM81" s="489"/>
      <c r="BN81" s="524"/>
      <c r="BO81" s="1112"/>
      <c r="BP81" s="1112"/>
      <c r="BQ81" s="1111"/>
      <c r="BR81" s="1112"/>
      <c r="BS81" s="1112"/>
      <c r="BT81" s="1112"/>
      <c r="BW81" s="474">
        <v>2</v>
      </c>
      <c r="BX81" s="1115" t="b">
        <f>IF(BY85=10,1)</f>
        <v>0</v>
      </c>
      <c r="BY81" s="1114"/>
      <c r="BZ81" s="1113" t="b">
        <f>IF(BY85=10,3)</f>
        <v>0</v>
      </c>
      <c r="CA81" s="1112"/>
      <c r="CB81" s="1112"/>
      <c r="CC81" s="1112"/>
      <c r="CD81" s="1112"/>
      <c r="CE81" s="1112"/>
      <c r="CF81" s="1112"/>
      <c r="CG81" s="1112"/>
      <c r="CH81" s="1112"/>
      <c r="CI81" s="1112"/>
      <c r="CJ81" s="1112"/>
      <c r="CK81" s="1111"/>
      <c r="CL81" s="1104"/>
      <c r="CM81" s="1094"/>
      <c r="CN81" s="1093"/>
      <c r="CO81" s="1093"/>
      <c r="CP81" s="1093"/>
      <c r="CQ81" s="1093"/>
      <c r="CR81" s="1093"/>
      <c r="CS81" s="1093"/>
      <c r="CT81" s="1093"/>
      <c r="CU81" s="1093"/>
      <c r="EC81" s="1093"/>
      <c r="ED81" s="1093"/>
    </row>
    <row r="82" spans="2:134" ht="22.2" hidden="1" thickTop="1" thickBot="1" x14ac:dyDescent="0.45">
      <c r="B82" s="1421"/>
      <c r="C82" s="1423"/>
      <c r="D82" s="1429"/>
      <c r="E82" s="1429"/>
      <c r="H82" s="465"/>
      <c r="I82" s="465"/>
      <c r="J82" s="465"/>
      <c r="K82" s="465"/>
      <c r="L82" s="465"/>
      <c r="M82" s="465"/>
      <c r="N82" s="465"/>
      <c r="O82" s="465"/>
      <c r="P82" s="465"/>
      <c r="Q82" s="465"/>
      <c r="R82" s="465"/>
      <c r="S82" s="465"/>
      <c r="T82" s="465"/>
      <c r="U82" s="493"/>
      <c r="V82" s="465"/>
      <c r="W82" s="465"/>
      <c r="X82" s="465"/>
      <c r="Y82" s="465"/>
      <c r="Z82" s="465"/>
      <c r="AA82" s="465"/>
      <c r="AB82" s="493"/>
      <c r="AC82" s="493"/>
      <c r="AD82" s="493"/>
      <c r="AE82" s="493"/>
      <c r="AF82" s="465"/>
      <c r="AG82" s="465"/>
      <c r="AH82" s="465"/>
      <c r="AI82" s="465"/>
      <c r="AJ82" s="465"/>
      <c r="AK82" s="465"/>
      <c r="AL82" s="465"/>
      <c r="AM82" s="465"/>
      <c r="AN82" s="465"/>
      <c r="AO82" s="465"/>
      <c r="AP82" s="465"/>
      <c r="AQ82" s="465"/>
      <c r="AR82" s="465"/>
      <c r="AS82" s="465"/>
      <c r="AT82" s="465"/>
      <c r="AU82" s="465"/>
      <c r="AV82" s="465"/>
      <c r="AW82" s="465"/>
      <c r="AX82" s="465"/>
      <c r="AY82" s="465"/>
      <c r="AZ82" s="465"/>
      <c r="BA82" s="465"/>
      <c r="BB82" s="473"/>
      <c r="BE82" s="1099"/>
      <c r="BF82" s="1099"/>
      <c r="BG82" s="1099"/>
      <c r="BH82" s="1053"/>
      <c r="BI82" s="1053"/>
      <c r="BJ82" s="1053"/>
      <c r="BK82" s="1053"/>
      <c r="BL82" s="1053"/>
      <c r="BM82" s="489"/>
      <c r="BN82" s="524"/>
      <c r="BO82" s="1112"/>
      <c r="BP82" s="1112"/>
      <c r="BQ82" s="1111"/>
      <c r="BR82" s="1112"/>
      <c r="BS82" s="1112"/>
      <c r="BT82" s="1112"/>
      <c r="BU82" s="1096"/>
      <c r="BV82" s="1112"/>
      <c r="BW82" s="1112"/>
      <c r="BX82" s="1112"/>
      <c r="BY82" s="1112"/>
      <c r="BZ82" s="1112"/>
      <c r="CA82" s="1112"/>
      <c r="CB82" s="1112"/>
      <c r="CC82" s="1112"/>
      <c r="CD82" s="1112"/>
      <c r="CE82" s="1112"/>
      <c r="CF82" s="1112"/>
      <c r="CG82" s="1112"/>
      <c r="CH82" s="1111"/>
      <c r="CI82" s="1104"/>
      <c r="CJ82" s="1104"/>
      <c r="CK82" s="1104"/>
      <c r="CL82" s="1104"/>
      <c r="CM82" s="1094"/>
      <c r="CN82" s="1093"/>
      <c r="CO82" s="1093"/>
      <c r="CP82" s="1093"/>
      <c r="CQ82" s="1093"/>
      <c r="CR82" s="1093"/>
      <c r="CS82" s="1093"/>
      <c r="CT82" s="1093"/>
      <c r="CU82" s="1093"/>
      <c r="EC82" s="1093"/>
      <c r="ED82" s="1093"/>
    </row>
    <row r="83" spans="2:134" ht="43.2" thickTop="1" thickBot="1" x14ac:dyDescent="0.45">
      <c r="B83" s="2099" t="s">
        <v>165</v>
      </c>
      <c r="C83" s="2099"/>
      <c r="D83" s="2099"/>
      <c r="E83" s="2099"/>
      <c r="H83" s="465"/>
      <c r="I83" s="465"/>
      <c r="J83" s="465"/>
      <c r="K83" s="465"/>
      <c r="L83" s="465"/>
      <c r="M83" s="465"/>
      <c r="N83" s="465"/>
      <c r="O83" s="465"/>
      <c r="P83" s="465"/>
      <c r="Q83" s="465"/>
      <c r="R83" s="465"/>
      <c r="S83" s="465"/>
      <c r="T83" s="465"/>
      <c r="U83" s="493"/>
      <c r="V83" s="465"/>
      <c r="W83" s="465"/>
      <c r="X83" s="465"/>
      <c r="Y83" s="465"/>
      <c r="Z83" s="465"/>
      <c r="AA83" s="465"/>
      <c r="AB83" s="493"/>
      <c r="AC83" s="493"/>
      <c r="AD83" s="493"/>
      <c r="AE83" s="493"/>
      <c r="AF83" s="465"/>
      <c r="AG83" s="465"/>
      <c r="AH83" s="465"/>
      <c r="AI83" s="465"/>
      <c r="AJ83" s="465"/>
      <c r="AK83" s="465"/>
      <c r="AL83" s="465"/>
      <c r="AM83" s="465"/>
      <c r="AN83" s="465"/>
      <c r="AO83" s="465"/>
      <c r="AP83" s="465"/>
      <c r="AQ83" s="465"/>
      <c r="AR83" s="465"/>
      <c r="AS83" s="465"/>
      <c r="AT83" s="465"/>
      <c r="AU83" s="465"/>
      <c r="AV83" s="465"/>
      <c r="AW83" s="465"/>
      <c r="AX83" s="465"/>
      <c r="AY83" s="465"/>
      <c r="AZ83" s="465"/>
      <c r="BA83" s="465"/>
      <c r="BB83" s="473"/>
      <c r="BE83" s="1099"/>
      <c r="BF83" s="1099"/>
      <c r="BG83" s="1099"/>
      <c r="BH83" s="1053"/>
      <c r="BI83" s="1053"/>
      <c r="BJ83" s="1053"/>
      <c r="BK83" s="1053"/>
      <c r="BL83" s="1053"/>
      <c r="BM83" s="489"/>
      <c r="BN83" s="524"/>
      <c r="BO83" s="1110" t="s">
        <v>82</v>
      </c>
      <c r="BP83" s="2078"/>
      <c r="BQ83" s="2079"/>
      <c r="BR83" s="2079"/>
      <c r="BS83" s="2079"/>
      <c r="BT83" s="2079"/>
      <c r="BU83" s="2079"/>
      <c r="BV83" s="2079"/>
      <c r="BW83" s="2080"/>
      <c r="BX83" s="1109">
        <f t="shared" ref="BX83:CK83" si="1">SUM(BX70:BX82)</f>
        <v>0</v>
      </c>
      <c r="BY83" s="1108">
        <f t="shared" si="1"/>
        <v>0</v>
      </c>
      <c r="BZ83" s="1108">
        <f t="shared" si="1"/>
        <v>3</v>
      </c>
      <c r="CA83" s="1108">
        <f t="shared" si="1"/>
        <v>0</v>
      </c>
      <c r="CB83" s="1108">
        <f t="shared" si="1"/>
        <v>5</v>
      </c>
      <c r="CC83" s="1108">
        <f t="shared" si="1"/>
        <v>0</v>
      </c>
      <c r="CD83" s="1108">
        <f t="shared" si="1"/>
        <v>0</v>
      </c>
      <c r="CE83" s="1108">
        <f t="shared" si="1"/>
        <v>0</v>
      </c>
      <c r="CF83" s="1108">
        <f t="shared" si="1"/>
        <v>0</v>
      </c>
      <c r="CG83" s="1108">
        <f t="shared" si="1"/>
        <v>0</v>
      </c>
      <c r="CH83" s="1108">
        <f t="shared" si="1"/>
        <v>0</v>
      </c>
      <c r="CI83" s="1108">
        <f t="shared" si="1"/>
        <v>0</v>
      </c>
      <c r="CJ83" s="1108">
        <f t="shared" si="1"/>
        <v>0</v>
      </c>
      <c r="CK83" s="1107">
        <f t="shared" si="1"/>
        <v>0</v>
      </c>
      <c r="CL83" s="2078"/>
      <c r="CM83" s="2079"/>
      <c r="CN83" s="2079"/>
      <c r="CO83" s="2079"/>
      <c r="CP83" s="2079"/>
      <c r="CQ83" s="2079"/>
      <c r="CR83" s="2079"/>
      <c r="CS83" s="2080"/>
      <c r="CT83" s="1093"/>
      <c r="CU83" s="1093"/>
      <c r="EC83" s="1093"/>
      <c r="ED83" s="1093"/>
    </row>
    <row r="84" spans="2:134" ht="24.6" thickTop="1" thickBot="1" x14ac:dyDescent="0.5">
      <c r="B84" s="1444" t="s">
        <v>170</v>
      </c>
      <c r="C84" s="1445"/>
      <c r="D84" s="1444" t="s">
        <v>171</v>
      </c>
      <c r="E84" s="1444" t="s">
        <v>168</v>
      </c>
      <c r="F84" s="490"/>
      <c r="G84" s="490"/>
      <c r="H84" s="465"/>
      <c r="I84" s="465"/>
      <c r="J84" s="465"/>
      <c r="K84" s="465"/>
      <c r="L84" s="465"/>
      <c r="M84" s="465"/>
      <c r="N84" s="465"/>
      <c r="O84" s="465"/>
      <c r="P84" s="465"/>
      <c r="Q84" s="465"/>
      <c r="R84" s="465"/>
      <c r="S84" s="465"/>
      <c r="T84" s="465"/>
      <c r="U84" s="493"/>
      <c r="V84" s="465"/>
      <c r="W84" s="465"/>
      <c r="X84" s="465"/>
      <c r="Y84" s="465"/>
      <c r="Z84" s="465"/>
      <c r="AA84" s="465"/>
      <c r="AB84" s="493"/>
      <c r="AC84" s="493"/>
      <c r="AD84" s="493"/>
      <c r="AE84" s="493"/>
      <c r="AF84" s="465"/>
      <c r="AG84" s="465"/>
      <c r="AH84" s="465"/>
      <c r="AI84" s="465"/>
      <c r="AJ84" s="465"/>
      <c r="AK84" s="465"/>
      <c r="AL84" s="465"/>
      <c r="AM84" s="465"/>
      <c r="AN84" s="465"/>
      <c r="AO84" s="465"/>
      <c r="AP84" s="465"/>
      <c r="AQ84" s="465"/>
      <c r="AR84" s="465"/>
      <c r="AS84" s="465"/>
      <c r="AT84" s="465"/>
      <c r="AU84" s="465"/>
      <c r="AV84" s="465"/>
      <c r="AW84" s="465"/>
      <c r="AX84" s="465"/>
      <c r="AY84" s="465"/>
      <c r="AZ84" s="465"/>
      <c r="BA84" s="465"/>
      <c r="BB84" s="473"/>
      <c r="BE84" s="1099"/>
      <c r="BF84" s="1099"/>
      <c r="BG84" s="1099"/>
      <c r="BH84" s="1053"/>
      <c r="BI84" s="1053"/>
      <c r="BJ84" s="1053"/>
      <c r="BK84" s="1053"/>
      <c r="BL84" s="1053"/>
      <c r="BM84" s="489"/>
      <c r="BN84" s="524"/>
      <c r="BO84" s="1106"/>
      <c r="BP84" s="1265"/>
      <c r="BQ84" s="1266"/>
      <c r="BR84" s="1265"/>
      <c r="BS84" s="1265"/>
      <c r="BT84" s="1265"/>
      <c r="BU84" s="1266"/>
      <c r="BV84" s="1265"/>
      <c r="BW84" s="1265"/>
      <c r="BX84" s="1265"/>
      <c r="BY84" s="1265"/>
      <c r="BZ84" s="1265"/>
      <c r="CA84" s="1265"/>
      <c r="CB84" s="1265"/>
      <c r="CC84" s="1265"/>
      <c r="CD84" s="1265"/>
      <c r="CE84" s="1265"/>
      <c r="CF84" s="1265"/>
      <c r="CG84" s="1265"/>
      <c r="CH84" s="1265"/>
      <c r="CI84" s="1265"/>
      <c r="CJ84" s="1265"/>
      <c r="CK84" s="1265"/>
      <c r="CL84" s="1265"/>
      <c r="CM84" s="1264"/>
      <c r="CN84" s="1263"/>
      <c r="CO84" s="1263"/>
      <c r="CP84" s="1263"/>
      <c r="CQ84" s="1263"/>
      <c r="CR84" s="1263"/>
      <c r="CS84" s="1263"/>
      <c r="CT84" s="1093"/>
      <c r="CU84" s="1093"/>
      <c r="EC84" s="1093"/>
      <c r="ED84" s="1093"/>
    </row>
    <row r="85" spans="2:134" ht="24" hidden="1" thickTop="1" thickBot="1" x14ac:dyDescent="0.45">
      <c r="B85" s="1446">
        <f>+C20/BM68</f>
        <v>49.750463329110474</v>
      </c>
      <c r="C85" s="1445"/>
      <c r="D85" s="1447">
        <f>+D20/CU68</f>
        <v>76.875662273661376</v>
      </c>
      <c r="E85" s="1448">
        <f>+E20/BP26</f>
        <v>41.710114702815432</v>
      </c>
      <c r="F85" s="490"/>
      <c r="G85" s="490"/>
      <c r="H85" s="465"/>
      <c r="I85" s="465"/>
      <c r="J85" s="465"/>
      <c r="K85" s="465"/>
      <c r="L85" s="465"/>
      <c r="M85" s="465"/>
      <c r="N85" s="465"/>
      <c r="O85" s="465"/>
      <c r="P85" s="465"/>
      <c r="Q85" s="465"/>
      <c r="R85" s="465"/>
      <c r="S85" s="465"/>
      <c r="T85" s="465"/>
      <c r="U85" s="493"/>
      <c r="V85" s="465"/>
      <c r="W85" s="465"/>
      <c r="X85" s="465"/>
      <c r="Y85" s="465"/>
      <c r="Z85" s="465"/>
      <c r="AA85" s="465"/>
      <c r="AB85" s="493"/>
      <c r="AC85" s="493"/>
      <c r="AD85" s="493"/>
      <c r="AE85" s="493"/>
      <c r="AF85" s="465"/>
      <c r="AG85" s="465"/>
      <c r="AH85" s="465"/>
      <c r="AI85" s="465"/>
      <c r="AJ85" s="465"/>
      <c r="AK85" s="465"/>
      <c r="AL85" s="465"/>
      <c r="AM85" s="465"/>
      <c r="AN85" s="465"/>
      <c r="AO85" s="465"/>
      <c r="AP85" s="465"/>
      <c r="AQ85" s="465"/>
      <c r="AR85" s="465"/>
      <c r="AS85" s="465"/>
      <c r="AT85" s="465"/>
      <c r="AU85" s="465"/>
      <c r="AV85" s="465"/>
      <c r="AW85" s="465"/>
      <c r="AX85" s="465"/>
      <c r="AY85" s="465"/>
      <c r="AZ85" s="465"/>
      <c r="BA85" s="465"/>
      <c r="BB85" s="473"/>
      <c r="BE85" s="1099"/>
      <c r="BF85" s="1099"/>
      <c r="BG85" s="1099"/>
      <c r="BH85" s="1053"/>
      <c r="BI85" s="1053"/>
      <c r="BJ85" s="1053"/>
      <c r="BK85" s="1053"/>
      <c r="BL85" s="1053"/>
      <c r="BM85" s="489"/>
      <c r="BN85" s="524"/>
      <c r="BO85" s="1096"/>
      <c r="BP85" s="1262" t="b">
        <f>+BN100</f>
        <v>0</v>
      </c>
      <c r="BQ85" s="1262" t="b">
        <f>+BN101</f>
        <v>0</v>
      </c>
      <c r="BR85" s="1262" t="b">
        <f>+BN102</f>
        <v>0</v>
      </c>
      <c r="BS85" s="1262" t="b">
        <f>+BN103</f>
        <v>0</v>
      </c>
      <c r="BT85" s="1262" t="b">
        <f>+BN104</f>
        <v>0</v>
      </c>
      <c r="BU85" s="1262" t="b">
        <f>+BN105</f>
        <v>0</v>
      </c>
      <c r="BV85" s="1262" t="b">
        <f>+BN106</f>
        <v>0</v>
      </c>
      <c r="BW85" s="1262" t="b">
        <f>+BN107</f>
        <v>0</v>
      </c>
      <c r="BX85" s="1262" t="b">
        <f>+BN108</f>
        <v>0</v>
      </c>
      <c r="BY85" s="1262" t="b">
        <f>+BN109</f>
        <v>0</v>
      </c>
      <c r="BZ85" s="1262" t="b">
        <f>+BN110</f>
        <v>0</v>
      </c>
      <c r="CA85" s="1262">
        <f>+BN111</f>
        <v>12</v>
      </c>
      <c r="CB85" s="1262" t="b">
        <f>+BN112</f>
        <v>0</v>
      </c>
      <c r="CC85" s="1262" t="b">
        <f>+BN113</f>
        <v>0</v>
      </c>
      <c r="CD85" s="1262" t="b">
        <f>+BN114</f>
        <v>0</v>
      </c>
      <c r="CE85" s="1262" t="b">
        <f>+BN115</f>
        <v>0</v>
      </c>
      <c r="CF85" s="1262" t="b">
        <f>+BN116</f>
        <v>0</v>
      </c>
      <c r="CG85" s="1262" t="b">
        <f>+BN117</f>
        <v>0</v>
      </c>
      <c r="CH85" s="1262" t="b">
        <f>+BN118</f>
        <v>0</v>
      </c>
      <c r="CI85" s="1262" t="b">
        <f>+BN119</f>
        <v>0</v>
      </c>
      <c r="CJ85" s="1262" t="b">
        <f>+BN120</f>
        <v>0</v>
      </c>
      <c r="CK85" s="1262" t="b">
        <f>+BN121</f>
        <v>0</v>
      </c>
      <c r="CL85" s="1262" t="b">
        <f>+BN122</f>
        <v>0</v>
      </c>
      <c r="CM85" s="1262" t="b">
        <f>+BN123</f>
        <v>0</v>
      </c>
      <c r="CN85" s="1262" t="b">
        <f>+BN124</f>
        <v>0</v>
      </c>
      <c r="CO85" s="1262" t="b">
        <f>+BN125</f>
        <v>0</v>
      </c>
      <c r="CP85" s="1262" t="b">
        <f>+BN126</f>
        <v>0</v>
      </c>
      <c r="CQ85" s="1262" t="b">
        <f>+BN127</f>
        <v>0</v>
      </c>
      <c r="CR85" s="1262" t="b">
        <f>+BN128</f>
        <v>0</v>
      </c>
      <c r="CS85" s="1262" t="b">
        <f>+BN129</f>
        <v>0</v>
      </c>
      <c r="CT85" s="1093"/>
      <c r="CU85" s="1093"/>
      <c r="CY85" s="1104"/>
      <c r="CZ85" s="1104"/>
      <c r="DA85" s="1104"/>
      <c r="DB85" s="1104"/>
      <c r="DC85" s="1104"/>
      <c r="DD85" s="1105"/>
      <c r="DE85" s="1104"/>
      <c r="DF85" s="1104"/>
      <c r="DG85" s="1104"/>
      <c r="DH85" s="1104"/>
      <c r="DI85" s="1104"/>
      <c r="DJ85" s="1104"/>
      <c r="DK85" s="1104"/>
      <c r="DL85" s="1104"/>
      <c r="DM85" s="1104"/>
      <c r="DN85" s="1104"/>
      <c r="DO85" s="1104"/>
      <c r="DP85" s="1104"/>
      <c r="DQ85" s="1104"/>
      <c r="DR85" s="1104"/>
      <c r="DS85" s="1104"/>
      <c r="DT85" s="1104"/>
      <c r="DU85" s="1104"/>
      <c r="DV85" s="1105"/>
      <c r="DW85" s="1093"/>
      <c r="DX85" s="1093"/>
      <c r="DY85" s="1093"/>
      <c r="DZ85" s="1093"/>
      <c r="EA85" s="1093"/>
      <c r="EB85" s="1093"/>
      <c r="EC85" s="1093"/>
      <c r="ED85" s="1093"/>
    </row>
    <row r="86" spans="2:134" ht="24" hidden="1" thickTop="1" thickBot="1" x14ac:dyDescent="0.45">
      <c r="B86" s="1445"/>
      <c r="C86" s="1445"/>
      <c r="D86" s="1449"/>
      <c r="E86" s="1449"/>
      <c r="F86" s="490"/>
      <c r="G86" s="490"/>
      <c r="H86" s="465"/>
      <c r="I86" s="465"/>
      <c r="J86" s="465"/>
      <c r="K86" s="465"/>
      <c r="L86" s="465"/>
      <c r="M86" s="465"/>
      <c r="N86" s="465"/>
      <c r="O86" s="465"/>
      <c r="P86" s="465"/>
      <c r="Q86" s="465"/>
      <c r="R86" s="465"/>
      <c r="S86" s="465"/>
      <c r="T86" s="465"/>
      <c r="U86" s="493"/>
      <c r="V86" s="465"/>
      <c r="W86" s="465"/>
      <c r="X86" s="465"/>
      <c r="Y86" s="465"/>
      <c r="Z86" s="465"/>
      <c r="AA86" s="465"/>
      <c r="AB86" s="493"/>
      <c r="AC86" s="493"/>
      <c r="AD86" s="493"/>
      <c r="AE86" s="493"/>
      <c r="AF86" s="465"/>
      <c r="AG86" s="465"/>
      <c r="AH86" s="465"/>
      <c r="AI86" s="465"/>
      <c r="AJ86" s="465"/>
      <c r="AK86" s="465"/>
      <c r="AL86" s="465"/>
      <c r="AM86" s="465"/>
      <c r="AN86" s="465"/>
      <c r="AO86" s="465"/>
      <c r="AP86" s="465"/>
      <c r="AQ86" s="465"/>
      <c r="AR86" s="465"/>
      <c r="AS86" s="465"/>
      <c r="AT86" s="465"/>
      <c r="AU86" s="465"/>
      <c r="AV86" s="465"/>
      <c r="AW86" s="465"/>
      <c r="AX86" s="465"/>
      <c r="AY86" s="465"/>
      <c r="AZ86" s="465"/>
      <c r="BA86" s="465"/>
      <c r="BB86" s="473"/>
      <c r="BE86" s="1099"/>
      <c r="BF86" s="1099"/>
      <c r="BG86" s="1099"/>
      <c r="BH86" s="1053"/>
      <c r="BI86" s="1053"/>
      <c r="BJ86" s="1053"/>
      <c r="BK86" s="1053"/>
      <c r="BL86" s="1053"/>
      <c r="BM86" s="489"/>
      <c r="BN86" s="524"/>
      <c r="BO86" s="1094" t="s">
        <v>27</v>
      </c>
      <c r="BP86" s="1262" t="b">
        <f t="shared" ref="BP86:CS86" si="2">+BP85</f>
        <v>0</v>
      </c>
      <c r="BQ86" s="1262" t="b">
        <f t="shared" si="2"/>
        <v>0</v>
      </c>
      <c r="BR86" s="1262" t="b">
        <f t="shared" si="2"/>
        <v>0</v>
      </c>
      <c r="BS86" s="1262" t="b">
        <f t="shared" si="2"/>
        <v>0</v>
      </c>
      <c r="BT86" s="1262" t="b">
        <f t="shared" si="2"/>
        <v>0</v>
      </c>
      <c r="BU86" s="1262" t="b">
        <f t="shared" si="2"/>
        <v>0</v>
      </c>
      <c r="BV86" s="1262" t="b">
        <f t="shared" si="2"/>
        <v>0</v>
      </c>
      <c r="BW86" s="1262" t="b">
        <f t="shared" si="2"/>
        <v>0</v>
      </c>
      <c r="BX86" s="1262" t="b">
        <f t="shared" si="2"/>
        <v>0</v>
      </c>
      <c r="BY86" s="1262" t="b">
        <f t="shared" si="2"/>
        <v>0</v>
      </c>
      <c r="BZ86" s="1262" t="b">
        <f t="shared" si="2"/>
        <v>0</v>
      </c>
      <c r="CA86" s="1262">
        <f t="shared" si="2"/>
        <v>12</v>
      </c>
      <c r="CB86" s="1262" t="b">
        <f t="shared" si="2"/>
        <v>0</v>
      </c>
      <c r="CC86" s="1262" t="b">
        <f t="shared" si="2"/>
        <v>0</v>
      </c>
      <c r="CD86" s="1262" t="b">
        <f t="shared" si="2"/>
        <v>0</v>
      </c>
      <c r="CE86" s="1262" t="b">
        <f t="shared" si="2"/>
        <v>0</v>
      </c>
      <c r="CF86" s="1262" t="b">
        <f t="shared" si="2"/>
        <v>0</v>
      </c>
      <c r="CG86" s="1262" t="b">
        <f t="shared" si="2"/>
        <v>0</v>
      </c>
      <c r="CH86" s="1262" t="b">
        <f t="shared" si="2"/>
        <v>0</v>
      </c>
      <c r="CI86" s="1262" t="b">
        <f t="shared" si="2"/>
        <v>0</v>
      </c>
      <c r="CJ86" s="1262" t="b">
        <f t="shared" si="2"/>
        <v>0</v>
      </c>
      <c r="CK86" s="1262" t="b">
        <f t="shared" si="2"/>
        <v>0</v>
      </c>
      <c r="CL86" s="1262" t="b">
        <f t="shared" si="2"/>
        <v>0</v>
      </c>
      <c r="CM86" s="1262" t="b">
        <f t="shared" si="2"/>
        <v>0</v>
      </c>
      <c r="CN86" s="1262" t="b">
        <f t="shared" si="2"/>
        <v>0</v>
      </c>
      <c r="CO86" s="1262" t="b">
        <f t="shared" si="2"/>
        <v>0</v>
      </c>
      <c r="CP86" s="1262" t="b">
        <f t="shared" si="2"/>
        <v>0</v>
      </c>
      <c r="CQ86" s="1262" t="b">
        <f t="shared" si="2"/>
        <v>0</v>
      </c>
      <c r="CR86" s="1262" t="b">
        <f t="shared" si="2"/>
        <v>0</v>
      </c>
      <c r="CS86" s="1262" t="b">
        <f t="shared" si="2"/>
        <v>0</v>
      </c>
      <c r="CT86" s="1093"/>
      <c r="CU86" s="1093"/>
      <c r="CY86" s="1104"/>
      <c r="CZ86" s="1104"/>
      <c r="DA86" s="1104"/>
      <c r="DB86" s="1104"/>
      <c r="DC86" s="1104"/>
      <c r="DD86" s="1105"/>
      <c r="DE86" s="1104"/>
      <c r="DF86" s="1104"/>
      <c r="DG86" s="1104"/>
      <c r="DH86" s="1104"/>
      <c r="DI86" s="1104"/>
      <c r="DJ86" s="1104"/>
      <c r="DK86" s="1104"/>
      <c r="DL86" s="1104"/>
      <c r="DM86" s="1104"/>
      <c r="DN86" s="1104"/>
      <c r="DO86" s="1104"/>
      <c r="DP86" s="1104"/>
      <c r="DQ86" s="1104"/>
      <c r="DR86" s="1104"/>
      <c r="DS86" s="1104"/>
      <c r="DT86" s="1104"/>
      <c r="DU86" s="1104"/>
      <c r="DV86" s="1105"/>
      <c r="DW86" s="1093"/>
      <c r="DX86" s="1093"/>
      <c r="DY86" s="1093"/>
      <c r="DZ86" s="1093"/>
      <c r="EA86" s="1093"/>
      <c r="EB86" s="1093"/>
      <c r="EC86" s="1093"/>
      <c r="ED86" s="1093"/>
    </row>
    <row r="87" spans="2:134" ht="33.75" customHeight="1" thickTop="1" thickBot="1" x14ac:dyDescent="0.45">
      <c r="B87" s="1367">
        <f>ABS(B85)</f>
        <v>49.750463329110474</v>
      </c>
      <c r="C87" s="1445"/>
      <c r="D87" s="1367">
        <f>ABS(D85)</f>
        <v>76.875662273661376</v>
      </c>
      <c r="E87" s="1367">
        <f>+IF(AND(D85&lt;&gt;TRUE,B85&lt;&gt;TRUE),E85)</f>
        <v>41.710114702815432</v>
      </c>
      <c r="F87" s="490"/>
      <c r="G87" s="490"/>
      <c r="H87" s="465"/>
      <c r="I87" s="465"/>
      <c r="J87" s="465"/>
      <c r="K87" s="465"/>
      <c r="L87" s="465"/>
      <c r="M87" s="465"/>
      <c r="N87" s="465"/>
      <c r="O87" s="465"/>
      <c r="P87" s="465"/>
      <c r="Q87" s="465"/>
      <c r="R87" s="465"/>
      <c r="S87" s="465"/>
      <c r="T87" s="465"/>
      <c r="U87" s="493"/>
      <c r="V87" s="465"/>
      <c r="W87" s="465"/>
      <c r="X87" s="465"/>
      <c r="Y87" s="465"/>
      <c r="Z87" s="465"/>
      <c r="AA87" s="465"/>
      <c r="AB87" s="493"/>
      <c r="AC87" s="493"/>
      <c r="AD87" s="493"/>
      <c r="AE87" s="493"/>
      <c r="AF87" s="465"/>
      <c r="AG87" s="465"/>
      <c r="AH87" s="465"/>
      <c r="AI87" s="465"/>
      <c r="AJ87" s="465"/>
      <c r="AK87" s="465"/>
      <c r="AL87" s="465"/>
      <c r="AM87" s="465"/>
      <c r="AN87" s="465"/>
      <c r="AO87" s="465"/>
      <c r="AP87" s="465"/>
      <c r="AQ87" s="465"/>
      <c r="AR87" s="465"/>
      <c r="AS87" s="465"/>
      <c r="AT87" s="465"/>
      <c r="AU87" s="465"/>
      <c r="AV87" s="465"/>
      <c r="AW87" s="465"/>
      <c r="AX87" s="465"/>
      <c r="AY87" s="465"/>
      <c r="AZ87" s="465"/>
      <c r="BA87" s="465"/>
      <c r="BB87" s="473"/>
      <c r="BE87" s="1099"/>
      <c r="BF87" s="1099"/>
      <c r="BH87" s="1053"/>
      <c r="BI87" s="1053"/>
      <c r="BJ87" s="1053"/>
      <c r="BK87" s="1053"/>
      <c r="BL87" s="1053"/>
      <c r="BM87" s="489"/>
      <c r="BN87" s="524"/>
      <c r="BO87" s="1101" t="s">
        <v>27</v>
      </c>
      <c r="BP87" s="1100" t="str">
        <f>IF(BP86=1,"A ","")</f>
        <v/>
      </c>
      <c r="BQ87" s="1017" t="str">
        <f>IF(BQ86=2,"B ","")</f>
        <v/>
      </c>
      <c r="BR87" s="1017" t="str">
        <f>IF(BR86=3,"C ","")</f>
        <v/>
      </c>
      <c r="BS87" s="1017" t="str">
        <f>IF(BS86=4,"D ","")</f>
        <v/>
      </c>
      <c r="BT87" s="1017" t="str">
        <f>IF(BT86=5,"E ","")</f>
        <v/>
      </c>
      <c r="BU87" s="1017" t="str">
        <f>IF(BU86=6,"F ","")</f>
        <v/>
      </c>
      <c r="BV87" s="1017" t="str">
        <f>IF(BV86=7,"G ","")</f>
        <v/>
      </c>
      <c r="BW87" s="1017" t="str">
        <f>IF(BW86=8,"H ","")</f>
        <v/>
      </c>
      <c r="BX87" s="1017" t="str">
        <f>IF(BX86=9,"1 ","")</f>
        <v/>
      </c>
      <c r="BY87" s="1017" t="str">
        <f>IF(BY86=10,"2 ","")</f>
        <v/>
      </c>
      <c r="BZ87" s="1017" t="str">
        <f>IF(BZ86=11,"3 ","")</f>
        <v/>
      </c>
      <c r="CA87" s="1017" t="str">
        <f>IF(CA86=12,"4 ","")</f>
        <v xml:space="preserve">4 </v>
      </c>
      <c r="CB87" s="1017" t="str">
        <f>IF(CB86=13,"5 ","")</f>
        <v/>
      </c>
      <c r="CC87" s="1017" t="str">
        <f>IF(CC86=14,"i ","")</f>
        <v/>
      </c>
      <c r="CD87" s="1017" t="str">
        <f>IF(CD86=15,"J ","")</f>
        <v/>
      </c>
      <c r="CE87" s="1017" t="str">
        <f>IF(CE86=16,"6 ","")</f>
        <v/>
      </c>
      <c r="CF87" s="1017" t="str">
        <f>IF(CF86=17,"7 ","")</f>
        <v/>
      </c>
      <c r="CG87" s="1017" t="str">
        <f>IF(CG86=18,"8 ","")</f>
        <v/>
      </c>
      <c r="CH87" s="1017" t="str">
        <f>IF(CH86=19,"9 ","")</f>
        <v/>
      </c>
      <c r="CI87" s="1017" t="str">
        <f>IF(CI86=20,"10 ","")</f>
        <v/>
      </c>
      <c r="CJ87" s="1017" t="str">
        <f>IF(CJ86=21,"11 ","")</f>
        <v/>
      </c>
      <c r="CK87" s="1017" t="str">
        <f>IF(CK86=22,"12 ","")</f>
        <v/>
      </c>
      <c r="CL87" s="1017" t="str">
        <f>IF(CL86=23,"K ","")</f>
        <v/>
      </c>
      <c r="CM87" s="1017" t="str">
        <f>IF(CM86=24,"L ","")</f>
        <v/>
      </c>
      <c r="CN87" s="1017" t="str">
        <f>IF(CN86=25,"M ","")</f>
        <v/>
      </c>
      <c r="CO87" s="1017" t="str">
        <f>IF(CO86=26,"N ","")</f>
        <v/>
      </c>
      <c r="CP87" s="1017" t="str">
        <f>IF(CP86=27,"O ","")</f>
        <v/>
      </c>
      <c r="CQ87" s="1017" t="str">
        <f>IF(CQ86=28,"P ","")</f>
        <v/>
      </c>
      <c r="CR87" s="1017" t="str">
        <f>IF(CR86=29,"Q ","")</f>
        <v/>
      </c>
      <c r="CS87" s="1019" t="str">
        <f>IF(CS86=30,"R ","")</f>
        <v/>
      </c>
      <c r="CT87" s="1093"/>
      <c r="CU87" s="1093"/>
      <c r="EC87" s="1093"/>
      <c r="ED87" s="1093"/>
    </row>
    <row r="88" spans="2:134" ht="21.6" hidden="1" thickTop="1" x14ac:dyDescent="0.4">
      <c r="B88" s="491"/>
      <c r="C88" s="491"/>
      <c r="F88" s="490"/>
      <c r="G88" s="490"/>
      <c r="H88" s="465"/>
      <c r="I88" s="465"/>
      <c r="J88" s="465"/>
      <c r="K88" s="465"/>
      <c r="L88" s="465"/>
      <c r="M88" s="465"/>
      <c r="N88" s="465"/>
      <c r="O88" s="465"/>
      <c r="P88" s="465"/>
      <c r="Q88" s="465"/>
      <c r="R88" s="465"/>
      <c r="S88" s="465"/>
      <c r="T88" s="465"/>
      <c r="U88" s="493"/>
      <c r="V88" s="465"/>
      <c r="W88" s="465"/>
      <c r="X88" s="465"/>
      <c r="Y88" s="465"/>
      <c r="Z88" s="465"/>
      <c r="AA88" s="465"/>
      <c r="AB88" s="493"/>
      <c r="AC88" s="493"/>
      <c r="AD88" s="493"/>
      <c r="AE88" s="493"/>
      <c r="AF88" s="465"/>
      <c r="AG88" s="465"/>
      <c r="AH88" s="465"/>
      <c r="AI88" s="465"/>
      <c r="AJ88" s="465"/>
      <c r="AK88" s="465"/>
      <c r="AL88" s="465"/>
      <c r="AM88" s="465"/>
      <c r="AN88" s="465"/>
      <c r="AO88" s="465"/>
      <c r="AP88" s="465"/>
      <c r="AQ88" s="465"/>
      <c r="AR88" s="465"/>
      <c r="AS88" s="465"/>
      <c r="AT88" s="465"/>
      <c r="AU88" s="465"/>
      <c r="AV88" s="465"/>
      <c r="AW88" s="465"/>
      <c r="AX88" s="465"/>
      <c r="AY88" s="465"/>
      <c r="AZ88" s="465"/>
      <c r="BA88" s="465"/>
      <c r="BB88" s="473"/>
      <c r="BE88" s="1099"/>
      <c r="BF88" s="1099"/>
      <c r="BH88" s="1053"/>
      <c r="BI88" s="1053"/>
      <c r="BJ88" s="1053"/>
      <c r="BK88" s="1053"/>
      <c r="BL88" s="1053"/>
      <c r="BM88" s="489"/>
      <c r="BN88" s="524"/>
      <c r="BO88" s="1093"/>
      <c r="BP88" s="1097">
        <v>1</v>
      </c>
      <c r="BQ88" s="1097">
        <v>2</v>
      </c>
      <c r="BR88" s="1097">
        <v>3</v>
      </c>
      <c r="BS88" s="1097">
        <v>4</v>
      </c>
      <c r="BT88" s="1097">
        <v>5</v>
      </c>
      <c r="BU88" s="1097">
        <v>6</v>
      </c>
      <c r="BV88" s="1097">
        <v>7</v>
      </c>
      <c r="BW88" s="1097">
        <v>8</v>
      </c>
      <c r="BX88" s="1097">
        <v>9</v>
      </c>
      <c r="BY88" s="1097">
        <v>10</v>
      </c>
      <c r="BZ88" s="1097">
        <v>11</v>
      </c>
      <c r="CA88" s="1097">
        <v>12</v>
      </c>
      <c r="CB88" s="1097">
        <v>13</v>
      </c>
      <c r="CC88" s="1097">
        <v>14</v>
      </c>
      <c r="CD88" s="1097">
        <v>15</v>
      </c>
      <c r="CE88" s="1097">
        <v>16</v>
      </c>
      <c r="CF88" s="1097">
        <v>17</v>
      </c>
      <c r="CG88" s="1097">
        <v>18</v>
      </c>
      <c r="CH88" s="1097">
        <v>19</v>
      </c>
      <c r="CI88" s="1097">
        <v>20</v>
      </c>
      <c r="CJ88" s="1097">
        <v>21</v>
      </c>
      <c r="CK88" s="1097">
        <v>22</v>
      </c>
      <c r="CL88" s="1097">
        <v>23</v>
      </c>
      <c r="CM88" s="1097">
        <v>24</v>
      </c>
      <c r="CN88" s="1097">
        <v>25</v>
      </c>
      <c r="CO88" s="1097">
        <v>26</v>
      </c>
      <c r="CP88" s="1097">
        <v>27</v>
      </c>
      <c r="CQ88" s="1097">
        <v>28</v>
      </c>
      <c r="CR88" s="1097">
        <v>29</v>
      </c>
      <c r="CS88" s="1097">
        <v>30</v>
      </c>
      <c r="CT88" s="1093"/>
      <c r="CU88" s="1093"/>
      <c r="EC88" s="1093"/>
      <c r="ED88" s="1093"/>
    </row>
    <row r="89" spans="2:134" ht="21.6" hidden="1" thickTop="1" x14ac:dyDescent="0.4">
      <c r="B89" s="491"/>
      <c r="C89" s="491"/>
      <c r="G89" s="490"/>
      <c r="H89" s="465"/>
      <c r="I89" s="465"/>
      <c r="J89" s="465"/>
      <c r="K89" s="465"/>
      <c r="L89" s="465"/>
      <c r="M89" s="465"/>
      <c r="N89" s="465"/>
      <c r="O89" s="465"/>
      <c r="P89" s="465"/>
      <c r="Q89" s="465"/>
      <c r="R89" s="465"/>
      <c r="S89" s="465"/>
      <c r="T89" s="465"/>
      <c r="U89" s="493"/>
      <c r="V89" s="465"/>
      <c r="W89" s="465"/>
      <c r="X89" s="465"/>
      <c r="Y89" s="465"/>
      <c r="Z89" s="465"/>
      <c r="AA89" s="465"/>
      <c r="AB89" s="493"/>
      <c r="AC89" s="493"/>
      <c r="AD89" s="493"/>
      <c r="AE89" s="493"/>
      <c r="AF89" s="465"/>
      <c r="AG89" s="465"/>
      <c r="AH89" s="465"/>
      <c r="AI89" s="465"/>
      <c r="AJ89" s="465"/>
      <c r="AK89" s="465"/>
      <c r="AL89" s="465"/>
      <c r="AM89" s="465"/>
      <c r="AN89" s="465"/>
      <c r="AO89" s="465"/>
      <c r="AP89" s="465"/>
      <c r="AQ89" s="465"/>
      <c r="AR89" s="465"/>
      <c r="AS89" s="465"/>
      <c r="AT89" s="465"/>
      <c r="AU89" s="465"/>
      <c r="AV89" s="465"/>
      <c r="AW89" s="465"/>
      <c r="AX89" s="465"/>
      <c r="AY89" s="465"/>
      <c r="AZ89" s="465"/>
      <c r="BA89" s="465"/>
      <c r="BB89" s="473"/>
      <c r="BE89" s="1099"/>
      <c r="BF89" s="1099"/>
      <c r="BH89" s="1053"/>
      <c r="BI89" s="1053"/>
      <c r="BJ89" s="1053"/>
      <c r="BK89" s="1053"/>
      <c r="BL89" s="1053"/>
      <c r="BM89" s="489"/>
      <c r="BN89" s="524"/>
      <c r="BO89" s="1093"/>
      <c r="BP89" s="1097" t="s">
        <v>33</v>
      </c>
      <c r="BQ89" s="1097" t="s">
        <v>34</v>
      </c>
      <c r="BR89" s="1097" t="s">
        <v>35</v>
      </c>
      <c r="BS89" s="1097" t="s">
        <v>36</v>
      </c>
      <c r="BT89" s="1097" t="s">
        <v>37</v>
      </c>
      <c r="BU89" s="1097" t="s">
        <v>83</v>
      </c>
      <c r="BV89" s="1097" t="s">
        <v>16</v>
      </c>
      <c r="BW89" s="1097" t="s">
        <v>84</v>
      </c>
      <c r="BX89" s="1097">
        <v>1</v>
      </c>
      <c r="BY89" s="1097">
        <v>2</v>
      </c>
      <c r="BZ89" s="1097">
        <v>3</v>
      </c>
      <c r="CA89" s="1098">
        <v>4</v>
      </c>
      <c r="CB89" s="1097">
        <v>5</v>
      </c>
      <c r="CC89" s="1097" t="s">
        <v>85</v>
      </c>
      <c r="CD89" s="1097" t="s">
        <v>86</v>
      </c>
      <c r="CE89" s="1097">
        <v>6</v>
      </c>
      <c r="CF89" s="1097">
        <v>7</v>
      </c>
      <c r="CG89" s="1097">
        <v>8</v>
      </c>
      <c r="CH89" s="1097">
        <v>9</v>
      </c>
      <c r="CI89" s="1097">
        <v>10</v>
      </c>
      <c r="CJ89" s="1097">
        <v>11</v>
      </c>
      <c r="CK89" s="1097">
        <v>12</v>
      </c>
      <c r="CL89" s="1097" t="s">
        <v>87</v>
      </c>
      <c r="CM89" s="1097" t="s">
        <v>15</v>
      </c>
      <c r="CN89" s="1097" t="s">
        <v>88</v>
      </c>
      <c r="CO89" s="1097" t="s">
        <v>89</v>
      </c>
      <c r="CP89" s="1097" t="s">
        <v>90</v>
      </c>
      <c r="CQ89" s="1097" t="s">
        <v>91</v>
      </c>
      <c r="CR89" s="1097" t="s">
        <v>92</v>
      </c>
      <c r="CS89" s="1097" t="s">
        <v>93</v>
      </c>
      <c r="EC89" s="1093"/>
      <c r="ED89" s="1093"/>
    </row>
    <row r="90" spans="2:134" ht="21.6" hidden="1" thickTop="1" x14ac:dyDescent="0.4">
      <c r="B90" s="491"/>
      <c r="C90" s="491"/>
      <c r="G90" s="490"/>
      <c r="H90" s="465"/>
      <c r="I90" s="465"/>
      <c r="J90" s="465"/>
      <c r="K90" s="465"/>
      <c r="L90" s="465"/>
      <c r="M90" s="465"/>
      <c r="N90" s="465"/>
      <c r="O90" s="465"/>
      <c r="P90" s="465"/>
      <c r="Q90" s="465"/>
      <c r="R90" s="465"/>
      <c r="S90" s="465"/>
      <c r="T90" s="465"/>
      <c r="U90" s="493"/>
      <c r="V90" s="465"/>
      <c r="W90" s="465"/>
      <c r="X90" s="465"/>
      <c r="Y90" s="465"/>
      <c r="Z90" s="465"/>
      <c r="AA90" s="465"/>
      <c r="AB90" s="493"/>
      <c r="AC90" s="493"/>
      <c r="AD90" s="493"/>
      <c r="AE90" s="493"/>
      <c r="AF90" s="465"/>
      <c r="AG90" s="465"/>
      <c r="AH90" s="465"/>
      <c r="AI90" s="465"/>
      <c r="AJ90" s="465"/>
      <c r="AK90" s="465"/>
      <c r="AL90" s="465"/>
      <c r="AM90" s="465"/>
      <c r="AN90" s="465"/>
      <c r="AO90" s="465"/>
      <c r="AP90" s="465"/>
      <c r="AQ90" s="465"/>
      <c r="AR90" s="465"/>
      <c r="AS90" s="465"/>
      <c r="AT90" s="465"/>
      <c r="AU90" s="465"/>
      <c r="AV90" s="465"/>
      <c r="AW90" s="465"/>
      <c r="AX90" s="465"/>
      <c r="AY90" s="465"/>
      <c r="AZ90" s="465"/>
      <c r="BA90" s="465"/>
      <c r="BB90" s="473"/>
      <c r="BE90" s="1099"/>
      <c r="BF90" s="1099"/>
      <c r="BH90" s="1053"/>
      <c r="BI90" s="1053"/>
      <c r="BJ90" s="1053"/>
      <c r="BK90" s="1053"/>
      <c r="BL90" s="1053"/>
      <c r="BM90" s="489"/>
      <c r="BN90" s="524"/>
      <c r="BO90" s="1096"/>
      <c r="BP90" s="1096"/>
      <c r="BQ90" s="1096"/>
      <c r="BR90" s="1096"/>
      <c r="BS90" s="1096"/>
      <c r="BT90" s="1096"/>
      <c r="BU90" s="1095"/>
      <c r="BV90" s="1095"/>
      <c r="BW90" s="1095"/>
      <c r="BX90" s="1095"/>
      <c r="BY90" s="1095"/>
      <c r="BZ90" s="1095"/>
      <c r="CA90" s="1095"/>
      <c r="CB90" s="1095"/>
      <c r="CC90" s="1095"/>
      <c r="CD90" s="1095"/>
      <c r="CE90" s="1095"/>
      <c r="CF90" s="1095"/>
      <c r="CG90" s="1095"/>
      <c r="CH90" s="1095"/>
      <c r="CI90" s="1094"/>
      <c r="CJ90" s="1093"/>
      <c r="CK90" s="1093"/>
      <c r="CL90" s="1093"/>
      <c r="CM90" s="1093"/>
      <c r="CN90" s="1093"/>
      <c r="CO90" s="1093"/>
      <c r="CP90" s="1093"/>
      <c r="CQ90" s="1093"/>
      <c r="CR90" s="1093"/>
      <c r="CS90" s="1093"/>
      <c r="CT90" s="1093"/>
      <c r="CU90" s="1093"/>
      <c r="EC90" s="1093"/>
      <c r="ED90" s="1093"/>
    </row>
    <row r="91" spans="2:134" ht="21" hidden="1" thickTop="1" x14ac:dyDescent="0.35">
      <c r="C91" s="493"/>
      <c r="G91" s="490"/>
      <c r="H91" s="465"/>
      <c r="I91" s="465"/>
      <c r="J91" s="465"/>
      <c r="K91" s="465"/>
      <c r="L91" s="465"/>
      <c r="M91" s="465"/>
      <c r="N91" s="465"/>
      <c r="O91" s="465"/>
      <c r="P91" s="465"/>
      <c r="Q91" s="465"/>
      <c r="R91" s="465"/>
      <c r="S91" s="465"/>
      <c r="T91" s="465"/>
      <c r="U91" s="493"/>
      <c r="V91" s="465"/>
      <c r="W91" s="465"/>
      <c r="X91" s="465"/>
      <c r="Y91" s="465"/>
      <c r="Z91" s="465"/>
      <c r="AA91" s="465"/>
      <c r="AB91" s="493"/>
      <c r="AC91" s="493"/>
      <c r="AD91" s="493"/>
      <c r="AE91" s="493"/>
      <c r="AF91" s="465"/>
      <c r="AG91" s="465"/>
      <c r="AH91" s="465"/>
      <c r="AI91" s="465"/>
      <c r="AJ91" s="465"/>
      <c r="AK91" s="465"/>
      <c r="AL91" s="465"/>
      <c r="AM91" s="465"/>
      <c r="AN91" s="465"/>
      <c r="AO91" s="465"/>
      <c r="AP91" s="465"/>
      <c r="AQ91" s="465"/>
      <c r="AR91" s="465"/>
      <c r="AS91" s="465"/>
      <c r="AT91" s="465"/>
      <c r="AU91" s="465"/>
      <c r="AV91" s="465"/>
      <c r="AW91" s="465"/>
      <c r="AX91" s="465"/>
      <c r="AY91" s="465"/>
      <c r="AZ91" s="465"/>
      <c r="BA91" s="465"/>
      <c r="BB91" s="473"/>
      <c r="BE91" s="1099"/>
      <c r="BF91" s="1099"/>
      <c r="BH91" s="1053"/>
      <c r="BI91" s="1053"/>
      <c r="BJ91" s="1053"/>
      <c r="BK91" s="1053"/>
      <c r="BL91" s="1053"/>
      <c r="BM91" s="489"/>
      <c r="BN91" s="524"/>
      <c r="BO91" s="478"/>
      <c r="BP91" s="478"/>
      <c r="BQ91" s="478"/>
      <c r="BR91" s="478"/>
      <c r="BS91" s="478"/>
      <c r="BT91" s="478"/>
      <c r="BU91" s="519"/>
      <c r="BV91" s="519"/>
      <c r="BW91" s="519"/>
      <c r="BX91" s="519"/>
      <c r="BY91" s="519"/>
      <c r="BZ91" s="519"/>
      <c r="CA91" s="519"/>
      <c r="CB91" s="519"/>
      <c r="CC91" s="519"/>
      <c r="CD91" s="519"/>
      <c r="CE91" s="519"/>
      <c r="CF91" s="519"/>
      <c r="CG91" s="519"/>
      <c r="CH91" s="519"/>
      <c r="CI91" s="506"/>
      <c r="EC91" s="1093"/>
      <c r="ED91" s="1093"/>
    </row>
    <row r="92" spans="2:134" ht="21" hidden="1" thickTop="1" x14ac:dyDescent="0.35">
      <c r="B92" s="1261"/>
      <c r="C92" s="1261"/>
      <c r="D92" s="522"/>
      <c r="E92" s="522"/>
      <c r="F92" s="522"/>
      <c r="G92" s="522"/>
      <c r="BF92" s="489"/>
      <c r="BG92" s="489"/>
      <c r="BH92" s="489"/>
      <c r="BI92" s="489"/>
      <c r="BJ92" s="489"/>
      <c r="BK92" s="489"/>
      <c r="BL92" s="489"/>
      <c r="BM92" s="489"/>
      <c r="BN92" s="1091" t="s">
        <v>95</v>
      </c>
      <c r="BO92" s="466"/>
      <c r="BR92" s="478"/>
      <c r="BS92" s="478"/>
      <c r="BT92" s="478"/>
      <c r="BU92" s="519"/>
      <c r="BV92" s="519"/>
      <c r="BW92" s="519"/>
      <c r="BX92" s="519"/>
      <c r="BY92" s="519"/>
      <c r="BZ92" s="519"/>
      <c r="CA92" s="519"/>
      <c r="CB92" s="519"/>
      <c r="CC92" s="519"/>
      <c r="CD92" s="519"/>
      <c r="CE92" s="519"/>
      <c r="CF92" s="519"/>
      <c r="CG92" s="519"/>
      <c r="CH92" s="519"/>
      <c r="CI92" s="506"/>
      <c r="CQ92" s="466"/>
      <c r="CU92" s="1091" t="s">
        <v>94</v>
      </c>
      <c r="CV92" s="489"/>
      <c r="CW92" s="489"/>
      <c r="EC92" s="1093"/>
      <c r="ED92" s="1093"/>
    </row>
    <row r="93" spans="2:134" ht="21" hidden="1" thickTop="1" x14ac:dyDescent="0.35">
      <c r="BF93" s="524"/>
      <c r="BG93" s="524"/>
      <c r="BH93" s="524"/>
      <c r="BI93" s="524"/>
      <c r="BJ93" s="524"/>
      <c r="BK93" s="524"/>
      <c r="BL93" s="524"/>
      <c r="BM93" s="524"/>
      <c r="BN93" s="1091">
        <f>-+BK100</f>
        <v>569.69421976558579</v>
      </c>
      <c r="BO93" s="466"/>
      <c r="BR93" s="478"/>
      <c r="BS93" s="478"/>
      <c r="BT93" s="478"/>
      <c r="BU93" s="519"/>
      <c r="BV93" s="519"/>
      <c r="BW93" s="519"/>
      <c r="BX93" s="519"/>
      <c r="BY93" s="519"/>
      <c r="BZ93" s="519"/>
      <c r="CA93" s="519"/>
      <c r="CB93" s="519"/>
      <c r="CC93" s="519"/>
      <c r="CD93" s="519"/>
      <c r="CE93" s="519"/>
      <c r="CF93" s="519"/>
      <c r="CG93" s="519"/>
      <c r="CH93" s="519"/>
      <c r="CI93" s="506"/>
      <c r="CO93" s="639"/>
      <c r="CQ93" s="466"/>
      <c r="CU93" s="1091">
        <f>+-BK129</f>
        <v>-880.30578023441421</v>
      </c>
      <c r="CV93" s="489"/>
      <c r="CW93" s="489"/>
      <c r="EC93" s="1093"/>
      <c r="ED93" s="1093"/>
    </row>
    <row r="94" spans="2:134" ht="21" hidden="1" thickTop="1" x14ac:dyDescent="0.35">
      <c r="B94" s="473"/>
      <c r="BF94" s="524"/>
      <c r="BG94" s="524"/>
      <c r="BH94" s="524"/>
      <c r="BI94" s="524"/>
      <c r="BJ94" s="524"/>
      <c r="BK94" s="524"/>
      <c r="BL94" s="524"/>
      <c r="BM94" s="524"/>
      <c r="BO94" s="478"/>
      <c r="BP94" s="478"/>
      <c r="BQ94" s="478"/>
      <c r="BR94" s="478"/>
      <c r="BS94" s="478"/>
      <c r="BT94" s="478"/>
      <c r="BU94" s="519"/>
      <c r="BV94" s="519"/>
      <c r="BW94" s="519"/>
      <c r="BX94" s="519"/>
      <c r="BY94" s="519"/>
      <c r="BZ94" s="519"/>
      <c r="CA94" s="519"/>
      <c r="CB94" s="519"/>
      <c r="CC94" s="519"/>
      <c r="CD94" s="519"/>
      <c r="CE94" s="519"/>
      <c r="CF94" s="519"/>
      <c r="CG94" s="519"/>
      <c r="CH94" s="519"/>
      <c r="CI94" s="506"/>
      <c r="CQ94" s="489"/>
      <c r="CR94" s="489"/>
      <c r="CS94" s="489"/>
      <c r="CT94" s="489"/>
      <c r="CU94" s="489"/>
      <c r="CV94" s="489"/>
      <c r="CW94" s="489"/>
      <c r="EC94" s="1093"/>
      <c r="ED94" s="1093"/>
    </row>
    <row r="95" spans="2:134" ht="21" hidden="1" thickTop="1" x14ac:dyDescent="0.35">
      <c r="B95" s="1261"/>
      <c r="C95" s="1261"/>
      <c r="D95" s="522"/>
      <c r="E95" s="522"/>
      <c r="F95" s="522"/>
      <c r="G95" s="522"/>
      <c r="BF95" s="524"/>
      <c r="BG95" s="524"/>
      <c r="BH95" s="524"/>
      <c r="BI95" s="524"/>
      <c r="BJ95" s="524"/>
      <c r="BK95" s="524"/>
      <c r="BL95" s="524"/>
      <c r="BS95" s="478"/>
      <c r="BT95" s="478"/>
      <c r="BU95" s="519"/>
      <c r="BV95" s="519"/>
      <c r="BW95" s="519"/>
      <c r="BX95" s="519"/>
      <c r="BY95" s="519"/>
      <c r="BZ95" s="519"/>
      <c r="CA95" s="519"/>
      <c r="CB95" s="519"/>
      <c r="CC95" s="519"/>
      <c r="CD95" s="519"/>
      <c r="CE95" s="519"/>
      <c r="CF95" s="519"/>
      <c r="CG95" s="519"/>
      <c r="CH95" s="519"/>
      <c r="CI95" s="506"/>
      <c r="CQ95" s="489"/>
      <c r="CR95" s="489"/>
      <c r="CS95" s="489"/>
      <c r="CT95" s="489"/>
      <c r="CU95" s="489"/>
      <c r="CV95" s="489"/>
      <c r="CW95" s="489"/>
      <c r="EC95" s="1093"/>
      <c r="ED95" s="1093"/>
    </row>
    <row r="96" spans="2:134" ht="20.399999999999999" hidden="1" x14ac:dyDescent="0.35">
      <c r="B96" s="1261"/>
      <c r="C96" s="1261"/>
      <c r="D96" s="522"/>
      <c r="E96" s="522"/>
      <c r="F96" s="522"/>
      <c r="G96" s="522"/>
      <c r="BF96" s="524"/>
      <c r="BS96" s="478"/>
      <c r="BT96" s="478"/>
      <c r="BU96" s="519"/>
      <c r="BV96" s="519"/>
      <c r="BW96" s="519"/>
      <c r="BX96" s="519"/>
      <c r="BY96" s="519"/>
      <c r="BZ96" s="519"/>
      <c r="CA96" s="519"/>
      <c r="CB96" s="519"/>
      <c r="CC96" s="519"/>
      <c r="CD96" s="519"/>
      <c r="CE96" s="519"/>
      <c r="CF96" s="519"/>
      <c r="CG96" s="519"/>
      <c r="CH96" s="519"/>
      <c r="CI96" s="506"/>
      <c r="CQ96" s="489"/>
      <c r="CR96" s="489"/>
      <c r="CS96" s="489"/>
      <c r="CT96" s="489"/>
      <c r="CU96" s="489"/>
      <c r="CV96" s="489"/>
      <c r="CW96" s="489"/>
      <c r="EC96" s="1093"/>
      <c r="ED96" s="1093"/>
    </row>
    <row r="97" spans="2:134" ht="21.6" thickTop="1" thickBot="1" x14ac:dyDescent="0.4">
      <c r="B97" s="1261"/>
      <c r="C97" s="1261"/>
      <c r="D97" s="522"/>
      <c r="E97" s="522"/>
      <c r="F97" s="522"/>
      <c r="G97" s="522"/>
      <c r="BF97" s="524"/>
      <c r="BS97" s="478"/>
      <c r="BT97" s="478"/>
      <c r="BU97" s="519"/>
      <c r="BV97" s="519"/>
      <c r="BW97" s="519"/>
      <c r="BX97" s="519"/>
      <c r="BY97" s="519"/>
      <c r="BZ97" s="519"/>
      <c r="CA97" s="519"/>
      <c r="CB97" s="519"/>
      <c r="CC97" s="519"/>
      <c r="CD97" s="519"/>
      <c r="CE97" s="519"/>
      <c r="CF97" s="519"/>
      <c r="CG97" s="519"/>
      <c r="CH97" s="519"/>
      <c r="CI97" s="506"/>
      <c r="CQ97" s="489"/>
      <c r="CR97" s="489"/>
      <c r="CS97" s="489"/>
      <c r="CT97" s="489"/>
      <c r="CU97" s="489"/>
      <c r="CV97" s="489"/>
      <c r="CW97" s="489"/>
      <c r="EC97" s="1093"/>
      <c r="ED97" s="1093"/>
    </row>
    <row r="98" spans="2:134" ht="44.25" customHeight="1" thickBot="1" x14ac:dyDescent="0.4">
      <c r="B98" s="525"/>
      <c r="D98" s="1020" t="str">
        <f>IF(BN93&gt;0," ","change the angle of frame or of cabinets")</f>
        <v xml:space="preserve"> </v>
      </c>
      <c r="E98" s="526"/>
      <c r="F98" s="526"/>
      <c r="G98" s="526"/>
      <c r="H98" s="471"/>
      <c r="I98" s="471"/>
      <c r="J98" s="471"/>
      <c r="K98" s="471"/>
      <c r="L98" s="471"/>
      <c r="M98" s="471"/>
      <c r="N98" s="471"/>
      <c r="O98" s="471"/>
      <c r="P98" s="471"/>
      <c r="Q98" s="471"/>
      <c r="R98" s="471"/>
      <c r="S98" s="471"/>
      <c r="T98" s="471"/>
      <c r="V98" s="471"/>
      <c r="W98" s="471"/>
      <c r="X98" s="471"/>
      <c r="Y98" s="471"/>
      <c r="Z98" s="471"/>
      <c r="AA98" s="471"/>
      <c r="AF98" s="471"/>
      <c r="AG98" s="471"/>
      <c r="AH98" s="471"/>
      <c r="AI98" s="471"/>
      <c r="AJ98" s="471"/>
      <c r="AK98" s="471"/>
      <c r="AL98" s="471"/>
      <c r="AM98" s="471"/>
      <c r="AN98" s="471"/>
      <c r="AO98" s="471"/>
      <c r="AP98" s="471"/>
      <c r="AQ98" s="471"/>
      <c r="AR98" s="471"/>
      <c r="AS98" s="471"/>
      <c r="AT98" s="471"/>
      <c r="AU98" s="471"/>
      <c r="AV98" s="471"/>
      <c r="AW98" s="471"/>
      <c r="AX98" s="471"/>
      <c r="AY98" s="471"/>
      <c r="AZ98" s="471"/>
      <c r="BA98" s="471"/>
      <c r="BB98" s="506"/>
      <c r="BF98" s="524"/>
      <c r="CQ98" s="524"/>
      <c r="CR98" s="524"/>
      <c r="CS98" s="524"/>
      <c r="CT98" s="524"/>
      <c r="CU98" s="524"/>
      <c r="CV98" s="524"/>
      <c r="CW98" s="524"/>
      <c r="EC98" s="1093"/>
      <c r="ED98" s="1093"/>
    </row>
    <row r="99" spans="2:134" ht="44.25" customHeight="1" thickBot="1" x14ac:dyDescent="0.4">
      <c r="B99" s="2062" t="s">
        <v>70</v>
      </c>
      <c r="D99" s="1020" t="str">
        <f>IF(CU93&lt;0," ","change the angle of frame or of cabinets")</f>
        <v xml:space="preserve"> </v>
      </c>
      <c r="E99" s="526"/>
      <c r="F99" s="526"/>
      <c r="G99" s="526"/>
      <c r="H99" s="471"/>
      <c r="I99" s="471"/>
      <c r="J99" s="471"/>
      <c r="K99" s="471"/>
      <c r="L99" s="471"/>
      <c r="M99" s="471"/>
      <c r="N99" s="471"/>
      <c r="O99" s="471"/>
      <c r="P99" s="471"/>
      <c r="Q99" s="471"/>
      <c r="R99" s="471"/>
      <c r="S99" s="471"/>
      <c r="T99" s="471"/>
      <c r="V99" s="1260"/>
      <c r="W99" s="1260"/>
      <c r="X99" s="1260"/>
      <c r="Y99" s="1260"/>
      <c r="Z99" s="1260"/>
      <c r="AA99" s="1260"/>
      <c r="AF99" s="1227"/>
      <c r="AG99" s="1227"/>
      <c r="AH99" s="1227"/>
      <c r="AI99" s="1227"/>
      <c r="AJ99" s="1227"/>
      <c r="AK99" s="1227"/>
      <c r="AL99" s="1227"/>
      <c r="AM99" s="1227"/>
      <c r="AN99" s="1227"/>
      <c r="AO99" s="1227"/>
      <c r="AP99" s="1227"/>
      <c r="AQ99" s="1227"/>
      <c r="AR99" s="1227"/>
      <c r="AS99" s="1227"/>
      <c r="AT99" s="1227"/>
      <c r="AU99" s="1227"/>
      <c r="AV99" s="1227"/>
      <c r="AW99" s="1227"/>
      <c r="AX99" s="1227"/>
      <c r="AY99" s="1227"/>
      <c r="AZ99" s="1227"/>
      <c r="BA99" s="1227"/>
      <c r="BB99" s="530"/>
      <c r="BF99" s="524"/>
      <c r="BJ99" s="1079" t="s">
        <v>205</v>
      </c>
      <c r="CQ99" s="524"/>
      <c r="CR99" s="524"/>
      <c r="CS99" s="524"/>
      <c r="CT99" s="524"/>
      <c r="CU99" s="524"/>
      <c r="CV99" s="524"/>
      <c r="CW99" s="524"/>
      <c r="EC99" s="1093"/>
      <c r="ED99" s="1093"/>
    </row>
    <row r="100" spans="2:134" ht="44.25" customHeight="1" thickBot="1" x14ac:dyDescent="0.5">
      <c r="B100" s="2063"/>
      <c r="C100" s="1087"/>
      <c r="D100" s="1020" t="str">
        <f>IF(BN93&gt;(+COS(($B$101*-1)*3.14159265358979/180)*375)," ","USE EXBAR VR AT THE FRONT")</f>
        <v xml:space="preserve"> </v>
      </c>
      <c r="E100" s="526"/>
      <c r="F100" s="526"/>
      <c r="G100" s="526"/>
      <c r="H100" s="471"/>
      <c r="I100" s="471"/>
      <c r="J100" s="471"/>
      <c r="K100" s="471"/>
      <c r="L100" s="471"/>
      <c r="M100" s="471"/>
      <c r="N100" s="471"/>
      <c r="O100" s="471"/>
      <c r="P100" s="471"/>
      <c r="Q100" s="471"/>
      <c r="R100" s="471"/>
      <c r="S100" s="471"/>
      <c r="T100" s="471"/>
      <c r="AF100" s="471"/>
      <c r="AG100" s="471"/>
      <c r="AH100" s="471"/>
      <c r="AI100" s="471"/>
      <c r="AJ100" s="471"/>
      <c r="AK100" s="471"/>
      <c r="AL100" s="471"/>
      <c r="AM100" s="471"/>
      <c r="AN100" s="471"/>
      <c r="AO100" s="471"/>
      <c r="AP100" s="471"/>
      <c r="AQ100" s="471"/>
      <c r="AR100" s="471"/>
      <c r="AS100" s="471"/>
      <c r="AT100" s="471"/>
      <c r="AU100" s="471"/>
      <c r="AV100" s="471"/>
      <c r="AW100" s="471"/>
      <c r="AX100" s="471"/>
      <c r="AY100" s="471"/>
      <c r="AZ100" s="471"/>
      <c r="BA100" s="471"/>
      <c r="BB100" s="506"/>
      <c r="BF100" s="524"/>
      <c r="BH100" s="1037">
        <v>1</v>
      </c>
      <c r="BI100" s="1036">
        <v>-400</v>
      </c>
      <c r="BJ100" s="1035">
        <f>+COS(($B$101*-1)*3.14159265358979/180)*BI100</f>
        <v>-400</v>
      </c>
      <c r="BK100" s="1034">
        <f t="shared" ref="BK100:BK129" si="3">+BJ100-D$3</f>
        <v>-569.69421976558579</v>
      </c>
      <c r="BL100" s="1033">
        <f t="shared" ref="BL100:BL129" si="4">ABS(BK100)</f>
        <v>569.69421976558579</v>
      </c>
      <c r="BM100" s="1033">
        <f>MIN(BL100:BL129)</f>
        <v>19.694219765585842</v>
      </c>
      <c r="BN100" s="1033" t="b">
        <f t="shared" ref="BN100:BN129" si="5">IF(BM100=BL100,BH100)</f>
        <v>0</v>
      </c>
      <c r="CQ100" s="524"/>
      <c r="CR100" s="524"/>
      <c r="CS100" s="524"/>
      <c r="CT100" s="524"/>
      <c r="CU100" s="524"/>
      <c r="CV100" s="524"/>
      <c r="CW100" s="524"/>
      <c r="EC100" s="1093"/>
      <c r="ED100" s="1093"/>
    </row>
    <row r="101" spans="2:134" ht="44.25" customHeight="1" thickBot="1" x14ac:dyDescent="0.5">
      <c r="B101" s="1259">
        <v>0</v>
      </c>
      <c r="C101" s="1087"/>
      <c r="D101" s="1086" t="str">
        <f>IF(CU93&lt;-(+COS(($B$101*-1)*3.14159265358979/180)*375)," ","USE EXBAR VR AT THE BACK")</f>
        <v xml:space="preserve"> </v>
      </c>
      <c r="E101" s="526"/>
      <c r="F101" s="526"/>
      <c r="G101" s="526"/>
      <c r="AF101" s="471"/>
      <c r="AG101" s="471"/>
      <c r="AH101" s="471"/>
      <c r="AI101" s="471"/>
      <c r="AJ101" s="471"/>
      <c r="AK101" s="471"/>
      <c r="AL101" s="471"/>
      <c r="AM101" s="471"/>
      <c r="AN101" s="471"/>
      <c r="AO101" s="471"/>
      <c r="AP101" s="471"/>
      <c r="AQ101" s="471"/>
      <c r="AR101" s="471"/>
      <c r="AS101" s="471"/>
      <c r="AT101" s="471"/>
      <c r="AU101" s="471"/>
      <c r="AV101" s="471"/>
      <c r="AW101" s="471"/>
      <c r="AX101" s="471"/>
      <c r="AY101" s="471"/>
      <c r="AZ101" s="471"/>
      <c r="BA101" s="471"/>
      <c r="BB101" s="506"/>
      <c r="BF101" s="524"/>
      <c r="BH101" s="1037">
        <v>2</v>
      </c>
      <c r="BI101" s="1036">
        <f t="shared" ref="BI101:BI129" si="6">+BI100+50</f>
        <v>-350</v>
      </c>
      <c r="BJ101" s="1035">
        <f t="shared" ref="BJ101:BJ129" si="7">+BJ100+$E$2</f>
        <v>-350</v>
      </c>
      <c r="BK101" s="1034">
        <f t="shared" si="3"/>
        <v>-519.69421976558579</v>
      </c>
      <c r="BL101" s="1033">
        <f t="shared" si="4"/>
        <v>519.69421976558579</v>
      </c>
      <c r="BM101" s="1033">
        <f t="shared" ref="BM101:BM129" si="8">+BM100</f>
        <v>19.694219765585842</v>
      </c>
      <c r="BN101" s="1033" t="b">
        <f t="shared" si="5"/>
        <v>0</v>
      </c>
      <c r="CQ101" s="524"/>
      <c r="CR101" s="524"/>
      <c r="CS101" s="524"/>
      <c r="CT101" s="524"/>
      <c r="CU101" s="524"/>
      <c r="CV101" s="524"/>
      <c r="CW101" s="524"/>
      <c r="EC101" s="1093"/>
      <c r="ED101" s="1093"/>
    </row>
    <row r="102" spans="2:134" ht="22.2" thickBot="1" x14ac:dyDescent="0.5">
      <c r="AF102" s="471"/>
      <c r="AG102" s="471"/>
      <c r="AH102" s="471"/>
      <c r="AI102" s="471"/>
      <c r="AJ102" s="471"/>
      <c r="AK102" s="471"/>
      <c r="AL102" s="471"/>
      <c r="AM102" s="471"/>
      <c r="AN102" s="471"/>
      <c r="AO102" s="471"/>
      <c r="AP102" s="471"/>
      <c r="AQ102" s="471"/>
      <c r="AR102" s="471"/>
      <c r="AS102" s="471"/>
      <c r="AT102" s="471"/>
      <c r="AU102" s="471"/>
      <c r="AV102" s="471"/>
      <c r="AW102" s="471"/>
      <c r="AX102" s="471"/>
      <c r="AY102" s="471"/>
      <c r="AZ102" s="471"/>
      <c r="BA102" s="471"/>
      <c r="BB102" s="506"/>
      <c r="BF102" s="524"/>
      <c r="BH102" s="1037">
        <v>3</v>
      </c>
      <c r="BI102" s="1036">
        <f t="shared" si="6"/>
        <v>-300</v>
      </c>
      <c r="BJ102" s="1035">
        <f t="shared" si="7"/>
        <v>-300</v>
      </c>
      <c r="BK102" s="1034">
        <f t="shared" si="3"/>
        <v>-469.69421976558584</v>
      </c>
      <c r="BL102" s="1033">
        <f t="shared" si="4"/>
        <v>469.69421976558584</v>
      </c>
      <c r="BM102" s="1033">
        <f t="shared" si="8"/>
        <v>19.694219765585842</v>
      </c>
      <c r="BN102" s="1033" t="b">
        <f t="shared" si="5"/>
        <v>0</v>
      </c>
      <c r="CQ102" s="524"/>
      <c r="CR102" s="524"/>
      <c r="CS102" s="524"/>
      <c r="CT102" s="524"/>
      <c r="CU102" s="524"/>
      <c r="CV102" s="524"/>
      <c r="CW102" s="524"/>
      <c r="EC102" s="1093"/>
      <c r="ED102" s="1093"/>
    </row>
    <row r="103" spans="2:134" ht="64.5" customHeight="1" thickTop="1" thickBot="1" x14ac:dyDescent="0.5">
      <c r="B103" s="1258" t="s">
        <v>253</v>
      </c>
      <c r="C103" s="1257"/>
      <c r="D103" s="533"/>
      <c r="E103" s="533"/>
      <c r="F103" s="533"/>
      <c r="G103" s="533"/>
      <c r="H103" s="1085" t="s">
        <v>213</v>
      </c>
      <c r="I103" s="1085" t="s">
        <v>213</v>
      </c>
      <c r="T103" s="1232"/>
      <c r="U103" s="471"/>
      <c r="V103" s="471"/>
      <c r="W103" s="471"/>
      <c r="X103" s="471"/>
      <c r="Y103" s="471"/>
      <c r="Z103" s="471"/>
      <c r="AA103" s="471"/>
      <c r="AB103" s="471"/>
      <c r="AC103" s="471"/>
      <c r="AD103" s="471"/>
      <c r="AE103" s="471"/>
      <c r="AF103" s="471"/>
      <c r="AG103" s="471"/>
      <c r="AH103" s="471"/>
      <c r="AI103" s="471"/>
      <c r="AJ103" s="471"/>
      <c r="AK103" s="471"/>
      <c r="AL103" s="471"/>
      <c r="AM103" s="471"/>
      <c r="AN103" s="471"/>
      <c r="AO103" s="471"/>
      <c r="AP103" s="471"/>
      <c r="AQ103" s="471"/>
      <c r="AR103" s="471"/>
      <c r="AS103" s="471"/>
      <c r="AT103" s="471"/>
      <c r="AU103" s="471"/>
      <c r="AV103" s="471"/>
      <c r="AW103" s="471"/>
      <c r="AX103" s="471"/>
      <c r="AY103" s="471"/>
      <c r="AZ103" s="471"/>
      <c r="BA103" s="471"/>
      <c r="BB103" s="506"/>
      <c r="BC103" s="506"/>
      <c r="BH103" s="1037">
        <v>4</v>
      </c>
      <c r="BI103" s="1036">
        <f t="shared" si="6"/>
        <v>-250</v>
      </c>
      <c r="BJ103" s="1035">
        <f t="shared" si="7"/>
        <v>-250</v>
      </c>
      <c r="BK103" s="1034">
        <f t="shared" si="3"/>
        <v>-419.69421976558584</v>
      </c>
      <c r="BL103" s="1033">
        <f t="shared" si="4"/>
        <v>419.69421976558584</v>
      </c>
      <c r="BM103" s="1033">
        <f t="shared" si="8"/>
        <v>19.694219765585842</v>
      </c>
      <c r="BN103" s="1033" t="b">
        <f t="shared" si="5"/>
        <v>0</v>
      </c>
      <c r="CQ103" s="524"/>
      <c r="CR103" s="524"/>
      <c r="CS103" s="524"/>
      <c r="CT103" s="524"/>
      <c r="CU103" s="524"/>
      <c r="CV103" s="524"/>
      <c r="CW103" s="524"/>
      <c r="EC103" s="1093"/>
      <c r="ED103" s="1093"/>
    </row>
    <row r="104" spans="2:134" ht="32.25" customHeight="1" thickTop="1" thickBot="1" x14ac:dyDescent="0.5">
      <c r="B104" s="1256">
        <v>1</v>
      </c>
      <c r="C104" s="1877"/>
      <c r="D104" s="1255" t="s">
        <v>255</v>
      </c>
      <c r="E104" s="1876"/>
      <c r="F104" s="1876"/>
      <c r="G104" s="1876"/>
      <c r="H104" s="1878" t="s">
        <v>172</v>
      </c>
      <c r="I104" s="1878" t="s">
        <v>173</v>
      </c>
      <c r="J104" s="1878" t="s">
        <v>174</v>
      </c>
      <c r="K104" s="474"/>
      <c r="L104" s="474"/>
      <c r="M104" s="474"/>
      <c r="N104" s="474"/>
      <c r="O104" s="474"/>
      <c r="P104" s="1878" t="s">
        <v>175</v>
      </c>
      <c r="Q104" s="1878" t="s">
        <v>176</v>
      </c>
      <c r="R104" s="1876"/>
      <c r="S104" s="1878" t="s">
        <v>177</v>
      </c>
      <c r="T104" s="1254"/>
      <c r="W104" s="2098" t="s">
        <v>178</v>
      </c>
      <c r="X104" s="2098"/>
      <c r="Y104" s="2098"/>
      <c r="Z104" s="2098"/>
      <c r="AA104" s="2098"/>
      <c r="AF104" s="471"/>
      <c r="AG104" s="471"/>
      <c r="AH104" s="471"/>
      <c r="AI104" s="471"/>
      <c r="AJ104" s="471"/>
      <c r="AK104" s="471"/>
      <c r="AL104" s="471"/>
      <c r="AM104" s="471"/>
      <c r="AN104" s="471"/>
      <c r="AO104" s="471"/>
      <c r="AP104" s="471"/>
      <c r="AQ104" s="471"/>
      <c r="AR104" s="471"/>
      <c r="AS104" s="471"/>
      <c r="AT104" s="471"/>
      <c r="AU104" s="471"/>
      <c r="AV104" s="471"/>
      <c r="AW104" s="471"/>
      <c r="AX104" s="471"/>
      <c r="AY104" s="1222"/>
      <c r="AZ104" s="2096" t="s">
        <v>68</v>
      </c>
      <c r="BA104" s="2097"/>
      <c r="BB104" s="506"/>
      <c r="BC104" s="506"/>
      <c r="BF104" s="524"/>
      <c r="BH104" s="1037">
        <v>5</v>
      </c>
      <c r="BI104" s="1036">
        <f t="shared" si="6"/>
        <v>-200</v>
      </c>
      <c r="BJ104" s="1035">
        <f t="shared" si="7"/>
        <v>-200</v>
      </c>
      <c r="BK104" s="1034">
        <f t="shared" si="3"/>
        <v>-369.69421976558584</v>
      </c>
      <c r="BL104" s="1033">
        <f t="shared" si="4"/>
        <v>369.69421976558584</v>
      </c>
      <c r="BM104" s="1033">
        <f t="shared" si="8"/>
        <v>19.694219765585842</v>
      </c>
      <c r="BN104" s="1033" t="b">
        <f t="shared" si="5"/>
        <v>0</v>
      </c>
      <c r="CQ104" s="524"/>
      <c r="CR104" s="524"/>
      <c r="CS104" s="524"/>
      <c r="CT104" s="524"/>
      <c r="CU104" s="524"/>
      <c r="CV104" s="524"/>
      <c r="CW104" s="524"/>
      <c r="EC104" s="1093"/>
      <c r="ED104" s="1093"/>
    </row>
    <row r="105" spans="2:134" ht="22.8" hidden="1" thickTop="1" thickBot="1" x14ac:dyDescent="0.5">
      <c r="B105" s="536"/>
      <c r="C105" s="537"/>
      <c r="D105" s="1253" t="s">
        <v>13</v>
      </c>
      <c r="E105" s="516"/>
      <c r="F105" s="516"/>
      <c r="G105" s="516"/>
      <c r="H105" s="1022" t="s">
        <v>4</v>
      </c>
      <c r="I105" s="1022" t="s">
        <v>1</v>
      </c>
      <c r="J105" s="1252" t="s">
        <v>119</v>
      </c>
      <c r="K105" s="1025" t="s">
        <v>2</v>
      </c>
      <c r="L105" s="1025" t="s">
        <v>3</v>
      </c>
      <c r="M105" s="1025" t="s">
        <v>8</v>
      </c>
      <c r="N105" s="1025" t="s">
        <v>5</v>
      </c>
      <c r="O105" s="1025" t="s">
        <v>6</v>
      </c>
      <c r="P105" s="1025" t="s">
        <v>7</v>
      </c>
      <c r="Q105" s="1025" t="s">
        <v>9</v>
      </c>
      <c r="R105" s="1022" t="s">
        <v>10</v>
      </c>
      <c r="S105" s="1025" t="s">
        <v>11</v>
      </c>
      <c r="T105" s="1251" t="s">
        <v>12</v>
      </c>
      <c r="W105" s="1022" t="s">
        <v>216</v>
      </c>
      <c r="X105" s="1023" t="s">
        <v>179</v>
      </c>
      <c r="Y105" s="1022" t="s">
        <v>215</v>
      </c>
      <c r="Z105" s="1024" t="s">
        <v>180</v>
      </c>
      <c r="AA105" s="1024" t="s">
        <v>181</v>
      </c>
      <c r="AC105" s="1025" t="s">
        <v>184</v>
      </c>
      <c r="AD105" s="1025"/>
      <c r="AE105" s="1025"/>
      <c r="AF105" s="1213"/>
      <c r="AG105" s="1213"/>
      <c r="AH105" s="1213"/>
      <c r="AI105" s="1213"/>
      <c r="AJ105" s="1213"/>
      <c r="AK105" s="1213"/>
      <c r="AL105" s="1213"/>
      <c r="AM105" s="1213"/>
      <c r="AN105" s="1213"/>
      <c r="AO105" s="1213" t="s">
        <v>108</v>
      </c>
      <c r="AP105" s="1213"/>
      <c r="AQ105" s="1213" t="s">
        <v>108</v>
      </c>
      <c r="AR105" s="1213"/>
      <c r="AS105" s="1213"/>
      <c r="AT105" s="1213" t="s">
        <v>108</v>
      </c>
      <c r="AU105" s="1213"/>
      <c r="AV105" s="1213"/>
      <c r="AW105" s="1213"/>
      <c r="AX105" s="1222"/>
      <c r="AY105" s="1222"/>
      <c r="AZ105" s="1213"/>
      <c r="BA105" s="1213"/>
      <c r="BB105" s="541"/>
      <c r="BH105" s="1037">
        <v>6</v>
      </c>
      <c r="BI105" s="1036">
        <f t="shared" si="6"/>
        <v>-150</v>
      </c>
      <c r="BJ105" s="1035">
        <f t="shared" si="7"/>
        <v>-150</v>
      </c>
      <c r="BK105" s="1034">
        <f t="shared" si="3"/>
        <v>-319.69421976558584</v>
      </c>
      <c r="BL105" s="1033">
        <f t="shared" si="4"/>
        <v>319.69421976558584</v>
      </c>
      <c r="BM105" s="1033">
        <f t="shared" si="8"/>
        <v>19.694219765585842</v>
      </c>
      <c r="BN105" s="1033" t="b">
        <f t="shared" si="5"/>
        <v>0</v>
      </c>
      <c r="CQ105" s="524"/>
      <c r="CR105" s="524"/>
      <c r="CS105" s="524"/>
      <c r="CT105" s="524"/>
      <c r="CU105" s="524"/>
      <c r="CV105" s="524"/>
      <c r="CW105" s="524"/>
      <c r="EC105" s="1093"/>
      <c r="ED105" s="1093"/>
    </row>
    <row r="106" spans="2:134" ht="37.5" customHeight="1" thickTop="1" thickBot="1" x14ac:dyDescent="0.5">
      <c r="B106" s="1221"/>
      <c r="C106" s="1220"/>
      <c r="D106" s="546" t="s">
        <v>24</v>
      </c>
      <c r="E106" s="1881"/>
      <c r="F106" s="1876"/>
      <c r="G106" s="1067"/>
      <c r="H106" s="1022"/>
      <c r="I106" s="1022"/>
      <c r="J106" s="1252"/>
      <c r="K106" s="1025"/>
      <c r="L106" s="1025"/>
      <c r="M106" s="1025"/>
      <c r="N106" s="1025"/>
      <c r="O106" s="1025"/>
      <c r="P106" s="1025"/>
      <c r="Q106" s="1025"/>
      <c r="R106" s="1022"/>
      <c r="S106" s="1025"/>
      <c r="T106" s="1251"/>
      <c r="U106" s="1214"/>
      <c r="V106" s="1213"/>
      <c r="W106" s="1213"/>
      <c r="X106" s="1213"/>
      <c r="Y106" s="1213"/>
      <c r="Z106" s="1213"/>
      <c r="AA106" s="1213"/>
      <c r="AB106" s="1213"/>
      <c r="AC106" s="1250">
        <f>SUM(AC107:AC118)</f>
        <v>334.49993130661176</v>
      </c>
      <c r="AD106" s="1027"/>
      <c r="AE106" s="1027"/>
      <c r="AF106" s="1213" t="s">
        <v>51</v>
      </c>
      <c r="AG106" s="1212" t="s">
        <v>44</v>
      </c>
      <c r="AH106" s="1212"/>
      <c r="AI106" s="1062" t="s">
        <v>211</v>
      </c>
      <c r="AJ106" s="1211" t="s">
        <v>45</v>
      </c>
      <c r="AK106" s="1060" t="s">
        <v>46</v>
      </c>
      <c r="AL106" s="1059" t="s">
        <v>210</v>
      </c>
      <c r="AM106" s="1209" t="s">
        <v>47</v>
      </c>
      <c r="AN106" s="1060" t="s">
        <v>48</v>
      </c>
      <c r="AO106" s="1249" t="s">
        <v>61</v>
      </c>
      <c r="AP106" s="1060" t="s">
        <v>60</v>
      </c>
      <c r="AQ106" s="1249" t="s">
        <v>62</v>
      </c>
      <c r="AR106" s="1207" t="s">
        <v>59</v>
      </c>
      <c r="AS106" s="1207" t="s">
        <v>52</v>
      </c>
      <c r="AT106" s="1249" t="s">
        <v>64</v>
      </c>
      <c r="AU106" s="1207" t="s">
        <v>63</v>
      </c>
      <c r="AV106" s="1206" t="s">
        <v>54</v>
      </c>
      <c r="AW106" s="1206" t="s">
        <v>55</v>
      </c>
      <c r="AX106" s="1205" t="s">
        <v>25</v>
      </c>
      <c r="AY106" s="1205" t="s">
        <v>26</v>
      </c>
      <c r="AZ106" s="1204" t="s">
        <v>25</v>
      </c>
      <c r="BA106" s="1204" t="s">
        <v>26</v>
      </c>
      <c r="BB106" s="506"/>
      <c r="BC106" s="558"/>
      <c r="BH106" s="1037">
        <v>7</v>
      </c>
      <c r="BI106" s="1036">
        <f t="shared" si="6"/>
        <v>-100</v>
      </c>
      <c r="BJ106" s="1035">
        <f t="shared" si="7"/>
        <v>-100</v>
      </c>
      <c r="BK106" s="1034">
        <f t="shared" si="3"/>
        <v>-269.69421976558584</v>
      </c>
      <c r="BL106" s="1033">
        <f t="shared" si="4"/>
        <v>269.69421976558584</v>
      </c>
      <c r="BM106" s="1033">
        <f t="shared" si="8"/>
        <v>19.694219765585842</v>
      </c>
      <c r="BN106" s="1033" t="b">
        <f t="shared" si="5"/>
        <v>0</v>
      </c>
      <c r="CQ106" s="524"/>
      <c r="CR106" s="524"/>
      <c r="CS106" s="524"/>
      <c r="CT106" s="524"/>
      <c r="CU106" s="524"/>
      <c r="CV106" s="524"/>
      <c r="CW106" s="524"/>
      <c r="EC106" s="1093"/>
      <c r="ED106" s="1093"/>
    </row>
    <row r="107" spans="2:134" ht="22.2" thickBot="1" x14ac:dyDescent="0.5">
      <c r="B107" s="1203">
        <v>1</v>
      </c>
      <c r="C107" s="1202">
        <f>+(B101*-1)+D107</f>
        <v>0</v>
      </c>
      <c r="D107" s="463">
        <v>0</v>
      </c>
      <c r="E107" s="1248" t="s">
        <v>126</v>
      </c>
      <c r="F107" s="635"/>
      <c r="G107" s="635"/>
      <c r="H107" s="1442">
        <v>414.62658399999998</v>
      </c>
      <c r="I107" s="1442">
        <v>36.220413100000002</v>
      </c>
      <c r="J107" s="1442">
        <f>+I107-C107</f>
        <v>36.220413100000002</v>
      </c>
      <c r="K107" s="1247"/>
      <c r="L107" s="1247"/>
      <c r="M107" s="1247"/>
      <c r="N107" s="1247"/>
      <c r="O107" s="1247"/>
      <c r="P107" s="1442">
        <f>COS(J107*3.14159265358979/180)</f>
        <v>0.80674984242354264</v>
      </c>
      <c r="Q107" s="1442">
        <f>+P107*H107</f>
        <v>334.49993130661176</v>
      </c>
      <c r="R107" s="1442">
        <v>343.5</v>
      </c>
      <c r="S107" s="1442">
        <f>+Q107</f>
        <v>334.49993130661176</v>
      </c>
      <c r="T107" s="635">
        <f t="shared" ref="T107:T118" si="9">+S107</f>
        <v>334.49993130661176</v>
      </c>
      <c r="U107" s="635"/>
      <c r="V107" s="635">
        <f t="shared" ref="V107:V118" si="10">IF(B107&lt;($B$104+1),T107,0)</f>
        <v>334.49993130661176</v>
      </c>
      <c r="W107" s="1246">
        <v>36.220415500000001</v>
      </c>
      <c r="X107" s="635">
        <f>+W107+AH119</f>
        <v>36.220415500000001</v>
      </c>
      <c r="Y107" s="1246">
        <v>414.6266</v>
      </c>
      <c r="Z107" s="1245">
        <f>+COS(X107*3.14159265358979/180)*Y107</f>
        <v>334.49993395207258</v>
      </c>
      <c r="AA107" s="1244">
        <f>+AC106-Z107</f>
        <v>-2.6454608246240241E-6</v>
      </c>
      <c r="AB107" s="635"/>
      <c r="AC107" s="1240">
        <f>IF(AD107=1,AF107)</f>
        <v>334.49993130661176</v>
      </c>
      <c r="AD107" s="1240">
        <f t="shared" ref="AD107:AD118" si="11">MAX(AE$107:AE$118)</f>
        <v>1</v>
      </c>
      <c r="AE107" s="1240">
        <f>IF(V107=0,0,1)</f>
        <v>1</v>
      </c>
      <c r="AF107" s="1193">
        <f>SUM(V107:V118)/($B$104)</f>
        <v>334.49993130661176</v>
      </c>
      <c r="AG107" s="1243">
        <f>+D107+C107</f>
        <v>0</v>
      </c>
      <c r="AH107" s="1239">
        <f t="shared" ref="AH107:AH118" si="12">IF(B107&lt;($B$104+1),AG107)</f>
        <v>0</v>
      </c>
      <c r="AI107" s="1238">
        <f>53.779595+AH107</f>
        <v>53.779595</v>
      </c>
      <c r="AJ107" s="1191">
        <f t="shared" ref="AJ107:AJ118" si="13">SIN(AI107*3.14159265358979/180)</f>
        <v>0.8067499259590819</v>
      </c>
      <c r="AK107" s="1238">
        <f>+AJ107*414.6266</f>
        <v>334.49997885066585</v>
      </c>
      <c r="AL107" s="1238">
        <f>59.2910885-AH107</f>
        <v>59.291088500000001</v>
      </c>
      <c r="AM107" s="1190">
        <f t="shared" ref="AM107:AM118" si="14">SIN(AL107*3.14159265358979/180)</f>
        <v>0.85977285389573432</v>
      </c>
      <c r="AN107" s="1238">
        <f>+AM107*479.7721</f>
        <v>412.49502763654965</v>
      </c>
      <c r="AO107" s="1237">
        <f t="shared" ref="AO107:AO118" si="15">+((AF107*AP107)+($AP$128*($AF$128+$AA$107)))/AQ107</f>
        <v>218.19407832640624</v>
      </c>
      <c r="AP107" s="1238">
        <f>72*B104</f>
        <v>72</v>
      </c>
      <c r="AQ107" s="1237">
        <f t="shared" ref="AQ107:AQ118" si="16">+AP107+$AP$128+30</f>
        <v>127.5</v>
      </c>
      <c r="AR107" s="1188">
        <f t="shared" ref="AR107:AR118" si="17">+AN107+AK107</f>
        <v>746.99500648721551</v>
      </c>
      <c r="AS107" s="1187">
        <f t="shared" ref="AS107:AS118" si="18">+V107-AN107</f>
        <v>-77.995096329937894</v>
      </c>
      <c r="AT107" s="1236">
        <f t="shared" ref="AT107:AT118" si="19">+AO107-AS107</f>
        <v>296.18917465634411</v>
      </c>
      <c r="AU107" s="1187">
        <f t="shared" ref="AU107:AU118" si="20">+AF107-AS107</f>
        <v>412.49502763654965</v>
      </c>
      <c r="AV107" s="1186">
        <f t="shared" ref="AV107:AV118" si="21">+((AR107-AT107)/AR107)*AQ107</f>
        <v>76.945284853681031</v>
      </c>
      <c r="AW107" s="1186">
        <f t="shared" ref="AW107:AW118" si="22">+(AT107/AR107)*AQ107</f>
        <v>50.554715146318969</v>
      </c>
      <c r="AX107" s="1185">
        <f t="shared" ref="AX107:AX118" si="23">2*$C$19/AV107</f>
        <v>150.7564761383174</v>
      </c>
      <c r="AY107" s="1185">
        <f t="shared" ref="AY107:AY118" si="24">2*$D$19/AW107</f>
        <v>229.45436378044013</v>
      </c>
      <c r="AZ107" s="1242">
        <f t="shared" ref="AZ107:BA118" si="25">ABS(AX107)</f>
        <v>150.7564761383174</v>
      </c>
      <c r="BA107" s="1242">
        <f t="shared" si="25"/>
        <v>229.45436378044013</v>
      </c>
      <c r="BB107" s="586"/>
      <c r="BC107" s="558"/>
      <c r="BH107" s="1037">
        <v>8</v>
      </c>
      <c r="BI107" s="1036">
        <f t="shared" si="6"/>
        <v>-50</v>
      </c>
      <c r="BJ107" s="1035">
        <f t="shared" si="7"/>
        <v>-50</v>
      </c>
      <c r="BK107" s="1034">
        <f t="shared" si="3"/>
        <v>-219.69421976558584</v>
      </c>
      <c r="BL107" s="1033">
        <f t="shared" si="4"/>
        <v>219.69421976558584</v>
      </c>
      <c r="BM107" s="1033">
        <f t="shared" si="8"/>
        <v>19.694219765585842</v>
      </c>
      <c r="BN107" s="1033" t="b">
        <f t="shared" si="5"/>
        <v>0</v>
      </c>
      <c r="CR107" s="524"/>
      <c r="CS107" s="524"/>
      <c r="CT107" s="524"/>
      <c r="CU107" s="524"/>
      <c r="CV107" s="524"/>
      <c r="CW107" s="524"/>
      <c r="EC107" s="1093"/>
      <c r="ED107" s="1093"/>
    </row>
    <row r="108" spans="2:134" ht="21" customHeight="1" thickBot="1" x14ac:dyDescent="0.5">
      <c r="B108" s="631">
        <v>2</v>
      </c>
      <c r="C108" s="612"/>
      <c r="D108" s="463">
        <v>0</v>
      </c>
      <c r="E108" s="632" t="s">
        <v>126</v>
      </c>
      <c r="F108" s="584"/>
      <c r="G108" s="584"/>
      <c r="H108" s="1241">
        <v>479.77208100000001</v>
      </c>
      <c r="I108" s="1241">
        <v>61.416098300000002</v>
      </c>
      <c r="J108" s="584">
        <f t="shared" ref="J108:J118" si="26">+I108+D108</f>
        <v>61.416098300000002</v>
      </c>
      <c r="K108" s="584">
        <f t="shared" ref="K108:K118" si="27">+J108/2</f>
        <v>30.708049150000001</v>
      </c>
      <c r="L108" s="584">
        <f t="shared" ref="L108:L118" si="28">SIN(K108*3.14159265358979/180)</f>
        <v>0.51066370850547771</v>
      </c>
      <c r="M108" s="584">
        <f t="shared" ref="M108:M118" si="29">+L108*H108</f>
        <v>245.00219012085046</v>
      </c>
      <c r="N108" s="584">
        <f t="shared" ref="N108:N118" si="30">+M108*2</f>
        <v>490.00438024170091</v>
      </c>
      <c r="O108" s="584">
        <f>+C107+(D108/2)</f>
        <v>0</v>
      </c>
      <c r="P108" s="584">
        <f t="shared" ref="P108:P118" si="31">SIN(O108*3.14159265358979/180)</f>
        <v>0</v>
      </c>
      <c r="Q108" s="584">
        <f t="shared" ref="Q108:Q118" si="32">+P108*N108</f>
        <v>0</v>
      </c>
      <c r="R108" s="584">
        <f t="shared" ref="R108:R118" si="33">+T107</f>
        <v>334.49993130661176</v>
      </c>
      <c r="S108" s="584">
        <f>+R108+Q108</f>
        <v>334.49993130661176</v>
      </c>
      <c r="T108" s="584">
        <f t="shared" si="9"/>
        <v>334.49993130661176</v>
      </c>
      <c r="U108" s="584"/>
      <c r="V108" s="584">
        <f t="shared" si="10"/>
        <v>0</v>
      </c>
      <c r="W108" s="584"/>
      <c r="X108" s="584"/>
      <c r="Y108" s="584"/>
      <c r="Z108" s="584"/>
      <c r="AA108" s="584"/>
      <c r="AB108" s="584"/>
      <c r="AC108" s="1240" t="b">
        <f>IF(AD108=2,AF108)</f>
        <v>0</v>
      </c>
      <c r="AD108" s="1240">
        <f t="shared" si="11"/>
        <v>1</v>
      </c>
      <c r="AE108" s="1240">
        <f>IF(V108=0,0,2)</f>
        <v>0</v>
      </c>
      <c r="AF108" s="1193" t="e">
        <f>SUM(V108:V118)/($B$104-B107)</f>
        <v>#DIV/0!</v>
      </c>
      <c r="AG108" s="1192">
        <f>SUM(D108)+$C$107</f>
        <v>0</v>
      </c>
      <c r="AH108" s="1239" t="b">
        <f t="shared" si="12"/>
        <v>0</v>
      </c>
      <c r="AI108" s="1238">
        <f t="shared" ref="AI108:AI118" si="34">53.779595+AH108</f>
        <v>53.779595</v>
      </c>
      <c r="AJ108" s="1191">
        <f t="shared" si="13"/>
        <v>0.8067499259590819</v>
      </c>
      <c r="AK108" s="1238">
        <f t="shared" ref="AK108:AK118" si="35">+AJ108*414.6266</f>
        <v>334.49997885066585</v>
      </c>
      <c r="AL108" s="1238">
        <f t="shared" ref="AL108:AL118" si="36">59.2910885-AH108</f>
        <v>59.291088500000001</v>
      </c>
      <c r="AM108" s="1190">
        <f t="shared" si="14"/>
        <v>0.85977285389573432</v>
      </c>
      <c r="AN108" s="1238">
        <f t="shared" ref="AN108:AN118" si="37">+AM108*479.7721</f>
        <v>412.49502763654965</v>
      </c>
      <c r="AO108" s="1237" t="e">
        <f t="shared" si="15"/>
        <v>#DIV/0!</v>
      </c>
      <c r="AP108" s="1238">
        <f t="shared" ref="AP108:AP118" si="38">72*($B$104-B107)</f>
        <v>0</v>
      </c>
      <c r="AQ108" s="1237">
        <f t="shared" si="16"/>
        <v>55.5</v>
      </c>
      <c r="AR108" s="1188">
        <f t="shared" si="17"/>
        <v>746.99500648721551</v>
      </c>
      <c r="AS108" s="1187">
        <f t="shared" si="18"/>
        <v>-412.49502763654965</v>
      </c>
      <c r="AT108" s="1236" t="e">
        <f t="shared" si="19"/>
        <v>#DIV/0!</v>
      </c>
      <c r="AU108" s="1187" t="e">
        <f t="shared" si="20"/>
        <v>#DIV/0!</v>
      </c>
      <c r="AV108" s="1186" t="e">
        <f t="shared" si="21"/>
        <v>#DIV/0!</v>
      </c>
      <c r="AW108" s="1186" t="e">
        <f t="shared" si="22"/>
        <v>#DIV/0!</v>
      </c>
      <c r="AX108" s="1185" t="e">
        <f t="shared" si="23"/>
        <v>#DIV/0!</v>
      </c>
      <c r="AY108" s="1185" t="e">
        <f t="shared" si="24"/>
        <v>#DIV/0!</v>
      </c>
      <c r="AZ108" s="1184" t="e">
        <f t="shared" si="25"/>
        <v>#DIV/0!</v>
      </c>
      <c r="BA108" s="1184" t="e">
        <f t="shared" si="25"/>
        <v>#DIV/0!</v>
      </c>
      <c r="BC108" s="558"/>
      <c r="BH108" s="1037">
        <v>9</v>
      </c>
      <c r="BI108" s="1036">
        <f t="shared" si="6"/>
        <v>0</v>
      </c>
      <c r="BJ108" s="1035">
        <f t="shared" si="7"/>
        <v>0</v>
      </c>
      <c r="BK108" s="1034">
        <f t="shared" si="3"/>
        <v>-169.69421976558584</v>
      </c>
      <c r="BL108" s="1033">
        <f t="shared" si="4"/>
        <v>169.69421976558584</v>
      </c>
      <c r="BM108" s="1033">
        <f t="shared" si="8"/>
        <v>19.694219765585842</v>
      </c>
      <c r="BN108" s="1033" t="b">
        <f t="shared" si="5"/>
        <v>0</v>
      </c>
      <c r="CQ108" s="524"/>
      <c r="CR108" s="524"/>
      <c r="CS108" s="524"/>
      <c r="CT108" s="524"/>
      <c r="CU108" s="524"/>
      <c r="CV108" s="524"/>
      <c r="CW108" s="524"/>
      <c r="EC108" s="1093"/>
      <c r="ED108" s="1093"/>
    </row>
    <row r="109" spans="2:134" ht="21" customHeight="1" thickBot="1" x14ac:dyDescent="0.5">
      <c r="B109" s="631">
        <v>3</v>
      </c>
      <c r="C109" s="612"/>
      <c r="D109" s="463">
        <v>0</v>
      </c>
      <c r="E109" s="632" t="s">
        <v>126</v>
      </c>
      <c r="F109" s="584"/>
      <c r="G109" s="584"/>
      <c r="H109" s="1241">
        <v>479.77208100000001</v>
      </c>
      <c r="I109" s="1241">
        <v>61.416098300000002</v>
      </c>
      <c r="J109" s="584">
        <f t="shared" si="26"/>
        <v>61.416098300000002</v>
      </c>
      <c r="K109" s="584">
        <f t="shared" si="27"/>
        <v>30.708049150000001</v>
      </c>
      <c r="L109" s="584">
        <f t="shared" si="28"/>
        <v>0.51066370850547771</v>
      </c>
      <c r="M109" s="584">
        <f t="shared" si="29"/>
        <v>245.00219012085046</v>
      </c>
      <c r="N109" s="584">
        <f t="shared" si="30"/>
        <v>490.00438024170091</v>
      </c>
      <c r="O109" s="584">
        <f>+C107+D108+(D109/2)</f>
        <v>0</v>
      </c>
      <c r="P109" s="584">
        <f t="shared" si="31"/>
        <v>0</v>
      </c>
      <c r="Q109" s="584">
        <f t="shared" si="32"/>
        <v>0</v>
      </c>
      <c r="R109" s="584">
        <f t="shared" si="33"/>
        <v>334.49993130661176</v>
      </c>
      <c r="S109" s="584">
        <f t="shared" ref="S109:S118" si="39">+S108+Q109</f>
        <v>334.49993130661176</v>
      </c>
      <c r="T109" s="584">
        <f t="shared" si="9"/>
        <v>334.49993130661176</v>
      </c>
      <c r="U109" s="584"/>
      <c r="V109" s="584">
        <f t="shared" si="10"/>
        <v>0</v>
      </c>
      <c r="W109" s="584"/>
      <c r="X109" s="584"/>
      <c r="Y109" s="584"/>
      <c r="Z109" s="584"/>
      <c r="AA109" s="584"/>
      <c r="AB109" s="584"/>
      <c r="AC109" s="1240" t="b">
        <f>IF(AD109=3,AF109)</f>
        <v>0</v>
      </c>
      <c r="AD109" s="1240">
        <f t="shared" si="11"/>
        <v>1</v>
      </c>
      <c r="AE109" s="1240">
        <f>IF(V109=0,0,3)</f>
        <v>0</v>
      </c>
      <c r="AF109" s="1193">
        <f>SUM(V109:V118)/($B$104-B108)</f>
        <v>0</v>
      </c>
      <c r="AG109" s="1192">
        <f>SUM(D108:D109)+$C$107</f>
        <v>0</v>
      </c>
      <c r="AH109" s="1239" t="b">
        <f t="shared" si="12"/>
        <v>0</v>
      </c>
      <c r="AI109" s="1238">
        <f t="shared" si="34"/>
        <v>53.779595</v>
      </c>
      <c r="AJ109" s="1191">
        <f t="shared" si="13"/>
        <v>0.8067499259590819</v>
      </c>
      <c r="AK109" s="1238">
        <f t="shared" si="35"/>
        <v>334.49997885066585</v>
      </c>
      <c r="AL109" s="1238">
        <f t="shared" si="36"/>
        <v>59.291088500000001</v>
      </c>
      <c r="AM109" s="1190">
        <f t="shared" si="14"/>
        <v>0.85977285389573432</v>
      </c>
      <c r="AN109" s="1238">
        <f t="shared" si="37"/>
        <v>412.49502763654965</v>
      </c>
      <c r="AO109" s="1237">
        <f t="shared" si="15"/>
        <v>-226.40908682065145</v>
      </c>
      <c r="AP109" s="1238">
        <f t="shared" si="38"/>
        <v>-72</v>
      </c>
      <c r="AQ109" s="1237">
        <f t="shared" si="16"/>
        <v>-16.5</v>
      </c>
      <c r="AR109" s="1188">
        <f t="shared" si="17"/>
        <v>746.99500648721551</v>
      </c>
      <c r="AS109" s="1187">
        <f t="shared" si="18"/>
        <v>-412.49502763654965</v>
      </c>
      <c r="AT109" s="1236">
        <f t="shared" si="19"/>
        <v>186.0859408158982</v>
      </c>
      <c r="AU109" s="1187">
        <f t="shared" si="20"/>
        <v>412.49502763654965</v>
      </c>
      <c r="AV109" s="1186">
        <f t="shared" si="21"/>
        <v>-12.389640497195387</v>
      </c>
      <c r="AW109" s="1186">
        <f t="shared" si="22"/>
        <v>-4.1103595028046138</v>
      </c>
      <c r="AX109" s="1185">
        <f t="shared" si="23"/>
        <v>-936.26606862611254</v>
      </c>
      <c r="AY109" s="1185">
        <f t="shared" si="24"/>
        <v>-2822.1375750916663</v>
      </c>
      <c r="AZ109" s="1184">
        <f t="shared" si="25"/>
        <v>936.26606862611254</v>
      </c>
      <c r="BA109" s="1184">
        <f t="shared" si="25"/>
        <v>2822.1375750916663</v>
      </c>
      <c r="BC109" s="558"/>
      <c r="BH109" s="1037">
        <v>10</v>
      </c>
      <c r="BI109" s="1036">
        <f t="shared" si="6"/>
        <v>50</v>
      </c>
      <c r="BJ109" s="1035">
        <f t="shared" si="7"/>
        <v>50</v>
      </c>
      <c r="BK109" s="1034">
        <f t="shared" si="3"/>
        <v>-119.69421976558584</v>
      </c>
      <c r="BL109" s="1033">
        <f t="shared" si="4"/>
        <v>119.69421976558584</v>
      </c>
      <c r="BM109" s="1033">
        <f t="shared" si="8"/>
        <v>19.694219765585842</v>
      </c>
      <c r="BN109" s="1033" t="b">
        <f t="shared" si="5"/>
        <v>0</v>
      </c>
      <c r="CR109" s="524"/>
      <c r="CS109" s="524"/>
      <c r="CT109" s="524"/>
      <c r="CU109" s="524"/>
      <c r="CV109" s="524"/>
      <c r="CW109" s="524"/>
      <c r="EC109" s="1093"/>
      <c r="ED109" s="1093"/>
    </row>
    <row r="110" spans="2:134" ht="21" customHeight="1" thickBot="1" x14ac:dyDescent="0.5">
      <c r="B110" s="631">
        <v>4</v>
      </c>
      <c r="C110" s="612"/>
      <c r="D110" s="463">
        <v>0</v>
      </c>
      <c r="E110" s="632" t="s">
        <v>126</v>
      </c>
      <c r="F110" s="584"/>
      <c r="G110" s="584"/>
      <c r="H110" s="1241">
        <v>479.77208100000001</v>
      </c>
      <c r="I110" s="1241">
        <v>61.416098300000002</v>
      </c>
      <c r="J110" s="584">
        <f t="shared" si="26"/>
        <v>61.416098300000002</v>
      </c>
      <c r="K110" s="584">
        <f t="shared" si="27"/>
        <v>30.708049150000001</v>
      </c>
      <c r="L110" s="584">
        <f t="shared" si="28"/>
        <v>0.51066370850547771</v>
      </c>
      <c r="M110" s="584">
        <f t="shared" si="29"/>
        <v>245.00219012085046</v>
      </c>
      <c r="N110" s="584">
        <f t="shared" si="30"/>
        <v>490.00438024170091</v>
      </c>
      <c r="O110" s="584">
        <f>+C107+D108+D109+(D110/2)</f>
        <v>0</v>
      </c>
      <c r="P110" s="584">
        <f t="shared" si="31"/>
        <v>0</v>
      </c>
      <c r="Q110" s="584">
        <f t="shared" si="32"/>
        <v>0</v>
      </c>
      <c r="R110" s="584">
        <f t="shared" si="33"/>
        <v>334.49993130661176</v>
      </c>
      <c r="S110" s="584">
        <f t="shared" si="39"/>
        <v>334.49993130661176</v>
      </c>
      <c r="T110" s="584">
        <f t="shared" si="9"/>
        <v>334.49993130661176</v>
      </c>
      <c r="U110" s="584"/>
      <c r="V110" s="584">
        <f t="shared" si="10"/>
        <v>0</v>
      </c>
      <c r="W110" s="584"/>
      <c r="X110" s="584"/>
      <c r="Y110" s="584"/>
      <c r="Z110" s="584"/>
      <c r="AA110" s="584"/>
      <c r="AB110" s="584"/>
      <c r="AC110" s="1240" t="b">
        <f>IF(AD110=4,AF110)</f>
        <v>0</v>
      </c>
      <c r="AD110" s="1240">
        <f t="shared" si="11"/>
        <v>1</v>
      </c>
      <c r="AE110" s="1240">
        <f>IF(V110=0,0,4)</f>
        <v>0</v>
      </c>
      <c r="AF110" s="1193">
        <f>SUM(V110:V118)/($B$104-B109)</f>
        <v>0</v>
      </c>
      <c r="AG110" s="1192">
        <f>SUM(D108:D110)+$C$107</f>
        <v>0</v>
      </c>
      <c r="AH110" s="1239" t="b">
        <f t="shared" si="12"/>
        <v>0</v>
      </c>
      <c r="AI110" s="1238">
        <f t="shared" si="34"/>
        <v>53.779595</v>
      </c>
      <c r="AJ110" s="1191">
        <f t="shared" si="13"/>
        <v>0.8067499259590819</v>
      </c>
      <c r="AK110" s="1238">
        <f t="shared" si="35"/>
        <v>334.49997885066585</v>
      </c>
      <c r="AL110" s="1238">
        <f t="shared" si="36"/>
        <v>59.291088500000001</v>
      </c>
      <c r="AM110" s="1190">
        <f t="shared" si="14"/>
        <v>0.85977285389573432</v>
      </c>
      <c r="AN110" s="1238">
        <f t="shared" si="37"/>
        <v>412.49502763654965</v>
      </c>
      <c r="AO110" s="1237">
        <f t="shared" si="15"/>
        <v>-42.211863644528236</v>
      </c>
      <c r="AP110" s="1238">
        <f t="shared" si="38"/>
        <v>-144</v>
      </c>
      <c r="AQ110" s="1237">
        <f t="shared" si="16"/>
        <v>-88.5</v>
      </c>
      <c r="AR110" s="1188">
        <f t="shared" si="17"/>
        <v>746.99500648721551</v>
      </c>
      <c r="AS110" s="1187">
        <f t="shared" si="18"/>
        <v>-412.49502763654965</v>
      </c>
      <c r="AT110" s="1236">
        <f t="shared" si="19"/>
        <v>370.2831639920214</v>
      </c>
      <c r="AU110" s="1187">
        <f t="shared" si="20"/>
        <v>412.49502763654965</v>
      </c>
      <c r="AV110" s="1186">
        <f t="shared" si="21"/>
        <v>-44.630817838532984</v>
      </c>
      <c r="AW110" s="1186">
        <f t="shared" si="22"/>
        <v>-43.869182161467023</v>
      </c>
      <c r="AX110" s="1185">
        <f t="shared" si="23"/>
        <v>-259.91009266213553</v>
      </c>
      <c r="AY110" s="1185">
        <f t="shared" si="24"/>
        <v>-264.42252689609035</v>
      </c>
      <c r="AZ110" s="1184">
        <f t="shared" si="25"/>
        <v>259.91009266213553</v>
      </c>
      <c r="BA110" s="1184">
        <f t="shared" si="25"/>
        <v>264.42252689609035</v>
      </c>
      <c r="BC110" s="558"/>
      <c r="BH110" s="1037">
        <v>11</v>
      </c>
      <c r="BI110" s="1036">
        <f t="shared" si="6"/>
        <v>100</v>
      </c>
      <c r="BJ110" s="1035">
        <f t="shared" si="7"/>
        <v>100</v>
      </c>
      <c r="BK110" s="1034">
        <f t="shared" si="3"/>
        <v>-69.694219765585842</v>
      </c>
      <c r="BL110" s="1033">
        <f t="shared" si="4"/>
        <v>69.694219765585842</v>
      </c>
      <c r="BM110" s="1033">
        <f t="shared" si="8"/>
        <v>19.694219765585842</v>
      </c>
      <c r="BN110" s="1033" t="b">
        <f t="shared" si="5"/>
        <v>0</v>
      </c>
      <c r="CR110" s="524"/>
      <c r="CS110" s="524"/>
      <c r="CT110" s="524"/>
      <c r="CU110" s="524"/>
      <c r="CV110" s="524"/>
      <c r="CW110" s="524"/>
      <c r="EC110" s="1093"/>
      <c r="ED110" s="1093"/>
    </row>
    <row r="111" spans="2:134" ht="21" customHeight="1" thickBot="1" x14ac:dyDescent="0.5">
      <c r="B111" s="631">
        <v>5</v>
      </c>
      <c r="C111" s="612"/>
      <c r="D111" s="463">
        <v>0</v>
      </c>
      <c r="E111" s="632" t="s">
        <v>126</v>
      </c>
      <c r="F111" s="584"/>
      <c r="G111" s="584"/>
      <c r="H111" s="1241">
        <v>479.77208100000001</v>
      </c>
      <c r="I111" s="1241">
        <v>61.416098300000002</v>
      </c>
      <c r="J111" s="584">
        <f t="shared" si="26"/>
        <v>61.416098300000002</v>
      </c>
      <c r="K111" s="584">
        <f t="shared" si="27"/>
        <v>30.708049150000001</v>
      </c>
      <c r="L111" s="584">
        <f t="shared" si="28"/>
        <v>0.51066370850547771</v>
      </c>
      <c r="M111" s="584">
        <f t="shared" si="29"/>
        <v>245.00219012085046</v>
      </c>
      <c r="N111" s="584">
        <f t="shared" si="30"/>
        <v>490.00438024170091</v>
      </c>
      <c r="O111" s="584">
        <f>+C107+D108+D109+D110+(D111/2)</f>
        <v>0</v>
      </c>
      <c r="P111" s="584">
        <f t="shared" si="31"/>
        <v>0</v>
      </c>
      <c r="Q111" s="584">
        <f t="shared" si="32"/>
        <v>0</v>
      </c>
      <c r="R111" s="584">
        <f t="shared" si="33"/>
        <v>334.49993130661176</v>
      </c>
      <c r="S111" s="584">
        <f t="shared" si="39"/>
        <v>334.49993130661176</v>
      </c>
      <c r="T111" s="584">
        <f t="shared" si="9"/>
        <v>334.49993130661176</v>
      </c>
      <c r="U111" s="584"/>
      <c r="V111" s="584">
        <f t="shared" si="10"/>
        <v>0</v>
      </c>
      <c r="W111" s="584"/>
      <c r="X111" s="584"/>
      <c r="Y111" s="584"/>
      <c r="Z111" s="584"/>
      <c r="AA111" s="584"/>
      <c r="AB111" s="584"/>
      <c r="AC111" s="1240" t="b">
        <f>IF(AD111=5,AF111)</f>
        <v>0</v>
      </c>
      <c r="AD111" s="1240">
        <f t="shared" si="11"/>
        <v>1</v>
      </c>
      <c r="AE111" s="1240">
        <f>IF(V111=0,0,5)</f>
        <v>0</v>
      </c>
      <c r="AF111" s="1193">
        <f>SUM(V111:V118)/($B$104-B110)</f>
        <v>0</v>
      </c>
      <c r="AG111" s="1192">
        <f>SUM(D108:D111)+$C$107</f>
        <v>0</v>
      </c>
      <c r="AH111" s="1239" t="b">
        <f t="shared" si="12"/>
        <v>0</v>
      </c>
      <c r="AI111" s="1238">
        <f t="shared" si="34"/>
        <v>53.779595</v>
      </c>
      <c r="AJ111" s="1191">
        <f t="shared" si="13"/>
        <v>0.8067499259590819</v>
      </c>
      <c r="AK111" s="1238">
        <f t="shared" si="35"/>
        <v>334.49997885066585</v>
      </c>
      <c r="AL111" s="1238">
        <f t="shared" si="36"/>
        <v>59.291088500000001</v>
      </c>
      <c r="AM111" s="1190">
        <f t="shared" si="14"/>
        <v>0.85977285389573432</v>
      </c>
      <c r="AN111" s="1238">
        <f t="shared" si="37"/>
        <v>412.49502763654965</v>
      </c>
      <c r="AO111" s="1237">
        <f t="shared" si="15"/>
        <v>-23.275700514272579</v>
      </c>
      <c r="AP111" s="1238">
        <f t="shared" si="38"/>
        <v>-216</v>
      </c>
      <c r="AQ111" s="1237">
        <f t="shared" si="16"/>
        <v>-160.5</v>
      </c>
      <c r="AR111" s="1188">
        <f t="shared" si="17"/>
        <v>746.99500648721551</v>
      </c>
      <c r="AS111" s="1187">
        <f t="shared" si="18"/>
        <v>-412.49502763654965</v>
      </c>
      <c r="AT111" s="1236">
        <f t="shared" si="19"/>
        <v>389.21932712227709</v>
      </c>
      <c r="AU111" s="1187">
        <f t="shared" si="20"/>
        <v>412.49502763654965</v>
      </c>
      <c r="AV111" s="1186">
        <f t="shared" si="21"/>
        <v>-76.871995179870567</v>
      </c>
      <c r="AW111" s="1186">
        <f t="shared" si="22"/>
        <v>-83.628004820129433</v>
      </c>
      <c r="AX111" s="1185">
        <f t="shared" si="23"/>
        <v>-150.90020719323721</v>
      </c>
      <c r="AY111" s="1185">
        <f t="shared" si="24"/>
        <v>-138.70951513132184</v>
      </c>
      <c r="AZ111" s="1184">
        <f t="shared" si="25"/>
        <v>150.90020719323721</v>
      </c>
      <c r="BA111" s="1184">
        <f t="shared" si="25"/>
        <v>138.70951513132184</v>
      </c>
      <c r="BC111" s="558"/>
      <c r="BH111" s="1037">
        <v>12</v>
      </c>
      <c r="BI111" s="1036">
        <f t="shared" si="6"/>
        <v>150</v>
      </c>
      <c r="BJ111" s="1035">
        <f t="shared" si="7"/>
        <v>150</v>
      </c>
      <c r="BK111" s="1034">
        <f t="shared" si="3"/>
        <v>-19.694219765585842</v>
      </c>
      <c r="BL111" s="1033">
        <f t="shared" si="4"/>
        <v>19.694219765585842</v>
      </c>
      <c r="BM111" s="1033">
        <f t="shared" si="8"/>
        <v>19.694219765585842</v>
      </c>
      <c r="BN111" s="1033">
        <f t="shared" si="5"/>
        <v>12</v>
      </c>
      <c r="CQ111" s="524"/>
      <c r="CR111" s="524"/>
      <c r="CS111" s="524"/>
      <c r="CT111" s="524"/>
      <c r="CU111" s="524"/>
      <c r="CV111" s="524"/>
      <c r="CW111" s="524"/>
      <c r="EC111" s="1093"/>
      <c r="ED111" s="1093"/>
    </row>
    <row r="112" spans="2:134" ht="21" customHeight="1" thickBot="1" x14ac:dyDescent="0.5">
      <c r="B112" s="631">
        <v>6</v>
      </c>
      <c r="C112" s="612"/>
      <c r="D112" s="463">
        <v>0</v>
      </c>
      <c r="E112" s="632" t="s">
        <v>126</v>
      </c>
      <c r="F112" s="584"/>
      <c r="G112" s="584"/>
      <c r="H112" s="1241">
        <v>479.77208100000001</v>
      </c>
      <c r="I112" s="1241">
        <v>61.416098300000002</v>
      </c>
      <c r="J112" s="584">
        <f t="shared" si="26"/>
        <v>61.416098300000002</v>
      </c>
      <c r="K112" s="584">
        <f t="shared" si="27"/>
        <v>30.708049150000001</v>
      </c>
      <c r="L112" s="584">
        <f t="shared" si="28"/>
        <v>0.51066370850547771</v>
      </c>
      <c r="M112" s="584">
        <f t="shared" si="29"/>
        <v>245.00219012085046</v>
      </c>
      <c r="N112" s="584">
        <f t="shared" si="30"/>
        <v>490.00438024170091</v>
      </c>
      <c r="O112" s="584">
        <f>+C107+D108+D109+D110+D111+(D112/2)</f>
        <v>0</v>
      </c>
      <c r="P112" s="584">
        <f t="shared" si="31"/>
        <v>0</v>
      </c>
      <c r="Q112" s="584">
        <f t="shared" si="32"/>
        <v>0</v>
      </c>
      <c r="R112" s="584">
        <f t="shared" si="33"/>
        <v>334.49993130661176</v>
      </c>
      <c r="S112" s="584">
        <f t="shared" si="39"/>
        <v>334.49993130661176</v>
      </c>
      <c r="T112" s="584">
        <f t="shared" si="9"/>
        <v>334.49993130661176</v>
      </c>
      <c r="U112" s="584"/>
      <c r="V112" s="584">
        <f t="shared" si="10"/>
        <v>0</v>
      </c>
      <c r="W112" s="584"/>
      <c r="X112" s="584"/>
      <c r="Y112" s="584"/>
      <c r="Z112" s="584"/>
      <c r="AA112" s="584"/>
      <c r="AB112" s="584"/>
      <c r="AC112" s="1240" t="b">
        <f>IF(AD112=6,AF112)</f>
        <v>0</v>
      </c>
      <c r="AD112" s="1240">
        <f t="shared" si="11"/>
        <v>1</v>
      </c>
      <c r="AE112" s="1240">
        <f>IF(V112=0,0,6)</f>
        <v>0</v>
      </c>
      <c r="AF112" s="1193">
        <f>SUM(V112:V118)/($B$104-B111)</f>
        <v>0</v>
      </c>
      <c r="AG112" s="1192">
        <f>SUM(D108:D112)+$C$107</f>
        <v>0</v>
      </c>
      <c r="AH112" s="1239" t="b">
        <f t="shared" si="12"/>
        <v>0</v>
      </c>
      <c r="AI112" s="1238">
        <f t="shared" si="34"/>
        <v>53.779595</v>
      </c>
      <c r="AJ112" s="1191">
        <f t="shared" si="13"/>
        <v>0.8067499259590819</v>
      </c>
      <c r="AK112" s="1238">
        <f t="shared" si="35"/>
        <v>334.49997885066585</v>
      </c>
      <c r="AL112" s="1238">
        <f t="shared" si="36"/>
        <v>59.291088500000001</v>
      </c>
      <c r="AM112" s="1190">
        <f t="shared" si="14"/>
        <v>0.85977285389573432</v>
      </c>
      <c r="AN112" s="1238">
        <f t="shared" si="37"/>
        <v>412.49502763654965</v>
      </c>
      <c r="AO112" s="1237">
        <f t="shared" si="15"/>
        <v>-16.067741645336554</v>
      </c>
      <c r="AP112" s="1238">
        <f t="shared" si="38"/>
        <v>-288</v>
      </c>
      <c r="AQ112" s="1237">
        <f t="shared" si="16"/>
        <v>-232.5</v>
      </c>
      <c r="AR112" s="1188">
        <f t="shared" si="17"/>
        <v>746.99500648721551</v>
      </c>
      <c r="AS112" s="1187">
        <f t="shared" si="18"/>
        <v>-412.49502763654965</v>
      </c>
      <c r="AT112" s="1236">
        <f t="shared" si="19"/>
        <v>396.42728599121313</v>
      </c>
      <c r="AU112" s="1187">
        <f t="shared" si="20"/>
        <v>412.49502763654965</v>
      </c>
      <c r="AV112" s="1186">
        <f t="shared" si="21"/>
        <v>-109.11317252120816</v>
      </c>
      <c r="AW112" s="1186">
        <f t="shared" si="22"/>
        <v>-123.38682747879183</v>
      </c>
      <c r="AX112" s="1185">
        <f t="shared" si="23"/>
        <v>-106.3116371008764</v>
      </c>
      <c r="AY112" s="1185">
        <f t="shared" si="24"/>
        <v>-94.013277081735893</v>
      </c>
      <c r="AZ112" s="1184">
        <f t="shared" si="25"/>
        <v>106.3116371008764</v>
      </c>
      <c r="BA112" s="1184">
        <f t="shared" si="25"/>
        <v>94.013277081735893</v>
      </c>
      <c r="BC112" s="558"/>
      <c r="BH112" s="1037">
        <v>13</v>
      </c>
      <c r="BI112" s="1036">
        <f t="shared" si="6"/>
        <v>200</v>
      </c>
      <c r="BJ112" s="1035">
        <f t="shared" si="7"/>
        <v>200</v>
      </c>
      <c r="BK112" s="1034">
        <f t="shared" si="3"/>
        <v>30.305780234414158</v>
      </c>
      <c r="BL112" s="1033">
        <f t="shared" si="4"/>
        <v>30.305780234414158</v>
      </c>
      <c r="BM112" s="1033">
        <f t="shared" si="8"/>
        <v>19.694219765585842</v>
      </c>
      <c r="BN112" s="1033" t="b">
        <f t="shared" si="5"/>
        <v>0</v>
      </c>
      <c r="CR112" s="524"/>
      <c r="CS112" s="524"/>
      <c r="CT112" s="524"/>
      <c r="CU112" s="524"/>
      <c r="CV112" s="524"/>
      <c r="CW112" s="524"/>
      <c r="EC112" s="1093"/>
      <c r="ED112" s="1093"/>
    </row>
    <row r="113" spans="2:134" ht="21" customHeight="1" thickBot="1" x14ac:dyDescent="0.5">
      <c r="B113" s="631">
        <v>7</v>
      </c>
      <c r="C113" s="612"/>
      <c r="D113" s="463">
        <v>0</v>
      </c>
      <c r="E113" s="632" t="s">
        <v>126</v>
      </c>
      <c r="F113" s="584"/>
      <c r="G113" s="584"/>
      <c r="H113" s="1241">
        <v>479.77208100000001</v>
      </c>
      <c r="I113" s="1241">
        <v>61.416098300000002</v>
      </c>
      <c r="J113" s="584">
        <f t="shared" si="26"/>
        <v>61.416098300000002</v>
      </c>
      <c r="K113" s="584">
        <f t="shared" si="27"/>
        <v>30.708049150000001</v>
      </c>
      <c r="L113" s="584">
        <f t="shared" si="28"/>
        <v>0.51066370850547771</v>
      </c>
      <c r="M113" s="584">
        <f t="shared" si="29"/>
        <v>245.00219012085046</v>
      </c>
      <c r="N113" s="584">
        <f t="shared" si="30"/>
        <v>490.00438024170091</v>
      </c>
      <c r="O113" s="584">
        <f>+C107+D108+D109+D110+D111+D112+(D113/2)</f>
        <v>0</v>
      </c>
      <c r="P113" s="584">
        <f t="shared" si="31"/>
        <v>0</v>
      </c>
      <c r="Q113" s="584">
        <f t="shared" si="32"/>
        <v>0</v>
      </c>
      <c r="R113" s="584">
        <f t="shared" si="33"/>
        <v>334.49993130661176</v>
      </c>
      <c r="S113" s="584">
        <f t="shared" si="39"/>
        <v>334.49993130661176</v>
      </c>
      <c r="T113" s="584">
        <f t="shared" si="9"/>
        <v>334.49993130661176</v>
      </c>
      <c r="U113" s="584"/>
      <c r="V113" s="584">
        <f t="shared" si="10"/>
        <v>0</v>
      </c>
      <c r="W113" s="584"/>
      <c r="X113" s="584"/>
      <c r="Y113" s="584"/>
      <c r="Z113" s="584"/>
      <c r="AA113" s="584"/>
      <c r="AB113" s="584"/>
      <c r="AC113" s="1240" t="b">
        <f>IF(AD113=7,AF113)</f>
        <v>0</v>
      </c>
      <c r="AD113" s="1240">
        <f t="shared" si="11"/>
        <v>1</v>
      </c>
      <c r="AE113" s="1240">
        <f>IF(V113=0,0,7)</f>
        <v>0</v>
      </c>
      <c r="AF113" s="1193">
        <f>SUM(V113:V118)/($B$104-B112)</f>
        <v>0</v>
      </c>
      <c r="AG113" s="1192">
        <f>SUM(D108:D113)+$C$107</f>
        <v>0</v>
      </c>
      <c r="AH113" s="1239" t="b">
        <f t="shared" si="12"/>
        <v>0</v>
      </c>
      <c r="AI113" s="1238">
        <f t="shared" si="34"/>
        <v>53.779595</v>
      </c>
      <c r="AJ113" s="1191">
        <f t="shared" si="13"/>
        <v>0.8067499259590819</v>
      </c>
      <c r="AK113" s="1238">
        <f t="shared" si="35"/>
        <v>334.49997885066585</v>
      </c>
      <c r="AL113" s="1238">
        <f t="shared" si="36"/>
        <v>59.291088500000001</v>
      </c>
      <c r="AM113" s="1190">
        <f t="shared" si="14"/>
        <v>0.85977285389573432</v>
      </c>
      <c r="AN113" s="1238">
        <f t="shared" si="37"/>
        <v>412.49502763654965</v>
      </c>
      <c r="AO113" s="1237">
        <f t="shared" si="15"/>
        <v>-12.268472684862886</v>
      </c>
      <c r="AP113" s="1238">
        <f t="shared" si="38"/>
        <v>-360</v>
      </c>
      <c r="AQ113" s="1237">
        <f t="shared" si="16"/>
        <v>-304.5</v>
      </c>
      <c r="AR113" s="1188">
        <f t="shared" si="17"/>
        <v>746.99500648721551</v>
      </c>
      <c r="AS113" s="1187">
        <f t="shared" si="18"/>
        <v>-412.49502763654965</v>
      </c>
      <c r="AT113" s="1236">
        <f t="shared" si="19"/>
        <v>400.22655495168675</v>
      </c>
      <c r="AU113" s="1187">
        <f t="shared" si="20"/>
        <v>412.49502763654965</v>
      </c>
      <c r="AV113" s="1186">
        <f t="shared" si="21"/>
        <v>-141.35434986254577</v>
      </c>
      <c r="AW113" s="1186">
        <f t="shared" si="22"/>
        <v>-163.14565013745423</v>
      </c>
      <c r="AX113" s="1185">
        <f t="shared" si="23"/>
        <v>-82.063268737608311</v>
      </c>
      <c r="AY113" s="1185">
        <f t="shared" si="24"/>
        <v>-71.102110232339726</v>
      </c>
      <c r="AZ113" s="1184">
        <f t="shared" si="25"/>
        <v>82.063268737608311</v>
      </c>
      <c r="BA113" s="1184">
        <f t="shared" si="25"/>
        <v>71.102110232339726</v>
      </c>
      <c r="BC113" s="558"/>
      <c r="BH113" s="1037">
        <v>14</v>
      </c>
      <c r="BI113" s="1036">
        <f t="shared" si="6"/>
        <v>250</v>
      </c>
      <c r="BJ113" s="1035">
        <f t="shared" si="7"/>
        <v>250</v>
      </c>
      <c r="BK113" s="1034">
        <f t="shared" si="3"/>
        <v>80.305780234414158</v>
      </c>
      <c r="BL113" s="1033">
        <f t="shared" si="4"/>
        <v>80.305780234414158</v>
      </c>
      <c r="BM113" s="1033">
        <f t="shared" si="8"/>
        <v>19.694219765585842</v>
      </c>
      <c r="BN113" s="1033" t="b">
        <f t="shared" si="5"/>
        <v>0</v>
      </c>
      <c r="CQ113" s="524"/>
      <c r="CR113" s="524"/>
      <c r="CS113" s="524"/>
      <c r="CT113" s="524"/>
      <c r="CU113" s="524"/>
      <c r="CV113" s="524"/>
      <c r="CW113" s="524"/>
      <c r="EC113" s="1093"/>
      <c r="ED113" s="1093"/>
    </row>
    <row r="114" spans="2:134" ht="21" customHeight="1" thickBot="1" x14ac:dyDescent="0.5">
      <c r="B114" s="631">
        <v>8</v>
      </c>
      <c r="C114" s="612"/>
      <c r="D114" s="463">
        <v>0</v>
      </c>
      <c r="E114" s="632" t="s">
        <v>126</v>
      </c>
      <c r="F114" s="584"/>
      <c r="G114" s="584"/>
      <c r="H114" s="1241">
        <v>479.77208100000001</v>
      </c>
      <c r="I114" s="1241">
        <v>61.416098300000002</v>
      </c>
      <c r="J114" s="584">
        <f t="shared" si="26"/>
        <v>61.416098300000002</v>
      </c>
      <c r="K114" s="584">
        <f t="shared" si="27"/>
        <v>30.708049150000001</v>
      </c>
      <c r="L114" s="584">
        <f t="shared" si="28"/>
        <v>0.51066370850547771</v>
      </c>
      <c r="M114" s="584">
        <f t="shared" si="29"/>
        <v>245.00219012085046</v>
      </c>
      <c r="N114" s="584">
        <f t="shared" si="30"/>
        <v>490.00438024170091</v>
      </c>
      <c r="O114" s="584">
        <f>+C107+D108+D109+D110+D111+D112+D113+(D114/2)</f>
        <v>0</v>
      </c>
      <c r="P114" s="584">
        <f t="shared" si="31"/>
        <v>0</v>
      </c>
      <c r="Q114" s="584">
        <f t="shared" si="32"/>
        <v>0</v>
      </c>
      <c r="R114" s="584">
        <f t="shared" si="33"/>
        <v>334.49993130661176</v>
      </c>
      <c r="S114" s="584">
        <f t="shared" si="39"/>
        <v>334.49993130661176</v>
      </c>
      <c r="T114" s="584">
        <f t="shared" si="9"/>
        <v>334.49993130661176</v>
      </c>
      <c r="U114" s="584"/>
      <c r="V114" s="584">
        <f t="shared" si="10"/>
        <v>0</v>
      </c>
      <c r="W114" s="584"/>
      <c r="X114" s="584"/>
      <c r="Y114" s="584"/>
      <c r="Z114" s="584"/>
      <c r="AA114" s="584"/>
      <c r="AB114" s="584"/>
      <c r="AC114" s="1240" t="b">
        <f>IF(AD114=8,AF114)</f>
        <v>0</v>
      </c>
      <c r="AD114" s="1240">
        <f t="shared" si="11"/>
        <v>1</v>
      </c>
      <c r="AE114" s="1240">
        <f>IF(V114=0,0,8)</f>
        <v>0</v>
      </c>
      <c r="AF114" s="1193">
        <f>SUM(V114:V118)/($B$104-B113)</f>
        <v>0</v>
      </c>
      <c r="AG114" s="1192">
        <f>SUM(D108:D114)+$C$107</f>
        <v>0</v>
      </c>
      <c r="AH114" s="1239" t="b">
        <f t="shared" si="12"/>
        <v>0</v>
      </c>
      <c r="AI114" s="1238">
        <f t="shared" si="34"/>
        <v>53.779595</v>
      </c>
      <c r="AJ114" s="1191">
        <f t="shared" si="13"/>
        <v>0.8067499259590819</v>
      </c>
      <c r="AK114" s="1238">
        <f t="shared" si="35"/>
        <v>334.49997885066585</v>
      </c>
      <c r="AL114" s="1238">
        <f t="shared" si="36"/>
        <v>59.291088500000001</v>
      </c>
      <c r="AM114" s="1190">
        <f t="shared" si="14"/>
        <v>0.85977285389573432</v>
      </c>
      <c r="AN114" s="1238">
        <f t="shared" si="37"/>
        <v>412.49502763654965</v>
      </c>
      <c r="AO114" s="1237">
        <f t="shared" si="15"/>
        <v>-9.9223105777974734</v>
      </c>
      <c r="AP114" s="1238">
        <f t="shared" si="38"/>
        <v>-432</v>
      </c>
      <c r="AQ114" s="1237">
        <f t="shared" si="16"/>
        <v>-376.5</v>
      </c>
      <c r="AR114" s="1188">
        <f t="shared" si="17"/>
        <v>746.99500648721551</v>
      </c>
      <c r="AS114" s="1187">
        <f t="shared" si="18"/>
        <v>-412.49502763654965</v>
      </c>
      <c r="AT114" s="1236">
        <f t="shared" si="19"/>
        <v>402.57271705875218</v>
      </c>
      <c r="AU114" s="1187">
        <f t="shared" si="20"/>
        <v>412.49502763654965</v>
      </c>
      <c r="AV114" s="1186">
        <f t="shared" si="21"/>
        <v>-173.59552720388336</v>
      </c>
      <c r="AW114" s="1186">
        <f t="shared" si="22"/>
        <v>-202.90447279611664</v>
      </c>
      <c r="AX114" s="1185">
        <f t="shared" si="23"/>
        <v>-66.821998163444079</v>
      </c>
      <c r="AY114" s="1185">
        <f t="shared" si="24"/>
        <v>-57.169759937504992</v>
      </c>
      <c r="AZ114" s="1184">
        <f t="shared" si="25"/>
        <v>66.821998163444079</v>
      </c>
      <c r="BA114" s="1184">
        <f t="shared" si="25"/>
        <v>57.169759937504992</v>
      </c>
      <c r="BC114" s="558"/>
      <c r="BH114" s="1037">
        <v>15</v>
      </c>
      <c r="BI114" s="1036">
        <f t="shared" si="6"/>
        <v>300</v>
      </c>
      <c r="BJ114" s="1035">
        <f t="shared" si="7"/>
        <v>300</v>
      </c>
      <c r="BK114" s="1034">
        <f t="shared" si="3"/>
        <v>130.30578023441416</v>
      </c>
      <c r="BL114" s="1033">
        <f t="shared" si="4"/>
        <v>130.30578023441416</v>
      </c>
      <c r="BM114" s="1033">
        <f t="shared" si="8"/>
        <v>19.694219765585842</v>
      </c>
      <c r="BN114" s="1033" t="b">
        <f t="shared" si="5"/>
        <v>0</v>
      </c>
      <c r="CQ114" s="524"/>
      <c r="CR114" s="524"/>
      <c r="CS114" s="524"/>
      <c r="CT114" s="524"/>
      <c r="CU114" s="524"/>
      <c r="CV114" s="524"/>
      <c r="CW114" s="524"/>
      <c r="EC114" s="1093"/>
      <c r="ED114" s="1093"/>
    </row>
    <row r="115" spans="2:134" ht="21" customHeight="1" thickBot="1" x14ac:dyDescent="0.5">
      <c r="B115" s="631">
        <v>9</v>
      </c>
      <c r="C115" s="612"/>
      <c r="D115" s="463">
        <v>0</v>
      </c>
      <c r="E115" s="632" t="s">
        <v>126</v>
      </c>
      <c r="F115" s="584"/>
      <c r="G115" s="584"/>
      <c r="H115" s="1241">
        <v>479.77208100000001</v>
      </c>
      <c r="I115" s="1241">
        <v>61.416098300000002</v>
      </c>
      <c r="J115" s="584">
        <f t="shared" si="26"/>
        <v>61.416098300000002</v>
      </c>
      <c r="K115" s="584">
        <f t="shared" si="27"/>
        <v>30.708049150000001</v>
      </c>
      <c r="L115" s="584">
        <f t="shared" si="28"/>
        <v>0.51066370850547771</v>
      </c>
      <c r="M115" s="584">
        <f t="shared" si="29"/>
        <v>245.00219012085046</v>
      </c>
      <c r="N115" s="584">
        <f t="shared" si="30"/>
        <v>490.00438024170091</v>
      </c>
      <c r="O115" s="584">
        <f>+C107+D108+D109+D110+D111+D112+D113+D114+(D115/2)</f>
        <v>0</v>
      </c>
      <c r="P115" s="584">
        <f t="shared" si="31"/>
        <v>0</v>
      </c>
      <c r="Q115" s="584">
        <f t="shared" si="32"/>
        <v>0</v>
      </c>
      <c r="R115" s="584">
        <f t="shared" si="33"/>
        <v>334.49993130661176</v>
      </c>
      <c r="S115" s="584">
        <f t="shared" si="39"/>
        <v>334.49993130661176</v>
      </c>
      <c r="T115" s="584">
        <f t="shared" si="9"/>
        <v>334.49993130661176</v>
      </c>
      <c r="U115" s="584"/>
      <c r="V115" s="584">
        <f t="shared" si="10"/>
        <v>0</v>
      </c>
      <c r="W115" s="584"/>
      <c r="X115" s="584"/>
      <c r="Y115" s="584"/>
      <c r="Z115" s="584"/>
      <c r="AA115" s="584"/>
      <c r="AB115" s="584"/>
      <c r="AC115" s="1240" t="b">
        <f>IF(AD115=9,AF115)</f>
        <v>0</v>
      </c>
      <c r="AD115" s="1240">
        <f t="shared" si="11"/>
        <v>1</v>
      </c>
      <c r="AE115" s="1240">
        <f>IF(V115=0,0,9)</f>
        <v>0</v>
      </c>
      <c r="AF115" s="1193">
        <f>SUM(V115:V118)/($B$104-B114)</f>
        <v>0</v>
      </c>
      <c r="AG115" s="1192">
        <f>SUM(D108:D115)+$C$107</f>
        <v>0</v>
      </c>
      <c r="AH115" s="1239" t="b">
        <f t="shared" si="12"/>
        <v>0</v>
      </c>
      <c r="AI115" s="1238">
        <f t="shared" si="34"/>
        <v>53.779595</v>
      </c>
      <c r="AJ115" s="1191">
        <f t="shared" si="13"/>
        <v>0.8067499259590819</v>
      </c>
      <c r="AK115" s="1238">
        <f t="shared" si="35"/>
        <v>334.49997885066585</v>
      </c>
      <c r="AL115" s="1238">
        <f t="shared" si="36"/>
        <v>59.291088500000001</v>
      </c>
      <c r="AM115" s="1190">
        <f t="shared" si="14"/>
        <v>0.85977285389573432</v>
      </c>
      <c r="AN115" s="1238">
        <f t="shared" si="37"/>
        <v>412.49502763654965</v>
      </c>
      <c r="AO115" s="1237">
        <f t="shared" si="15"/>
        <v>-8.3294312877162735</v>
      </c>
      <c r="AP115" s="1238">
        <f t="shared" si="38"/>
        <v>-504</v>
      </c>
      <c r="AQ115" s="1237">
        <f t="shared" si="16"/>
        <v>-448.5</v>
      </c>
      <c r="AR115" s="1188">
        <f t="shared" si="17"/>
        <v>746.99500648721551</v>
      </c>
      <c r="AS115" s="1187">
        <f t="shared" si="18"/>
        <v>-412.49502763654965</v>
      </c>
      <c r="AT115" s="1236">
        <f t="shared" si="19"/>
        <v>404.16559634883339</v>
      </c>
      <c r="AU115" s="1187">
        <f t="shared" si="20"/>
        <v>412.49502763654965</v>
      </c>
      <c r="AV115" s="1186">
        <f t="shared" si="21"/>
        <v>-205.83670454522095</v>
      </c>
      <c r="AW115" s="1186">
        <f t="shared" si="22"/>
        <v>-242.66329545477907</v>
      </c>
      <c r="AX115" s="1185">
        <f t="shared" si="23"/>
        <v>-56.355352295545316</v>
      </c>
      <c r="AY115" s="1185">
        <f t="shared" si="24"/>
        <v>-47.802861896605577</v>
      </c>
      <c r="AZ115" s="1184">
        <f t="shared" si="25"/>
        <v>56.355352295545316</v>
      </c>
      <c r="BA115" s="1184">
        <f t="shared" si="25"/>
        <v>47.802861896605577</v>
      </c>
      <c r="BC115" s="558"/>
      <c r="BH115" s="1037">
        <v>16</v>
      </c>
      <c r="BI115" s="1036">
        <f t="shared" si="6"/>
        <v>350</v>
      </c>
      <c r="BJ115" s="1035">
        <f t="shared" si="7"/>
        <v>350</v>
      </c>
      <c r="BK115" s="1034">
        <f t="shared" si="3"/>
        <v>180.30578023441416</v>
      </c>
      <c r="BL115" s="1033">
        <f t="shared" si="4"/>
        <v>180.30578023441416</v>
      </c>
      <c r="BM115" s="1033">
        <f t="shared" si="8"/>
        <v>19.694219765585842</v>
      </c>
      <c r="BN115" s="1033" t="b">
        <f t="shared" si="5"/>
        <v>0</v>
      </c>
      <c r="CQ115" s="524"/>
      <c r="CR115" s="524"/>
      <c r="CS115" s="524"/>
      <c r="CT115" s="524"/>
      <c r="CU115" s="524"/>
      <c r="CV115" s="524"/>
      <c r="CW115" s="524"/>
      <c r="EC115" s="1093"/>
      <c r="ED115" s="1093"/>
    </row>
    <row r="116" spans="2:134" ht="21" customHeight="1" thickBot="1" x14ac:dyDescent="0.5">
      <c r="B116" s="631">
        <v>10</v>
      </c>
      <c r="C116" s="612"/>
      <c r="D116" s="463">
        <v>0</v>
      </c>
      <c r="E116" s="632" t="s">
        <v>126</v>
      </c>
      <c r="F116" s="584"/>
      <c r="G116" s="584"/>
      <c r="H116" s="1241">
        <v>479.77208100000001</v>
      </c>
      <c r="I116" s="1241">
        <v>61.416098300000002</v>
      </c>
      <c r="J116" s="584">
        <f t="shared" si="26"/>
        <v>61.416098300000002</v>
      </c>
      <c r="K116" s="584">
        <f t="shared" si="27"/>
        <v>30.708049150000001</v>
      </c>
      <c r="L116" s="584">
        <f t="shared" si="28"/>
        <v>0.51066370850547771</v>
      </c>
      <c r="M116" s="584">
        <f t="shared" si="29"/>
        <v>245.00219012085046</v>
      </c>
      <c r="N116" s="584">
        <f t="shared" si="30"/>
        <v>490.00438024170091</v>
      </c>
      <c r="O116" s="584">
        <f>+C107+D108+D109+D110+D111+D112+D113+D114+D115+(D116/2)</f>
        <v>0</v>
      </c>
      <c r="P116" s="584">
        <f t="shared" si="31"/>
        <v>0</v>
      </c>
      <c r="Q116" s="584">
        <f t="shared" si="32"/>
        <v>0</v>
      </c>
      <c r="R116" s="584">
        <f t="shared" si="33"/>
        <v>334.49993130661176</v>
      </c>
      <c r="S116" s="584">
        <f t="shared" si="39"/>
        <v>334.49993130661176</v>
      </c>
      <c r="T116" s="584">
        <f t="shared" si="9"/>
        <v>334.49993130661176</v>
      </c>
      <c r="U116" s="584"/>
      <c r="V116" s="584">
        <f t="shared" si="10"/>
        <v>0</v>
      </c>
      <c r="W116" s="584"/>
      <c r="X116" s="584"/>
      <c r="Y116" s="584"/>
      <c r="Z116" s="584"/>
      <c r="AA116" s="584"/>
      <c r="AB116" s="584"/>
      <c r="AC116" s="1240" t="b">
        <f>IF(AD116=10,AF116)</f>
        <v>0</v>
      </c>
      <c r="AD116" s="1240">
        <f t="shared" si="11"/>
        <v>1</v>
      </c>
      <c r="AE116" s="1240">
        <f>IF(V116=0,0,10)</f>
        <v>0</v>
      </c>
      <c r="AF116" s="1193">
        <f>SUM(V116:V118)/($B$104-B115)</f>
        <v>0</v>
      </c>
      <c r="AG116" s="1192">
        <f>SUM(D108:D116)+$C$107</f>
        <v>0</v>
      </c>
      <c r="AH116" s="1239" t="b">
        <f t="shared" si="12"/>
        <v>0</v>
      </c>
      <c r="AI116" s="1238">
        <f t="shared" si="34"/>
        <v>53.779595</v>
      </c>
      <c r="AJ116" s="1191">
        <f t="shared" si="13"/>
        <v>0.8067499259590819</v>
      </c>
      <c r="AK116" s="1238">
        <f t="shared" si="35"/>
        <v>334.49997885066585</v>
      </c>
      <c r="AL116" s="1238">
        <f t="shared" si="36"/>
        <v>59.291088500000001</v>
      </c>
      <c r="AM116" s="1190">
        <f t="shared" si="14"/>
        <v>0.85977285389573432</v>
      </c>
      <c r="AN116" s="1238">
        <f t="shared" si="37"/>
        <v>412.49502763654965</v>
      </c>
      <c r="AO116" s="1237">
        <f t="shared" si="15"/>
        <v>-7.1772332997901032</v>
      </c>
      <c r="AP116" s="1238">
        <f t="shared" si="38"/>
        <v>-576</v>
      </c>
      <c r="AQ116" s="1237">
        <f t="shared" si="16"/>
        <v>-520.5</v>
      </c>
      <c r="AR116" s="1188">
        <f t="shared" si="17"/>
        <v>746.99500648721551</v>
      </c>
      <c r="AS116" s="1187">
        <f t="shared" si="18"/>
        <v>-412.49502763654965</v>
      </c>
      <c r="AT116" s="1236">
        <f t="shared" si="19"/>
        <v>405.31779433675956</v>
      </c>
      <c r="AU116" s="1187">
        <f t="shared" si="20"/>
        <v>412.49502763654965</v>
      </c>
      <c r="AV116" s="1186">
        <f t="shared" si="21"/>
        <v>-238.07788188655854</v>
      </c>
      <c r="AW116" s="1186">
        <f t="shared" si="22"/>
        <v>-282.42211811344151</v>
      </c>
      <c r="AX116" s="1185">
        <f t="shared" si="23"/>
        <v>-48.723551755753903</v>
      </c>
      <c r="AY116" s="1185">
        <f t="shared" si="24"/>
        <v>-41.073270314262658</v>
      </c>
      <c r="AZ116" s="1184">
        <f t="shared" si="25"/>
        <v>48.723551755753903</v>
      </c>
      <c r="BA116" s="1184">
        <f t="shared" si="25"/>
        <v>41.073270314262658</v>
      </c>
      <c r="BC116" s="558"/>
      <c r="BH116" s="1037">
        <v>17</v>
      </c>
      <c r="BI116" s="1036">
        <f t="shared" si="6"/>
        <v>400</v>
      </c>
      <c r="BJ116" s="1035">
        <f t="shared" si="7"/>
        <v>400</v>
      </c>
      <c r="BK116" s="1034">
        <f t="shared" si="3"/>
        <v>230.30578023441416</v>
      </c>
      <c r="BL116" s="1033">
        <f t="shared" si="4"/>
        <v>230.30578023441416</v>
      </c>
      <c r="BM116" s="1033">
        <f t="shared" si="8"/>
        <v>19.694219765585842</v>
      </c>
      <c r="BN116" s="1033" t="b">
        <f t="shared" si="5"/>
        <v>0</v>
      </c>
      <c r="CQ116" s="524"/>
      <c r="CR116" s="524"/>
      <c r="CS116" s="524"/>
      <c r="CT116" s="524"/>
      <c r="CU116" s="524"/>
      <c r="CV116" s="524"/>
      <c r="CW116" s="524"/>
      <c r="EC116" s="1093"/>
      <c r="ED116" s="1093"/>
    </row>
    <row r="117" spans="2:134" ht="21" hidden="1" customHeight="1" thickBot="1" x14ac:dyDescent="0.5">
      <c r="B117" s="631">
        <v>11</v>
      </c>
      <c r="C117" s="612"/>
      <c r="D117" s="463">
        <v>0</v>
      </c>
      <c r="E117" s="632" t="s">
        <v>126</v>
      </c>
      <c r="F117" s="584"/>
      <c r="G117" s="584"/>
      <c r="H117" s="1241">
        <v>479.77208100000001</v>
      </c>
      <c r="I117" s="1241">
        <v>61.416098300000002</v>
      </c>
      <c r="J117" s="584">
        <f t="shared" si="26"/>
        <v>61.416098300000002</v>
      </c>
      <c r="K117" s="584">
        <f t="shared" si="27"/>
        <v>30.708049150000001</v>
      </c>
      <c r="L117" s="584">
        <f t="shared" si="28"/>
        <v>0.51066370850547771</v>
      </c>
      <c r="M117" s="584">
        <f t="shared" si="29"/>
        <v>245.00219012085046</v>
      </c>
      <c r="N117" s="584">
        <f t="shared" si="30"/>
        <v>490.00438024170091</v>
      </c>
      <c r="O117" s="584">
        <f>+C107+D108+D109+D110+D111+D112+D113+D114+D115+D116+(D117/2)</f>
        <v>0</v>
      </c>
      <c r="P117" s="584">
        <f t="shared" si="31"/>
        <v>0</v>
      </c>
      <c r="Q117" s="584">
        <f t="shared" si="32"/>
        <v>0</v>
      </c>
      <c r="R117" s="584">
        <f t="shared" si="33"/>
        <v>334.49993130661176</v>
      </c>
      <c r="S117" s="584">
        <f t="shared" si="39"/>
        <v>334.49993130661176</v>
      </c>
      <c r="T117" s="584">
        <f t="shared" si="9"/>
        <v>334.49993130661176</v>
      </c>
      <c r="U117" s="584"/>
      <c r="V117" s="584">
        <f t="shared" si="10"/>
        <v>0</v>
      </c>
      <c r="W117" s="584"/>
      <c r="X117" s="584"/>
      <c r="Y117" s="584"/>
      <c r="Z117" s="584"/>
      <c r="AA117" s="584"/>
      <c r="AB117" s="584"/>
      <c r="AC117" s="1240" t="b">
        <f>IF(AD117=11,AF117)</f>
        <v>0</v>
      </c>
      <c r="AD117" s="1240">
        <f t="shared" si="11"/>
        <v>1</v>
      </c>
      <c r="AE117" s="1240">
        <f>IF(V117=0,0,11)</f>
        <v>0</v>
      </c>
      <c r="AF117" s="1193">
        <f>SUM(V117:V118)/($B$104-B116)</f>
        <v>0</v>
      </c>
      <c r="AG117" s="1192">
        <f>SUM(D108:D117)+$C$107</f>
        <v>0</v>
      </c>
      <c r="AH117" s="1239" t="b">
        <f t="shared" si="12"/>
        <v>0</v>
      </c>
      <c r="AI117" s="1238">
        <f t="shared" si="34"/>
        <v>53.779595</v>
      </c>
      <c r="AJ117" s="1191">
        <f t="shared" si="13"/>
        <v>0.8067499259590819</v>
      </c>
      <c r="AK117" s="1238">
        <f t="shared" si="35"/>
        <v>334.49997885066585</v>
      </c>
      <c r="AL117" s="1238">
        <f t="shared" si="36"/>
        <v>59.291088500000001</v>
      </c>
      <c r="AM117" s="1190">
        <f t="shared" si="14"/>
        <v>0.85977285389573432</v>
      </c>
      <c r="AN117" s="1238">
        <f t="shared" si="37"/>
        <v>412.49502763654965</v>
      </c>
      <c r="AO117" s="1237">
        <f t="shared" si="15"/>
        <v>-6.305063177283964</v>
      </c>
      <c r="AP117" s="1238">
        <f t="shared" si="38"/>
        <v>-648</v>
      </c>
      <c r="AQ117" s="1237">
        <f t="shared" si="16"/>
        <v>-592.5</v>
      </c>
      <c r="AR117" s="1188">
        <f t="shared" si="17"/>
        <v>746.99500648721551</v>
      </c>
      <c r="AS117" s="1187">
        <f t="shared" si="18"/>
        <v>-412.49502763654965</v>
      </c>
      <c r="AT117" s="1236">
        <f t="shared" si="19"/>
        <v>406.1899644592657</v>
      </c>
      <c r="AU117" s="1187">
        <f t="shared" si="20"/>
        <v>412.49502763654965</v>
      </c>
      <c r="AV117" s="1186">
        <f t="shared" si="21"/>
        <v>-270.3190592278961</v>
      </c>
      <c r="AW117" s="1186">
        <f t="shared" si="22"/>
        <v>-322.1809407721039</v>
      </c>
      <c r="AX117" s="1185">
        <f t="shared" si="23"/>
        <v>-42.912253516761702</v>
      </c>
      <c r="AY117" s="1185">
        <f t="shared" si="24"/>
        <v>-36.004612725385613</v>
      </c>
      <c r="AZ117" s="1184">
        <f t="shared" si="25"/>
        <v>42.912253516761702</v>
      </c>
      <c r="BA117" s="1184">
        <f t="shared" si="25"/>
        <v>36.004612725385613</v>
      </c>
      <c r="BC117" s="558"/>
      <c r="BH117" s="1037">
        <v>18</v>
      </c>
      <c r="BI117" s="1036">
        <f t="shared" si="6"/>
        <v>450</v>
      </c>
      <c r="BJ117" s="1035">
        <f t="shared" si="7"/>
        <v>450</v>
      </c>
      <c r="BK117" s="1034">
        <f t="shared" si="3"/>
        <v>280.30578023441416</v>
      </c>
      <c r="BL117" s="1033">
        <f t="shared" si="4"/>
        <v>280.30578023441416</v>
      </c>
      <c r="BM117" s="1033">
        <f t="shared" si="8"/>
        <v>19.694219765585842</v>
      </c>
      <c r="BN117" s="1033" t="b">
        <f t="shared" si="5"/>
        <v>0</v>
      </c>
      <c r="CQ117" s="524"/>
      <c r="CR117" s="524"/>
      <c r="CS117" s="524"/>
      <c r="CT117" s="524"/>
      <c r="CU117" s="524"/>
      <c r="CV117" s="524"/>
      <c r="CW117" s="524"/>
      <c r="EC117" s="1093"/>
      <c r="ED117" s="1093"/>
    </row>
    <row r="118" spans="2:134" ht="21" hidden="1" customHeight="1" thickBot="1" x14ac:dyDescent="0.5">
      <c r="B118" s="631">
        <v>12</v>
      </c>
      <c r="C118" s="612"/>
      <c r="D118" s="463">
        <v>0</v>
      </c>
      <c r="E118" s="632" t="s">
        <v>126</v>
      </c>
      <c r="F118" s="584"/>
      <c r="G118" s="584"/>
      <c r="H118" s="1241">
        <v>479.77208100000001</v>
      </c>
      <c r="I118" s="1241">
        <v>61.416098300000002</v>
      </c>
      <c r="J118" s="584">
        <f t="shared" si="26"/>
        <v>61.416098300000002</v>
      </c>
      <c r="K118" s="584">
        <f t="shared" si="27"/>
        <v>30.708049150000001</v>
      </c>
      <c r="L118" s="584">
        <f t="shared" si="28"/>
        <v>0.51066370850547771</v>
      </c>
      <c r="M118" s="584">
        <f t="shared" si="29"/>
        <v>245.00219012085046</v>
      </c>
      <c r="N118" s="584">
        <f t="shared" si="30"/>
        <v>490.00438024170091</v>
      </c>
      <c r="O118" s="584">
        <f>+C107+D108+D109+D110+D111+D112+D113+D114+D115+D116+D117+(D118/2)</f>
        <v>0</v>
      </c>
      <c r="P118" s="584">
        <f t="shared" si="31"/>
        <v>0</v>
      </c>
      <c r="Q118" s="584">
        <f t="shared" si="32"/>
        <v>0</v>
      </c>
      <c r="R118" s="584">
        <f t="shared" si="33"/>
        <v>334.49993130661176</v>
      </c>
      <c r="S118" s="584">
        <f t="shared" si="39"/>
        <v>334.49993130661176</v>
      </c>
      <c r="T118" s="584">
        <f t="shared" si="9"/>
        <v>334.49993130661176</v>
      </c>
      <c r="U118" s="584"/>
      <c r="V118" s="584">
        <f t="shared" si="10"/>
        <v>0</v>
      </c>
      <c r="W118" s="584"/>
      <c r="X118" s="584"/>
      <c r="Y118" s="584"/>
      <c r="Z118" s="584"/>
      <c r="AA118" s="584"/>
      <c r="AB118" s="584"/>
      <c r="AC118" s="1240" t="b">
        <f>IF(AD118=12,AF118)</f>
        <v>0</v>
      </c>
      <c r="AD118" s="1240">
        <f t="shared" si="11"/>
        <v>1</v>
      </c>
      <c r="AE118" s="1240">
        <f>IF(V118=0,0,12)</f>
        <v>0</v>
      </c>
      <c r="AF118" s="1193">
        <f>SUM(V118)/($B$104-B117)</f>
        <v>0</v>
      </c>
      <c r="AG118" s="1192">
        <f>SUM(D108:D118)+$C$107</f>
        <v>0</v>
      </c>
      <c r="AH118" s="1239" t="b">
        <f t="shared" si="12"/>
        <v>0</v>
      </c>
      <c r="AI118" s="1238">
        <f t="shared" si="34"/>
        <v>53.779595</v>
      </c>
      <c r="AJ118" s="1191">
        <f t="shared" si="13"/>
        <v>0.8067499259590819</v>
      </c>
      <c r="AK118" s="1238">
        <f t="shared" si="35"/>
        <v>334.49997885066585</v>
      </c>
      <c r="AL118" s="1238">
        <f t="shared" si="36"/>
        <v>59.291088500000001</v>
      </c>
      <c r="AM118" s="1190">
        <f t="shared" si="14"/>
        <v>0.85977285389573432</v>
      </c>
      <c r="AN118" s="1238">
        <f t="shared" si="37"/>
        <v>412.49502763654965</v>
      </c>
      <c r="AO118" s="1237">
        <f t="shared" si="15"/>
        <v>-5.6218960610094042</v>
      </c>
      <c r="AP118" s="1238">
        <f t="shared" si="38"/>
        <v>-720</v>
      </c>
      <c r="AQ118" s="1237">
        <f t="shared" si="16"/>
        <v>-664.5</v>
      </c>
      <c r="AR118" s="1188">
        <f t="shared" si="17"/>
        <v>746.99500648721551</v>
      </c>
      <c r="AS118" s="1187">
        <f t="shared" si="18"/>
        <v>-412.49502763654965</v>
      </c>
      <c r="AT118" s="1236">
        <f t="shared" si="19"/>
        <v>406.87313157554024</v>
      </c>
      <c r="AU118" s="1187">
        <f t="shared" si="20"/>
        <v>412.49502763654965</v>
      </c>
      <c r="AV118" s="1186">
        <f t="shared" si="21"/>
        <v>-302.56023656923372</v>
      </c>
      <c r="AW118" s="1186">
        <f t="shared" si="22"/>
        <v>-361.93976343076628</v>
      </c>
      <c r="AX118" s="1185">
        <f t="shared" si="23"/>
        <v>-38.339472931188084</v>
      </c>
      <c r="AY118" s="1185">
        <f t="shared" si="24"/>
        <v>-32.049531916707757</v>
      </c>
      <c r="AZ118" s="1184">
        <f t="shared" si="25"/>
        <v>38.339472931188084</v>
      </c>
      <c r="BA118" s="1184">
        <f t="shared" si="25"/>
        <v>32.049531916707757</v>
      </c>
      <c r="BC118" s="558"/>
      <c r="BH118" s="1037">
        <v>19</v>
      </c>
      <c r="BI118" s="1036">
        <f t="shared" si="6"/>
        <v>500</v>
      </c>
      <c r="BJ118" s="1035">
        <f t="shared" si="7"/>
        <v>500</v>
      </c>
      <c r="BK118" s="1034">
        <f t="shared" si="3"/>
        <v>330.30578023441416</v>
      </c>
      <c r="BL118" s="1033">
        <f t="shared" si="4"/>
        <v>330.30578023441416</v>
      </c>
      <c r="BM118" s="1033">
        <f t="shared" si="8"/>
        <v>19.694219765585842</v>
      </c>
      <c r="BN118" s="1033" t="b">
        <f t="shared" si="5"/>
        <v>0</v>
      </c>
      <c r="CQ118" s="524"/>
      <c r="CR118" s="524"/>
      <c r="CS118" s="524"/>
      <c r="CT118" s="524"/>
      <c r="CU118" s="524"/>
      <c r="CV118" s="524"/>
      <c r="CW118" s="524"/>
      <c r="EC118" s="1093"/>
      <c r="ED118" s="1093"/>
    </row>
    <row r="119" spans="2:134" ht="22.2" hidden="1" thickBot="1" x14ac:dyDescent="0.5">
      <c r="B119" s="515"/>
      <c r="C119" s="515"/>
      <c r="D119" s="516"/>
      <c r="E119" s="516"/>
      <c r="F119" s="516"/>
      <c r="G119" s="516"/>
      <c r="H119" s="471"/>
      <c r="I119" s="471"/>
      <c r="J119" s="471"/>
      <c r="K119" s="471"/>
      <c r="L119" s="471"/>
      <c r="M119" s="471"/>
      <c r="N119" s="471"/>
      <c r="O119" s="471"/>
      <c r="P119" s="471"/>
      <c r="Q119" s="471"/>
      <c r="R119" s="471"/>
      <c r="S119" s="471"/>
      <c r="T119" s="471"/>
      <c r="U119" s="558"/>
      <c r="V119" s="471"/>
      <c r="W119" s="471"/>
      <c r="X119" s="471"/>
      <c r="Y119" s="471"/>
      <c r="Z119" s="471"/>
      <c r="AA119" s="471"/>
      <c r="AB119" s="471"/>
      <c r="AC119" s="471"/>
      <c r="AD119" s="471"/>
      <c r="AE119" s="471"/>
      <c r="AF119" s="471"/>
      <c r="AG119" s="637" t="s">
        <v>125</v>
      </c>
      <c r="AH119" s="1235">
        <f>MAX(AH107:AH118)</f>
        <v>0</v>
      </c>
      <c r="AI119" s="471"/>
      <c r="AJ119" s="471"/>
      <c r="AK119" s="471"/>
      <c r="AL119" s="471"/>
      <c r="AM119" s="471"/>
      <c r="AN119" s="471"/>
      <c r="AO119" s="471"/>
      <c r="AP119" s="471"/>
      <c r="AQ119" s="471"/>
      <c r="AR119" s="471"/>
      <c r="AS119" s="471"/>
      <c r="AT119" s="471"/>
      <c r="AU119" s="471"/>
      <c r="AV119" s="471"/>
      <c r="AW119" s="471"/>
      <c r="AX119" s="471"/>
      <c r="AY119" s="471"/>
      <c r="AZ119" s="471"/>
      <c r="BA119" s="471"/>
      <c r="BB119" s="506"/>
      <c r="BC119" s="558"/>
      <c r="BH119" s="1037">
        <v>20</v>
      </c>
      <c r="BI119" s="1036">
        <f t="shared" si="6"/>
        <v>550</v>
      </c>
      <c r="BJ119" s="1035">
        <f t="shared" si="7"/>
        <v>550</v>
      </c>
      <c r="BK119" s="1034">
        <f t="shared" si="3"/>
        <v>380.30578023441416</v>
      </c>
      <c r="BL119" s="1033">
        <f t="shared" si="4"/>
        <v>380.30578023441416</v>
      </c>
      <c r="BM119" s="1033">
        <f t="shared" si="8"/>
        <v>19.694219765585842</v>
      </c>
      <c r="BN119" s="1033" t="b">
        <f t="shared" si="5"/>
        <v>0</v>
      </c>
      <c r="CQ119" s="524"/>
      <c r="CR119" s="524"/>
      <c r="CS119" s="524"/>
      <c r="CT119" s="524"/>
      <c r="CU119" s="524"/>
      <c r="CV119" s="524"/>
      <c r="CW119" s="524"/>
      <c r="EC119" s="1093"/>
      <c r="ED119" s="1093"/>
    </row>
    <row r="120" spans="2:134" ht="19.2" hidden="1" x14ac:dyDescent="0.45">
      <c r="B120" s="535"/>
      <c r="C120" s="515"/>
      <c r="D120" s="516"/>
      <c r="E120" s="516"/>
      <c r="F120" s="516"/>
      <c r="G120" s="516"/>
      <c r="H120" s="471"/>
      <c r="I120" s="471"/>
      <c r="J120" s="471"/>
      <c r="K120" s="471"/>
      <c r="L120" s="471"/>
      <c r="M120" s="471"/>
      <c r="N120" s="471"/>
      <c r="O120" s="471"/>
      <c r="P120" s="471"/>
      <c r="Q120" s="471"/>
      <c r="R120" s="471"/>
      <c r="S120" s="471"/>
      <c r="T120" s="471"/>
      <c r="U120" s="558"/>
      <c r="V120" s="471"/>
      <c r="W120" s="471"/>
      <c r="X120" s="471"/>
      <c r="Y120" s="471"/>
      <c r="Z120" s="471"/>
      <c r="AA120" s="471"/>
      <c r="AB120" s="471"/>
      <c r="AC120" s="471"/>
      <c r="AD120" s="471"/>
      <c r="AE120" s="471"/>
      <c r="AF120" s="471"/>
      <c r="AG120" s="471"/>
      <c r="AH120" s="471"/>
      <c r="AI120" s="471"/>
      <c r="AJ120" s="471"/>
      <c r="AK120" s="471"/>
      <c r="AL120" s="471"/>
      <c r="AM120" s="471"/>
      <c r="AN120" s="471"/>
      <c r="AO120" s="471"/>
      <c r="AP120" s="471"/>
      <c r="AQ120" s="471"/>
      <c r="AR120" s="471"/>
      <c r="AS120" s="471"/>
      <c r="AT120" s="471"/>
      <c r="AU120" s="471"/>
      <c r="AV120" s="471"/>
      <c r="AW120" s="471"/>
      <c r="AX120" s="471"/>
      <c r="AY120" s="471"/>
      <c r="AZ120" s="471"/>
      <c r="BA120" s="471"/>
      <c r="BB120" s="506"/>
      <c r="BC120" s="558"/>
      <c r="BH120" s="1037">
        <v>21</v>
      </c>
      <c r="BI120" s="1036">
        <f t="shared" si="6"/>
        <v>600</v>
      </c>
      <c r="BJ120" s="1035">
        <f t="shared" si="7"/>
        <v>600</v>
      </c>
      <c r="BK120" s="1034">
        <f t="shared" si="3"/>
        <v>430.30578023441416</v>
      </c>
      <c r="BL120" s="1033">
        <f t="shared" si="4"/>
        <v>430.30578023441416</v>
      </c>
      <c r="BM120" s="1033">
        <f t="shared" si="8"/>
        <v>19.694219765585842</v>
      </c>
      <c r="BN120" s="1033" t="b">
        <f t="shared" si="5"/>
        <v>0</v>
      </c>
      <c r="CQ120" s="524"/>
      <c r="CR120" s="524"/>
      <c r="CS120" s="524"/>
      <c r="CT120" s="524"/>
      <c r="CU120" s="524"/>
      <c r="CV120" s="524"/>
    </row>
    <row r="121" spans="2:134" ht="19.2" hidden="1" x14ac:dyDescent="0.45">
      <c r="B121" s="535"/>
      <c r="AB121" s="1222"/>
      <c r="AC121" s="1222"/>
      <c r="AD121" s="1222"/>
      <c r="AE121" s="1222"/>
      <c r="BF121" s="524"/>
      <c r="BH121" s="1037">
        <v>22</v>
      </c>
      <c r="BI121" s="1036">
        <f t="shared" si="6"/>
        <v>650</v>
      </c>
      <c r="BJ121" s="1035">
        <f t="shared" si="7"/>
        <v>650</v>
      </c>
      <c r="BK121" s="1034">
        <f t="shared" si="3"/>
        <v>480.30578023441416</v>
      </c>
      <c r="BL121" s="1033">
        <f t="shared" si="4"/>
        <v>480.30578023441416</v>
      </c>
      <c r="BM121" s="1033">
        <f t="shared" si="8"/>
        <v>19.694219765585842</v>
      </c>
      <c r="BN121" s="1033" t="b">
        <f t="shared" si="5"/>
        <v>0</v>
      </c>
      <c r="CQ121" s="524"/>
      <c r="CR121" s="524"/>
      <c r="CS121" s="524"/>
      <c r="CT121" s="524"/>
      <c r="CU121" s="524"/>
      <c r="CV121" s="524"/>
    </row>
    <row r="122" spans="2:134" ht="19.2" hidden="1" x14ac:dyDescent="0.45">
      <c r="V122" s="1232"/>
      <c r="W122" s="1232"/>
      <c r="X122" s="1232"/>
      <c r="Y122" s="1232"/>
      <c r="Z122" s="1232"/>
      <c r="AA122" s="1232"/>
      <c r="AB122" s="1232"/>
      <c r="AC122" s="1232"/>
      <c r="AD122" s="1232"/>
      <c r="AE122" s="1232"/>
      <c r="AF122" s="1232"/>
      <c r="AG122" s="1232"/>
      <c r="AH122" s="1232"/>
      <c r="AI122" s="1232"/>
      <c r="AJ122" s="1232"/>
      <c r="AK122" s="1232"/>
      <c r="AL122" s="1232"/>
      <c r="AM122" s="1232"/>
      <c r="AN122" s="1232"/>
      <c r="AO122" s="1232"/>
      <c r="AP122" s="1232"/>
      <c r="AQ122" s="1232"/>
      <c r="AR122" s="1232"/>
      <c r="AS122" s="1232"/>
      <c r="AT122" s="1232"/>
      <c r="AU122" s="1232"/>
      <c r="AV122" s="1232"/>
      <c r="AW122" s="1232"/>
      <c r="AX122" s="1232"/>
      <c r="AY122" s="1232"/>
      <c r="AZ122" s="1232"/>
      <c r="BA122" s="1232"/>
      <c r="BB122" s="489"/>
      <c r="BH122" s="1037">
        <v>23</v>
      </c>
      <c r="BI122" s="1036">
        <f t="shared" si="6"/>
        <v>700</v>
      </c>
      <c r="BJ122" s="1035">
        <f t="shared" si="7"/>
        <v>700</v>
      </c>
      <c r="BK122" s="1034">
        <f t="shared" si="3"/>
        <v>530.30578023441421</v>
      </c>
      <c r="BL122" s="1033">
        <f t="shared" si="4"/>
        <v>530.30578023441421</v>
      </c>
      <c r="BM122" s="1033">
        <f t="shared" si="8"/>
        <v>19.694219765585842</v>
      </c>
      <c r="BN122" s="1033" t="b">
        <f t="shared" si="5"/>
        <v>0</v>
      </c>
      <c r="CQ122" s="524"/>
      <c r="CR122" s="524"/>
      <c r="CS122" s="524"/>
      <c r="CT122" s="524"/>
      <c r="CU122" s="524"/>
      <c r="CV122" s="524"/>
    </row>
    <row r="123" spans="2:134" ht="19.8" thickBot="1" x14ac:dyDescent="0.5">
      <c r="U123" s="465"/>
      <c r="V123" s="1232"/>
      <c r="W123" s="1232"/>
      <c r="X123" s="1232"/>
      <c r="Y123" s="1232"/>
      <c r="Z123" s="1232"/>
      <c r="AA123" s="1232"/>
      <c r="AB123" s="1232"/>
      <c r="AC123" s="1232"/>
      <c r="AD123" s="1232"/>
      <c r="AE123" s="1232"/>
      <c r="AF123" s="1232"/>
      <c r="AG123" s="1232"/>
      <c r="AH123" s="1232"/>
      <c r="AI123" s="1232"/>
      <c r="AJ123" s="1232"/>
      <c r="AK123" s="1232"/>
      <c r="AL123" s="1232"/>
      <c r="AM123" s="1232"/>
      <c r="AN123" s="1232"/>
      <c r="AO123" s="1232"/>
      <c r="AP123" s="1232"/>
      <c r="AQ123" s="1232"/>
      <c r="AR123" s="1232"/>
      <c r="AS123" s="1232"/>
      <c r="AT123" s="1232"/>
      <c r="AU123" s="1232"/>
      <c r="AV123" s="1232"/>
      <c r="AW123" s="1232"/>
      <c r="AX123" s="1232"/>
      <c r="AY123" s="1232"/>
      <c r="AZ123" s="1232"/>
      <c r="BA123" s="1232"/>
      <c r="BB123" s="489"/>
      <c r="BC123" s="473"/>
      <c r="BF123" s="524"/>
      <c r="BH123" s="1037">
        <v>24</v>
      </c>
      <c r="BI123" s="1036">
        <f t="shared" si="6"/>
        <v>750</v>
      </c>
      <c r="BJ123" s="1035">
        <f t="shared" si="7"/>
        <v>750</v>
      </c>
      <c r="BK123" s="1034">
        <f t="shared" si="3"/>
        <v>580.30578023441421</v>
      </c>
      <c r="BL123" s="1033">
        <f t="shared" si="4"/>
        <v>580.30578023441421</v>
      </c>
      <c r="BM123" s="1033">
        <f t="shared" si="8"/>
        <v>19.694219765585842</v>
      </c>
      <c r="BN123" s="1033" t="b">
        <f t="shared" si="5"/>
        <v>0</v>
      </c>
      <c r="CQ123" s="524"/>
      <c r="CR123" s="524"/>
      <c r="CS123" s="524"/>
      <c r="CT123" s="524"/>
      <c r="CU123" s="524"/>
      <c r="CV123" s="524"/>
    </row>
    <row r="124" spans="2:134" ht="64.5" customHeight="1" thickTop="1" thickBot="1" x14ac:dyDescent="0.5">
      <c r="B124" s="1077" t="s">
        <v>254</v>
      </c>
      <c r="C124" s="592"/>
      <c r="D124" s="643"/>
      <c r="E124" s="593"/>
      <c r="F124" s="593"/>
      <c r="G124" s="593"/>
      <c r="H124" s="1224"/>
      <c r="I124" s="1224"/>
      <c r="J124" s="1224"/>
      <c r="K124" s="1224"/>
      <c r="L124" s="1224"/>
      <c r="M124" s="1224"/>
      <c r="N124" s="1224"/>
      <c r="O124" s="1224"/>
      <c r="P124" s="1224"/>
      <c r="Q124" s="1224"/>
      <c r="R124" s="1224"/>
      <c r="S124" s="1234" t="s">
        <v>105</v>
      </c>
      <c r="T124" s="1234">
        <f>SUM(V128:V151)/B125</f>
        <v>146.5</v>
      </c>
      <c r="U124" s="1233"/>
      <c r="V124" s="1232"/>
      <c r="W124" s="1232"/>
      <c r="X124" s="1232"/>
      <c r="Y124" s="1232"/>
      <c r="Z124" s="1232"/>
      <c r="AA124" s="1232"/>
      <c r="AB124" s="1232"/>
      <c r="AC124" s="1232"/>
      <c r="AD124" s="1232"/>
      <c r="AE124" s="1232"/>
      <c r="AF124" s="1232"/>
      <c r="AG124" s="1232"/>
      <c r="AH124" s="1232"/>
      <c r="AI124" s="1232"/>
      <c r="AJ124" s="1232"/>
      <c r="AK124" s="1232"/>
      <c r="AL124" s="1232"/>
      <c r="AM124" s="1232"/>
      <c r="AN124" s="1232"/>
      <c r="AO124" s="1232"/>
      <c r="AP124" s="1232"/>
      <c r="AQ124" s="1232"/>
      <c r="AR124" s="1232"/>
      <c r="AS124" s="1232"/>
      <c r="AT124" s="1232"/>
      <c r="AU124" s="1232"/>
      <c r="AV124" s="1232"/>
      <c r="AW124" s="1232"/>
      <c r="AX124" s="1232"/>
      <c r="AY124" s="1232"/>
      <c r="AZ124" s="1232"/>
      <c r="BA124" s="1232"/>
      <c r="BB124" s="489"/>
      <c r="BC124" s="598"/>
      <c r="BD124" s="598"/>
      <c r="BE124" s="598"/>
      <c r="BF124" s="524"/>
      <c r="BH124" s="1037">
        <v>25</v>
      </c>
      <c r="BI124" s="1036">
        <f t="shared" si="6"/>
        <v>800</v>
      </c>
      <c r="BJ124" s="1035">
        <f t="shared" si="7"/>
        <v>800</v>
      </c>
      <c r="BK124" s="1034">
        <f t="shared" si="3"/>
        <v>630.30578023441421</v>
      </c>
      <c r="BL124" s="1033">
        <f t="shared" si="4"/>
        <v>630.30578023441421</v>
      </c>
      <c r="BM124" s="1033">
        <f t="shared" si="8"/>
        <v>19.694219765585842</v>
      </c>
      <c r="BN124" s="1033" t="b">
        <f t="shared" si="5"/>
        <v>0</v>
      </c>
      <c r="CQ124" s="524"/>
      <c r="CR124" s="524"/>
      <c r="CS124" s="524"/>
      <c r="CT124" s="524"/>
      <c r="CU124" s="524"/>
      <c r="CV124" s="524"/>
    </row>
    <row r="125" spans="2:134" ht="32.25" customHeight="1" thickTop="1" thickBot="1" x14ac:dyDescent="0.5">
      <c r="B125" s="1076">
        <v>1</v>
      </c>
      <c r="C125" s="1877"/>
      <c r="D125" s="1255" t="s">
        <v>71</v>
      </c>
      <c r="E125" s="1876"/>
      <c r="F125" s="1876"/>
      <c r="G125" s="1876"/>
      <c r="H125" s="1231"/>
      <c r="I125" s="1230"/>
      <c r="J125" s="1230"/>
      <c r="K125" s="1230"/>
      <c r="L125" s="1230"/>
      <c r="M125" s="1230"/>
      <c r="N125" s="1230"/>
      <c r="O125" s="1230"/>
      <c r="P125" s="1230"/>
      <c r="Q125" s="1230"/>
      <c r="R125" s="1230"/>
      <c r="S125" s="1229"/>
      <c r="T125" s="1228"/>
      <c r="U125" s="1227"/>
      <c r="V125" s="1226"/>
      <c r="W125" s="1226"/>
      <c r="X125" s="1226"/>
      <c r="Y125" s="1226"/>
      <c r="Z125" s="1226"/>
      <c r="AA125" s="1226"/>
      <c r="AB125" s="1226"/>
      <c r="AC125" s="1226"/>
      <c r="AD125" s="1226"/>
      <c r="AE125" s="1226"/>
      <c r="AF125" s="1226"/>
      <c r="AG125" s="1226"/>
      <c r="AH125" s="1226"/>
      <c r="AI125" s="1226"/>
      <c r="AJ125" s="1226"/>
      <c r="AK125" s="1226"/>
      <c r="AL125" s="1226"/>
      <c r="AM125" s="1226"/>
      <c r="AN125" s="1226"/>
      <c r="AO125" s="1226"/>
      <c r="AP125" s="1226"/>
      <c r="AQ125" s="1226"/>
      <c r="AR125" s="1226"/>
      <c r="AS125" s="1226"/>
      <c r="AT125" s="1226"/>
      <c r="AU125" s="1226"/>
      <c r="AV125" s="1226"/>
      <c r="AW125" s="1226"/>
      <c r="AX125" s="1226"/>
      <c r="AY125" s="1226"/>
      <c r="AZ125" s="2096" t="s">
        <v>68</v>
      </c>
      <c r="BA125" s="2097"/>
      <c r="BB125" s="599"/>
      <c r="BC125" s="600"/>
      <c r="BD125" s="600"/>
      <c r="BE125" s="600"/>
      <c r="BF125" s="524"/>
      <c r="BH125" s="1037">
        <v>26</v>
      </c>
      <c r="BI125" s="1036">
        <f t="shared" si="6"/>
        <v>850</v>
      </c>
      <c r="BJ125" s="1035">
        <f t="shared" si="7"/>
        <v>850</v>
      </c>
      <c r="BK125" s="1034">
        <f t="shared" si="3"/>
        <v>680.30578023441421</v>
      </c>
      <c r="BL125" s="1033">
        <f t="shared" si="4"/>
        <v>680.30578023441421</v>
      </c>
      <c r="BM125" s="1033">
        <f t="shared" si="8"/>
        <v>19.694219765585842</v>
      </c>
      <c r="BN125" s="1033" t="b">
        <f t="shared" si="5"/>
        <v>0</v>
      </c>
      <c r="CQ125" s="524"/>
      <c r="CR125" s="524"/>
      <c r="CS125" s="524"/>
      <c r="CT125" s="524"/>
      <c r="CU125" s="524"/>
      <c r="CV125" s="524"/>
    </row>
    <row r="126" spans="2:134" ht="20.399999999999999" hidden="1" thickTop="1" thickBot="1" x14ac:dyDescent="0.5">
      <c r="B126" s="536"/>
      <c r="C126" s="537"/>
      <c r="D126" s="1071" t="s">
        <v>13</v>
      </c>
      <c r="E126" s="516"/>
      <c r="F126" s="516"/>
      <c r="G126" s="516"/>
      <c r="H126" s="1225" t="s">
        <v>4</v>
      </c>
      <c r="I126" s="1225" t="s">
        <v>1</v>
      </c>
      <c r="J126" s="1224" t="s">
        <v>0</v>
      </c>
      <c r="K126" s="1224" t="s">
        <v>2</v>
      </c>
      <c r="L126" s="1224" t="s">
        <v>3</v>
      </c>
      <c r="M126" s="1224" t="s">
        <v>8</v>
      </c>
      <c r="N126" s="1224" t="s">
        <v>5</v>
      </c>
      <c r="O126" s="1224" t="s">
        <v>6</v>
      </c>
      <c r="P126" s="1224" t="s">
        <v>7</v>
      </c>
      <c r="Q126" s="1224" t="s">
        <v>9</v>
      </c>
      <c r="R126" s="1216" t="s">
        <v>10</v>
      </c>
      <c r="S126" s="1224" t="s">
        <v>11</v>
      </c>
      <c r="T126" s="1223" t="s">
        <v>12</v>
      </c>
      <c r="U126" s="1214"/>
      <c r="V126" s="1213"/>
      <c r="W126" s="1213"/>
      <c r="X126" s="1213"/>
      <c r="Y126" s="1213"/>
      <c r="Z126" s="1213"/>
      <c r="AA126" s="1213"/>
      <c r="AB126" s="1213"/>
      <c r="AC126" s="1213"/>
      <c r="AD126" s="1213"/>
      <c r="AE126" s="1213"/>
      <c r="AF126" s="1213"/>
      <c r="AG126" s="1213"/>
      <c r="AH126" s="1213"/>
      <c r="AI126" s="1213"/>
      <c r="AJ126" s="1213"/>
      <c r="AK126" s="1213"/>
      <c r="AL126" s="1213"/>
      <c r="AM126" s="1213"/>
      <c r="AN126" s="1213"/>
      <c r="AO126" s="1213"/>
      <c r="AP126" s="1213"/>
      <c r="AQ126" s="1213"/>
      <c r="AR126" s="1213"/>
      <c r="AS126" s="1213"/>
      <c r="AT126" s="1213"/>
      <c r="AU126" s="1213"/>
      <c r="AV126" s="1213"/>
      <c r="AW126" s="1213"/>
      <c r="AX126" s="1222"/>
      <c r="AY126" s="1213"/>
      <c r="AZ126" s="1213"/>
      <c r="BA126" s="1213"/>
      <c r="BB126" s="541"/>
      <c r="BC126" s="540"/>
      <c r="BD126" s="506"/>
      <c r="BE126" s="506"/>
      <c r="BF126" s="524"/>
      <c r="BH126" s="1037">
        <v>27</v>
      </c>
      <c r="BI126" s="1036">
        <f t="shared" si="6"/>
        <v>900</v>
      </c>
      <c r="BJ126" s="1035">
        <f t="shared" si="7"/>
        <v>900</v>
      </c>
      <c r="BK126" s="1034">
        <f t="shared" si="3"/>
        <v>730.30578023441421</v>
      </c>
      <c r="BL126" s="1033">
        <f t="shared" si="4"/>
        <v>730.30578023441421</v>
      </c>
      <c r="BM126" s="1033">
        <f t="shared" si="8"/>
        <v>19.694219765585842</v>
      </c>
      <c r="BN126" s="1033" t="b">
        <f t="shared" si="5"/>
        <v>0</v>
      </c>
      <c r="CQ126" s="524"/>
      <c r="CR126" s="524"/>
      <c r="CS126" s="524"/>
      <c r="CT126" s="524"/>
      <c r="CU126" s="524"/>
      <c r="CV126" s="524"/>
    </row>
    <row r="127" spans="2:134" ht="37.5" customHeight="1" thickTop="1" thickBot="1" x14ac:dyDescent="0.5">
      <c r="B127" s="1221"/>
      <c r="C127" s="1220"/>
      <c r="D127" s="546" t="s">
        <v>24</v>
      </c>
      <c r="E127" s="1876"/>
      <c r="F127" s="1219" t="s">
        <v>58</v>
      </c>
      <c r="G127" s="1067"/>
      <c r="H127" s="1218"/>
      <c r="I127" s="1217"/>
      <c r="J127" s="471"/>
      <c r="K127" s="471"/>
      <c r="L127" s="471"/>
      <c r="M127" s="471"/>
      <c r="N127" s="471"/>
      <c r="O127" s="471"/>
      <c r="P127" s="471"/>
      <c r="Q127" s="471"/>
      <c r="R127" s="1216"/>
      <c r="S127" s="471"/>
      <c r="T127" s="1215"/>
      <c r="U127" s="1214"/>
      <c r="V127" s="1213"/>
      <c r="W127" s="1213"/>
      <c r="X127" s="1213"/>
      <c r="Y127" s="1213"/>
      <c r="Z127" s="1213"/>
      <c r="AA127" s="1213"/>
      <c r="AB127" s="1213"/>
      <c r="AC127" s="1213"/>
      <c r="AD127" s="1213"/>
      <c r="AE127" s="1213"/>
      <c r="AF127" s="1213" t="s">
        <v>51</v>
      </c>
      <c r="AG127" s="1212" t="s">
        <v>44</v>
      </c>
      <c r="AH127" s="1212"/>
      <c r="AI127" s="1059" t="s">
        <v>96</v>
      </c>
      <c r="AJ127" s="1211" t="s">
        <v>45</v>
      </c>
      <c r="AK127" s="1210" t="s">
        <v>46</v>
      </c>
      <c r="AL127" s="1059" t="s">
        <v>97</v>
      </c>
      <c r="AM127" s="1209" t="s">
        <v>47</v>
      </c>
      <c r="AN127" s="1210" t="s">
        <v>48</v>
      </c>
      <c r="AO127" s="1209"/>
      <c r="AP127" s="1208" t="s">
        <v>49</v>
      </c>
      <c r="AQ127" s="1207"/>
      <c r="AR127" s="1207" t="s">
        <v>50</v>
      </c>
      <c r="AS127" s="1207" t="s">
        <v>52</v>
      </c>
      <c r="AT127" s="1207"/>
      <c r="AU127" s="1207" t="s">
        <v>53</v>
      </c>
      <c r="AV127" s="1206" t="s">
        <v>54</v>
      </c>
      <c r="AW127" s="1206" t="s">
        <v>55</v>
      </c>
      <c r="AX127" s="1205" t="s">
        <v>25</v>
      </c>
      <c r="AY127" s="1205" t="s">
        <v>26</v>
      </c>
      <c r="AZ127" s="1204" t="s">
        <v>25</v>
      </c>
      <c r="BA127" s="1204" t="s">
        <v>26</v>
      </c>
      <c r="BB127" s="506"/>
      <c r="BC127" s="540"/>
      <c r="BD127" s="506"/>
      <c r="BE127" s="506"/>
      <c r="BF127" s="524"/>
      <c r="BH127" s="1037">
        <v>28</v>
      </c>
      <c r="BI127" s="1036">
        <f t="shared" si="6"/>
        <v>950</v>
      </c>
      <c r="BJ127" s="1035">
        <f t="shared" si="7"/>
        <v>950</v>
      </c>
      <c r="BK127" s="1034">
        <f t="shared" si="3"/>
        <v>780.30578023441421</v>
      </c>
      <c r="BL127" s="1033">
        <f t="shared" si="4"/>
        <v>780.30578023441421</v>
      </c>
      <c r="BM127" s="1033">
        <f t="shared" si="8"/>
        <v>19.694219765585842</v>
      </c>
      <c r="BN127" s="1033" t="b">
        <f t="shared" si="5"/>
        <v>0</v>
      </c>
      <c r="BO127" s="473"/>
      <c r="CQ127" s="524"/>
      <c r="CR127" s="524"/>
      <c r="CS127" s="524"/>
      <c r="CT127" s="524"/>
      <c r="CU127" s="524"/>
      <c r="CV127" s="524"/>
    </row>
    <row r="128" spans="2:134" ht="21" customHeight="1" thickBot="1" x14ac:dyDescent="0.5">
      <c r="B128" s="1203">
        <v>1</v>
      </c>
      <c r="C128" s="1202">
        <f>+AH119+D128</f>
        <v>0</v>
      </c>
      <c r="D128" s="463">
        <v>0</v>
      </c>
      <c r="E128" s="632" t="s">
        <v>256</v>
      </c>
      <c r="F128" s="584">
        <f t="shared" ref="F128:F151" si="40">+G128</f>
        <v>0</v>
      </c>
      <c r="G128" s="584">
        <f>+D128</f>
        <v>0</v>
      </c>
      <c r="H128" s="1199">
        <v>190.76</v>
      </c>
      <c r="I128" s="1198">
        <v>79.651040199999997</v>
      </c>
      <c r="J128" s="1197">
        <f>+I128-C128</f>
        <v>79.651040199999997</v>
      </c>
      <c r="K128" s="1197">
        <f t="shared" ref="K128:K151" si="41">+J128/2</f>
        <v>39.825520099999999</v>
      </c>
      <c r="L128" s="1197">
        <f t="shared" ref="L128:L151" si="42">SIN(K128*3.14159265358979/180)</f>
        <v>0.64045183696587837</v>
      </c>
      <c r="M128" s="1197">
        <f t="shared" ref="M128:M151" si="43">+L128*H128</f>
        <v>122.17259241961095</v>
      </c>
      <c r="N128" s="1197">
        <f t="shared" ref="N128:N151" si="44">+M128*2</f>
        <v>244.3451848392219</v>
      </c>
      <c r="O128" s="1197">
        <f>+C128/2</f>
        <v>0</v>
      </c>
      <c r="P128" s="1197">
        <f t="shared" ref="P128:P151" si="45">SIN(O128*3.14159265358979/180)</f>
        <v>0</v>
      </c>
      <c r="Q128" s="1197">
        <f t="shared" ref="Q128:Q151" si="46">+P128*N128</f>
        <v>0</v>
      </c>
      <c r="R128" s="1201">
        <v>146.5</v>
      </c>
      <c r="S128" s="1197">
        <f>+R128+Q128</f>
        <v>146.5</v>
      </c>
      <c r="T128" s="1196">
        <f t="shared" ref="T128:T151" si="47">+S128</f>
        <v>146.5</v>
      </c>
      <c r="V128" s="1193">
        <f t="shared" ref="V128:V151" si="48">IF(B128&lt;($B$125+1),T128,0)</f>
        <v>146.5</v>
      </c>
      <c r="W128" s="1193"/>
      <c r="X128" s="1193"/>
      <c r="Y128" s="1193"/>
      <c r="Z128" s="1193"/>
      <c r="AA128" s="1193"/>
      <c r="AB128" s="1195" t="str">
        <f t="shared" ref="AB128:AB151" si="49">IF(AY128&lt;0,"pin in groundstacking hole"," ")</f>
        <v xml:space="preserve"> </v>
      </c>
      <c r="AC128" s="1194"/>
      <c r="AD128" s="1194"/>
      <c r="AE128" s="1194"/>
      <c r="AF128" s="1193">
        <f>SUM(V128:V151)/($B$125)</f>
        <v>146.5</v>
      </c>
      <c r="AG128" s="1192">
        <f>C128</f>
        <v>0</v>
      </c>
      <c r="AH128" s="1192"/>
      <c r="AI128" s="568">
        <f t="shared" ref="AI128:AI151" si="50">69.3447148-AG128</f>
        <v>69.344714800000006</v>
      </c>
      <c r="AJ128" s="1191">
        <f t="shared" ref="AJ128:AJ151" si="51">SIN(AI128*3.14159265358979/180)</f>
        <v>0.93571960494171247</v>
      </c>
      <c r="AK128" s="658">
        <f t="shared" ref="AK128:AK151" si="52">+AJ128*192.42</f>
        <v>180.0511663828843</v>
      </c>
      <c r="AL128" s="568">
        <f t="shared" ref="AL128:AL151" si="53">50.1744799+AG128</f>
        <v>50.174479900000001</v>
      </c>
      <c r="AM128" s="1190">
        <f t="shared" ref="AM128:AM151" si="54">SIN(AL128*3.14159265358979/180)</f>
        <v>0.76799833627881664</v>
      </c>
      <c r="AN128" s="658">
        <f t="shared" ref="AN128:AN151" si="55">+AM128*190.76</f>
        <v>146.50336262854705</v>
      </c>
      <c r="AO128" s="1200"/>
      <c r="AP128" s="658">
        <f>25.5*B125</f>
        <v>25.5</v>
      </c>
      <c r="AQ128" s="1188"/>
      <c r="AR128" s="1188">
        <f t="shared" ref="AR128:AR151" si="56">+AN128+AK128</f>
        <v>326.55452901143133</v>
      </c>
      <c r="AS128" s="1187">
        <f t="shared" ref="AS128:AS151" si="57">+V128-AN128</f>
        <v>-3.3626285470518269E-3</v>
      </c>
      <c r="AT128" s="1187"/>
      <c r="AU128" s="1187">
        <f t="shared" ref="AU128:AU151" si="58">+AF128-AS128</f>
        <v>146.50336262854705</v>
      </c>
      <c r="AV128" s="1186">
        <f t="shared" ref="AV128:AV151" si="59">+((AR128-AU128)/AR128)*AP128</f>
        <v>14.059840960291279</v>
      </c>
      <c r="AW128" s="1186">
        <f t="shared" ref="AW128:AW151" si="60">+(AU128/AR128)*AP128</f>
        <v>11.440159039708721</v>
      </c>
      <c r="AX128" s="1185">
        <f t="shared" ref="AX128:AX151" si="61">2*$C$18/AV128</f>
        <v>825.04489437408847</v>
      </c>
      <c r="AY128" s="1185">
        <f t="shared" ref="AY128:AY151" si="62">$D$18/AW128</f>
        <v>874.11372213358766</v>
      </c>
      <c r="AZ128" s="1184">
        <f t="shared" ref="AZ128:BA151" si="63">ABS(AX128)</f>
        <v>825.04489437408847</v>
      </c>
      <c r="BA128" s="1184">
        <f t="shared" si="63"/>
        <v>874.11372213358766</v>
      </c>
      <c r="BB128" s="586" t="s">
        <v>56</v>
      </c>
      <c r="BC128" s="630"/>
      <c r="BF128" s="524"/>
      <c r="BH128" s="1037">
        <v>29</v>
      </c>
      <c r="BI128" s="1036">
        <f t="shared" si="6"/>
        <v>1000</v>
      </c>
      <c r="BJ128" s="1035">
        <f t="shared" si="7"/>
        <v>1000</v>
      </c>
      <c r="BK128" s="1034">
        <f t="shared" si="3"/>
        <v>830.30578023441421</v>
      </c>
      <c r="BL128" s="1033">
        <f t="shared" si="4"/>
        <v>830.30578023441421</v>
      </c>
      <c r="BM128" s="1033">
        <f t="shared" si="8"/>
        <v>19.694219765585842</v>
      </c>
      <c r="BN128" s="1033" t="b">
        <f t="shared" si="5"/>
        <v>0</v>
      </c>
      <c r="BO128" s="473"/>
      <c r="CQ128" s="524"/>
      <c r="CR128" s="524"/>
      <c r="CS128" s="524"/>
      <c r="CT128" s="524"/>
      <c r="CU128" s="524"/>
      <c r="CV128" s="524"/>
    </row>
    <row r="129" spans="1:122" ht="21" customHeight="1" thickBot="1" x14ac:dyDescent="0.5">
      <c r="B129" s="631">
        <v>2</v>
      </c>
      <c r="C129" s="612"/>
      <c r="D129" s="463">
        <v>0</v>
      </c>
      <c r="E129" s="632" t="s">
        <v>256</v>
      </c>
      <c r="F129" s="584" t="e">
        <f t="shared" si="40"/>
        <v>#DIV/0!</v>
      </c>
      <c r="G129" s="584" t="e">
        <f t="shared" ref="G129:G151" si="64">+D129+BB129</f>
        <v>#DIV/0!</v>
      </c>
      <c r="H129" s="1199">
        <v>190.76</v>
      </c>
      <c r="I129" s="1198">
        <v>79.651040199999997</v>
      </c>
      <c r="J129" s="1197">
        <f t="shared" ref="J129:J151" si="65">+I129-D129</f>
        <v>79.651040199999997</v>
      </c>
      <c r="K129" s="1197">
        <f t="shared" si="41"/>
        <v>39.825520099999999</v>
      </c>
      <c r="L129" s="1197">
        <f t="shared" si="42"/>
        <v>0.64045183696587837</v>
      </c>
      <c r="M129" s="1197">
        <f t="shared" si="43"/>
        <v>122.17259241961095</v>
      </c>
      <c r="N129" s="1197">
        <f t="shared" si="44"/>
        <v>244.3451848392219</v>
      </c>
      <c r="O129" s="1197">
        <f>+C128+(D129/2)</f>
        <v>0</v>
      </c>
      <c r="P129" s="1197">
        <f t="shared" si="45"/>
        <v>0</v>
      </c>
      <c r="Q129" s="1197">
        <f t="shared" si="46"/>
        <v>0</v>
      </c>
      <c r="R129" s="1197">
        <f t="shared" ref="R129:R151" si="66">+T128</f>
        <v>146.5</v>
      </c>
      <c r="S129" s="1197">
        <f>+R129+Q129</f>
        <v>146.5</v>
      </c>
      <c r="T129" s="1196">
        <f t="shared" si="47"/>
        <v>146.5</v>
      </c>
      <c r="V129" s="1193">
        <f t="shared" si="48"/>
        <v>0</v>
      </c>
      <c r="W129" s="1193"/>
      <c r="X129" s="1193"/>
      <c r="Y129" s="1193"/>
      <c r="Z129" s="1193"/>
      <c r="AA129" s="1193"/>
      <c r="AB129" s="1195" t="e">
        <f t="shared" si="49"/>
        <v>#DIV/0!</v>
      </c>
      <c r="AC129" s="1194"/>
      <c r="AD129" s="1194"/>
      <c r="AE129" s="1194"/>
      <c r="AF129" s="1193" t="e">
        <f t="shared" ref="AF129:AF151" si="67">SUM(V129:V152)/($B$125-B128)</f>
        <v>#DIV/0!</v>
      </c>
      <c r="AG129" s="1192">
        <f>SUM(D129)+$C$128</f>
        <v>0</v>
      </c>
      <c r="AH129" s="1192"/>
      <c r="AI129" s="568">
        <f t="shared" si="50"/>
        <v>69.344714800000006</v>
      </c>
      <c r="AJ129" s="1191">
        <f t="shared" si="51"/>
        <v>0.93571960494171247</v>
      </c>
      <c r="AK129" s="658">
        <f t="shared" si="52"/>
        <v>180.0511663828843</v>
      </c>
      <c r="AL129" s="568">
        <f t="shared" si="53"/>
        <v>50.174479900000001</v>
      </c>
      <c r="AM129" s="1190">
        <f t="shared" si="54"/>
        <v>0.76799833627881664</v>
      </c>
      <c r="AN129" s="658">
        <f t="shared" si="55"/>
        <v>146.50336262854705</v>
      </c>
      <c r="AO129" s="1200"/>
      <c r="AP129" s="658">
        <f t="shared" ref="AP129:AP151" si="68">25.5*($B$125-B128)</f>
        <v>0</v>
      </c>
      <c r="AQ129" s="1188"/>
      <c r="AR129" s="1188">
        <f t="shared" si="56"/>
        <v>326.55452901143133</v>
      </c>
      <c r="AS129" s="1187">
        <f t="shared" si="57"/>
        <v>-146.50336262854705</v>
      </c>
      <c r="AT129" s="1187"/>
      <c r="AU129" s="1187" t="e">
        <f t="shared" si="58"/>
        <v>#DIV/0!</v>
      </c>
      <c r="AV129" s="1186" t="e">
        <f t="shared" si="59"/>
        <v>#DIV/0!</v>
      </c>
      <c r="AW129" s="1186" t="e">
        <f t="shared" si="60"/>
        <v>#DIV/0!</v>
      </c>
      <c r="AX129" s="1185" t="e">
        <f t="shared" si="61"/>
        <v>#DIV/0!</v>
      </c>
      <c r="AY129" s="1185" t="e">
        <f t="shared" si="62"/>
        <v>#DIV/0!</v>
      </c>
      <c r="AZ129" s="1184" t="e">
        <f t="shared" si="63"/>
        <v>#DIV/0!</v>
      </c>
      <c r="BA129" s="1184" t="e">
        <f t="shared" si="63"/>
        <v>#DIV/0!</v>
      </c>
      <c r="BB129" s="474" t="e">
        <f t="shared" ref="BB129:BB151" si="69">IF(AY129&lt;0,0.3,0)</f>
        <v>#DIV/0!</v>
      </c>
      <c r="BF129" s="524"/>
      <c r="BH129" s="1037">
        <v>30</v>
      </c>
      <c r="BI129" s="1036">
        <f t="shared" si="6"/>
        <v>1050</v>
      </c>
      <c r="BJ129" s="1035">
        <f t="shared" si="7"/>
        <v>1050</v>
      </c>
      <c r="BK129" s="1034">
        <f t="shared" si="3"/>
        <v>880.30578023441421</v>
      </c>
      <c r="BL129" s="1033">
        <f t="shared" si="4"/>
        <v>880.30578023441421</v>
      </c>
      <c r="BM129" s="1033">
        <f t="shared" si="8"/>
        <v>19.694219765585842</v>
      </c>
      <c r="BN129" s="1033" t="b">
        <f t="shared" si="5"/>
        <v>0</v>
      </c>
      <c r="BO129" s="473"/>
      <c r="CQ129" s="524"/>
      <c r="CR129" s="524"/>
      <c r="CS129" s="524"/>
      <c r="CT129" s="524"/>
      <c r="CU129" s="524"/>
      <c r="CV129" s="524"/>
    </row>
    <row r="130" spans="1:122" ht="21" customHeight="1" thickBot="1" x14ac:dyDescent="0.35">
      <c r="B130" s="631">
        <v>3</v>
      </c>
      <c r="C130" s="612"/>
      <c r="D130" s="463">
        <v>0</v>
      </c>
      <c r="E130" s="632" t="s">
        <v>73</v>
      </c>
      <c r="F130" s="584">
        <f t="shared" si="40"/>
        <v>0.3</v>
      </c>
      <c r="G130" s="584">
        <f t="shared" si="64"/>
        <v>0.3</v>
      </c>
      <c r="H130" s="1199">
        <v>190.76</v>
      </c>
      <c r="I130" s="1198">
        <v>79.651040199999997</v>
      </c>
      <c r="J130" s="1197">
        <f t="shared" si="65"/>
        <v>79.651040199999997</v>
      </c>
      <c r="K130" s="1197">
        <f t="shared" si="41"/>
        <v>39.825520099999999</v>
      </c>
      <c r="L130" s="1197">
        <f t="shared" si="42"/>
        <v>0.64045183696587837</v>
      </c>
      <c r="M130" s="1197">
        <f t="shared" si="43"/>
        <v>122.17259241961095</v>
      </c>
      <c r="N130" s="1197">
        <f t="shared" si="44"/>
        <v>244.3451848392219</v>
      </c>
      <c r="O130" s="1197">
        <f>+C128+D129+(D130/2)</f>
        <v>0</v>
      </c>
      <c r="P130" s="1197">
        <f t="shared" si="45"/>
        <v>0</v>
      </c>
      <c r="Q130" s="1197">
        <f t="shared" si="46"/>
        <v>0</v>
      </c>
      <c r="R130" s="1197">
        <f t="shared" si="66"/>
        <v>146.5</v>
      </c>
      <c r="S130" s="1197">
        <f t="shared" ref="S130:S151" si="70">+S129+Q130</f>
        <v>146.5</v>
      </c>
      <c r="T130" s="1196">
        <f t="shared" si="47"/>
        <v>146.5</v>
      </c>
      <c r="V130" s="1193">
        <f t="shared" si="48"/>
        <v>0</v>
      </c>
      <c r="W130" s="1193"/>
      <c r="X130" s="1193"/>
      <c r="Y130" s="1193"/>
      <c r="Z130" s="1193"/>
      <c r="AA130" s="1193"/>
      <c r="AB130" s="1195" t="str">
        <f t="shared" si="49"/>
        <v>pin in groundstacking hole</v>
      </c>
      <c r="AC130" s="1194"/>
      <c r="AD130" s="1194"/>
      <c r="AE130" s="1194"/>
      <c r="AF130" s="1193">
        <f t="shared" si="67"/>
        <v>0</v>
      </c>
      <c r="AG130" s="1192">
        <f>SUM(D129:D130)+$C$128</f>
        <v>0</v>
      </c>
      <c r="AH130" s="1192"/>
      <c r="AI130" s="568">
        <f t="shared" si="50"/>
        <v>69.344714800000006</v>
      </c>
      <c r="AJ130" s="1191">
        <f t="shared" si="51"/>
        <v>0.93571960494171247</v>
      </c>
      <c r="AK130" s="658">
        <f t="shared" si="52"/>
        <v>180.0511663828843</v>
      </c>
      <c r="AL130" s="568">
        <f t="shared" si="53"/>
        <v>50.174479900000001</v>
      </c>
      <c r="AM130" s="1190">
        <f t="shared" si="54"/>
        <v>0.76799833627881664</v>
      </c>
      <c r="AN130" s="658">
        <f t="shared" si="55"/>
        <v>146.50336262854705</v>
      </c>
      <c r="AO130" s="1200"/>
      <c r="AP130" s="658">
        <f t="shared" si="68"/>
        <v>-25.5</v>
      </c>
      <c r="AQ130" s="1188"/>
      <c r="AR130" s="1188">
        <f t="shared" si="56"/>
        <v>326.55452901143133</v>
      </c>
      <c r="AS130" s="1187">
        <f t="shared" si="57"/>
        <v>-146.50336262854705</v>
      </c>
      <c r="AT130" s="1187"/>
      <c r="AU130" s="1187">
        <f t="shared" si="58"/>
        <v>146.50336262854705</v>
      </c>
      <c r="AV130" s="1186">
        <f t="shared" si="59"/>
        <v>-14.059840960291279</v>
      </c>
      <c r="AW130" s="1186">
        <f t="shared" si="60"/>
        <v>-11.440159039708721</v>
      </c>
      <c r="AX130" s="1185">
        <f t="shared" si="61"/>
        <v>-825.04489437408847</v>
      </c>
      <c r="AY130" s="1185">
        <f t="shared" si="62"/>
        <v>-874.11372213358766</v>
      </c>
      <c r="AZ130" s="1184">
        <f t="shared" si="63"/>
        <v>825.04489437408847</v>
      </c>
      <c r="BA130" s="1184">
        <f t="shared" si="63"/>
        <v>874.11372213358766</v>
      </c>
      <c r="BB130" s="474">
        <f t="shared" si="69"/>
        <v>0.3</v>
      </c>
      <c r="BF130" s="524"/>
      <c r="BG130" s="524"/>
      <c r="BH130" s="524"/>
      <c r="BI130" s="524"/>
      <c r="BJ130" s="524"/>
      <c r="BK130" s="524"/>
      <c r="BL130" s="524"/>
      <c r="BM130" s="524"/>
      <c r="BN130" s="524"/>
      <c r="BO130" s="473"/>
      <c r="CQ130" s="524"/>
      <c r="CR130" s="524"/>
      <c r="CS130" s="524"/>
      <c r="CT130" s="524"/>
      <c r="CU130" s="524"/>
      <c r="CV130" s="524"/>
    </row>
    <row r="131" spans="1:122" ht="21" customHeight="1" thickBot="1" x14ac:dyDescent="0.35">
      <c r="B131" s="631">
        <v>4</v>
      </c>
      <c r="C131" s="612"/>
      <c r="D131" s="463">
        <v>0</v>
      </c>
      <c r="E131" s="632" t="s">
        <v>72</v>
      </c>
      <c r="F131" s="584">
        <f t="shared" si="40"/>
        <v>0.3</v>
      </c>
      <c r="G131" s="584">
        <f t="shared" si="64"/>
        <v>0.3</v>
      </c>
      <c r="H131" s="1199">
        <v>190.76</v>
      </c>
      <c r="I131" s="1198">
        <v>79.651040199999997</v>
      </c>
      <c r="J131" s="1197">
        <f t="shared" si="65"/>
        <v>79.651040199999997</v>
      </c>
      <c r="K131" s="1197">
        <f t="shared" si="41"/>
        <v>39.825520099999999</v>
      </c>
      <c r="L131" s="1197">
        <f t="shared" si="42"/>
        <v>0.64045183696587837</v>
      </c>
      <c r="M131" s="1197">
        <f t="shared" si="43"/>
        <v>122.17259241961095</v>
      </c>
      <c r="N131" s="1197">
        <f t="shared" si="44"/>
        <v>244.3451848392219</v>
      </c>
      <c r="O131" s="1197">
        <f>+C128+D129+D130+(D131/2)</f>
        <v>0</v>
      </c>
      <c r="P131" s="1197">
        <f t="shared" si="45"/>
        <v>0</v>
      </c>
      <c r="Q131" s="1197">
        <f t="shared" si="46"/>
        <v>0</v>
      </c>
      <c r="R131" s="1197">
        <f t="shared" si="66"/>
        <v>146.5</v>
      </c>
      <c r="S131" s="1197">
        <f t="shared" si="70"/>
        <v>146.5</v>
      </c>
      <c r="T131" s="1196">
        <f t="shared" si="47"/>
        <v>146.5</v>
      </c>
      <c r="V131" s="1193">
        <f t="shared" si="48"/>
        <v>0</v>
      </c>
      <c r="W131" s="1193"/>
      <c r="X131" s="1193"/>
      <c r="Y131" s="1193"/>
      <c r="Z131" s="1193"/>
      <c r="AA131" s="1193"/>
      <c r="AB131" s="1195" t="str">
        <f t="shared" si="49"/>
        <v>pin in groundstacking hole</v>
      </c>
      <c r="AC131" s="1194"/>
      <c r="AD131" s="1194"/>
      <c r="AE131" s="1194"/>
      <c r="AF131" s="1193">
        <f t="shared" si="67"/>
        <v>0</v>
      </c>
      <c r="AG131" s="1192">
        <f>SUM(D129:D131)+$C$128</f>
        <v>0</v>
      </c>
      <c r="AH131" s="1192"/>
      <c r="AI131" s="568">
        <f t="shared" si="50"/>
        <v>69.344714800000006</v>
      </c>
      <c r="AJ131" s="1191">
        <f t="shared" si="51"/>
        <v>0.93571960494171247</v>
      </c>
      <c r="AK131" s="658">
        <f t="shared" si="52"/>
        <v>180.0511663828843</v>
      </c>
      <c r="AL131" s="568">
        <f t="shared" si="53"/>
        <v>50.174479900000001</v>
      </c>
      <c r="AM131" s="1190">
        <f t="shared" si="54"/>
        <v>0.76799833627881664</v>
      </c>
      <c r="AN131" s="658">
        <f t="shared" si="55"/>
        <v>146.50336262854705</v>
      </c>
      <c r="AO131" s="1200"/>
      <c r="AP131" s="658">
        <f t="shared" si="68"/>
        <v>-51</v>
      </c>
      <c r="AQ131" s="1188"/>
      <c r="AR131" s="1188">
        <f t="shared" si="56"/>
        <v>326.55452901143133</v>
      </c>
      <c r="AS131" s="1187">
        <f t="shared" si="57"/>
        <v>-146.50336262854705</v>
      </c>
      <c r="AT131" s="1187"/>
      <c r="AU131" s="1187">
        <f t="shared" si="58"/>
        <v>146.50336262854705</v>
      </c>
      <c r="AV131" s="1186">
        <f t="shared" si="59"/>
        <v>-28.119681920582558</v>
      </c>
      <c r="AW131" s="1186">
        <f t="shared" si="60"/>
        <v>-22.880318079417442</v>
      </c>
      <c r="AX131" s="1185">
        <f t="shared" si="61"/>
        <v>-412.52244718704424</v>
      </c>
      <c r="AY131" s="1185">
        <f t="shared" si="62"/>
        <v>-437.05686106679383</v>
      </c>
      <c r="AZ131" s="1184">
        <f t="shared" si="63"/>
        <v>412.52244718704424</v>
      </c>
      <c r="BA131" s="1184">
        <f t="shared" si="63"/>
        <v>437.05686106679383</v>
      </c>
      <c r="BB131" s="474">
        <f t="shared" si="69"/>
        <v>0.3</v>
      </c>
      <c r="BF131" s="524"/>
      <c r="BG131" s="524"/>
      <c r="BH131" s="524"/>
      <c r="BI131" s="524"/>
      <c r="BJ131" s="524"/>
      <c r="BK131" s="524"/>
      <c r="BL131" s="524"/>
      <c r="BM131" s="524"/>
      <c r="BN131" s="524"/>
      <c r="BO131" s="473"/>
      <c r="CQ131" s="524"/>
      <c r="CR131" s="524"/>
      <c r="CS131" s="524"/>
      <c r="CT131" s="524"/>
      <c r="CU131" s="524"/>
      <c r="CV131" s="524"/>
    </row>
    <row r="132" spans="1:122" ht="21" customHeight="1" thickBot="1" x14ac:dyDescent="0.35">
      <c r="B132" s="631">
        <v>5</v>
      </c>
      <c r="C132" s="612"/>
      <c r="D132" s="463">
        <v>0</v>
      </c>
      <c r="E132" s="632" t="s">
        <v>72</v>
      </c>
      <c r="F132" s="584">
        <f t="shared" si="40"/>
        <v>0.3</v>
      </c>
      <c r="G132" s="584">
        <f t="shared" si="64"/>
        <v>0.3</v>
      </c>
      <c r="H132" s="1199">
        <v>190.76</v>
      </c>
      <c r="I132" s="1198">
        <v>79.651040199999997</v>
      </c>
      <c r="J132" s="1197">
        <f t="shared" si="65"/>
        <v>79.651040199999997</v>
      </c>
      <c r="K132" s="1197">
        <f t="shared" si="41"/>
        <v>39.825520099999999</v>
      </c>
      <c r="L132" s="1197">
        <f t="shared" si="42"/>
        <v>0.64045183696587837</v>
      </c>
      <c r="M132" s="1197">
        <f t="shared" si="43"/>
        <v>122.17259241961095</v>
      </c>
      <c r="N132" s="1197">
        <f t="shared" si="44"/>
        <v>244.3451848392219</v>
      </c>
      <c r="O132" s="1197">
        <f>+C128+D129+D130+D131+(D132/2)</f>
        <v>0</v>
      </c>
      <c r="P132" s="1197">
        <f t="shared" si="45"/>
        <v>0</v>
      </c>
      <c r="Q132" s="1197">
        <f t="shared" si="46"/>
        <v>0</v>
      </c>
      <c r="R132" s="1197">
        <f t="shared" si="66"/>
        <v>146.5</v>
      </c>
      <c r="S132" s="1197">
        <f t="shared" si="70"/>
        <v>146.5</v>
      </c>
      <c r="T132" s="1196">
        <f t="shared" si="47"/>
        <v>146.5</v>
      </c>
      <c r="V132" s="1193">
        <f t="shared" si="48"/>
        <v>0</v>
      </c>
      <c r="W132" s="1193"/>
      <c r="X132" s="1193"/>
      <c r="Y132" s="1193"/>
      <c r="Z132" s="1193"/>
      <c r="AA132" s="1193"/>
      <c r="AB132" s="1195" t="str">
        <f t="shared" si="49"/>
        <v>pin in groundstacking hole</v>
      </c>
      <c r="AC132" s="1194"/>
      <c r="AD132" s="1194"/>
      <c r="AE132" s="1194"/>
      <c r="AF132" s="1193">
        <f t="shared" si="67"/>
        <v>0</v>
      </c>
      <c r="AG132" s="1192">
        <f>SUM(D129:D132)+$C$128</f>
        <v>0</v>
      </c>
      <c r="AH132" s="1192"/>
      <c r="AI132" s="568">
        <f t="shared" si="50"/>
        <v>69.344714800000006</v>
      </c>
      <c r="AJ132" s="1191">
        <f t="shared" si="51"/>
        <v>0.93571960494171247</v>
      </c>
      <c r="AK132" s="658">
        <f t="shared" si="52"/>
        <v>180.0511663828843</v>
      </c>
      <c r="AL132" s="568">
        <f t="shared" si="53"/>
        <v>50.174479900000001</v>
      </c>
      <c r="AM132" s="1190">
        <f t="shared" si="54"/>
        <v>0.76799833627881664</v>
      </c>
      <c r="AN132" s="658">
        <f t="shared" si="55"/>
        <v>146.50336262854705</v>
      </c>
      <c r="AO132" s="1200"/>
      <c r="AP132" s="658">
        <f t="shared" si="68"/>
        <v>-76.5</v>
      </c>
      <c r="AQ132" s="1188"/>
      <c r="AR132" s="1188">
        <f t="shared" si="56"/>
        <v>326.55452901143133</v>
      </c>
      <c r="AS132" s="1187">
        <f t="shared" si="57"/>
        <v>-146.50336262854705</v>
      </c>
      <c r="AT132" s="1187"/>
      <c r="AU132" s="1187">
        <f t="shared" si="58"/>
        <v>146.50336262854705</v>
      </c>
      <c r="AV132" s="1186">
        <f t="shared" si="59"/>
        <v>-42.17952288087384</v>
      </c>
      <c r="AW132" s="1186">
        <f t="shared" si="60"/>
        <v>-34.32047711912616</v>
      </c>
      <c r="AX132" s="1185">
        <f t="shared" si="61"/>
        <v>-275.01496479136279</v>
      </c>
      <c r="AY132" s="1185">
        <f t="shared" si="62"/>
        <v>-291.37124071119592</v>
      </c>
      <c r="AZ132" s="1184">
        <f t="shared" si="63"/>
        <v>275.01496479136279</v>
      </c>
      <c r="BA132" s="1184">
        <f t="shared" si="63"/>
        <v>291.37124071119592</v>
      </c>
      <c r="BB132" s="474">
        <f t="shared" si="69"/>
        <v>0.3</v>
      </c>
      <c r="BC132" s="478"/>
      <c r="BD132" s="478"/>
      <c r="BE132" s="478"/>
      <c r="BF132" s="524"/>
      <c r="BG132" s="524"/>
      <c r="BH132" s="524"/>
      <c r="BI132" s="524"/>
      <c r="BJ132" s="524"/>
      <c r="BK132" s="524"/>
      <c r="BL132" s="524"/>
      <c r="BM132" s="524"/>
      <c r="BN132" s="524"/>
      <c r="BO132" s="473"/>
      <c r="CQ132" s="524"/>
      <c r="CR132" s="524"/>
      <c r="CS132" s="524"/>
      <c r="CT132" s="524"/>
      <c r="CU132" s="524"/>
      <c r="CV132" s="524"/>
    </row>
    <row r="133" spans="1:122" ht="21" customHeight="1" thickBot="1" x14ac:dyDescent="0.35">
      <c r="B133" s="631">
        <v>6</v>
      </c>
      <c r="C133" s="612"/>
      <c r="D133" s="463">
        <v>0</v>
      </c>
      <c r="E133" s="632" t="s">
        <v>72</v>
      </c>
      <c r="F133" s="584">
        <f t="shared" si="40"/>
        <v>0.3</v>
      </c>
      <c r="G133" s="584">
        <f t="shared" si="64"/>
        <v>0.3</v>
      </c>
      <c r="H133" s="1199">
        <v>190.76</v>
      </c>
      <c r="I133" s="1198">
        <v>79.651040199999997</v>
      </c>
      <c r="J133" s="1197">
        <f t="shared" si="65"/>
        <v>79.651040199999997</v>
      </c>
      <c r="K133" s="1197">
        <f t="shared" si="41"/>
        <v>39.825520099999999</v>
      </c>
      <c r="L133" s="1197">
        <f t="shared" si="42"/>
        <v>0.64045183696587837</v>
      </c>
      <c r="M133" s="1197">
        <f t="shared" si="43"/>
        <v>122.17259241961095</v>
      </c>
      <c r="N133" s="1197">
        <f t="shared" si="44"/>
        <v>244.3451848392219</v>
      </c>
      <c r="O133" s="1197">
        <f>+C128+D129+D130+D131+D132+(D133/2)</f>
        <v>0</v>
      </c>
      <c r="P133" s="1197">
        <f t="shared" si="45"/>
        <v>0</v>
      </c>
      <c r="Q133" s="1197">
        <f t="shared" si="46"/>
        <v>0</v>
      </c>
      <c r="R133" s="1197">
        <f t="shared" si="66"/>
        <v>146.5</v>
      </c>
      <c r="S133" s="1197">
        <f t="shared" si="70"/>
        <v>146.5</v>
      </c>
      <c r="T133" s="1196">
        <f t="shared" si="47"/>
        <v>146.5</v>
      </c>
      <c r="V133" s="1193">
        <f t="shared" si="48"/>
        <v>0</v>
      </c>
      <c r="W133" s="1193"/>
      <c r="X133" s="1193"/>
      <c r="Y133" s="1193"/>
      <c r="Z133" s="1193"/>
      <c r="AA133" s="1193"/>
      <c r="AB133" s="1195" t="str">
        <f t="shared" si="49"/>
        <v>pin in groundstacking hole</v>
      </c>
      <c r="AC133" s="1194"/>
      <c r="AD133" s="1194"/>
      <c r="AE133" s="1194"/>
      <c r="AF133" s="1193">
        <f t="shared" si="67"/>
        <v>0</v>
      </c>
      <c r="AG133" s="1192">
        <f>SUM(D129:D133)+$C$128</f>
        <v>0</v>
      </c>
      <c r="AH133" s="1192"/>
      <c r="AI133" s="568">
        <f t="shared" si="50"/>
        <v>69.344714800000006</v>
      </c>
      <c r="AJ133" s="1191">
        <f t="shared" si="51"/>
        <v>0.93571960494171247</v>
      </c>
      <c r="AK133" s="658">
        <f t="shared" si="52"/>
        <v>180.0511663828843</v>
      </c>
      <c r="AL133" s="568">
        <f t="shared" si="53"/>
        <v>50.174479900000001</v>
      </c>
      <c r="AM133" s="1190">
        <f t="shared" si="54"/>
        <v>0.76799833627881664</v>
      </c>
      <c r="AN133" s="658">
        <f t="shared" si="55"/>
        <v>146.50336262854705</v>
      </c>
      <c r="AO133" s="1200"/>
      <c r="AP133" s="658">
        <f t="shared" si="68"/>
        <v>-102</v>
      </c>
      <c r="AQ133" s="1188"/>
      <c r="AR133" s="1188">
        <f t="shared" si="56"/>
        <v>326.55452901143133</v>
      </c>
      <c r="AS133" s="1187">
        <f t="shared" si="57"/>
        <v>-146.50336262854705</v>
      </c>
      <c r="AT133" s="1187"/>
      <c r="AU133" s="1187">
        <f t="shared" si="58"/>
        <v>146.50336262854705</v>
      </c>
      <c r="AV133" s="1186">
        <f t="shared" si="59"/>
        <v>-56.239363841165115</v>
      </c>
      <c r="AW133" s="1186">
        <f t="shared" si="60"/>
        <v>-45.760636158834885</v>
      </c>
      <c r="AX133" s="1185">
        <f t="shared" si="61"/>
        <v>-206.26122359352212</v>
      </c>
      <c r="AY133" s="1185">
        <f t="shared" si="62"/>
        <v>-218.52843053339691</v>
      </c>
      <c r="AZ133" s="1184">
        <f t="shared" si="63"/>
        <v>206.26122359352212</v>
      </c>
      <c r="BA133" s="1184">
        <f t="shared" si="63"/>
        <v>218.52843053339691</v>
      </c>
      <c r="BB133" s="474">
        <f t="shared" si="69"/>
        <v>0.3</v>
      </c>
      <c r="BC133" s="478"/>
      <c r="BD133" s="478"/>
      <c r="BE133" s="478"/>
      <c r="BF133" s="524"/>
      <c r="BG133" s="524"/>
      <c r="BH133" s="524"/>
      <c r="BI133" s="524"/>
      <c r="BJ133" s="524"/>
      <c r="BK133" s="524"/>
      <c r="BL133" s="524"/>
      <c r="BM133" s="524"/>
      <c r="BN133" s="524"/>
      <c r="BO133" s="473"/>
      <c r="CQ133" s="524"/>
      <c r="CR133" s="524"/>
      <c r="CS133" s="524"/>
      <c r="CT133" s="524"/>
      <c r="CU133" s="524"/>
      <c r="CV133" s="524"/>
    </row>
    <row r="134" spans="1:122" ht="21" hidden="1" customHeight="1" thickBot="1" x14ac:dyDescent="0.35">
      <c r="B134" s="631">
        <v>7</v>
      </c>
      <c r="C134" s="612"/>
      <c r="D134" s="463">
        <v>0</v>
      </c>
      <c r="E134" s="632" t="s">
        <v>72</v>
      </c>
      <c r="F134" s="584">
        <f t="shared" si="40"/>
        <v>0.3</v>
      </c>
      <c r="G134" s="584">
        <f t="shared" si="64"/>
        <v>0.3</v>
      </c>
      <c r="H134" s="1199">
        <v>190.76</v>
      </c>
      <c r="I134" s="1198">
        <v>79.651040199999997</v>
      </c>
      <c r="J134" s="1197">
        <f t="shared" si="65"/>
        <v>79.651040199999997</v>
      </c>
      <c r="K134" s="1197">
        <f t="shared" si="41"/>
        <v>39.825520099999999</v>
      </c>
      <c r="L134" s="1197">
        <f t="shared" si="42"/>
        <v>0.64045183696587837</v>
      </c>
      <c r="M134" s="1197">
        <f t="shared" si="43"/>
        <v>122.17259241961095</v>
      </c>
      <c r="N134" s="1197">
        <f t="shared" si="44"/>
        <v>244.3451848392219</v>
      </c>
      <c r="O134" s="1197">
        <f>+C128+D129+D130+D131+D132+D133+(D134/2)</f>
        <v>0</v>
      </c>
      <c r="P134" s="1197">
        <f t="shared" si="45"/>
        <v>0</v>
      </c>
      <c r="Q134" s="1197">
        <f t="shared" si="46"/>
        <v>0</v>
      </c>
      <c r="R134" s="1197">
        <f t="shared" si="66"/>
        <v>146.5</v>
      </c>
      <c r="S134" s="1197">
        <f t="shared" si="70"/>
        <v>146.5</v>
      </c>
      <c r="T134" s="1196">
        <f t="shared" si="47"/>
        <v>146.5</v>
      </c>
      <c r="V134" s="1193">
        <f t="shared" si="48"/>
        <v>0</v>
      </c>
      <c r="W134" s="1193"/>
      <c r="X134" s="1193"/>
      <c r="Y134" s="1193"/>
      <c r="Z134" s="1193"/>
      <c r="AA134" s="1193"/>
      <c r="AB134" s="1195" t="str">
        <f t="shared" si="49"/>
        <v>pin in groundstacking hole</v>
      </c>
      <c r="AC134" s="1194"/>
      <c r="AD134" s="1194"/>
      <c r="AE134" s="1194"/>
      <c r="AF134" s="1193">
        <f t="shared" si="67"/>
        <v>0</v>
      </c>
      <c r="AG134" s="1192">
        <f>SUM(D129:D134)+$C$128</f>
        <v>0</v>
      </c>
      <c r="AH134" s="1192"/>
      <c r="AI134" s="568">
        <f t="shared" si="50"/>
        <v>69.344714800000006</v>
      </c>
      <c r="AJ134" s="1191">
        <f t="shared" si="51"/>
        <v>0.93571960494171247</v>
      </c>
      <c r="AK134" s="658">
        <f t="shared" si="52"/>
        <v>180.0511663828843</v>
      </c>
      <c r="AL134" s="568">
        <f t="shared" si="53"/>
        <v>50.174479900000001</v>
      </c>
      <c r="AM134" s="1190">
        <f t="shared" si="54"/>
        <v>0.76799833627881664</v>
      </c>
      <c r="AN134" s="658">
        <f t="shared" si="55"/>
        <v>146.50336262854705</v>
      </c>
      <c r="AO134" s="1200"/>
      <c r="AP134" s="658">
        <f t="shared" si="68"/>
        <v>-127.5</v>
      </c>
      <c r="AQ134" s="1188"/>
      <c r="AR134" s="1188">
        <f t="shared" si="56"/>
        <v>326.55452901143133</v>
      </c>
      <c r="AS134" s="1187">
        <f t="shared" si="57"/>
        <v>-146.50336262854705</v>
      </c>
      <c r="AT134" s="1187"/>
      <c r="AU134" s="1187">
        <f t="shared" si="58"/>
        <v>146.50336262854705</v>
      </c>
      <c r="AV134" s="1186">
        <f t="shared" si="59"/>
        <v>-70.299204801456398</v>
      </c>
      <c r="AW134" s="1186">
        <f t="shared" si="60"/>
        <v>-57.200795198543602</v>
      </c>
      <c r="AX134" s="1185">
        <f t="shared" si="61"/>
        <v>-165.00897887481767</v>
      </c>
      <c r="AY134" s="1185">
        <f t="shared" si="62"/>
        <v>-174.82274442671755</v>
      </c>
      <c r="AZ134" s="1184">
        <f t="shared" si="63"/>
        <v>165.00897887481767</v>
      </c>
      <c r="BA134" s="1184">
        <f t="shared" si="63"/>
        <v>174.82274442671755</v>
      </c>
      <c r="BB134" s="474">
        <f t="shared" si="69"/>
        <v>0.3</v>
      </c>
      <c r="BF134" s="524"/>
      <c r="BG134" s="524"/>
      <c r="BH134" s="524"/>
      <c r="BI134" s="524"/>
      <c r="BJ134" s="524"/>
      <c r="BK134" s="524"/>
      <c r="BL134" s="524"/>
      <c r="BM134" s="524"/>
      <c r="BN134" s="524"/>
      <c r="BO134" s="473"/>
      <c r="CQ134" s="524"/>
      <c r="CR134" s="524"/>
      <c r="CS134" s="524"/>
      <c r="CT134" s="524"/>
      <c r="CU134" s="524"/>
      <c r="CV134" s="524"/>
    </row>
    <row r="135" spans="1:122" ht="21" hidden="1" customHeight="1" thickBot="1" x14ac:dyDescent="0.35">
      <c r="B135" s="631">
        <v>8</v>
      </c>
      <c r="C135" s="612"/>
      <c r="D135" s="463">
        <v>0</v>
      </c>
      <c r="E135" s="632" t="s">
        <v>72</v>
      </c>
      <c r="F135" s="584">
        <f t="shared" si="40"/>
        <v>0.3</v>
      </c>
      <c r="G135" s="584">
        <f t="shared" si="64"/>
        <v>0.3</v>
      </c>
      <c r="H135" s="1199">
        <v>190.76</v>
      </c>
      <c r="I135" s="1198">
        <v>79.651040199999997</v>
      </c>
      <c r="J135" s="1197">
        <f t="shared" si="65"/>
        <v>79.651040199999997</v>
      </c>
      <c r="K135" s="1197">
        <f t="shared" si="41"/>
        <v>39.825520099999999</v>
      </c>
      <c r="L135" s="1197">
        <f t="shared" si="42"/>
        <v>0.64045183696587837</v>
      </c>
      <c r="M135" s="1197">
        <f t="shared" si="43"/>
        <v>122.17259241961095</v>
      </c>
      <c r="N135" s="1197">
        <f t="shared" si="44"/>
        <v>244.3451848392219</v>
      </c>
      <c r="O135" s="1197">
        <f>+C128+D129+D130+D131+D132+D133+D134+(D135/2)</f>
        <v>0</v>
      </c>
      <c r="P135" s="1197">
        <f t="shared" si="45"/>
        <v>0</v>
      </c>
      <c r="Q135" s="1197">
        <f t="shared" si="46"/>
        <v>0</v>
      </c>
      <c r="R135" s="1197">
        <f t="shared" si="66"/>
        <v>146.5</v>
      </c>
      <c r="S135" s="1197">
        <f t="shared" si="70"/>
        <v>146.5</v>
      </c>
      <c r="T135" s="1196">
        <f t="shared" si="47"/>
        <v>146.5</v>
      </c>
      <c r="V135" s="1193">
        <f t="shared" si="48"/>
        <v>0</v>
      </c>
      <c r="W135" s="1193"/>
      <c r="X135" s="1193"/>
      <c r="Y135" s="1193"/>
      <c r="Z135" s="1193"/>
      <c r="AA135" s="1193"/>
      <c r="AB135" s="1195" t="str">
        <f t="shared" si="49"/>
        <v>pin in groundstacking hole</v>
      </c>
      <c r="AC135" s="1194"/>
      <c r="AD135" s="1194"/>
      <c r="AE135" s="1194"/>
      <c r="AF135" s="1193">
        <f t="shared" si="67"/>
        <v>0</v>
      </c>
      <c r="AG135" s="1192">
        <f>SUM(D129:D135)+$C$128</f>
        <v>0</v>
      </c>
      <c r="AH135" s="1192"/>
      <c r="AI135" s="568">
        <f t="shared" si="50"/>
        <v>69.344714800000006</v>
      </c>
      <c r="AJ135" s="1191">
        <f t="shared" si="51"/>
        <v>0.93571960494171247</v>
      </c>
      <c r="AK135" s="658">
        <f t="shared" si="52"/>
        <v>180.0511663828843</v>
      </c>
      <c r="AL135" s="568">
        <f t="shared" si="53"/>
        <v>50.174479900000001</v>
      </c>
      <c r="AM135" s="1190">
        <f t="shared" si="54"/>
        <v>0.76799833627881664</v>
      </c>
      <c r="AN135" s="658">
        <f t="shared" si="55"/>
        <v>146.50336262854705</v>
      </c>
      <c r="AO135" s="1200"/>
      <c r="AP135" s="658">
        <f t="shared" si="68"/>
        <v>-153</v>
      </c>
      <c r="AQ135" s="1188"/>
      <c r="AR135" s="1188">
        <f t="shared" si="56"/>
        <v>326.55452901143133</v>
      </c>
      <c r="AS135" s="1187">
        <f t="shared" si="57"/>
        <v>-146.50336262854705</v>
      </c>
      <c r="AT135" s="1187"/>
      <c r="AU135" s="1187">
        <f t="shared" si="58"/>
        <v>146.50336262854705</v>
      </c>
      <c r="AV135" s="1186">
        <f t="shared" si="59"/>
        <v>-84.35904576174768</v>
      </c>
      <c r="AW135" s="1186">
        <f t="shared" si="60"/>
        <v>-68.64095423825232</v>
      </c>
      <c r="AX135" s="1185">
        <f t="shared" si="61"/>
        <v>-137.50748239568139</v>
      </c>
      <c r="AY135" s="1185">
        <f t="shared" si="62"/>
        <v>-145.68562035559796</v>
      </c>
      <c r="AZ135" s="1184">
        <f t="shared" si="63"/>
        <v>137.50748239568139</v>
      </c>
      <c r="BA135" s="1184">
        <f t="shared" si="63"/>
        <v>145.68562035559796</v>
      </c>
      <c r="BB135" s="474">
        <f t="shared" si="69"/>
        <v>0.3</v>
      </c>
      <c r="BF135" s="524"/>
      <c r="BG135" s="524"/>
      <c r="BH135" s="524"/>
      <c r="BI135" s="524"/>
      <c r="BJ135" s="524"/>
      <c r="BK135" s="524"/>
      <c r="BL135" s="524"/>
      <c r="BM135" s="524"/>
      <c r="BN135" s="524"/>
      <c r="BO135" s="473"/>
      <c r="CQ135" s="524"/>
      <c r="CR135" s="524"/>
      <c r="CS135" s="524"/>
      <c r="CT135" s="524"/>
      <c r="CU135" s="524"/>
      <c r="CV135" s="524"/>
    </row>
    <row r="136" spans="1:122" ht="21" hidden="1" customHeight="1" thickBot="1" x14ac:dyDescent="0.35">
      <c r="B136" s="631">
        <v>9</v>
      </c>
      <c r="C136" s="612"/>
      <c r="D136" s="463">
        <v>0</v>
      </c>
      <c r="E136" s="632" t="s">
        <v>72</v>
      </c>
      <c r="F136" s="584">
        <f t="shared" si="40"/>
        <v>0.3</v>
      </c>
      <c r="G136" s="584">
        <f t="shared" si="64"/>
        <v>0.3</v>
      </c>
      <c r="H136" s="1199">
        <v>190.76</v>
      </c>
      <c r="I136" s="1198">
        <v>79.651040199999997</v>
      </c>
      <c r="J136" s="1197">
        <f t="shared" si="65"/>
        <v>79.651040199999997</v>
      </c>
      <c r="K136" s="1197">
        <f t="shared" si="41"/>
        <v>39.825520099999999</v>
      </c>
      <c r="L136" s="1197">
        <f t="shared" si="42"/>
        <v>0.64045183696587837</v>
      </c>
      <c r="M136" s="1197">
        <f t="shared" si="43"/>
        <v>122.17259241961095</v>
      </c>
      <c r="N136" s="1197">
        <f t="shared" si="44"/>
        <v>244.3451848392219</v>
      </c>
      <c r="O136" s="1197">
        <f>+C128+D129+D130+D131+D132+D133+D134+D135+(D136/2)</f>
        <v>0</v>
      </c>
      <c r="P136" s="1197">
        <f t="shared" si="45"/>
        <v>0</v>
      </c>
      <c r="Q136" s="1197">
        <f t="shared" si="46"/>
        <v>0</v>
      </c>
      <c r="R136" s="1197">
        <f t="shared" si="66"/>
        <v>146.5</v>
      </c>
      <c r="S136" s="1197">
        <f t="shared" si="70"/>
        <v>146.5</v>
      </c>
      <c r="T136" s="1196">
        <f t="shared" si="47"/>
        <v>146.5</v>
      </c>
      <c r="V136" s="1193">
        <f t="shared" si="48"/>
        <v>0</v>
      </c>
      <c r="W136" s="1193"/>
      <c r="X136" s="1193"/>
      <c r="Y136" s="1193"/>
      <c r="Z136" s="1193"/>
      <c r="AA136" s="1193"/>
      <c r="AB136" s="1195" t="str">
        <f t="shared" si="49"/>
        <v>pin in groundstacking hole</v>
      </c>
      <c r="AC136" s="1194"/>
      <c r="AD136" s="1194"/>
      <c r="AE136" s="1194"/>
      <c r="AF136" s="1193">
        <f t="shared" si="67"/>
        <v>0</v>
      </c>
      <c r="AG136" s="1192">
        <f>SUM(D129:D136)+$C$128</f>
        <v>0</v>
      </c>
      <c r="AH136" s="1192"/>
      <c r="AI136" s="568">
        <f t="shared" si="50"/>
        <v>69.344714800000006</v>
      </c>
      <c r="AJ136" s="1191">
        <f t="shared" si="51"/>
        <v>0.93571960494171247</v>
      </c>
      <c r="AK136" s="658">
        <f t="shared" si="52"/>
        <v>180.0511663828843</v>
      </c>
      <c r="AL136" s="568">
        <f t="shared" si="53"/>
        <v>50.174479900000001</v>
      </c>
      <c r="AM136" s="1190">
        <f t="shared" si="54"/>
        <v>0.76799833627881664</v>
      </c>
      <c r="AN136" s="658">
        <f t="shared" si="55"/>
        <v>146.50336262854705</v>
      </c>
      <c r="AO136" s="1200"/>
      <c r="AP136" s="658">
        <f t="shared" si="68"/>
        <v>-178.5</v>
      </c>
      <c r="AQ136" s="1188"/>
      <c r="AR136" s="1188">
        <f t="shared" si="56"/>
        <v>326.55452901143133</v>
      </c>
      <c r="AS136" s="1187">
        <f t="shared" si="57"/>
        <v>-146.50336262854705</v>
      </c>
      <c r="AT136" s="1187"/>
      <c r="AU136" s="1187">
        <f t="shared" si="58"/>
        <v>146.50336262854705</v>
      </c>
      <c r="AV136" s="1186">
        <f t="shared" si="59"/>
        <v>-98.418886722038962</v>
      </c>
      <c r="AW136" s="1186">
        <f t="shared" si="60"/>
        <v>-80.081113277961038</v>
      </c>
      <c r="AX136" s="1185">
        <f t="shared" si="61"/>
        <v>-117.86355633915548</v>
      </c>
      <c r="AY136" s="1185">
        <f t="shared" si="62"/>
        <v>-124.87338887622683</v>
      </c>
      <c r="AZ136" s="1184">
        <f t="shared" si="63"/>
        <v>117.86355633915548</v>
      </c>
      <c r="BA136" s="1184">
        <f t="shared" si="63"/>
        <v>124.87338887622683</v>
      </c>
      <c r="BB136" s="474">
        <f t="shared" si="69"/>
        <v>0.3</v>
      </c>
      <c r="BF136" s="524"/>
      <c r="BG136" s="524"/>
      <c r="BH136" s="524"/>
      <c r="BI136" s="524"/>
      <c r="BJ136" s="524"/>
      <c r="BK136" s="524"/>
      <c r="BL136" s="524"/>
      <c r="BM136" s="524"/>
      <c r="BN136" s="524"/>
      <c r="BO136" s="473"/>
      <c r="CQ136" s="524"/>
      <c r="CR136" s="524"/>
      <c r="CS136" s="524"/>
      <c r="CT136" s="524"/>
      <c r="CU136" s="524"/>
      <c r="CV136" s="524"/>
    </row>
    <row r="137" spans="1:122" ht="21" hidden="1" customHeight="1" thickBot="1" x14ac:dyDescent="0.35">
      <c r="B137" s="631">
        <v>10</v>
      </c>
      <c r="C137" s="612"/>
      <c r="D137" s="463">
        <v>0</v>
      </c>
      <c r="E137" s="632" t="s">
        <v>72</v>
      </c>
      <c r="F137" s="584">
        <f t="shared" si="40"/>
        <v>0.3</v>
      </c>
      <c r="G137" s="584">
        <f t="shared" si="64"/>
        <v>0.3</v>
      </c>
      <c r="H137" s="1199">
        <v>190.76</v>
      </c>
      <c r="I137" s="1198">
        <v>79.651040199999997</v>
      </c>
      <c r="J137" s="1197">
        <f t="shared" si="65"/>
        <v>79.651040199999997</v>
      </c>
      <c r="K137" s="1197">
        <f t="shared" si="41"/>
        <v>39.825520099999999</v>
      </c>
      <c r="L137" s="1197">
        <f t="shared" si="42"/>
        <v>0.64045183696587837</v>
      </c>
      <c r="M137" s="1197">
        <f t="shared" si="43"/>
        <v>122.17259241961095</v>
      </c>
      <c r="N137" s="1197">
        <f t="shared" si="44"/>
        <v>244.3451848392219</v>
      </c>
      <c r="O137" s="1197">
        <f>+C128+D129+D130+D131+D132+D133+D134+D135+D136+(D137/2)</f>
        <v>0</v>
      </c>
      <c r="P137" s="1197">
        <f t="shared" si="45"/>
        <v>0</v>
      </c>
      <c r="Q137" s="1197">
        <f t="shared" si="46"/>
        <v>0</v>
      </c>
      <c r="R137" s="1197">
        <f t="shared" si="66"/>
        <v>146.5</v>
      </c>
      <c r="S137" s="1197">
        <f t="shared" si="70"/>
        <v>146.5</v>
      </c>
      <c r="T137" s="1196">
        <f t="shared" si="47"/>
        <v>146.5</v>
      </c>
      <c r="V137" s="1193">
        <f t="shared" si="48"/>
        <v>0</v>
      </c>
      <c r="W137" s="1193"/>
      <c r="X137" s="1193"/>
      <c r="Y137" s="1193"/>
      <c r="Z137" s="1193"/>
      <c r="AA137" s="1193"/>
      <c r="AB137" s="1195" t="str">
        <f t="shared" si="49"/>
        <v>pin in groundstacking hole</v>
      </c>
      <c r="AC137" s="1194"/>
      <c r="AD137" s="1194"/>
      <c r="AE137" s="1194"/>
      <c r="AF137" s="1193">
        <f t="shared" si="67"/>
        <v>0</v>
      </c>
      <c r="AG137" s="1192">
        <f>SUM(D129:D137)+$C$128</f>
        <v>0</v>
      </c>
      <c r="AH137" s="1192"/>
      <c r="AI137" s="568">
        <f t="shared" si="50"/>
        <v>69.344714800000006</v>
      </c>
      <c r="AJ137" s="1191">
        <f t="shared" si="51"/>
        <v>0.93571960494171247</v>
      </c>
      <c r="AK137" s="658">
        <f t="shared" si="52"/>
        <v>180.0511663828843</v>
      </c>
      <c r="AL137" s="568">
        <f t="shared" si="53"/>
        <v>50.174479900000001</v>
      </c>
      <c r="AM137" s="1190">
        <f t="shared" si="54"/>
        <v>0.76799833627881664</v>
      </c>
      <c r="AN137" s="658">
        <f t="shared" si="55"/>
        <v>146.50336262854705</v>
      </c>
      <c r="AO137" s="1200"/>
      <c r="AP137" s="658">
        <f t="shared" si="68"/>
        <v>-204</v>
      </c>
      <c r="AQ137" s="1188"/>
      <c r="AR137" s="1188">
        <f t="shared" si="56"/>
        <v>326.55452901143133</v>
      </c>
      <c r="AS137" s="1187">
        <f t="shared" si="57"/>
        <v>-146.50336262854705</v>
      </c>
      <c r="AT137" s="1187"/>
      <c r="AU137" s="1187">
        <f t="shared" si="58"/>
        <v>146.50336262854705</v>
      </c>
      <c r="AV137" s="1186">
        <f t="shared" si="59"/>
        <v>-112.47872768233023</v>
      </c>
      <c r="AW137" s="1186">
        <f t="shared" si="60"/>
        <v>-91.521272317669769</v>
      </c>
      <c r="AX137" s="1185">
        <f t="shared" si="61"/>
        <v>-103.13061179676106</v>
      </c>
      <c r="AY137" s="1185">
        <f t="shared" si="62"/>
        <v>-109.26421526669846</v>
      </c>
      <c r="AZ137" s="1184">
        <f t="shared" si="63"/>
        <v>103.13061179676106</v>
      </c>
      <c r="BA137" s="1184">
        <f t="shared" si="63"/>
        <v>109.26421526669846</v>
      </c>
      <c r="BB137" s="474">
        <f t="shared" si="69"/>
        <v>0.3</v>
      </c>
      <c r="BF137" s="524"/>
      <c r="BG137" s="524"/>
      <c r="BH137" s="524"/>
      <c r="BI137" s="524"/>
      <c r="BJ137" s="524"/>
      <c r="BK137" s="524"/>
      <c r="BL137" s="524"/>
      <c r="BM137" s="524"/>
      <c r="BN137" s="524"/>
      <c r="BO137" s="473"/>
      <c r="CQ137" s="524"/>
      <c r="CR137" s="524"/>
      <c r="CS137" s="524"/>
      <c r="CT137" s="524"/>
      <c r="CU137" s="524"/>
      <c r="CV137" s="524"/>
    </row>
    <row r="138" spans="1:122" ht="21" hidden="1" customHeight="1" thickBot="1" x14ac:dyDescent="0.35">
      <c r="A138" s="636"/>
      <c r="B138" s="631">
        <v>11</v>
      </c>
      <c r="C138" s="612"/>
      <c r="D138" s="463">
        <v>0</v>
      </c>
      <c r="E138" s="632" t="s">
        <v>72</v>
      </c>
      <c r="F138" s="584">
        <f t="shared" si="40"/>
        <v>0.3</v>
      </c>
      <c r="G138" s="584">
        <f t="shared" si="64"/>
        <v>0.3</v>
      </c>
      <c r="H138" s="1199">
        <v>190.76</v>
      </c>
      <c r="I138" s="1198">
        <v>79.651040199999997</v>
      </c>
      <c r="J138" s="1197">
        <f t="shared" si="65"/>
        <v>79.651040199999997</v>
      </c>
      <c r="K138" s="1197">
        <f t="shared" si="41"/>
        <v>39.825520099999999</v>
      </c>
      <c r="L138" s="1197">
        <f t="shared" si="42"/>
        <v>0.64045183696587837</v>
      </c>
      <c r="M138" s="1197">
        <f t="shared" si="43"/>
        <v>122.17259241961095</v>
      </c>
      <c r="N138" s="1197">
        <f t="shared" si="44"/>
        <v>244.3451848392219</v>
      </c>
      <c r="O138" s="1197">
        <f>+C128+D129+D130+D131+D132+D133+D134+D135+D136+D137+(D138/2)</f>
        <v>0</v>
      </c>
      <c r="P138" s="1197">
        <f t="shared" si="45"/>
        <v>0</v>
      </c>
      <c r="Q138" s="1197">
        <f t="shared" si="46"/>
        <v>0</v>
      </c>
      <c r="R138" s="1197">
        <f t="shared" si="66"/>
        <v>146.5</v>
      </c>
      <c r="S138" s="1197">
        <f t="shared" si="70"/>
        <v>146.5</v>
      </c>
      <c r="T138" s="1196">
        <f t="shared" si="47"/>
        <v>146.5</v>
      </c>
      <c r="V138" s="1193">
        <f t="shared" si="48"/>
        <v>0</v>
      </c>
      <c r="W138" s="1193"/>
      <c r="X138" s="1193"/>
      <c r="Y138" s="1193"/>
      <c r="Z138" s="1193"/>
      <c r="AA138" s="1193"/>
      <c r="AB138" s="1195" t="str">
        <f t="shared" si="49"/>
        <v>pin in groundstacking hole</v>
      </c>
      <c r="AC138" s="1194"/>
      <c r="AD138" s="1194"/>
      <c r="AE138" s="1194"/>
      <c r="AF138" s="1193">
        <f t="shared" si="67"/>
        <v>0</v>
      </c>
      <c r="AG138" s="1192">
        <f>SUM(D129:D138)+$C$128</f>
        <v>0</v>
      </c>
      <c r="AH138" s="1192"/>
      <c r="AI138" s="568">
        <f t="shared" si="50"/>
        <v>69.344714800000006</v>
      </c>
      <c r="AJ138" s="1191">
        <f t="shared" si="51"/>
        <v>0.93571960494171247</v>
      </c>
      <c r="AK138" s="658">
        <f t="shared" si="52"/>
        <v>180.0511663828843</v>
      </c>
      <c r="AL138" s="568">
        <f t="shared" si="53"/>
        <v>50.174479900000001</v>
      </c>
      <c r="AM138" s="1190">
        <f t="shared" si="54"/>
        <v>0.76799833627881664</v>
      </c>
      <c r="AN138" s="658">
        <f t="shared" si="55"/>
        <v>146.50336262854705</v>
      </c>
      <c r="AO138" s="1200"/>
      <c r="AP138" s="658">
        <f t="shared" si="68"/>
        <v>-229.5</v>
      </c>
      <c r="AQ138" s="1188"/>
      <c r="AR138" s="1188">
        <f t="shared" si="56"/>
        <v>326.55452901143133</v>
      </c>
      <c r="AS138" s="1187">
        <f t="shared" si="57"/>
        <v>-146.50336262854705</v>
      </c>
      <c r="AT138" s="1187"/>
      <c r="AU138" s="1187">
        <f t="shared" si="58"/>
        <v>146.50336262854705</v>
      </c>
      <c r="AV138" s="1186">
        <f t="shared" si="59"/>
        <v>-126.53856864262151</v>
      </c>
      <c r="AW138" s="1186">
        <f t="shared" si="60"/>
        <v>-102.96143135737849</v>
      </c>
      <c r="AX138" s="1185">
        <f t="shared" si="61"/>
        <v>-91.671654930454267</v>
      </c>
      <c r="AY138" s="1185">
        <f t="shared" si="62"/>
        <v>-97.12374690373197</v>
      </c>
      <c r="AZ138" s="1184">
        <f t="shared" si="63"/>
        <v>91.671654930454267</v>
      </c>
      <c r="BA138" s="1184">
        <f t="shared" si="63"/>
        <v>97.12374690373197</v>
      </c>
      <c r="BB138" s="474">
        <f t="shared" si="69"/>
        <v>0.3</v>
      </c>
      <c r="BF138" s="524"/>
      <c r="BG138" s="524"/>
      <c r="BH138" s="524"/>
      <c r="BI138" s="524"/>
      <c r="BJ138" s="524"/>
      <c r="BK138" s="524"/>
      <c r="BL138" s="524"/>
      <c r="BM138" s="524"/>
      <c r="BN138" s="524"/>
      <c r="BO138" s="473"/>
      <c r="CQ138" s="524"/>
      <c r="CR138" s="524"/>
      <c r="CS138" s="524"/>
      <c r="CT138" s="524"/>
      <c r="CU138" s="524"/>
      <c r="CV138" s="524"/>
    </row>
    <row r="139" spans="1:122" ht="21" hidden="1" customHeight="1" thickBot="1" x14ac:dyDescent="0.35">
      <c r="A139" s="636"/>
      <c r="B139" s="631">
        <v>12</v>
      </c>
      <c r="C139" s="612"/>
      <c r="D139" s="463">
        <v>0</v>
      </c>
      <c r="E139" s="632" t="s">
        <v>72</v>
      </c>
      <c r="F139" s="584">
        <f t="shared" si="40"/>
        <v>0.3</v>
      </c>
      <c r="G139" s="584">
        <f t="shared" si="64"/>
        <v>0.3</v>
      </c>
      <c r="H139" s="1199">
        <v>190.76</v>
      </c>
      <c r="I139" s="1198">
        <v>79.651040199999997</v>
      </c>
      <c r="J139" s="1197">
        <f t="shared" si="65"/>
        <v>79.651040199999997</v>
      </c>
      <c r="K139" s="1197">
        <f t="shared" si="41"/>
        <v>39.825520099999999</v>
      </c>
      <c r="L139" s="1197">
        <f t="shared" si="42"/>
        <v>0.64045183696587837</v>
      </c>
      <c r="M139" s="1197">
        <f t="shared" si="43"/>
        <v>122.17259241961095</v>
      </c>
      <c r="N139" s="1197">
        <f t="shared" si="44"/>
        <v>244.3451848392219</v>
      </c>
      <c r="O139" s="1197">
        <f>+C128+D129+D130+D131+D132+D133+D134+D135+D136+D137+D138+(D139/2)</f>
        <v>0</v>
      </c>
      <c r="P139" s="1197">
        <f t="shared" si="45"/>
        <v>0</v>
      </c>
      <c r="Q139" s="1197">
        <f t="shared" si="46"/>
        <v>0</v>
      </c>
      <c r="R139" s="1197">
        <f t="shared" si="66"/>
        <v>146.5</v>
      </c>
      <c r="S139" s="1197">
        <f t="shared" si="70"/>
        <v>146.5</v>
      </c>
      <c r="T139" s="1196">
        <f t="shared" si="47"/>
        <v>146.5</v>
      </c>
      <c r="V139" s="1193">
        <f t="shared" si="48"/>
        <v>0</v>
      </c>
      <c r="W139" s="1193"/>
      <c r="X139" s="1193"/>
      <c r="Y139" s="1193"/>
      <c r="Z139" s="1193"/>
      <c r="AA139" s="1193"/>
      <c r="AB139" s="1195" t="str">
        <f t="shared" si="49"/>
        <v>pin in groundstacking hole</v>
      </c>
      <c r="AC139" s="1194"/>
      <c r="AD139" s="1194"/>
      <c r="AE139" s="1194"/>
      <c r="AF139" s="1193">
        <f t="shared" si="67"/>
        <v>0</v>
      </c>
      <c r="AG139" s="1192">
        <f>SUM(D129:D139)+$C$128</f>
        <v>0</v>
      </c>
      <c r="AH139" s="1192"/>
      <c r="AI139" s="568">
        <f t="shared" si="50"/>
        <v>69.344714800000006</v>
      </c>
      <c r="AJ139" s="1191">
        <f t="shared" si="51"/>
        <v>0.93571960494171247</v>
      </c>
      <c r="AK139" s="658">
        <f t="shared" si="52"/>
        <v>180.0511663828843</v>
      </c>
      <c r="AL139" s="568">
        <f t="shared" si="53"/>
        <v>50.174479900000001</v>
      </c>
      <c r="AM139" s="1190">
        <f t="shared" si="54"/>
        <v>0.76799833627881664</v>
      </c>
      <c r="AN139" s="658">
        <f t="shared" si="55"/>
        <v>146.50336262854705</v>
      </c>
      <c r="AO139" s="1200"/>
      <c r="AP139" s="658">
        <f t="shared" si="68"/>
        <v>-255</v>
      </c>
      <c r="AQ139" s="1188"/>
      <c r="AR139" s="1188">
        <f t="shared" si="56"/>
        <v>326.55452901143133</v>
      </c>
      <c r="AS139" s="1187">
        <f t="shared" si="57"/>
        <v>-146.50336262854705</v>
      </c>
      <c r="AT139" s="1187"/>
      <c r="AU139" s="1187">
        <f t="shared" si="58"/>
        <v>146.50336262854705</v>
      </c>
      <c r="AV139" s="1186">
        <f t="shared" si="59"/>
        <v>-140.5984096029128</v>
      </c>
      <c r="AW139" s="1186">
        <f t="shared" si="60"/>
        <v>-114.4015903970872</v>
      </c>
      <c r="AX139" s="1185">
        <f t="shared" si="61"/>
        <v>-82.504489437408836</v>
      </c>
      <c r="AY139" s="1185">
        <f t="shared" si="62"/>
        <v>-87.411372213358774</v>
      </c>
      <c r="AZ139" s="1184">
        <f t="shared" si="63"/>
        <v>82.504489437408836</v>
      </c>
      <c r="BA139" s="1184">
        <f t="shared" si="63"/>
        <v>87.411372213358774</v>
      </c>
      <c r="BB139" s="474">
        <f t="shared" si="69"/>
        <v>0.3</v>
      </c>
      <c r="BF139" s="524"/>
      <c r="BG139" s="524"/>
      <c r="BH139" s="524"/>
      <c r="BI139" s="524"/>
      <c r="BJ139" s="524"/>
      <c r="BK139" s="524"/>
      <c r="BL139" s="524"/>
      <c r="BM139" s="524"/>
      <c r="BN139" s="524"/>
      <c r="BO139" s="473"/>
      <c r="CQ139" s="524"/>
      <c r="CR139" s="524"/>
      <c r="CS139" s="524"/>
      <c r="CT139" s="524"/>
      <c r="CU139" s="524"/>
      <c r="CV139" s="524"/>
    </row>
    <row r="140" spans="1:122" ht="21" hidden="1" customHeight="1" thickBot="1" x14ac:dyDescent="0.35">
      <c r="B140" s="631">
        <v>13</v>
      </c>
      <c r="C140" s="612"/>
      <c r="D140" s="463">
        <v>0</v>
      </c>
      <c r="E140" s="632" t="s">
        <v>72</v>
      </c>
      <c r="F140" s="584">
        <f t="shared" si="40"/>
        <v>0.3</v>
      </c>
      <c r="G140" s="584">
        <f t="shared" si="64"/>
        <v>0.3</v>
      </c>
      <c r="H140" s="1199">
        <v>190.76</v>
      </c>
      <c r="I140" s="1198">
        <v>79.651040199999997</v>
      </c>
      <c r="J140" s="1197">
        <f t="shared" si="65"/>
        <v>79.651040199999997</v>
      </c>
      <c r="K140" s="1197">
        <f t="shared" si="41"/>
        <v>39.825520099999999</v>
      </c>
      <c r="L140" s="1197">
        <f t="shared" si="42"/>
        <v>0.64045183696587837</v>
      </c>
      <c r="M140" s="1197">
        <f t="shared" si="43"/>
        <v>122.17259241961095</v>
      </c>
      <c r="N140" s="1197">
        <f t="shared" si="44"/>
        <v>244.3451848392219</v>
      </c>
      <c r="O140" s="1197">
        <f>+C128+D129+D130+D131+D132+D133+D134+D135+D136+D137+D138+D139+(D140/2)</f>
        <v>0</v>
      </c>
      <c r="P140" s="1197">
        <f t="shared" si="45"/>
        <v>0</v>
      </c>
      <c r="Q140" s="1197">
        <f t="shared" si="46"/>
        <v>0</v>
      </c>
      <c r="R140" s="1197">
        <f t="shared" si="66"/>
        <v>146.5</v>
      </c>
      <c r="S140" s="1197">
        <f t="shared" si="70"/>
        <v>146.5</v>
      </c>
      <c r="T140" s="1196">
        <f t="shared" si="47"/>
        <v>146.5</v>
      </c>
      <c r="V140" s="1193">
        <f t="shared" si="48"/>
        <v>0</v>
      </c>
      <c r="W140" s="1193"/>
      <c r="X140" s="1193"/>
      <c r="Y140" s="1193"/>
      <c r="Z140" s="1193"/>
      <c r="AA140" s="1193"/>
      <c r="AB140" s="1195" t="str">
        <f t="shared" si="49"/>
        <v>pin in groundstacking hole</v>
      </c>
      <c r="AC140" s="1194"/>
      <c r="AD140" s="1194"/>
      <c r="AE140" s="1194"/>
      <c r="AF140" s="1193">
        <f t="shared" si="67"/>
        <v>0</v>
      </c>
      <c r="AG140" s="1192">
        <f>SUM(D129:D140)+$C$128</f>
        <v>0</v>
      </c>
      <c r="AH140" s="1192"/>
      <c r="AI140" s="568">
        <f t="shared" si="50"/>
        <v>69.344714800000006</v>
      </c>
      <c r="AJ140" s="1191">
        <f t="shared" si="51"/>
        <v>0.93571960494171247</v>
      </c>
      <c r="AK140" s="658">
        <f t="shared" si="52"/>
        <v>180.0511663828843</v>
      </c>
      <c r="AL140" s="568">
        <f t="shared" si="53"/>
        <v>50.174479900000001</v>
      </c>
      <c r="AM140" s="1190">
        <f t="shared" si="54"/>
        <v>0.76799833627881664</v>
      </c>
      <c r="AN140" s="658">
        <f t="shared" si="55"/>
        <v>146.50336262854705</v>
      </c>
      <c r="AO140" s="1200"/>
      <c r="AP140" s="658">
        <f t="shared" si="68"/>
        <v>-280.5</v>
      </c>
      <c r="AQ140" s="1188"/>
      <c r="AR140" s="1188">
        <f t="shared" si="56"/>
        <v>326.55452901143133</v>
      </c>
      <c r="AS140" s="1187">
        <f t="shared" si="57"/>
        <v>-146.50336262854705</v>
      </c>
      <c r="AT140" s="1187"/>
      <c r="AU140" s="1187">
        <f t="shared" si="58"/>
        <v>146.50336262854705</v>
      </c>
      <c r="AV140" s="1186">
        <f t="shared" si="59"/>
        <v>-154.65825056320406</v>
      </c>
      <c r="AW140" s="1186">
        <f t="shared" si="60"/>
        <v>-125.84174943679592</v>
      </c>
      <c r="AX140" s="1185">
        <f t="shared" si="61"/>
        <v>-75.004081306735316</v>
      </c>
      <c r="AY140" s="1185">
        <f t="shared" si="62"/>
        <v>-79.464883830326158</v>
      </c>
      <c r="AZ140" s="1184">
        <f t="shared" si="63"/>
        <v>75.004081306735316</v>
      </c>
      <c r="BA140" s="1184">
        <f t="shared" si="63"/>
        <v>79.464883830326158</v>
      </c>
      <c r="BB140" s="474">
        <f t="shared" si="69"/>
        <v>0.3</v>
      </c>
      <c r="BF140" s="524"/>
      <c r="BG140" s="524"/>
      <c r="BH140" s="524"/>
      <c r="BI140" s="524"/>
      <c r="BJ140" s="524"/>
      <c r="BK140" s="524"/>
      <c r="BL140" s="524"/>
      <c r="BM140" s="524"/>
      <c r="BN140" s="524"/>
      <c r="BO140" s="473"/>
      <c r="CQ140" s="524"/>
      <c r="CR140" s="524"/>
      <c r="CS140" s="524"/>
      <c r="CT140" s="524"/>
      <c r="CU140" s="524"/>
      <c r="CV140" s="524"/>
    </row>
    <row r="141" spans="1:122" ht="21" hidden="1" customHeight="1" thickBot="1" x14ac:dyDescent="0.35">
      <c r="B141" s="631">
        <v>14</v>
      </c>
      <c r="C141" s="612"/>
      <c r="D141" s="463">
        <v>0</v>
      </c>
      <c r="E141" s="632" t="s">
        <v>72</v>
      </c>
      <c r="F141" s="584">
        <f t="shared" si="40"/>
        <v>0.3</v>
      </c>
      <c r="G141" s="584">
        <f t="shared" si="64"/>
        <v>0.3</v>
      </c>
      <c r="H141" s="1199">
        <v>190.76</v>
      </c>
      <c r="I141" s="1198">
        <v>79.651040199999997</v>
      </c>
      <c r="J141" s="1197">
        <f t="shared" si="65"/>
        <v>79.651040199999997</v>
      </c>
      <c r="K141" s="1197">
        <f t="shared" si="41"/>
        <v>39.825520099999999</v>
      </c>
      <c r="L141" s="1197">
        <f t="shared" si="42"/>
        <v>0.64045183696587837</v>
      </c>
      <c r="M141" s="1197">
        <f t="shared" si="43"/>
        <v>122.17259241961095</v>
      </c>
      <c r="N141" s="1197">
        <f t="shared" si="44"/>
        <v>244.3451848392219</v>
      </c>
      <c r="O141" s="1197">
        <f>+C128+D129+D130+D131+D132+D133+D134+D135+D136+D137+D138+D139+D140+(D141/2)</f>
        <v>0</v>
      </c>
      <c r="P141" s="1197">
        <f t="shared" si="45"/>
        <v>0</v>
      </c>
      <c r="Q141" s="1197">
        <f t="shared" si="46"/>
        <v>0</v>
      </c>
      <c r="R141" s="1197">
        <f t="shared" si="66"/>
        <v>146.5</v>
      </c>
      <c r="S141" s="1197">
        <f t="shared" si="70"/>
        <v>146.5</v>
      </c>
      <c r="T141" s="1196">
        <f t="shared" si="47"/>
        <v>146.5</v>
      </c>
      <c r="V141" s="1193">
        <f t="shared" si="48"/>
        <v>0</v>
      </c>
      <c r="W141" s="1193"/>
      <c r="X141" s="1193"/>
      <c r="Y141" s="1193"/>
      <c r="Z141" s="1193"/>
      <c r="AA141" s="1193"/>
      <c r="AB141" s="1195" t="str">
        <f t="shared" si="49"/>
        <v>pin in groundstacking hole</v>
      </c>
      <c r="AC141" s="1194"/>
      <c r="AD141" s="1194"/>
      <c r="AE141" s="1194"/>
      <c r="AF141" s="1193">
        <f t="shared" si="67"/>
        <v>0</v>
      </c>
      <c r="AG141" s="1192">
        <f>SUM(D129:D141)+$C$128</f>
        <v>0</v>
      </c>
      <c r="AH141" s="1192"/>
      <c r="AI141" s="568">
        <f t="shared" si="50"/>
        <v>69.344714800000006</v>
      </c>
      <c r="AJ141" s="1191">
        <f t="shared" si="51"/>
        <v>0.93571960494171247</v>
      </c>
      <c r="AK141" s="658">
        <f t="shared" si="52"/>
        <v>180.0511663828843</v>
      </c>
      <c r="AL141" s="568">
        <f t="shared" si="53"/>
        <v>50.174479900000001</v>
      </c>
      <c r="AM141" s="1190">
        <f t="shared" si="54"/>
        <v>0.76799833627881664</v>
      </c>
      <c r="AN141" s="658">
        <f t="shared" si="55"/>
        <v>146.50336262854705</v>
      </c>
      <c r="AO141" s="1200"/>
      <c r="AP141" s="658">
        <f t="shared" si="68"/>
        <v>-306</v>
      </c>
      <c r="AQ141" s="1188"/>
      <c r="AR141" s="1188">
        <f t="shared" si="56"/>
        <v>326.55452901143133</v>
      </c>
      <c r="AS141" s="1187">
        <f t="shared" si="57"/>
        <v>-146.50336262854705</v>
      </c>
      <c r="AT141" s="1187"/>
      <c r="AU141" s="1187">
        <f t="shared" si="58"/>
        <v>146.50336262854705</v>
      </c>
      <c r="AV141" s="1186">
        <f t="shared" si="59"/>
        <v>-168.71809152349536</v>
      </c>
      <c r="AW141" s="1186">
        <f t="shared" si="60"/>
        <v>-137.28190847650464</v>
      </c>
      <c r="AX141" s="1185">
        <f t="shared" si="61"/>
        <v>-68.753741197840696</v>
      </c>
      <c r="AY141" s="1185">
        <f t="shared" si="62"/>
        <v>-72.842810177798981</v>
      </c>
      <c r="AZ141" s="1184">
        <f t="shared" si="63"/>
        <v>68.753741197840696</v>
      </c>
      <c r="BA141" s="1184">
        <f t="shared" si="63"/>
        <v>72.842810177798981</v>
      </c>
      <c r="BB141" s="474">
        <f t="shared" si="69"/>
        <v>0.3</v>
      </c>
      <c r="BF141" s="524"/>
      <c r="BG141" s="524"/>
      <c r="BH141" s="524"/>
      <c r="BI141" s="524"/>
      <c r="BJ141" s="524"/>
      <c r="BK141" s="524"/>
      <c r="BL141" s="524"/>
      <c r="BM141" s="524"/>
      <c r="BN141" s="524"/>
      <c r="BO141" s="473"/>
      <c r="CQ141" s="524"/>
      <c r="CR141" s="524"/>
      <c r="CS141" s="524"/>
      <c r="CT141" s="524"/>
      <c r="CU141" s="524"/>
      <c r="CV141" s="524"/>
    </row>
    <row r="142" spans="1:122" ht="21" hidden="1" customHeight="1" thickBot="1" x14ac:dyDescent="0.35">
      <c r="B142" s="631">
        <v>15</v>
      </c>
      <c r="C142" s="612"/>
      <c r="D142" s="463">
        <v>0</v>
      </c>
      <c r="E142" s="632" t="s">
        <v>72</v>
      </c>
      <c r="F142" s="584">
        <f t="shared" si="40"/>
        <v>0.3</v>
      </c>
      <c r="G142" s="584">
        <f t="shared" si="64"/>
        <v>0.3</v>
      </c>
      <c r="H142" s="1199">
        <v>190.76</v>
      </c>
      <c r="I142" s="1198">
        <v>79.651040199999997</v>
      </c>
      <c r="J142" s="1197">
        <f t="shared" si="65"/>
        <v>79.651040199999997</v>
      </c>
      <c r="K142" s="1197">
        <f t="shared" si="41"/>
        <v>39.825520099999999</v>
      </c>
      <c r="L142" s="1197">
        <f t="shared" si="42"/>
        <v>0.64045183696587837</v>
      </c>
      <c r="M142" s="1197">
        <f t="shared" si="43"/>
        <v>122.17259241961095</v>
      </c>
      <c r="N142" s="1197">
        <f t="shared" si="44"/>
        <v>244.3451848392219</v>
      </c>
      <c r="O142" s="1197">
        <f>+C128+D129+D130+D131+D132+D133+D134+D135+D136+D137+D138+D139+D140+D141+(D142/2)</f>
        <v>0</v>
      </c>
      <c r="P142" s="1197">
        <f t="shared" si="45"/>
        <v>0</v>
      </c>
      <c r="Q142" s="1197">
        <f t="shared" si="46"/>
        <v>0</v>
      </c>
      <c r="R142" s="1197">
        <f t="shared" si="66"/>
        <v>146.5</v>
      </c>
      <c r="S142" s="1197">
        <f t="shared" si="70"/>
        <v>146.5</v>
      </c>
      <c r="T142" s="1196">
        <f t="shared" si="47"/>
        <v>146.5</v>
      </c>
      <c r="V142" s="1193">
        <f t="shared" si="48"/>
        <v>0</v>
      </c>
      <c r="W142" s="1193"/>
      <c r="X142" s="1193"/>
      <c r="Y142" s="1193"/>
      <c r="Z142" s="1193"/>
      <c r="AA142" s="1193"/>
      <c r="AB142" s="1195" t="str">
        <f t="shared" si="49"/>
        <v>pin in groundstacking hole</v>
      </c>
      <c r="AC142" s="1194"/>
      <c r="AD142" s="1194"/>
      <c r="AE142" s="1194"/>
      <c r="AF142" s="1193">
        <f t="shared" si="67"/>
        <v>0</v>
      </c>
      <c r="AG142" s="1192">
        <f>SUM(D129:D142)+$C$128</f>
        <v>0</v>
      </c>
      <c r="AH142" s="1192"/>
      <c r="AI142" s="568">
        <f t="shared" si="50"/>
        <v>69.344714800000006</v>
      </c>
      <c r="AJ142" s="1191">
        <f t="shared" si="51"/>
        <v>0.93571960494171247</v>
      </c>
      <c r="AK142" s="658">
        <f t="shared" si="52"/>
        <v>180.0511663828843</v>
      </c>
      <c r="AL142" s="568">
        <f t="shared" si="53"/>
        <v>50.174479900000001</v>
      </c>
      <c r="AM142" s="1190">
        <f t="shared" si="54"/>
        <v>0.76799833627881664</v>
      </c>
      <c r="AN142" s="658">
        <f t="shared" si="55"/>
        <v>146.50336262854705</v>
      </c>
      <c r="AO142" s="1200"/>
      <c r="AP142" s="658">
        <f t="shared" si="68"/>
        <v>-331.5</v>
      </c>
      <c r="AQ142" s="1188"/>
      <c r="AR142" s="1188">
        <f t="shared" si="56"/>
        <v>326.55452901143133</v>
      </c>
      <c r="AS142" s="1187">
        <f t="shared" si="57"/>
        <v>-146.50336262854705</v>
      </c>
      <c r="AT142" s="1187"/>
      <c r="AU142" s="1187">
        <f t="shared" si="58"/>
        <v>146.50336262854705</v>
      </c>
      <c r="AV142" s="1186">
        <f t="shared" si="59"/>
        <v>-182.77793248378663</v>
      </c>
      <c r="AW142" s="1186">
        <f t="shared" si="60"/>
        <v>-148.72206751621337</v>
      </c>
      <c r="AX142" s="1185">
        <f t="shared" si="61"/>
        <v>-63.464991874929879</v>
      </c>
      <c r="AY142" s="1185">
        <f t="shared" si="62"/>
        <v>-67.239517087199047</v>
      </c>
      <c r="AZ142" s="1184">
        <f t="shared" si="63"/>
        <v>63.464991874929879</v>
      </c>
      <c r="BA142" s="1184">
        <f t="shared" si="63"/>
        <v>67.239517087199047</v>
      </c>
      <c r="BB142" s="474">
        <f t="shared" si="69"/>
        <v>0.3</v>
      </c>
      <c r="BF142" s="524"/>
      <c r="BG142" s="524"/>
      <c r="BH142" s="524"/>
      <c r="BI142" s="524"/>
      <c r="BJ142" s="524"/>
      <c r="BK142" s="524"/>
      <c r="BL142" s="524"/>
      <c r="BM142" s="524"/>
      <c r="BN142" s="524"/>
      <c r="BO142" s="473"/>
      <c r="CQ142" s="524"/>
      <c r="CR142" s="524"/>
      <c r="CS142" s="524"/>
      <c r="CT142" s="524"/>
      <c r="CU142" s="524"/>
    </row>
    <row r="143" spans="1:122" ht="21" hidden="1" customHeight="1" thickBot="1" x14ac:dyDescent="0.35">
      <c r="B143" s="631">
        <v>16</v>
      </c>
      <c r="C143" s="612"/>
      <c r="D143" s="463">
        <v>0</v>
      </c>
      <c r="E143" s="632" t="s">
        <v>72</v>
      </c>
      <c r="F143" s="584">
        <f t="shared" si="40"/>
        <v>0.3</v>
      </c>
      <c r="G143" s="584">
        <f t="shared" si="64"/>
        <v>0.3</v>
      </c>
      <c r="H143" s="1199">
        <v>190.76</v>
      </c>
      <c r="I143" s="1198">
        <v>79.651040199999997</v>
      </c>
      <c r="J143" s="1197">
        <f t="shared" si="65"/>
        <v>79.651040199999997</v>
      </c>
      <c r="K143" s="1197">
        <f t="shared" si="41"/>
        <v>39.825520099999999</v>
      </c>
      <c r="L143" s="1197">
        <f t="shared" si="42"/>
        <v>0.64045183696587837</v>
      </c>
      <c r="M143" s="1197">
        <f t="shared" si="43"/>
        <v>122.17259241961095</v>
      </c>
      <c r="N143" s="1197">
        <f t="shared" si="44"/>
        <v>244.3451848392219</v>
      </c>
      <c r="O143" s="1197">
        <f>+C128+D129+D130+D131+D132+D133+D134+D135+D136+D137+D138+D139+D140+D141+D142+(D143/2)</f>
        <v>0</v>
      </c>
      <c r="P143" s="1197">
        <f t="shared" si="45"/>
        <v>0</v>
      </c>
      <c r="Q143" s="1197">
        <f t="shared" si="46"/>
        <v>0</v>
      </c>
      <c r="R143" s="1197">
        <f t="shared" si="66"/>
        <v>146.5</v>
      </c>
      <c r="S143" s="1197">
        <f t="shared" si="70"/>
        <v>146.5</v>
      </c>
      <c r="T143" s="1196">
        <f t="shared" si="47"/>
        <v>146.5</v>
      </c>
      <c r="V143" s="1193">
        <f t="shared" si="48"/>
        <v>0</v>
      </c>
      <c r="W143" s="1193"/>
      <c r="X143" s="1193"/>
      <c r="Y143" s="1193"/>
      <c r="Z143" s="1193"/>
      <c r="AA143" s="1193"/>
      <c r="AB143" s="1195" t="str">
        <f t="shared" si="49"/>
        <v>pin in groundstacking hole</v>
      </c>
      <c r="AC143" s="1194"/>
      <c r="AD143" s="1194"/>
      <c r="AE143" s="1194"/>
      <c r="AF143" s="1193">
        <f t="shared" si="67"/>
        <v>0</v>
      </c>
      <c r="AG143" s="1192">
        <f>SUM(D129:D143)+$C$128</f>
        <v>0</v>
      </c>
      <c r="AH143" s="1192"/>
      <c r="AI143" s="568">
        <f t="shared" si="50"/>
        <v>69.344714800000006</v>
      </c>
      <c r="AJ143" s="1191">
        <f t="shared" si="51"/>
        <v>0.93571960494171247</v>
      </c>
      <c r="AK143" s="658">
        <f t="shared" si="52"/>
        <v>180.0511663828843</v>
      </c>
      <c r="AL143" s="568">
        <f t="shared" si="53"/>
        <v>50.174479900000001</v>
      </c>
      <c r="AM143" s="1190">
        <f t="shared" si="54"/>
        <v>0.76799833627881664</v>
      </c>
      <c r="AN143" s="658">
        <f t="shared" si="55"/>
        <v>146.50336262854705</v>
      </c>
      <c r="AO143" s="1200"/>
      <c r="AP143" s="658">
        <f t="shared" si="68"/>
        <v>-357</v>
      </c>
      <c r="AQ143" s="1188"/>
      <c r="AR143" s="1188">
        <f t="shared" si="56"/>
        <v>326.55452901143133</v>
      </c>
      <c r="AS143" s="1187">
        <f t="shared" si="57"/>
        <v>-146.50336262854705</v>
      </c>
      <c r="AT143" s="1187"/>
      <c r="AU143" s="1187">
        <f t="shared" si="58"/>
        <v>146.50336262854705</v>
      </c>
      <c r="AV143" s="1186">
        <f t="shared" si="59"/>
        <v>-196.83777344407792</v>
      </c>
      <c r="AW143" s="1186">
        <f t="shared" si="60"/>
        <v>-160.16222655592208</v>
      </c>
      <c r="AX143" s="1185">
        <f t="shared" si="61"/>
        <v>-58.93177816957774</v>
      </c>
      <c r="AY143" s="1185">
        <f t="shared" si="62"/>
        <v>-62.436694438113413</v>
      </c>
      <c r="AZ143" s="1184">
        <f t="shared" si="63"/>
        <v>58.93177816957774</v>
      </c>
      <c r="BA143" s="1184">
        <f t="shared" si="63"/>
        <v>62.436694438113413</v>
      </c>
      <c r="BB143" s="474">
        <f t="shared" si="69"/>
        <v>0.3</v>
      </c>
      <c r="BF143" s="524"/>
      <c r="BG143" s="524"/>
      <c r="BH143" s="524"/>
      <c r="BI143" s="524"/>
      <c r="BJ143" s="524"/>
      <c r="BK143" s="524"/>
      <c r="BL143" s="524"/>
      <c r="BM143" s="524"/>
      <c r="BN143" s="524"/>
      <c r="BO143" s="473"/>
      <c r="CQ143" s="524"/>
      <c r="CR143" s="524"/>
      <c r="CS143" s="524"/>
      <c r="CT143" s="524"/>
      <c r="CU143" s="524"/>
      <c r="CV143" s="639"/>
    </row>
    <row r="144" spans="1:122" ht="21" hidden="1" customHeight="1" thickBot="1" x14ac:dyDescent="0.35">
      <c r="B144" s="631">
        <v>17</v>
      </c>
      <c r="C144" s="612"/>
      <c r="D144" s="463">
        <v>0</v>
      </c>
      <c r="E144" s="632" t="s">
        <v>72</v>
      </c>
      <c r="F144" s="584">
        <f t="shared" si="40"/>
        <v>0.3</v>
      </c>
      <c r="G144" s="584">
        <f t="shared" si="64"/>
        <v>0.3</v>
      </c>
      <c r="H144" s="1199">
        <v>190.76</v>
      </c>
      <c r="I144" s="1198">
        <v>79.651040199999997</v>
      </c>
      <c r="J144" s="1197">
        <f t="shared" si="65"/>
        <v>79.651040199999997</v>
      </c>
      <c r="K144" s="1197">
        <f t="shared" si="41"/>
        <v>39.825520099999999</v>
      </c>
      <c r="L144" s="1197">
        <f t="shared" si="42"/>
        <v>0.64045183696587837</v>
      </c>
      <c r="M144" s="1197">
        <f t="shared" si="43"/>
        <v>122.17259241961095</v>
      </c>
      <c r="N144" s="1197">
        <f t="shared" si="44"/>
        <v>244.3451848392219</v>
      </c>
      <c r="O144" s="1197">
        <f>+C128+D129+D130+D131+D132+D133+D134+D135+D136+D137+D138+D139+D140+D141+D142+D143+(D144/2)</f>
        <v>0</v>
      </c>
      <c r="P144" s="1197">
        <f t="shared" si="45"/>
        <v>0</v>
      </c>
      <c r="Q144" s="1197">
        <f t="shared" si="46"/>
        <v>0</v>
      </c>
      <c r="R144" s="1197">
        <f t="shared" si="66"/>
        <v>146.5</v>
      </c>
      <c r="S144" s="1197">
        <f t="shared" si="70"/>
        <v>146.5</v>
      </c>
      <c r="T144" s="1196">
        <f t="shared" si="47"/>
        <v>146.5</v>
      </c>
      <c r="V144" s="1193">
        <f t="shared" si="48"/>
        <v>0</v>
      </c>
      <c r="W144" s="1193"/>
      <c r="X144" s="1193"/>
      <c r="Y144" s="1193"/>
      <c r="Z144" s="1193"/>
      <c r="AA144" s="1193"/>
      <c r="AB144" s="1195" t="str">
        <f t="shared" si="49"/>
        <v>pin in groundstacking hole</v>
      </c>
      <c r="AC144" s="1194"/>
      <c r="AD144" s="1194"/>
      <c r="AE144" s="1194"/>
      <c r="AF144" s="1193">
        <f t="shared" si="67"/>
        <v>0</v>
      </c>
      <c r="AG144" s="1192">
        <f>SUM(D129:D144)+$C$128</f>
        <v>0</v>
      </c>
      <c r="AH144" s="1192"/>
      <c r="AI144" s="568">
        <f t="shared" si="50"/>
        <v>69.344714800000006</v>
      </c>
      <c r="AJ144" s="1191">
        <f t="shared" si="51"/>
        <v>0.93571960494171247</v>
      </c>
      <c r="AK144" s="658">
        <f t="shared" si="52"/>
        <v>180.0511663828843</v>
      </c>
      <c r="AL144" s="568">
        <f t="shared" si="53"/>
        <v>50.174479900000001</v>
      </c>
      <c r="AM144" s="1190">
        <f t="shared" si="54"/>
        <v>0.76799833627881664</v>
      </c>
      <c r="AN144" s="658">
        <f t="shared" si="55"/>
        <v>146.50336262854705</v>
      </c>
      <c r="AO144" s="1200"/>
      <c r="AP144" s="658">
        <f t="shared" si="68"/>
        <v>-382.5</v>
      </c>
      <c r="AQ144" s="1188"/>
      <c r="AR144" s="1188">
        <f t="shared" si="56"/>
        <v>326.55452901143133</v>
      </c>
      <c r="AS144" s="1187">
        <f t="shared" si="57"/>
        <v>-146.50336262854705</v>
      </c>
      <c r="AT144" s="1187"/>
      <c r="AU144" s="1187">
        <f t="shared" si="58"/>
        <v>146.50336262854705</v>
      </c>
      <c r="AV144" s="1186">
        <f t="shared" si="59"/>
        <v>-210.89761440436919</v>
      </c>
      <c r="AW144" s="1186">
        <f t="shared" si="60"/>
        <v>-171.60238559563081</v>
      </c>
      <c r="AX144" s="1185">
        <f t="shared" si="61"/>
        <v>-55.002992958272557</v>
      </c>
      <c r="AY144" s="1185">
        <f t="shared" si="62"/>
        <v>-58.27424814223918</v>
      </c>
      <c r="AZ144" s="1184">
        <f t="shared" si="63"/>
        <v>55.002992958272557</v>
      </c>
      <c r="BA144" s="1184">
        <f t="shared" si="63"/>
        <v>58.27424814223918</v>
      </c>
      <c r="BB144" s="474">
        <f t="shared" si="69"/>
        <v>0.3</v>
      </c>
      <c r="BF144" s="524"/>
      <c r="BG144" s="524"/>
      <c r="BH144" s="524"/>
      <c r="BI144" s="524"/>
      <c r="BJ144" s="524"/>
      <c r="BK144" s="524"/>
      <c r="BL144" s="524"/>
      <c r="BM144" s="524"/>
      <c r="BN144" s="524"/>
      <c r="BO144" s="473"/>
      <c r="CQ144" s="524"/>
      <c r="CR144" s="524"/>
      <c r="CS144" s="524"/>
      <c r="CT144" s="524"/>
      <c r="CU144" s="524"/>
      <c r="CV144" s="524"/>
      <c r="CW144" s="524"/>
      <c r="CX144" s="478"/>
      <c r="CY144" s="478"/>
      <c r="CZ144" s="478"/>
      <c r="DA144" s="478"/>
      <c r="DB144" s="478"/>
      <c r="DC144" s="478"/>
      <c r="DD144" s="519"/>
      <c r="DE144" s="519"/>
      <c r="DF144" s="519"/>
      <c r="DG144" s="519"/>
      <c r="DH144" s="519"/>
      <c r="DI144" s="519"/>
      <c r="DJ144" s="519"/>
      <c r="DK144" s="519"/>
      <c r="DL144" s="519"/>
      <c r="DM144" s="519"/>
      <c r="DN144" s="519"/>
      <c r="DO144" s="519"/>
      <c r="DP144" s="519"/>
      <c r="DQ144" s="519"/>
      <c r="DR144" s="506"/>
    </row>
    <row r="145" spans="2:126" ht="21" hidden="1" customHeight="1" thickBot="1" x14ac:dyDescent="0.35">
      <c r="B145" s="631">
        <v>18</v>
      </c>
      <c r="C145" s="612"/>
      <c r="D145" s="463">
        <v>0</v>
      </c>
      <c r="E145" s="632" t="s">
        <v>72</v>
      </c>
      <c r="F145" s="584">
        <f t="shared" si="40"/>
        <v>0.3</v>
      </c>
      <c r="G145" s="584">
        <f t="shared" si="64"/>
        <v>0.3</v>
      </c>
      <c r="H145" s="1199">
        <v>190.76</v>
      </c>
      <c r="I145" s="1198">
        <v>79.651040199999997</v>
      </c>
      <c r="J145" s="1197">
        <f t="shared" si="65"/>
        <v>79.651040199999997</v>
      </c>
      <c r="K145" s="1197">
        <f t="shared" si="41"/>
        <v>39.825520099999999</v>
      </c>
      <c r="L145" s="1197">
        <f t="shared" si="42"/>
        <v>0.64045183696587837</v>
      </c>
      <c r="M145" s="1197">
        <f t="shared" si="43"/>
        <v>122.17259241961095</v>
      </c>
      <c r="N145" s="1197">
        <f t="shared" si="44"/>
        <v>244.3451848392219</v>
      </c>
      <c r="O145" s="1197">
        <f>+C128+D129+D130+D131+D132+D133+D134+D135+D136+D137+D138+D139+D140+D141+D142+D143+D144+(D145/2)</f>
        <v>0</v>
      </c>
      <c r="P145" s="1197">
        <f t="shared" si="45"/>
        <v>0</v>
      </c>
      <c r="Q145" s="1197">
        <f t="shared" si="46"/>
        <v>0</v>
      </c>
      <c r="R145" s="1197">
        <f t="shared" si="66"/>
        <v>146.5</v>
      </c>
      <c r="S145" s="1197">
        <f t="shared" si="70"/>
        <v>146.5</v>
      </c>
      <c r="T145" s="1196">
        <f t="shared" si="47"/>
        <v>146.5</v>
      </c>
      <c r="V145" s="1193">
        <f t="shared" si="48"/>
        <v>0</v>
      </c>
      <c r="W145" s="1193"/>
      <c r="X145" s="1193"/>
      <c r="Y145" s="1193"/>
      <c r="Z145" s="1193"/>
      <c r="AA145" s="1193"/>
      <c r="AB145" s="1195" t="str">
        <f t="shared" si="49"/>
        <v>pin in groundstacking hole</v>
      </c>
      <c r="AC145" s="1194"/>
      <c r="AD145" s="1194"/>
      <c r="AE145" s="1194"/>
      <c r="AF145" s="1193">
        <f t="shared" si="67"/>
        <v>0</v>
      </c>
      <c r="AG145" s="1192">
        <f>SUM(D129:D145)+$C$128</f>
        <v>0</v>
      </c>
      <c r="AH145" s="1192"/>
      <c r="AI145" s="568">
        <f t="shared" si="50"/>
        <v>69.344714800000006</v>
      </c>
      <c r="AJ145" s="1191">
        <f t="shared" si="51"/>
        <v>0.93571960494171247</v>
      </c>
      <c r="AK145" s="658">
        <f t="shared" si="52"/>
        <v>180.0511663828843</v>
      </c>
      <c r="AL145" s="568">
        <f t="shared" si="53"/>
        <v>50.174479900000001</v>
      </c>
      <c r="AM145" s="1190">
        <f t="shared" si="54"/>
        <v>0.76799833627881664</v>
      </c>
      <c r="AN145" s="658">
        <f t="shared" si="55"/>
        <v>146.50336262854705</v>
      </c>
      <c r="AO145" s="1200"/>
      <c r="AP145" s="658">
        <f t="shared" si="68"/>
        <v>-408</v>
      </c>
      <c r="AQ145" s="1188"/>
      <c r="AR145" s="1188">
        <f t="shared" si="56"/>
        <v>326.55452901143133</v>
      </c>
      <c r="AS145" s="1187">
        <f t="shared" si="57"/>
        <v>-146.50336262854705</v>
      </c>
      <c r="AT145" s="1187"/>
      <c r="AU145" s="1187">
        <f t="shared" si="58"/>
        <v>146.50336262854705</v>
      </c>
      <c r="AV145" s="1186">
        <f t="shared" si="59"/>
        <v>-224.95745536466046</v>
      </c>
      <c r="AW145" s="1186">
        <f t="shared" si="60"/>
        <v>-183.04254463533954</v>
      </c>
      <c r="AX145" s="1185">
        <f t="shared" si="61"/>
        <v>-51.565305898380529</v>
      </c>
      <c r="AY145" s="1185">
        <f t="shared" si="62"/>
        <v>-54.632107633349229</v>
      </c>
      <c r="AZ145" s="1184">
        <f t="shared" si="63"/>
        <v>51.565305898380529</v>
      </c>
      <c r="BA145" s="1184">
        <f t="shared" si="63"/>
        <v>54.632107633349229</v>
      </c>
      <c r="BB145" s="474">
        <f t="shared" si="69"/>
        <v>0.3</v>
      </c>
      <c r="BF145" s="524"/>
      <c r="BG145" s="524"/>
      <c r="BH145" s="524"/>
      <c r="BI145" s="524"/>
      <c r="BJ145" s="524"/>
      <c r="BK145" s="524"/>
      <c r="BL145" s="524"/>
      <c r="BM145" s="524"/>
      <c r="BN145" s="524"/>
      <c r="BO145" s="473"/>
      <c r="CW145" s="640"/>
      <c r="CX145" s="478"/>
      <c r="CY145" s="478"/>
      <c r="CZ145" s="478"/>
      <c r="DA145" s="478"/>
      <c r="DB145" s="478"/>
      <c r="DC145" s="478"/>
      <c r="DD145" s="519"/>
      <c r="DE145" s="519"/>
      <c r="DF145" s="519"/>
      <c r="DG145" s="519"/>
      <c r="DH145" s="519"/>
      <c r="DI145" s="519"/>
      <c r="DJ145" s="519"/>
      <c r="DK145" s="519"/>
      <c r="DL145" s="519"/>
      <c r="DM145" s="519"/>
      <c r="DN145" s="519"/>
      <c r="DO145" s="519"/>
      <c r="DP145" s="519"/>
      <c r="DQ145" s="519"/>
      <c r="DR145" s="506"/>
    </row>
    <row r="146" spans="2:126" ht="21" hidden="1" customHeight="1" thickBot="1" x14ac:dyDescent="0.35">
      <c r="B146" s="631">
        <v>19</v>
      </c>
      <c r="C146" s="612"/>
      <c r="D146" s="463">
        <v>0</v>
      </c>
      <c r="E146" s="632" t="s">
        <v>72</v>
      </c>
      <c r="F146" s="584">
        <f t="shared" si="40"/>
        <v>0.3</v>
      </c>
      <c r="G146" s="584">
        <f t="shared" si="64"/>
        <v>0.3</v>
      </c>
      <c r="H146" s="1199">
        <v>190.76</v>
      </c>
      <c r="I146" s="1198">
        <v>79.651040199999997</v>
      </c>
      <c r="J146" s="1197">
        <f t="shared" si="65"/>
        <v>79.651040199999997</v>
      </c>
      <c r="K146" s="1197">
        <f t="shared" si="41"/>
        <v>39.825520099999999</v>
      </c>
      <c r="L146" s="1197">
        <f t="shared" si="42"/>
        <v>0.64045183696587837</v>
      </c>
      <c r="M146" s="1197">
        <f t="shared" si="43"/>
        <v>122.17259241961095</v>
      </c>
      <c r="N146" s="1197">
        <f t="shared" si="44"/>
        <v>244.3451848392219</v>
      </c>
      <c r="O146" s="1197">
        <f>+C128+D129+D130+D131+D132+D133+D134+D135+D136+D137+D138+D139+D140+D141+D142+D143+D144+D145+(D146/2)</f>
        <v>0</v>
      </c>
      <c r="P146" s="1197">
        <f t="shared" si="45"/>
        <v>0</v>
      </c>
      <c r="Q146" s="1197">
        <f t="shared" si="46"/>
        <v>0</v>
      </c>
      <c r="R146" s="1197">
        <f t="shared" si="66"/>
        <v>146.5</v>
      </c>
      <c r="S146" s="1197">
        <f t="shared" si="70"/>
        <v>146.5</v>
      </c>
      <c r="T146" s="1196">
        <f t="shared" si="47"/>
        <v>146.5</v>
      </c>
      <c r="V146" s="1193">
        <f t="shared" si="48"/>
        <v>0</v>
      </c>
      <c r="W146" s="1193"/>
      <c r="X146" s="1193"/>
      <c r="Y146" s="1193"/>
      <c r="Z146" s="1193"/>
      <c r="AA146" s="1193"/>
      <c r="AB146" s="1195" t="str">
        <f t="shared" si="49"/>
        <v>pin in groundstacking hole</v>
      </c>
      <c r="AC146" s="1194"/>
      <c r="AD146" s="1194"/>
      <c r="AE146" s="1194"/>
      <c r="AF146" s="1193">
        <f t="shared" si="67"/>
        <v>0</v>
      </c>
      <c r="AG146" s="1192">
        <f>SUM(D128:D146)+$C$128</f>
        <v>0</v>
      </c>
      <c r="AH146" s="1192"/>
      <c r="AI146" s="568">
        <f t="shared" si="50"/>
        <v>69.344714800000006</v>
      </c>
      <c r="AJ146" s="1191">
        <f t="shared" si="51"/>
        <v>0.93571960494171247</v>
      </c>
      <c r="AK146" s="658">
        <f t="shared" si="52"/>
        <v>180.0511663828843</v>
      </c>
      <c r="AL146" s="568">
        <f t="shared" si="53"/>
        <v>50.174479900000001</v>
      </c>
      <c r="AM146" s="1190">
        <f t="shared" si="54"/>
        <v>0.76799833627881664</v>
      </c>
      <c r="AN146" s="658">
        <f t="shared" si="55"/>
        <v>146.50336262854705</v>
      </c>
      <c r="AO146" s="1200"/>
      <c r="AP146" s="658">
        <f t="shared" si="68"/>
        <v>-433.5</v>
      </c>
      <c r="AQ146" s="1188"/>
      <c r="AR146" s="1188">
        <f t="shared" si="56"/>
        <v>326.55452901143133</v>
      </c>
      <c r="AS146" s="1187">
        <f t="shared" si="57"/>
        <v>-146.50336262854705</v>
      </c>
      <c r="AT146" s="1187"/>
      <c r="AU146" s="1187">
        <f t="shared" si="58"/>
        <v>146.50336262854705</v>
      </c>
      <c r="AV146" s="1186">
        <f t="shared" si="59"/>
        <v>-239.01729632495176</v>
      </c>
      <c r="AW146" s="1186">
        <f t="shared" si="60"/>
        <v>-194.48270367504824</v>
      </c>
      <c r="AX146" s="1185">
        <f t="shared" si="61"/>
        <v>-48.532052610240491</v>
      </c>
      <c r="AY146" s="1185">
        <f t="shared" si="62"/>
        <v>-51.418454243152219</v>
      </c>
      <c r="AZ146" s="1184">
        <f t="shared" si="63"/>
        <v>48.532052610240491</v>
      </c>
      <c r="BA146" s="1184">
        <f t="shared" si="63"/>
        <v>51.418454243152219</v>
      </c>
      <c r="BB146" s="474">
        <f t="shared" si="69"/>
        <v>0.3</v>
      </c>
      <c r="BF146" s="524"/>
      <c r="BG146" s="524"/>
      <c r="BH146" s="524"/>
      <c r="BI146" s="524"/>
      <c r="BJ146" s="524"/>
      <c r="BK146" s="524"/>
      <c r="BL146" s="524"/>
      <c r="BM146" s="524"/>
      <c r="BN146" s="524"/>
      <c r="BO146" s="473"/>
      <c r="CW146" s="600"/>
      <c r="CX146" s="478"/>
      <c r="CY146" s="478"/>
      <c r="CZ146" s="478"/>
      <c r="DA146" s="478"/>
      <c r="DB146" s="478"/>
      <c r="DC146" s="478"/>
      <c r="DD146" s="519"/>
      <c r="DE146" s="519"/>
      <c r="DF146" s="519"/>
      <c r="DG146" s="519"/>
      <c r="DH146" s="519"/>
      <c r="DI146" s="519"/>
      <c r="DJ146" s="519"/>
      <c r="DK146" s="519"/>
      <c r="DL146" s="519"/>
      <c r="DM146" s="519"/>
      <c r="DN146" s="519"/>
      <c r="DO146" s="519"/>
      <c r="DP146" s="519"/>
      <c r="DQ146" s="519"/>
      <c r="DR146" s="506"/>
    </row>
    <row r="147" spans="2:126" ht="21" hidden="1" customHeight="1" thickBot="1" x14ac:dyDescent="0.35">
      <c r="B147" s="631">
        <v>20</v>
      </c>
      <c r="C147" s="612"/>
      <c r="D147" s="463">
        <v>0</v>
      </c>
      <c r="E147" s="632" t="s">
        <v>72</v>
      </c>
      <c r="F147" s="584">
        <f t="shared" si="40"/>
        <v>0.3</v>
      </c>
      <c r="G147" s="584">
        <f t="shared" si="64"/>
        <v>0.3</v>
      </c>
      <c r="H147" s="1199">
        <v>190.76</v>
      </c>
      <c r="I147" s="1198">
        <v>79.651040199999997</v>
      </c>
      <c r="J147" s="1197">
        <f t="shared" si="65"/>
        <v>79.651040199999997</v>
      </c>
      <c r="K147" s="1197">
        <f t="shared" si="41"/>
        <v>39.825520099999999</v>
      </c>
      <c r="L147" s="1197">
        <f t="shared" si="42"/>
        <v>0.64045183696587837</v>
      </c>
      <c r="M147" s="1197">
        <f t="shared" si="43"/>
        <v>122.17259241961095</v>
      </c>
      <c r="N147" s="1197">
        <f t="shared" si="44"/>
        <v>244.3451848392219</v>
      </c>
      <c r="O147" s="1197">
        <f>+C128+D129+D130+D131+D132+D133+D134+D135+D136+D137+D138+D139+D140+D141+D142+D143+D144+D145+D146+(D147/2)</f>
        <v>0</v>
      </c>
      <c r="P147" s="1197">
        <f t="shared" si="45"/>
        <v>0</v>
      </c>
      <c r="Q147" s="1197">
        <f t="shared" si="46"/>
        <v>0</v>
      </c>
      <c r="R147" s="1197">
        <f t="shared" si="66"/>
        <v>146.5</v>
      </c>
      <c r="S147" s="1197">
        <f t="shared" si="70"/>
        <v>146.5</v>
      </c>
      <c r="T147" s="1196">
        <f t="shared" si="47"/>
        <v>146.5</v>
      </c>
      <c r="V147" s="1193">
        <f t="shared" si="48"/>
        <v>0</v>
      </c>
      <c r="W147" s="1193"/>
      <c r="X147" s="1193"/>
      <c r="Y147" s="1193"/>
      <c r="Z147" s="1193"/>
      <c r="AA147" s="1193"/>
      <c r="AB147" s="1195" t="str">
        <f t="shared" si="49"/>
        <v>pin in groundstacking hole</v>
      </c>
      <c r="AC147" s="1194"/>
      <c r="AD147" s="1194"/>
      <c r="AE147" s="1194"/>
      <c r="AF147" s="1193">
        <f t="shared" si="67"/>
        <v>0</v>
      </c>
      <c r="AG147" s="1192">
        <f>SUM(D129:D147)+$C$128</f>
        <v>0</v>
      </c>
      <c r="AH147" s="1192"/>
      <c r="AI147" s="568">
        <f t="shared" si="50"/>
        <v>69.344714800000006</v>
      </c>
      <c r="AJ147" s="1191">
        <f t="shared" si="51"/>
        <v>0.93571960494171247</v>
      </c>
      <c r="AK147" s="658">
        <f t="shared" si="52"/>
        <v>180.0511663828843</v>
      </c>
      <c r="AL147" s="568">
        <f t="shared" si="53"/>
        <v>50.174479900000001</v>
      </c>
      <c r="AM147" s="1190">
        <f t="shared" si="54"/>
        <v>0.76799833627881664</v>
      </c>
      <c r="AN147" s="658">
        <f t="shared" si="55"/>
        <v>146.50336262854705</v>
      </c>
      <c r="AO147" s="1200"/>
      <c r="AP147" s="658">
        <f t="shared" si="68"/>
        <v>-459</v>
      </c>
      <c r="AQ147" s="1188"/>
      <c r="AR147" s="1188">
        <f t="shared" si="56"/>
        <v>326.55452901143133</v>
      </c>
      <c r="AS147" s="1187">
        <f t="shared" si="57"/>
        <v>-146.50336262854705</v>
      </c>
      <c r="AT147" s="1187"/>
      <c r="AU147" s="1187">
        <f t="shared" si="58"/>
        <v>146.50336262854705</v>
      </c>
      <c r="AV147" s="1186">
        <f t="shared" si="59"/>
        <v>-253.07713728524303</v>
      </c>
      <c r="AW147" s="1186">
        <f t="shared" si="60"/>
        <v>-205.92286271475697</v>
      </c>
      <c r="AX147" s="1185">
        <f t="shared" si="61"/>
        <v>-45.835827465227133</v>
      </c>
      <c r="AY147" s="1185">
        <f t="shared" si="62"/>
        <v>-48.561873451865985</v>
      </c>
      <c r="AZ147" s="1184">
        <f t="shared" si="63"/>
        <v>45.835827465227133</v>
      </c>
      <c r="BA147" s="1184">
        <f t="shared" si="63"/>
        <v>48.561873451865985</v>
      </c>
      <c r="BB147" s="474">
        <f t="shared" si="69"/>
        <v>0.3</v>
      </c>
      <c r="BF147" s="524"/>
      <c r="BG147" s="524"/>
      <c r="BH147" s="524"/>
      <c r="BI147" s="524"/>
      <c r="BJ147" s="524"/>
      <c r="BK147" s="524"/>
      <c r="BL147" s="524"/>
      <c r="BM147" s="524"/>
      <c r="BN147" s="524"/>
      <c r="BO147" s="473"/>
      <c r="CW147" s="600"/>
      <c r="CX147" s="478"/>
      <c r="CY147" s="478"/>
      <c r="CZ147" s="478"/>
      <c r="DA147" s="478"/>
      <c r="DB147" s="478"/>
      <c r="DC147" s="478"/>
      <c r="DD147" s="519"/>
      <c r="DE147" s="519"/>
      <c r="DF147" s="519"/>
      <c r="DG147" s="519"/>
      <c r="DH147" s="519"/>
      <c r="DI147" s="519"/>
      <c r="DJ147" s="519"/>
      <c r="DK147" s="519"/>
      <c r="DL147" s="519"/>
      <c r="DM147" s="519"/>
      <c r="DN147" s="519"/>
      <c r="DO147" s="519"/>
      <c r="DP147" s="519"/>
      <c r="DQ147" s="519"/>
      <c r="DR147" s="506"/>
    </row>
    <row r="148" spans="2:126" ht="21" hidden="1" customHeight="1" thickBot="1" x14ac:dyDescent="0.35">
      <c r="B148" s="631">
        <v>21</v>
      </c>
      <c r="C148" s="612"/>
      <c r="D148" s="463">
        <v>0</v>
      </c>
      <c r="E148" s="632" t="s">
        <v>72</v>
      </c>
      <c r="F148" s="584">
        <f t="shared" si="40"/>
        <v>0.3</v>
      </c>
      <c r="G148" s="584">
        <f t="shared" si="64"/>
        <v>0.3</v>
      </c>
      <c r="H148" s="1199">
        <v>190.76</v>
      </c>
      <c r="I148" s="1198">
        <v>79.651040199999997</v>
      </c>
      <c r="J148" s="1197">
        <f t="shared" si="65"/>
        <v>79.651040199999997</v>
      </c>
      <c r="K148" s="1197">
        <f t="shared" si="41"/>
        <v>39.825520099999999</v>
      </c>
      <c r="L148" s="1197">
        <f t="shared" si="42"/>
        <v>0.64045183696587837</v>
      </c>
      <c r="M148" s="1197">
        <f t="shared" si="43"/>
        <v>122.17259241961095</v>
      </c>
      <c r="N148" s="1197">
        <f t="shared" si="44"/>
        <v>244.3451848392219</v>
      </c>
      <c r="O148" s="1197">
        <f>+C128+D129+D130+D131+D132+D133+D134+D135+D136+D137+D138+D139+D140+D141+D142+D143+D144+D145+D146+D147+(D148/2)</f>
        <v>0</v>
      </c>
      <c r="P148" s="1197">
        <f t="shared" si="45"/>
        <v>0</v>
      </c>
      <c r="Q148" s="1197">
        <f t="shared" si="46"/>
        <v>0</v>
      </c>
      <c r="R148" s="1197">
        <f t="shared" si="66"/>
        <v>146.5</v>
      </c>
      <c r="S148" s="1197">
        <f t="shared" si="70"/>
        <v>146.5</v>
      </c>
      <c r="T148" s="1196">
        <f t="shared" si="47"/>
        <v>146.5</v>
      </c>
      <c r="V148" s="1193">
        <f t="shared" si="48"/>
        <v>0</v>
      </c>
      <c r="W148" s="1193"/>
      <c r="X148" s="1193"/>
      <c r="Y148" s="1193"/>
      <c r="Z148" s="1193"/>
      <c r="AA148" s="1193"/>
      <c r="AB148" s="1195" t="str">
        <f t="shared" si="49"/>
        <v>pin in groundstacking hole</v>
      </c>
      <c r="AC148" s="1194"/>
      <c r="AD148" s="1194"/>
      <c r="AE148" s="1194"/>
      <c r="AF148" s="1193">
        <f t="shared" si="67"/>
        <v>0</v>
      </c>
      <c r="AG148" s="1192">
        <f>SUM(D129:D148)+$C$128</f>
        <v>0</v>
      </c>
      <c r="AH148" s="1192"/>
      <c r="AI148" s="568">
        <f t="shared" si="50"/>
        <v>69.344714800000006</v>
      </c>
      <c r="AJ148" s="1191">
        <f t="shared" si="51"/>
        <v>0.93571960494171247</v>
      </c>
      <c r="AK148" s="658">
        <f t="shared" si="52"/>
        <v>180.0511663828843</v>
      </c>
      <c r="AL148" s="568">
        <f t="shared" si="53"/>
        <v>50.174479900000001</v>
      </c>
      <c r="AM148" s="1190">
        <f t="shared" si="54"/>
        <v>0.76799833627881664</v>
      </c>
      <c r="AN148" s="658">
        <f t="shared" si="55"/>
        <v>146.50336262854705</v>
      </c>
      <c r="AO148" s="1200"/>
      <c r="AP148" s="658">
        <f t="shared" si="68"/>
        <v>-484.5</v>
      </c>
      <c r="AQ148" s="1188"/>
      <c r="AR148" s="1188">
        <f t="shared" si="56"/>
        <v>326.55452901143133</v>
      </c>
      <c r="AS148" s="1187">
        <f t="shared" si="57"/>
        <v>-146.50336262854705</v>
      </c>
      <c r="AT148" s="1187"/>
      <c r="AU148" s="1187">
        <f t="shared" si="58"/>
        <v>146.50336262854705</v>
      </c>
      <c r="AV148" s="1186">
        <f t="shared" si="59"/>
        <v>-267.13697824553429</v>
      </c>
      <c r="AW148" s="1186">
        <f t="shared" si="60"/>
        <v>-217.36302175446571</v>
      </c>
      <c r="AX148" s="1185">
        <f t="shared" si="61"/>
        <v>-43.423415493373078</v>
      </c>
      <c r="AY148" s="1185">
        <f t="shared" si="62"/>
        <v>-46.005985375451978</v>
      </c>
      <c r="AZ148" s="1184">
        <f t="shared" si="63"/>
        <v>43.423415493373078</v>
      </c>
      <c r="BA148" s="1184">
        <f t="shared" si="63"/>
        <v>46.005985375451978</v>
      </c>
      <c r="BB148" s="474">
        <f t="shared" si="69"/>
        <v>0.3</v>
      </c>
      <c r="BF148" s="524"/>
      <c r="BG148" s="524"/>
      <c r="BH148" s="524"/>
      <c r="BI148" s="524"/>
      <c r="BJ148" s="524"/>
      <c r="BK148" s="524"/>
      <c r="BL148" s="524"/>
      <c r="BM148" s="524"/>
      <c r="BN148" s="524"/>
      <c r="BO148" s="473"/>
      <c r="DQ148" s="521"/>
      <c r="DR148" s="521"/>
      <c r="DS148" s="521"/>
      <c r="DT148" s="521"/>
      <c r="DU148" s="521"/>
      <c r="DV148" s="521"/>
    </row>
    <row r="149" spans="2:126" ht="21" hidden="1" customHeight="1" thickBot="1" x14ac:dyDescent="0.35">
      <c r="B149" s="631">
        <v>22</v>
      </c>
      <c r="C149" s="612"/>
      <c r="D149" s="463">
        <v>0</v>
      </c>
      <c r="E149" s="632" t="s">
        <v>72</v>
      </c>
      <c r="F149" s="584">
        <f t="shared" si="40"/>
        <v>0.3</v>
      </c>
      <c r="G149" s="584">
        <f t="shared" si="64"/>
        <v>0.3</v>
      </c>
      <c r="H149" s="1199">
        <v>190.76</v>
      </c>
      <c r="I149" s="1198">
        <v>79.651040199999997</v>
      </c>
      <c r="J149" s="1197">
        <f t="shared" si="65"/>
        <v>79.651040199999997</v>
      </c>
      <c r="K149" s="1197">
        <f t="shared" si="41"/>
        <v>39.825520099999999</v>
      </c>
      <c r="L149" s="1197">
        <f t="shared" si="42"/>
        <v>0.64045183696587837</v>
      </c>
      <c r="M149" s="1197">
        <f t="shared" si="43"/>
        <v>122.17259241961095</v>
      </c>
      <c r="N149" s="1197">
        <f t="shared" si="44"/>
        <v>244.3451848392219</v>
      </c>
      <c r="O149" s="1197">
        <f>+C128+D129+D130+D131+D132+D133+D134+D135+D136+D137+D138+D139+D140+D141+D142+D143+D144+D145+D146+D147+D148+(D149/2)</f>
        <v>0</v>
      </c>
      <c r="P149" s="1197">
        <f t="shared" si="45"/>
        <v>0</v>
      </c>
      <c r="Q149" s="1197">
        <f t="shared" si="46"/>
        <v>0</v>
      </c>
      <c r="R149" s="1197">
        <f t="shared" si="66"/>
        <v>146.5</v>
      </c>
      <c r="S149" s="1197">
        <f t="shared" si="70"/>
        <v>146.5</v>
      </c>
      <c r="T149" s="1196">
        <f t="shared" si="47"/>
        <v>146.5</v>
      </c>
      <c r="V149" s="1193">
        <f t="shared" si="48"/>
        <v>0</v>
      </c>
      <c r="W149" s="1193"/>
      <c r="X149" s="1193"/>
      <c r="Y149" s="1193"/>
      <c r="Z149" s="1193"/>
      <c r="AA149" s="1193"/>
      <c r="AB149" s="1195" t="str">
        <f t="shared" si="49"/>
        <v>pin in groundstacking hole</v>
      </c>
      <c r="AC149" s="1194"/>
      <c r="AD149" s="1194"/>
      <c r="AE149" s="1194"/>
      <c r="AF149" s="1193">
        <f t="shared" si="67"/>
        <v>0</v>
      </c>
      <c r="AG149" s="1192">
        <f>SUM(D129:D149)+$C$128</f>
        <v>0</v>
      </c>
      <c r="AH149" s="1192"/>
      <c r="AI149" s="568">
        <f t="shared" si="50"/>
        <v>69.344714800000006</v>
      </c>
      <c r="AJ149" s="1191">
        <f t="shared" si="51"/>
        <v>0.93571960494171247</v>
      </c>
      <c r="AK149" s="658">
        <f t="shared" si="52"/>
        <v>180.0511663828843</v>
      </c>
      <c r="AL149" s="568">
        <f t="shared" si="53"/>
        <v>50.174479900000001</v>
      </c>
      <c r="AM149" s="1190">
        <f t="shared" si="54"/>
        <v>0.76799833627881664</v>
      </c>
      <c r="AN149" s="658">
        <f t="shared" si="55"/>
        <v>146.50336262854705</v>
      </c>
      <c r="AO149" s="1200"/>
      <c r="AP149" s="658">
        <f t="shared" si="68"/>
        <v>-510</v>
      </c>
      <c r="AQ149" s="1188"/>
      <c r="AR149" s="1188">
        <f t="shared" si="56"/>
        <v>326.55452901143133</v>
      </c>
      <c r="AS149" s="1187">
        <f t="shared" si="57"/>
        <v>-146.50336262854705</v>
      </c>
      <c r="AT149" s="1187"/>
      <c r="AU149" s="1187">
        <f t="shared" si="58"/>
        <v>146.50336262854705</v>
      </c>
      <c r="AV149" s="1186">
        <f t="shared" si="59"/>
        <v>-281.19681920582559</v>
      </c>
      <c r="AW149" s="1186">
        <f t="shared" si="60"/>
        <v>-228.80318079417441</v>
      </c>
      <c r="AX149" s="1185">
        <f t="shared" si="61"/>
        <v>-41.252244718704418</v>
      </c>
      <c r="AY149" s="1185">
        <f t="shared" si="62"/>
        <v>-43.705686106679387</v>
      </c>
      <c r="AZ149" s="1184">
        <f t="shared" si="63"/>
        <v>41.252244718704418</v>
      </c>
      <c r="BA149" s="1184">
        <f t="shared" si="63"/>
        <v>43.705686106679387</v>
      </c>
      <c r="BB149" s="474">
        <f t="shared" si="69"/>
        <v>0.3</v>
      </c>
      <c r="BF149" s="524"/>
      <c r="BG149" s="524"/>
      <c r="BH149" s="524"/>
      <c r="BI149" s="524"/>
      <c r="BJ149" s="524"/>
      <c r="BK149" s="524"/>
      <c r="BL149" s="524"/>
      <c r="BM149" s="524"/>
      <c r="BN149" s="524"/>
      <c r="BO149" s="473"/>
    </row>
    <row r="150" spans="2:126" ht="21" hidden="1" customHeight="1" thickBot="1" x14ac:dyDescent="0.35">
      <c r="B150" s="631">
        <v>23</v>
      </c>
      <c r="C150" s="612"/>
      <c r="D150" s="463">
        <v>0</v>
      </c>
      <c r="E150" s="632" t="s">
        <v>72</v>
      </c>
      <c r="F150" s="584">
        <f t="shared" si="40"/>
        <v>0.3</v>
      </c>
      <c r="G150" s="584">
        <f t="shared" si="64"/>
        <v>0.3</v>
      </c>
      <c r="H150" s="1199">
        <v>190.76</v>
      </c>
      <c r="I150" s="1198">
        <v>79.651040199999997</v>
      </c>
      <c r="J150" s="1197">
        <f t="shared" si="65"/>
        <v>79.651040199999997</v>
      </c>
      <c r="K150" s="1197">
        <f t="shared" si="41"/>
        <v>39.825520099999999</v>
      </c>
      <c r="L150" s="1197">
        <f t="shared" si="42"/>
        <v>0.64045183696587837</v>
      </c>
      <c r="M150" s="1197">
        <f t="shared" si="43"/>
        <v>122.17259241961095</v>
      </c>
      <c r="N150" s="1197">
        <f t="shared" si="44"/>
        <v>244.3451848392219</v>
      </c>
      <c r="O150" s="1197">
        <f>+C128+D129+D130+D131+D132+D133+D134+D135+D136+D137+D138+D139+D140+D141+D142+D143+D144+D145+D146+D147+D148+D149+(D150/2)</f>
        <v>0</v>
      </c>
      <c r="P150" s="1197">
        <f t="shared" si="45"/>
        <v>0</v>
      </c>
      <c r="Q150" s="1197">
        <f t="shared" si="46"/>
        <v>0</v>
      </c>
      <c r="R150" s="1197">
        <f t="shared" si="66"/>
        <v>146.5</v>
      </c>
      <c r="S150" s="1197">
        <f t="shared" si="70"/>
        <v>146.5</v>
      </c>
      <c r="T150" s="1196">
        <f t="shared" si="47"/>
        <v>146.5</v>
      </c>
      <c r="V150" s="1193">
        <f t="shared" si="48"/>
        <v>0</v>
      </c>
      <c r="W150" s="1193"/>
      <c r="X150" s="1193"/>
      <c r="Y150" s="1193"/>
      <c r="Z150" s="1193"/>
      <c r="AA150" s="1193"/>
      <c r="AB150" s="1195" t="str">
        <f t="shared" si="49"/>
        <v>pin in groundstacking hole</v>
      </c>
      <c r="AC150" s="1194"/>
      <c r="AD150" s="1194"/>
      <c r="AE150" s="1194"/>
      <c r="AF150" s="1193">
        <f t="shared" si="67"/>
        <v>0</v>
      </c>
      <c r="AG150" s="1192">
        <f>SUM(D129:D150)+$C$128</f>
        <v>0</v>
      </c>
      <c r="AH150" s="1192"/>
      <c r="AI150" s="568">
        <f t="shared" si="50"/>
        <v>69.344714800000006</v>
      </c>
      <c r="AJ150" s="1191">
        <f t="shared" si="51"/>
        <v>0.93571960494171247</v>
      </c>
      <c r="AK150" s="658">
        <f t="shared" si="52"/>
        <v>180.0511663828843</v>
      </c>
      <c r="AL150" s="568">
        <f t="shared" si="53"/>
        <v>50.174479900000001</v>
      </c>
      <c r="AM150" s="1190">
        <f t="shared" si="54"/>
        <v>0.76799833627881664</v>
      </c>
      <c r="AN150" s="658">
        <f t="shared" si="55"/>
        <v>146.50336262854705</v>
      </c>
      <c r="AO150" s="1200"/>
      <c r="AP150" s="658">
        <f t="shared" si="68"/>
        <v>-535.5</v>
      </c>
      <c r="AQ150" s="1188"/>
      <c r="AR150" s="1188">
        <f t="shared" si="56"/>
        <v>326.55452901143133</v>
      </c>
      <c r="AS150" s="1187">
        <f t="shared" si="57"/>
        <v>-146.50336262854705</v>
      </c>
      <c r="AT150" s="1187"/>
      <c r="AU150" s="1187">
        <f t="shared" si="58"/>
        <v>146.50336262854705</v>
      </c>
      <c r="AV150" s="1186">
        <f t="shared" si="59"/>
        <v>-295.25666016611689</v>
      </c>
      <c r="AW150" s="1186">
        <f t="shared" si="60"/>
        <v>-240.24333983388314</v>
      </c>
      <c r="AX150" s="1185">
        <f t="shared" si="61"/>
        <v>-39.287852113051827</v>
      </c>
      <c r="AY150" s="1185">
        <f t="shared" si="62"/>
        <v>-41.624462958742271</v>
      </c>
      <c r="AZ150" s="1184">
        <f t="shared" si="63"/>
        <v>39.287852113051827</v>
      </c>
      <c r="BA150" s="1184">
        <f t="shared" si="63"/>
        <v>41.624462958742271</v>
      </c>
      <c r="BB150" s="474">
        <f t="shared" si="69"/>
        <v>0.3</v>
      </c>
      <c r="BF150" s="524"/>
      <c r="BG150" s="524"/>
      <c r="BH150" s="524"/>
      <c r="BI150" s="524"/>
      <c r="BJ150" s="524"/>
      <c r="BK150" s="524"/>
      <c r="BL150" s="524"/>
      <c r="BM150" s="524"/>
      <c r="BN150" s="524"/>
      <c r="BO150" s="473"/>
      <c r="CW150" s="647"/>
    </row>
    <row r="151" spans="2:126" ht="21" hidden="1" customHeight="1" thickBot="1" x14ac:dyDescent="0.35">
      <c r="B151" s="631">
        <v>24</v>
      </c>
      <c r="C151" s="612"/>
      <c r="D151" s="463">
        <v>0</v>
      </c>
      <c r="E151" s="632" t="s">
        <v>72</v>
      </c>
      <c r="F151" s="584">
        <f t="shared" si="40"/>
        <v>0.3</v>
      </c>
      <c r="G151" s="584">
        <f t="shared" si="64"/>
        <v>0.3</v>
      </c>
      <c r="H151" s="1199">
        <v>190.76</v>
      </c>
      <c r="I151" s="1198">
        <v>79.651040199999997</v>
      </c>
      <c r="J151" s="1197">
        <f t="shared" si="65"/>
        <v>79.651040199999997</v>
      </c>
      <c r="K151" s="1197">
        <f t="shared" si="41"/>
        <v>39.825520099999999</v>
      </c>
      <c r="L151" s="1197">
        <f t="shared" si="42"/>
        <v>0.64045183696587837</v>
      </c>
      <c r="M151" s="1197">
        <f t="shared" si="43"/>
        <v>122.17259241961095</v>
      </c>
      <c r="N151" s="1197">
        <f t="shared" si="44"/>
        <v>244.3451848392219</v>
      </c>
      <c r="O151" s="1197">
        <f>+SUM(D129:D150)+(D151/2)+C128</f>
        <v>0</v>
      </c>
      <c r="P151" s="1197">
        <f t="shared" si="45"/>
        <v>0</v>
      </c>
      <c r="Q151" s="1197">
        <f t="shared" si="46"/>
        <v>0</v>
      </c>
      <c r="R151" s="1197">
        <f t="shared" si="66"/>
        <v>146.5</v>
      </c>
      <c r="S151" s="1197">
        <f t="shared" si="70"/>
        <v>146.5</v>
      </c>
      <c r="T151" s="1196">
        <f t="shared" si="47"/>
        <v>146.5</v>
      </c>
      <c r="V151" s="1193">
        <f t="shared" si="48"/>
        <v>0</v>
      </c>
      <c r="W151" s="1193"/>
      <c r="X151" s="1193"/>
      <c r="Y151" s="1193"/>
      <c r="Z151" s="1193"/>
      <c r="AA151" s="1193"/>
      <c r="AB151" s="1195" t="str">
        <f t="shared" si="49"/>
        <v>pin in groundstacking hole</v>
      </c>
      <c r="AC151" s="1194"/>
      <c r="AD151" s="1194"/>
      <c r="AE151" s="1194"/>
      <c r="AF151" s="1193">
        <f t="shared" si="67"/>
        <v>0</v>
      </c>
      <c r="AG151" s="1192">
        <f>SUM(D129:D151)+$C$128</f>
        <v>0</v>
      </c>
      <c r="AH151" s="1192"/>
      <c r="AI151" s="568">
        <f t="shared" si="50"/>
        <v>69.344714800000006</v>
      </c>
      <c r="AJ151" s="1191">
        <f t="shared" si="51"/>
        <v>0.93571960494171247</v>
      </c>
      <c r="AK151" s="658">
        <f t="shared" si="52"/>
        <v>180.0511663828843</v>
      </c>
      <c r="AL151" s="568">
        <f t="shared" si="53"/>
        <v>50.174479900000001</v>
      </c>
      <c r="AM151" s="1190">
        <f t="shared" si="54"/>
        <v>0.76799833627881664</v>
      </c>
      <c r="AN151" s="658">
        <f t="shared" si="55"/>
        <v>146.50336262854705</v>
      </c>
      <c r="AO151" s="1189"/>
      <c r="AP151" s="658">
        <f t="shared" si="68"/>
        <v>-561</v>
      </c>
      <c r="AQ151" s="1188"/>
      <c r="AR151" s="1188">
        <f t="shared" si="56"/>
        <v>326.55452901143133</v>
      </c>
      <c r="AS151" s="1187">
        <f t="shared" si="57"/>
        <v>-146.50336262854705</v>
      </c>
      <c r="AT151" s="1187"/>
      <c r="AU151" s="1187">
        <f t="shared" si="58"/>
        <v>146.50336262854705</v>
      </c>
      <c r="AV151" s="1186">
        <f t="shared" si="59"/>
        <v>-309.31650112640813</v>
      </c>
      <c r="AW151" s="1186">
        <f t="shared" si="60"/>
        <v>-251.68349887359184</v>
      </c>
      <c r="AX151" s="1185">
        <f t="shared" si="61"/>
        <v>-37.502040653367658</v>
      </c>
      <c r="AY151" s="1185">
        <f t="shared" si="62"/>
        <v>-39.732441915163079</v>
      </c>
      <c r="AZ151" s="1184">
        <f t="shared" si="63"/>
        <v>37.502040653367658</v>
      </c>
      <c r="BA151" s="1184">
        <f t="shared" si="63"/>
        <v>39.732441915163079</v>
      </c>
      <c r="BB151" s="474">
        <f t="shared" si="69"/>
        <v>0.3</v>
      </c>
      <c r="BF151" s="524"/>
      <c r="BG151" s="524"/>
      <c r="BH151" s="524"/>
      <c r="BI151" s="524"/>
      <c r="BJ151" s="524"/>
      <c r="BK151" s="524"/>
      <c r="BL151" s="524"/>
      <c r="BM151" s="524"/>
      <c r="BN151" s="524"/>
      <c r="BO151" s="473"/>
      <c r="CW151" s="647"/>
    </row>
    <row r="152" spans="2:126" ht="21" customHeight="1" x14ac:dyDescent="0.3">
      <c r="BF152" s="524"/>
      <c r="BG152" s="524"/>
      <c r="BH152" s="524"/>
      <c r="BI152" s="524"/>
      <c r="BJ152" s="524"/>
      <c r="BK152" s="524"/>
      <c r="BL152" s="524"/>
      <c r="BO152" s="473"/>
      <c r="CP152" s="466"/>
      <c r="CW152" s="647"/>
      <c r="CX152" s="473"/>
    </row>
    <row r="153" spans="2:126" x14ac:dyDescent="0.3">
      <c r="BF153" s="524"/>
      <c r="BG153" s="524"/>
      <c r="BH153" s="524"/>
      <c r="BI153" s="524"/>
      <c r="BJ153" s="524"/>
      <c r="BK153" s="524"/>
      <c r="BL153" s="524"/>
      <c r="BM153" s="639"/>
      <c r="BO153" s="473"/>
      <c r="CP153" s="466"/>
      <c r="CW153" s="647"/>
      <c r="CX153" s="473"/>
    </row>
    <row r="154" spans="2:126" x14ac:dyDescent="0.3">
      <c r="BF154" s="524"/>
      <c r="BG154" s="524"/>
      <c r="BH154" s="524"/>
      <c r="BI154" s="524"/>
      <c r="BJ154" s="524"/>
      <c r="BK154" s="524"/>
      <c r="BL154" s="524"/>
      <c r="BM154" s="524"/>
      <c r="BN154" s="524"/>
      <c r="BO154" s="473"/>
      <c r="CW154" s="647"/>
      <c r="CX154" s="473"/>
    </row>
    <row r="155" spans="2:126" x14ac:dyDescent="0.3">
      <c r="BF155" s="640"/>
      <c r="BG155" s="640"/>
      <c r="BH155" s="640"/>
      <c r="BI155" s="640"/>
      <c r="BJ155" s="640"/>
      <c r="BK155" s="640"/>
      <c r="BL155" s="640"/>
      <c r="BM155" s="640"/>
      <c r="BN155" s="640"/>
      <c r="BO155" s="473"/>
      <c r="CW155" s="647"/>
      <c r="CX155" s="473"/>
    </row>
    <row r="156" spans="2:126" x14ac:dyDescent="0.3">
      <c r="BF156" s="600"/>
      <c r="BG156" s="600"/>
      <c r="BH156" s="600"/>
      <c r="BI156" s="600"/>
      <c r="BJ156" s="600"/>
      <c r="BK156" s="600"/>
      <c r="BL156" s="600"/>
      <c r="BM156" s="600"/>
      <c r="BN156" s="600"/>
      <c r="BO156" s="473"/>
      <c r="CW156" s="647"/>
      <c r="CX156" s="473"/>
    </row>
    <row r="157" spans="2:126" x14ac:dyDescent="0.3">
      <c r="BF157" s="600"/>
      <c r="BG157" s="600"/>
      <c r="BH157" s="600"/>
      <c r="BI157" s="600"/>
      <c r="BJ157" s="600"/>
      <c r="BK157" s="600"/>
      <c r="BL157" s="600"/>
      <c r="BM157" s="600"/>
      <c r="BN157" s="600"/>
      <c r="BO157" s="473"/>
      <c r="CW157" s="647"/>
      <c r="CX157" s="473"/>
    </row>
    <row r="158" spans="2:126" x14ac:dyDescent="0.3">
      <c r="BO158" s="473"/>
      <c r="CW158" s="647"/>
      <c r="CX158" s="473"/>
    </row>
    <row r="159" spans="2:126" x14ac:dyDescent="0.3">
      <c r="BF159" s="644"/>
      <c r="BO159" s="473"/>
      <c r="CW159" s="647"/>
    </row>
    <row r="160" spans="2:126" x14ac:dyDescent="0.3">
      <c r="BN160" s="647"/>
      <c r="BO160" s="473"/>
      <c r="CW160" s="647"/>
    </row>
    <row r="161" spans="66:67" x14ac:dyDescent="0.3">
      <c r="BN161" s="647"/>
      <c r="BO161" s="473"/>
    </row>
    <row r="162" spans="66:67" x14ac:dyDescent="0.3">
      <c r="BN162" s="647"/>
      <c r="BO162" s="473"/>
    </row>
    <row r="163" spans="66:67" x14ac:dyDescent="0.3">
      <c r="BN163" s="647"/>
      <c r="BO163" s="473"/>
    </row>
    <row r="164" spans="66:67" x14ac:dyDescent="0.3">
      <c r="BN164" s="647"/>
      <c r="BO164" s="473"/>
    </row>
    <row r="165" spans="66:67" x14ac:dyDescent="0.3">
      <c r="BN165" s="647"/>
      <c r="BO165" s="473"/>
    </row>
    <row r="166" spans="66:67" x14ac:dyDescent="0.3">
      <c r="BN166" s="647"/>
      <c r="BO166" s="473"/>
    </row>
    <row r="167" spans="66:67" x14ac:dyDescent="0.3">
      <c r="BN167" s="647"/>
      <c r="BO167" s="473"/>
    </row>
    <row r="168" spans="66:67" x14ac:dyDescent="0.3">
      <c r="BN168" s="647"/>
      <c r="BO168" s="473"/>
    </row>
    <row r="169" spans="66:67" x14ac:dyDescent="0.3">
      <c r="BN169" s="647"/>
      <c r="BO169" s="473"/>
    </row>
    <row r="170" spans="66:67" x14ac:dyDescent="0.3">
      <c r="BN170" s="647"/>
      <c r="BO170" s="473"/>
    </row>
    <row r="171" spans="66:67" x14ac:dyDescent="0.3">
      <c r="BO171" s="473"/>
    </row>
    <row r="172" spans="66:67" x14ac:dyDescent="0.3">
      <c r="BO172" s="473"/>
    </row>
    <row r="173" spans="66:67" x14ac:dyDescent="0.3">
      <c r="BO173" s="473"/>
    </row>
    <row r="194" spans="67:127" x14ac:dyDescent="0.3">
      <c r="CX194" s="661"/>
      <c r="CY194" s="661"/>
      <c r="CZ194" s="661"/>
      <c r="DA194" s="661"/>
      <c r="DB194" s="661"/>
      <c r="DC194" s="661"/>
      <c r="DD194" s="2065"/>
      <c r="DE194" s="2065"/>
      <c r="DF194" s="2065"/>
      <c r="DG194" s="478"/>
      <c r="DH194" s="506"/>
      <c r="DI194" s="506"/>
      <c r="DJ194" s="506"/>
      <c r="DK194" s="506"/>
      <c r="DL194" s="506"/>
      <c r="DM194" s="506"/>
      <c r="DN194" s="506"/>
      <c r="DO194" s="506"/>
      <c r="DP194" s="506"/>
      <c r="DQ194" s="506"/>
      <c r="DR194" s="506"/>
      <c r="DS194" s="506"/>
      <c r="DT194" s="506"/>
      <c r="DU194" s="506"/>
      <c r="DV194" s="506"/>
      <c r="DW194" s="506"/>
    </row>
    <row r="195" spans="67:127" x14ac:dyDescent="0.3">
      <c r="CX195" s="506"/>
      <c r="CY195" s="506"/>
      <c r="CZ195" s="506"/>
      <c r="DA195" s="506"/>
      <c r="DB195" s="506"/>
      <c r="DC195" s="506"/>
      <c r="DD195" s="662"/>
      <c r="DE195" s="506"/>
      <c r="DF195" s="506"/>
      <c r="DG195" s="506"/>
      <c r="DH195" s="506"/>
      <c r="DI195" s="506"/>
      <c r="DJ195" s="506"/>
      <c r="DK195" s="506"/>
      <c r="DL195" s="506"/>
      <c r="DM195" s="506"/>
      <c r="DN195" s="506"/>
      <c r="DO195" s="506"/>
      <c r="DP195" s="506"/>
      <c r="DQ195" s="662"/>
      <c r="DR195" s="506"/>
      <c r="DS195" s="506"/>
      <c r="DT195" s="506"/>
      <c r="DU195" s="506"/>
      <c r="DV195" s="506"/>
      <c r="DW195" s="506"/>
    </row>
    <row r="196" spans="67:127" x14ac:dyDescent="0.3">
      <c r="CX196" s="663"/>
      <c r="CY196" s="663"/>
      <c r="CZ196" s="663"/>
      <c r="DA196" s="663"/>
      <c r="DB196" s="663"/>
      <c r="DC196" s="663"/>
      <c r="DD196" s="2066"/>
      <c r="DE196" s="2066"/>
      <c r="DF196" s="506"/>
      <c r="DG196" s="506"/>
      <c r="DH196" s="506"/>
      <c r="DI196" s="506"/>
      <c r="DJ196" s="506"/>
      <c r="DK196" s="506"/>
      <c r="DL196" s="506"/>
      <c r="DM196" s="506"/>
      <c r="DN196" s="506"/>
      <c r="DO196" s="506"/>
      <c r="DP196" s="2061"/>
      <c r="DQ196" s="2061"/>
      <c r="DR196" s="506"/>
      <c r="DS196" s="506"/>
      <c r="DT196" s="506"/>
      <c r="DU196" s="506"/>
      <c r="DV196" s="506"/>
      <c r="DW196" s="506"/>
    </row>
    <row r="197" spans="67:127" x14ac:dyDescent="0.3">
      <c r="CX197" s="506"/>
      <c r="CY197" s="506"/>
      <c r="CZ197" s="506"/>
      <c r="DA197" s="506"/>
      <c r="DB197" s="506"/>
      <c r="DC197" s="506"/>
      <c r="DD197" s="506"/>
      <c r="DE197" s="506"/>
      <c r="DF197" s="506"/>
      <c r="DG197" s="506"/>
      <c r="DH197" s="506"/>
      <c r="DI197" s="506"/>
      <c r="DJ197" s="506"/>
      <c r="DK197" s="506"/>
      <c r="DL197" s="506"/>
      <c r="DM197" s="506"/>
      <c r="DN197" s="506"/>
      <c r="DO197" s="506"/>
      <c r="DP197" s="506"/>
      <c r="DQ197" s="506"/>
      <c r="DR197" s="506"/>
      <c r="DS197" s="506"/>
      <c r="DT197" s="506"/>
      <c r="DU197" s="506"/>
      <c r="DV197" s="506"/>
      <c r="DW197" s="506"/>
    </row>
    <row r="198" spans="67:127" x14ac:dyDescent="0.3">
      <c r="CX198" s="506"/>
      <c r="CY198" s="506"/>
      <c r="CZ198" s="506"/>
      <c r="DA198" s="506"/>
      <c r="DB198" s="506"/>
      <c r="DC198" s="506"/>
      <c r="DD198" s="506"/>
      <c r="DE198" s="506"/>
      <c r="DF198" s="506"/>
      <c r="DG198" s="506"/>
      <c r="DH198" s="506"/>
      <c r="DI198" s="506"/>
      <c r="DJ198" s="506"/>
      <c r="DK198" s="506"/>
      <c r="DL198" s="506"/>
      <c r="DM198" s="506"/>
      <c r="DN198" s="506"/>
      <c r="DO198" s="506"/>
      <c r="DP198" s="506"/>
      <c r="DQ198" s="506"/>
      <c r="DR198" s="506"/>
      <c r="DS198" s="506"/>
      <c r="DT198" s="506"/>
      <c r="DU198" s="506"/>
      <c r="DV198" s="506"/>
      <c r="DW198" s="506"/>
    </row>
    <row r="199" spans="67:127" x14ac:dyDescent="0.3">
      <c r="CX199" s="506"/>
      <c r="CY199" s="506"/>
      <c r="CZ199" s="506"/>
      <c r="DA199" s="506"/>
      <c r="DB199" s="506"/>
      <c r="DC199" s="506"/>
      <c r="DD199" s="506"/>
      <c r="DE199" s="506"/>
      <c r="DF199" s="506"/>
      <c r="DG199" s="506"/>
      <c r="DH199" s="506"/>
      <c r="DI199" s="506"/>
      <c r="DJ199" s="506"/>
      <c r="DK199" s="506"/>
      <c r="DL199" s="506"/>
      <c r="DM199" s="506"/>
      <c r="DN199" s="506"/>
      <c r="DO199" s="506"/>
      <c r="DP199" s="506"/>
      <c r="DQ199" s="506"/>
      <c r="DR199" s="506"/>
      <c r="DS199" s="506"/>
      <c r="DT199" s="506"/>
      <c r="DU199" s="506"/>
      <c r="DV199" s="506"/>
      <c r="DW199" s="506"/>
    </row>
    <row r="200" spans="67:127" x14ac:dyDescent="0.3">
      <c r="CX200" s="506"/>
      <c r="CY200" s="506"/>
      <c r="CZ200" s="506"/>
      <c r="DA200" s="506"/>
      <c r="DB200" s="506"/>
      <c r="DC200" s="506"/>
      <c r="DD200" s="506"/>
      <c r="DE200" s="506"/>
      <c r="DF200" s="506"/>
      <c r="DG200" s="506"/>
      <c r="DH200" s="506"/>
      <c r="DI200" s="506"/>
      <c r="DJ200" s="506"/>
      <c r="DK200" s="506"/>
      <c r="DL200" s="506"/>
      <c r="DM200" s="506"/>
      <c r="DN200" s="506"/>
      <c r="DO200" s="506"/>
      <c r="DP200" s="506"/>
      <c r="DQ200" s="506"/>
      <c r="DR200" s="506"/>
      <c r="DS200" s="506"/>
      <c r="DT200" s="506"/>
      <c r="DU200" s="506"/>
      <c r="DV200" s="506"/>
      <c r="DW200" s="506"/>
    </row>
    <row r="201" spans="67:127" x14ac:dyDescent="0.3">
      <c r="CX201" s="506"/>
      <c r="CY201" s="506"/>
      <c r="CZ201" s="506"/>
      <c r="DA201" s="506"/>
      <c r="DB201" s="506"/>
      <c r="DC201" s="506"/>
      <c r="DD201" s="506"/>
      <c r="DE201" s="506"/>
      <c r="DF201" s="506"/>
      <c r="DG201" s="506"/>
      <c r="DH201" s="506"/>
      <c r="DI201" s="506"/>
      <c r="DJ201" s="506"/>
      <c r="DK201" s="506"/>
      <c r="DL201" s="506"/>
      <c r="DM201" s="506"/>
      <c r="DN201" s="506"/>
      <c r="DO201" s="506"/>
      <c r="DP201" s="506"/>
      <c r="DQ201" s="506"/>
      <c r="DR201" s="506"/>
      <c r="DS201" s="506"/>
      <c r="DT201" s="506"/>
      <c r="DU201" s="506"/>
      <c r="DV201" s="506"/>
      <c r="DW201" s="506"/>
    </row>
    <row r="202" spans="67:127" x14ac:dyDescent="0.3">
      <c r="CX202" s="506"/>
      <c r="CY202" s="506"/>
      <c r="CZ202" s="506"/>
      <c r="DA202" s="506"/>
      <c r="DB202" s="506"/>
      <c r="DC202" s="506"/>
      <c r="DD202" s="506"/>
      <c r="DE202" s="506"/>
      <c r="DF202" s="506"/>
      <c r="DG202" s="506"/>
      <c r="DH202" s="506"/>
      <c r="DI202" s="506"/>
      <c r="DJ202" s="506"/>
      <c r="DK202" s="506"/>
      <c r="DL202" s="506"/>
      <c r="DM202" s="506"/>
      <c r="DN202" s="506"/>
      <c r="DO202" s="506"/>
      <c r="DP202" s="506"/>
      <c r="DQ202" s="506"/>
      <c r="DR202" s="506"/>
      <c r="DS202" s="506"/>
      <c r="DT202" s="506"/>
      <c r="DU202" s="506"/>
      <c r="DV202" s="506"/>
      <c r="DW202" s="506"/>
    </row>
    <row r="203" spans="67:127" x14ac:dyDescent="0.3">
      <c r="CX203" s="506"/>
      <c r="CY203" s="506"/>
      <c r="CZ203" s="506"/>
      <c r="DA203" s="506"/>
      <c r="DB203" s="506"/>
      <c r="DC203" s="506"/>
      <c r="DD203" s="506"/>
      <c r="DE203" s="506"/>
      <c r="DF203" s="506"/>
      <c r="DG203" s="506"/>
      <c r="DH203" s="506"/>
      <c r="DI203" s="506"/>
      <c r="DJ203" s="506"/>
      <c r="DK203" s="506"/>
      <c r="DL203" s="506"/>
      <c r="DM203" s="506"/>
      <c r="DN203" s="506"/>
      <c r="DO203" s="506"/>
      <c r="DP203" s="506"/>
      <c r="DQ203" s="506"/>
      <c r="DR203" s="506"/>
      <c r="DS203" s="506"/>
      <c r="DT203" s="506"/>
      <c r="DU203" s="506"/>
      <c r="DV203" s="506"/>
      <c r="DW203" s="506"/>
    </row>
    <row r="204" spans="67:127" x14ac:dyDescent="0.3">
      <c r="BO204" s="661"/>
      <c r="BP204" s="661"/>
      <c r="BQ204" s="661"/>
      <c r="BR204" s="661"/>
      <c r="BS204" s="661"/>
      <c r="BT204" s="661"/>
      <c r="BU204" s="2065"/>
      <c r="BV204" s="2065"/>
      <c r="BW204" s="2065"/>
      <c r="BX204" s="478"/>
      <c r="BY204" s="506"/>
      <c r="BZ204" s="506"/>
      <c r="CA204" s="506"/>
      <c r="CB204" s="506"/>
      <c r="CC204" s="506"/>
      <c r="CD204" s="506"/>
      <c r="CE204" s="506"/>
      <c r="CF204" s="506"/>
      <c r="CG204" s="506"/>
      <c r="CH204" s="506"/>
      <c r="CI204" s="506"/>
      <c r="CJ204" s="506"/>
      <c r="CK204" s="506"/>
      <c r="CL204" s="506"/>
      <c r="CM204" s="506"/>
      <c r="CN204" s="506"/>
      <c r="CX204" s="506"/>
      <c r="CY204" s="506"/>
      <c r="CZ204" s="506"/>
      <c r="DA204" s="506"/>
      <c r="DB204" s="506"/>
      <c r="DC204" s="506"/>
      <c r="DD204" s="506"/>
      <c r="DE204" s="506"/>
      <c r="DF204" s="506"/>
      <c r="DG204" s="506"/>
      <c r="DH204" s="506"/>
      <c r="DI204" s="506"/>
      <c r="DJ204" s="506"/>
      <c r="DK204" s="506"/>
      <c r="DL204" s="506"/>
      <c r="DM204" s="506"/>
      <c r="DN204" s="506"/>
      <c r="DO204" s="506"/>
      <c r="DP204" s="506"/>
      <c r="DQ204" s="506"/>
      <c r="DR204" s="506"/>
      <c r="DS204" s="506"/>
      <c r="DT204" s="506"/>
      <c r="DU204" s="506"/>
      <c r="DV204" s="506"/>
      <c r="DW204" s="506"/>
    </row>
    <row r="205" spans="67:127" x14ac:dyDescent="0.3">
      <c r="BO205" s="506"/>
      <c r="BP205" s="506"/>
      <c r="BQ205" s="506"/>
      <c r="BR205" s="506"/>
      <c r="BS205" s="506"/>
      <c r="BT205" s="506"/>
      <c r="BU205" s="662"/>
      <c r="BV205" s="506"/>
      <c r="BW205" s="506"/>
      <c r="BX205" s="506"/>
      <c r="BY205" s="506"/>
      <c r="BZ205" s="506"/>
      <c r="CA205" s="506"/>
      <c r="CB205" s="506"/>
      <c r="CC205" s="506"/>
      <c r="CD205" s="506"/>
      <c r="CE205" s="506"/>
      <c r="CF205" s="506"/>
      <c r="CG205" s="506"/>
      <c r="CH205" s="662"/>
      <c r="CI205" s="506"/>
      <c r="CJ205" s="506"/>
      <c r="CK205" s="506"/>
      <c r="CL205" s="506"/>
      <c r="CM205" s="506"/>
      <c r="CN205" s="506"/>
      <c r="CX205" s="506"/>
      <c r="CY205" s="506"/>
      <c r="CZ205" s="506"/>
      <c r="DA205" s="506"/>
      <c r="DB205" s="506"/>
      <c r="DC205" s="506"/>
      <c r="DD205" s="506"/>
      <c r="DE205" s="506"/>
      <c r="DF205" s="506"/>
      <c r="DG205" s="506"/>
      <c r="DH205" s="506"/>
      <c r="DI205" s="506"/>
      <c r="DJ205" s="506"/>
      <c r="DK205" s="506"/>
      <c r="DL205" s="506"/>
      <c r="DM205" s="506"/>
      <c r="DN205" s="506"/>
      <c r="DO205" s="506"/>
      <c r="DP205" s="506"/>
      <c r="DQ205" s="506"/>
      <c r="DR205" s="506"/>
      <c r="DS205" s="506"/>
      <c r="DT205" s="506"/>
      <c r="DU205" s="506"/>
      <c r="DV205" s="506"/>
      <c r="DW205" s="506"/>
    </row>
    <row r="206" spans="67:127" x14ac:dyDescent="0.3">
      <c r="BO206" s="663"/>
      <c r="BP206" s="663"/>
      <c r="BQ206" s="663"/>
      <c r="BR206" s="663"/>
      <c r="BS206" s="663"/>
      <c r="BT206" s="663"/>
      <c r="BU206" s="2066"/>
      <c r="BV206" s="2066"/>
      <c r="BW206" s="506"/>
      <c r="BX206" s="506"/>
      <c r="BY206" s="506"/>
      <c r="BZ206" s="506"/>
      <c r="CA206" s="506"/>
      <c r="CB206" s="506"/>
      <c r="CC206" s="506"/>
      <c r="CD206" s="506"/>
      <c r="CE206" s="506"/>
      <c r="CF206" s="506"/>
      <c r="CG206" s="2061"/>
      <c r="CH206" s="2061"/>
      <c r="CI206" s="506"/>
      <c r="CJ206" s="506"/>
      <c r="CK206" s="506"/>
      <c r="CL206" s="506"/>
      <c r="CM206" s="506"/>
      <c r="CN206" s="506"/>
      <c r="CX206" s="506"/>
      <c r="CY206" s="506"/>
      <c r="CZ206" s="506"/>
      <c r="DA206" s="506"/>
      <c r="DB206" s="506"/>
      <c r="DC206" s="506"/>
      <c r="DD206" s="506"/>
      <c r="DE206" s="506"/>
      <c r="DF206" s="506"/>
      <c r="DG206" s="506"/>
      <c r="DH206" s="506"/>
      <c r="DI206" s="506"/>
      <c r="DJ206" s="506"/>
      <c r="DK206" s="506"/>
      <c r="DL206" s="506"/>
      <c r="DM206" s="506"/>
      <c r="DN206" s="506"/>
      <c r="DO206" s="506"/>
      <c r="DP206" s="506"/>
      <c r="DQ206" s="506"/>
      <c r="DR206" s="506"/>
      <c r="DS206" s="506"/>
      <c r="DT206" s="506"/>
      <c r="DU206" s="506"/>
      <c r="DV206" s="506"/>
      <c r="DW206" s="506"/>
    </row>
    <row r="207" spans="67:127" x14ac:dyDescent="0.3">
      <c r="BO207" s="506"/>
      <c r="BP207" s="506"/>
      <c r="BQ207" s="506"/>
      <c r="BR207" s="506"/>
      <c r="BS207" s="506"/>
      <c r="BT207" s="506"/>
      <c r="BU207" s="506"/>
      <c r="BV207" s="506"/>
      <c r="BW207" s="506"/>
      <c r="BX207" s="506"/>
      <c r="BY207" s="506"/>
      <c r="BZ207" s="506"/>
      <c r="CA207" s="506"/>
      <c r="CB207" s="506"/>
      <c r="CC207" s="506"/>
      <c r="CD207" s="506"/>
      <c r="CE207" s="506"/>
      <c r="CF207" s="506"/>
      <c r="CG207" s="506"/>
      <c r="CH207" s="506"/>
      <c r="CI207" s="506"/>
      <c r="CJ207" s="506"/>
      <c r="CK207" s="506"/>
      <c r="CL207" s="506"/>
      <c r="CM207" s="506"/>
      <c r="CN207" s="506"/>
      <c r="CX207" s="506"/>
      <c r="CY207" s="506"/>
      <c r="CZ207" s="506"/>
      <c r="DA207" s="506"/>
      <c r="DB207" s="506"/>
      <c r="DC207" s="506"/>
      <c r="DD207" s="506"/>
      <c r="DE207" s="506"/>
      <c r="DF207" s="506"/>
      <c r="DG207" s="506"/>
      <c r="DH207" s="506"/>
      <c r="DI207" s="506"/>
      <c r="DJ207" s="506"/>
      <c r="DK207" s="506"/>
      <c r="DL207" s="506"/>
      <c r="DM207" s="506"/>
      <c r="DN207" s="506"/>
      <c r="DO207" s="506"/>
      <c r="DP207" s="506"/>
      <c r="DQ207" s="506"/>
      <c r="DR207" s="506"/>
      <c r="DS207" s="506"/>
      <c r="DT207" s="506"/>
      <c r="DU207" s="506"/>
      <c r="DV207" s="506"/>
      <c r="DW207" s="506"/>
    </row>
    <row r="208" spans="67:127" x14ac:dyDescent="0.3">
      <c r="BO208" s="506"/>
      <c r="BP208" s="506"/>
      <c r="BQ208" s="506"/>
      <c r="BR208" s="506"/>
      <c r="BS208" s="506"/>
      <c r="BT208" s="506"/>
      <c r="BU208" s="506"/>
      <c r="BV208" s="506"/>
      <c r="BW208" s="506"/>
      <c r="BX208" s="506"/>
      <c r="BY208" s="506"/>
      <c r="BZ208" s="506"/>
      <c r="CA208" s="506"/>
      <c r="CB208" s="506"/>
      <c r="CC208" s="506"/>
      <c r="CD208" s="506"/>
      <c r="CE208" s="506"/>
      <c r="CF208" s="506"/>
      <c r="CG208" s="506"/>
      <c r="CH208" s="506"/>
      <c r="CI208" s="506"/>
      <c r="CJ208" s="506"/>
      <c r="CK208" s="506"/>
      <c r="CL208" s="506"/>
      <c r="CM208" s="506"/>
      <c r="CN208" s="506"/>
      <c r="CX208" s="506"/>
      <c r="CY208" s="506"/>
      <c r="CZ208" s="506"/>
      <c r="DA208" s="506"/>
      <c r="DB208" s="506"/>
      <c r="DC208" s="506"/>
      <c r="DD208" s="506"/>
      <c r="DE208" s="506"/>
      <c r="DF208" s="506"/>
      <c r="DG208" s="506"/>
      <c r="DH208" s="506"/>
      <c r="DI208" s="506"/>
      <c r="DJ208" s="506"/>
      <c r="DK208" s="506"/>
      <c r="DL208" s="506"/>
      <c r="DM208" s="506"/>
      <c r="DN208" s="506"/>
      <c r="DO208" s="506"/>
      <c r="DP208" s="506"/>
      <c r="DQ208" s="506"/>
      <c r="DR208" s="506"/>
      <c r="DS208" s="506"/>
      <c r="DT208" s="506"/>
      <c r="DU208" s="506"/>
      <c r="DV208" s="506"/>
      <c r="DW208" s="506"/>
    </row>
    <row r="209" spans="67:127" x14ac:dyDescent="0.3">
      <c r="BO209" s="506"/>
      <c r="BP209" s="506"/>
      <c r="BQ209" s="506"/>
      <c r="BR209" s="506"/>
      <c r="BS209" s="506"/>
      <c r="BT209" s="506"/>
      <c r="BU209" s="506"/>
      <c r="BV209" s="506"/>
      <c r="BW209" s="506"/>
      <c r="BX209" s="506"/>
      <c r="BY209" s="506"/>
      <c r="BZ209" s="506"/>
      <c r="CA209" s="506"/>
      <c r="CB209" s="506"/>
      <c r="CC209" s="506"/>
      <c r="CD209" s="506"/>
      <c r="CE209" s="506"/>
      <c r="CF209" s="506"/>
      <c r="CG209" s="506"/>
      <c r="CH209" s="506"/>
      <c r="CI209" s="506"/>
      <c r="CJ209" s="506"/>
      <c r="CK209" s="506"/>
      <c r="CL209" s="506"/>
      <c r="CM209" s="506"/>
      <c r="CN209" s="506"/>
      <c r="CX209" s="506"/>
      <c r="CY209" s="506"/>
      <c r="CZ209" s="506"/>
      <c r="DA209" s="506"/>
      <c r="DB209" s="506"/>
      <c r="DC209" s="516"/>
      <c r="DD209" s="516"/>
      <c r="DE209" s="516"/>
      <c r="DF209" s="516"/>
      <c r="DG209" s="516"/>
      <c r="DH209" s="516"/>
      <c r="DI209" s="516"/>
      <c r="DJ209" s="516"/>
      <c r="DK209" s="516"/>
      <c r="DL209" s="516"/>
      <c r="DM209" s="506"/>
      <c r="DN209" s="506"/>
      <c r="DO209" s="506"/>
      <c r="DP209" s="506"/>
      <c r="DQ209" s="506"/>
      <c r="DR209" s="506"/>
      <c r="DS209" s="506"/>
      <c r="DT209" s="506"/>
      <c r="DU209" s="506"/>
      <c r="DV209" s="506"/>
      <c r="DW209" s="506"/>
    </row>
    <row r="210" spans="67:127" x14ac:dyDescent="0.3">
      <c r="BO210" s="506"/>
      <c r="BP210" s="506"/>
      <c r="BQ210" s="506"/>
      <c r="BR210" s="506"/>
      <c r="BS210" s="506"/>
      <c r="BT210" s="506"/>
      <c r="BU210" s="506"/>
      <c r="BV210" s="506"/>
      <c r="BW210" s="506"/>
      <c r="BX210" s="506"/>
      <c r="BY210" s="506"/>
      <c r="BZ210" s="506"/>
      <c r="CA210" s="506"/>
      <c r="CB210" s="506"/>
      <c r="CC210" s="506"/>
      <c r="CD210" s="506"/>
      <c r="CE210" s="506"/>
      <c r="CF210" s="506"/>
      <c r="CG210" s="506"/>
      <c r="CH210" s="506"/>
      <c r="CI210" s="506"/>
      <c r="CJ210" s="506"/>
      <c r="CK210" s="506"/>
      <c r="CL210" s="506"/>
      <c r="CM210" s="506"/>
      <c r="CN210" s="506"/>
      <c r="CX210" s="506"/>
      <c r="CY210" s="506"/>
      <c r="CZ210" s="506"/>
      <c r="DA210" s="506"/>
      <c r="DB210" s="506"/>
      <c r="DC210" s="516"/>
      <c r="DD210" s="516"/>
      <c r="DE210" s="516"/>
      <c r="DF210" s="516"/>
      <c r="DG210" s="516"/>
      <c r="DH210" s="516"/>
      <c r="DI210" s="516"/>
      <c r="DJ210" s="516"/>
      <c r="DK210" s="516"/>
      <c r="DL210" s="516"/>
      <c r="DM210" s="506"/>
      <c r="DN210" s="506"/>
      <c r="DO210" s="506"/>
      <c r="DP210" s="506"/>
      <c r="DQ210" s="506"/>
      <c r="DR210" s="506"/>
      <c r="DS210" s="506"/>
      <c r="DT210" s="506"/>
      <c r="DU210" s="506"/>
      <c r="DV210" s="506"/>
      <c r="DW210" s="506"/>
    </row>
    <row r="211" spans="67:127" x14ac:dyDescent="0.3">
      <c r="BO211" s="506"/>
      <c r="BP211" s="506"/>
      <c r="BQ211" s="506"/>
      <c r="BR211" s="506"/>
      <c r="BS211" s="506"/>
      <c r="BT211" s="506"/>
      <c r="BU211" s="506"/>
      <c r="BV211" s="506"/>
      <c r="BW211" s="506"/>
      <c r="BX211" s="506"/>
      <c r="BY211" s="506"/>
      <c r="BZ211" s="506"/>
      <c r="CA211" s="506"/>
      <c r="CB211" s="506"/>
      <c r="CC211" s="506"/>
      <c r="CD211" s="506"/>
      <c r="CE211" s="506"/>
      <c r="CF211" s="506"/>
      <c r="CG211" s="506"/>
      <c r="CH211" s="506"/>
      <c r="CI211" s="506"/>
      <c r="CJ211" s="506"/>
      <c r="CK211" s="506"/>
      <c r="CL211" s="506"/>
      <c r="CM211" s="506"/>
      <c r="CN211" s="506"/>
      <c r="CX211" s="506"/>
      <c r="CY211" s="506"/>
      <c r="CZ211" s="506"/>
      <c r="DA211" s="506"/>
      <c r="DB211" s="506"/>
      <c r="DC211" s="516"/>
      <c r="DD211" s="516"/>
      <c r="DE211" s="516"/>
      <c r="DF211" s="516"/>
      <c r="DG211" s="516"/>
      <c r="DH211" s="516"/>
      <c r="DI211" s="516"/>
      <c r="DJ211" s="516"/>
      <c r="DK211" s="516"/>
      <c r="DL211" s="516"/>
      <c r="DM211" s="506"/>
      <c r="DN211" s="506"/>
      <c r="DO211" s="506"/>
      <c r="DP211" s="506"/>
      <c r="DQ211" s="506"/>
      <c r="DR211" s="506"/>
      <c r="DS211" s="506"/>
      <c r="DT211" s="506"/>
      <c r="DU211" s="506"/>
      <c r="DV211" s="506"/>
      <c r="DW211" s="506"/>
    </row>
    <row r="212" spans="67:127" x14ac:dyDescent="0.3">
      <c r="BO212" s="506"/>
      <c r="BP212" s="506"/>
      <c r="BQ212" s="506"/>
      <c r="BR212" s="506"/>
      <c r="BS212" s="506"/>
      <c r="BT212" s="506"/>
      <c r="BU212" s="506"/>
      <c r="BV212" s="506"/>
      <c r="BW212" s="506"/>
      <c r="BX212" s="506"/>
      <c r="BY212" s="506"/>
      <c r="BZ212" s="506"/>
      <c r="CA212" s="506"/>
      <c r="CB212" s="506"/>
      <c r="CC212" s="506"/>
      <c r="CD212" s="506"/>
      <c r="CE212" s="506"/>
      <c r="CF212" s="506"/>
      <c r="CG212" s="506"/>
      <c r="CH212" s="506"/>
      <c r="CI212" s="506"/>
      <c r="CJ212" s="506"/>
      <c r="CK212" s="506"/>
      <c r="CL212" s="506"/>
      <c r="CM212" s="506"/>
      <c r="CN212" s="506"/>
      <c r="CX212" s="506"/>
      <c r="CY212" s="506"/>
      <c r="CZ212" s="506"/>
      <c r="DA212" s="506"/>
      <c r="DB212" s="506"/>
      <c r="DC212" s="516"/>
      <c r="DD212" s="516"/>
      <c r="DE212" s="516"/>
      <c r="DF212" s="516"/>
      <c r="DG212" s="516"/>
      <c r="DH212" s="516"/>
      <c r="DI212" s="516"/>
      <c r="DJ212" s="516"/>
      <c r="DK212" s="516"/>
      <c r="DL212" s="516"/>
      <c r="DM212" s="506"/>
      <c r="DN212" s="506"/>
      <c r="DO212" s="506"/>
      <c r="DP212" s="506"/>
      <c r="DQ212" s="506"/>
      <c r="DR212" s="506"/>
      <c r="DS212" s="506"/>
      <c r="DT212" s="506"/>
      <c r="DU212" s="506"/>
      <c r="DV212" s="506"/>
      <c r="DW212" s="506"/>
    </row>
    <row r="213" spans="67:127" x14ac:dyDescent="0.3">
      <c r="BO213" s="506"/>
      <c r="BP213" s="506"/>
      <c r="BQ213" s="506"/>
      <c r="BR213" s="506"/>
      <c r="BS213" s="506"/>
      <c r="BT213" s="506"/>
      <c r="BU213" s="506"/>
      <c r="BV213" s="506"/>
      <c r="BW213" s="506"/>
      <c r="BX213" s="506"/>
      <c r="BY213" s="506"/>
      <c r="BZ213" s="506"/>
      <c r="CA213" s="506"/>
      <c r="CB213" s="506"/>
      <c r="CC213" s="506"/>
      <c r="CD213" s="506"/>
      <c r="CE213" s="506"/>
      <c r="CF213" s="506"/>
      <c r="CG213" s="506"/>
      <c r="CH213" s="506"/>
      <c r="CI213" s="506"/>
      <c r="CJ213" s="506"/>
      <c r="CK213" s="506"/>
      <c r="CL213" s="506"/>
      <c r="CM213" s="506"/>
      <c r="CN213" s="506"/>
      <c r="CX213" s="478"/>
      <c r="CY213" s="506"/>
      <c r="CZ213" s="478"/>
      <c r="DA213" s="506"/>
      <c r="DB213" s="478"/>
      <c r="DC213" s="516"/>
      <c r="DD213" s="516"/>
      <c r="DE213" s="516"/>
      <c r="DF213" s="516"/>
      <c r="DG213" s="516"/>
      <c r="DH213" s="516"/>
      <c r="DI213" s="516"/>
      <c r="DJ213" s="516"/>
      <c r="DK213" s="516"/>
      <c r="DL213" s="516"/>
      <c r="DM213" s="506"/>
      <c r="DN213" s="506"/>
      <c r="DO213" s="506"/>
      <c r="DP213" s="506"/>
      <c r="DQ213" s="506"/>
      <c r="DR213" s="506"/>
      <c r="DS213" s="506"/>
      <c r="DT213" s="506"/>
      <c r="DU213" s="506"/>
      <c r="DV213" s="506"/>
      <c r="DW213" s="506"/>
    </row>
    <row r="214" spans="67:127" x14ac:dyDescent="0.3">
      <c r="BO214" s="506"/>
      <c r="BP214" s="506"/>
      <c r="BQ214" s="506"/>
      <c r="BR214" s="506"/>
      <c r="BS214" s="506"/>
      <c r="BT214" s="506"/>
      <c r="BU214" s="506"/>
      <c r="BV214" s="506"/>
      <c r="BW214" s="506"/>
      <c r="BX214" s="506"/>
      <c r="BY214" s="506"/>
      <c r="BZ214" s="506"/>
      <c r="CA214" s="506"/>
      <c r="CB214" s="506"/>
      <c r="CC214" s="506"/>
      <c r="CD214" s="506"/>
      <c r="CE214" s="506"/>
      <c r="CF214" s="506"/>
      <c r="CG214" s="506"/>
      <c r="CH214" s="506"/>
      <c r="CI214" s="506"/>
      <c r="CJ214" s="506"/>
      <c r="CK214" s="506"/>
      <c r="CL214" s="506"/>
      <c r="CM214" s="506"/>
      <c r="CN214" s="506"/>
      <c r="CX214" s="478"/>
      <c r="CY214" s="506"/>
      <c r="CZ214" s="506"/>
      <c r="DA214" s="506"/>
      <c r="DB214" s="478"/>
      <c r="DC214" s="516"/>
      <c r="DD214" s="516"/>
      <c r="DE214" s="516"/>
      <c r="DF214" s="516"/>
      <c r="DG214" s="516"/>
      <c r="DH214" s="516"/>
      <c r="DI214" s="516"/>
      <c r="DJ214" s="516"/>
      <c r="DK214" s="516"/>
      <c r="DL214" s="516"/>
      <c r="DM214" s="506"/>
      <c r="DN214" s="506"/>
      <c r="DO214" s="506"/>
      <c r="DP214" s="506"/>
      <c r="DQ214" s="506"/>
      <c r="DR214" s="506"/>
      <c r="DS214" s="506"/>
      <c r="DT214" s="506"/>
      <c r="DU214" s="506"/>
      <c r="DV214" s="506"/>
      <c r="DW214" s="506"/>
    </row>
    <row r="215" spans="67:127" x14ac:dyDescent="0.3">
      <c r="BO215" s="506"/>
      <c r="BP215" s="506"/>
      <c r="BQ215" s="506"/>
      <c r="BR215" s="506"/>
      <c r="BS215" s="506"/>
      <c r="BT215" s="506"/>
      <c r="BU215" s="506"/>
      <c r="BV215" s="506"/>
      <c r="BW215" s="506"/>
      <c r="BX215" s="506"/>
      <c r="BY215" s="506"/>
      <c r="BZ215" s="506"/>
      <c r="CA215" s="506"/>
      <c r="CB215" s="506"/>
      <c r="CC215" s="506"/>
      <c r="CD215" s="506"/>
      <c r="CE215" s="506"/>
      <c r="CF215" s="506"/>
      <c r="CG215" s="506"/>
      <c r="CH215" s="506"/>
      <c r="CI215" s="506"/>
      <c r="CJ215" s="506"/>
      <c r="CK215" s="506"/>
      <c r="CL215" s="506"/>
      <c r="CM215" s="506"/>
      <c r="CN215" s="506"/>
      <c r="CX215" s="478"/>
      <c r="CY215" s="503"/>
      <c r="CZ215" s="503"/>
      <c r="DA215" s="503"/>
      <c r="DB215" s="503"/>
      <c r="DC215" s="503"/>
      <c r="DD215" s="503"/>
      <c r="DE215" s="503"/>
      <c r="DF215" s="503"/>
      <c r="DG215" s="503"/>
      <c r="DH215" s="503"/>
      <c r="DI215" s="503"/>
      <c r="DJ215" s="503"/>
      <c r="DK215" s="503"/>
      <c r="DL215" s="503"/>
      <c r="DM215" s="503"/>
      <c r="DN215" s="503"/>
      <c r="DO215" s="503"/>
      <c r="DP215" s="503"/>
      <c r="DQ215" s="503"/>
      <c r="DR215" s="503"/>
      <c r="DS215" s="503"/>
      <c r="DT215" s="503"/>
      <c r="DU215" s="503"/>
      <c r="DV215" s="503"/>
      <c r="DW215" s="506"/>
    </row>
    <row r="216" spans="67:127" x14ac:dyDescent="0.3">
      <c r="BO216" s="506"/>
      <c r="BP216" s="506"/>
      <c r="BQ216" s="506"/>
      <c r="BR216" s="506"/>
      <c r="BS216" s="506"/>
      <c r="BT216" s="506"/>
      <c r="BU216" s="506"/>
      <c r="BV216" s="506"/>
      <c r="BW216" s="506"/>
      <c r="BX216" s="506"/>
      <c r="BY216" s="506"/>
      <c r="BZ216" s="506"/>
      <c r="CA216" s="506"/>
      <c r="CB216" s="506"/>
      <c r="CC216" s="506"/>
      <c r="CD216" s="506"/>
      <c r="CE216" s="506"/>
      <c r="CF216" s="506"/>
      <c r="CG216" s="506"/>
      <c r="CH216" s="506"/>
      <c r="CI216" s="506"/>
      <c r="CJ216" s="506"/>
      <c r="CK216" s="506"/>
      <c r="CL216" s="506"/>
      <c r="CM216" s="506"/>
      <c r="CN216" s="506"/>
      <c r="CX216" s="478"/>
      <c r="CY216" s="506"/>
      <c r="CZ216" s="506"/>
      <c r="DA216" s="506"/>
      <c r="DB216" s="506"/>
      <c r="DC216" s="506"/>
      <c r="DD216" s="506"/>
      <c r="DE216" s="506"/>
      <c r="DF216" s="506"/>
      <c r="DG216" s="506"/>
      <c r="DH216" s="506"/>
      <c r="DI216" s="506"/>
      <c r="DJ216" s="506"/>
      <c r="DK216" s="506"/>
      <c r="DL216" s="506"/>
      <c r="DM216" s="506"/>
      <c r="DN216" s="506"/>
      <c r="DO216" s="506"/>
      <c r="DP216" s="506"/>
      <c r="DQ216" s="506"/>
      <c r="DR216" s="506"/>
      <c r="DS216" s="506"/>
      <c r="DT216" s="506"/>
      <c r="DU216" s="506"/>
      <c r="DV216" s="506"/>
      <c r="DW216" s="506"/>
    </row>
    <row r="217" spans="67:127" x14ac:dyDescent="0.3">
      <c r="BO217" s="506"/>
      <c r="BP217" s="506"/>
      <c r="BQ217" s="506"/>
      <c r="BR217" s="506"/>
      <c r="BS217" s="506"/>
      <c r="BT217" s="506"/>
      <c r="BU217" s="506"/>
      <c r="BV217" s="506"/>
      <c r="BW217" s="506"/>
      <c r="BX217" s="506"/>
      <c r="BY217" s="506"/>
      <c r="BZ217" s="506"/>
      <c r="CA217" s="506"/>
      <c r="CB217" s="506"/>
      <c r="CC217" s="506"/>
      <c r="CD217" s="506"/>
      <c r="CE217" s="506"/>
      <c r="CF217" s="506"/>
      <c r="CG217" s="506"/>
      <c r="CH217" s="506"/>
      <c r="CI217" s="506"/>
      <c r="CJ217" s="506"/>
      <c r="CK217" s="506"/>
      <c r="CL217" s="506"/>
      <c r="CM217" s="506"/>
      <c r="CN217" s="506"/>
      <c r="CX217" s="520"/>
      <c r="CY217" s="664"/>
      <c r="CZ217" s="664"/>
      <c r="DA217" s="664"/>
      <c r="DB217" s="664"/>
      <c r="DC217" s="664"/>
      <c r="DD217" s="664"/>
      <c r="DE217" s="664"/>
      <c r="DF217" s="664"/>
      <c r="DG217" s="664"/>
      <c r="DH217" s="664"/>
      <c r="DI217" s="664"/>
      <c r="DJ217" s="664"/>
      <c r="DK217" s="664"/>
      <c r="DL217" s="664"/>
      <c r="DM217" s="664"/>
      <c r="DN217" s="664"/>
      <c r="DO217" s="664"/>
      <c r="DP217" s="664"/>
      <c r="DQ217" s="664"/>
      <c r="DR217" s="664"/>
      <c r="DS217" s="664"/>
      <c r="DT217" s="664"/>
      <c r="DU217" s="664"/>
      <c r="DV217" s="664"/>
      <c r="DW217" s="506"/>
    </row>
    <row r="218" spans="67:127" x14ac:dyDescent="0.3">
      <c r="BO218" s="506"/>
      <c r="BP218" s="506"/>
      <c r="BQ218" s="506"/>
      <c r="BR218" s="506"/>
      <c r="BS218" s="506"/>
      <c r="BT218" s="506"/>
      <c r="BU218" s="506"/>
      <c r="BV218" s="506"/>
      <c r="BW218" s="506"/>
      <c r="BX218" s="506"/>
      <c r="BY218" s="506"/>
      <c r="BZ218" s="506"/>
      <c r="CA218" s="506"/>
      <c r="CB218" s="506"/>
      <c r="CC218" s="506"/>
      <c r="CD218" s="506"/>
      <c r="CE218" s="506"/>
      <c r="CF218" s="506"/>
      <c r="CG218" s="506"/>
      <c r="CH218" s="506"/>
      <c r="CI218" s="506"/>
      <c r="CJ218" s="506"/>
      <c r="CK218" s="506"/>
      <c r="CL218" s="506"/>
      <c r="CM218" s="506"/>
      <c r="CN218" s="506"/>
      <c r="CX218" s="478"/>
      <c r="CY218" s="519"/>
      <c r="CZ218" s="519"/>
      <c r="DA218" s="519"/>
      <c r="DB218" s="519"/>
      <c r="DC218" s="519"/>
      <c r="DD218" s="519"/>
      <c r="DE218" s="519"/>
      <c r="DF218" s="519"/>
      <c r="DG218" s="519"/>
      <c r="DH218" s="519"/>
      <c r="DI218" s="519"/>
      <c r="DJ218" s="519"/>
      <c r="DK218" s="519"/>
      <c r="DL218" s="519"/>
      <c r="DM218" s="519"/>
      <c r="DN218" s="519"/>
      <c r="DO218" s="519"/>
      <c r="DP218" s="519"/>
      <c r="DQ218" s="519"/>
      <c r="DR218" s="519"/>
      <c r="DS218" s="519"/>
      <c r="DT218" s="519"/>
      <c r="DU218" s="519"/>
      <c r="DV218" s="519"/>
      <c r="DW218" s="506"/>
    </row>
    <row r="219" spans="67:127" x14ac:dyDescent="0.3">
      <c r="BO219" s="506"/>
      <c r="BP219" s="506"/>
      <c r="BQ219" s="506"/>
      <c r="BR219" s="506"/>
      <c r="BS219" s="506"/>
      <c r="BT219" s="506"/>
      <c r="BU219" s="506"/>
      <c r="BV219" s="506"/>
      <c r="BW219" s="506"/>
      <c r="BX219" s="506"/>
      <c r="BY219" s="506"/>
      <c r="BZ219" s="506"/>
      <c r="CA219" s="506"/>
      <c r="CB219" s="506"/>
      <c r="CC219" s="506"/>
      <c r="CD219" s="506"/>
      <c r="CE219" s="506"/>
      <c r="CF219" s="506"/>
      <c r="CG219" s="506"/>
      <c r="CH219" s="506"/>
      <c r="CI219" s="506"/>
      <c r="CJ219" s="506"/>
      <c r="CK219" s="506"/>
      <c r="CL219" s="506"/>
      <c r="CM219" s="506"/>
      <c r="CN219" s="506"/>
      <c r="CX219" s="506"/>
      <c r="CY219" s="506"/>
      <c r="CZ219" s="506"/>
      <c r="DA219" s="506"/>
      <c r="DB219" s="506"/>
      <c r="DC219" s="506"/>
      <c r="DD219" s="506"/>
      <c r="DE219" s="506"/>
      <c r="DF219" s="506"/>
      <c r="DG219" s="506"/>
      <c r="DH219" s="506"/>
      <c r="DI219" s="506"/>
      <c r="DJ219" s="506"/>
      <c r="DK219" s="506"/>
      <c r="DL219" s="506"/>
      <c r="DM219" s="506"/>
      <c r="DN219" s="506"/>
      <c r="DO219" s="506"/>
      <c r="DP219" s="506"/>
      <c r="DQ219" s="506"/>
      <c r="DR219" s="506"/>
      <c r="DS219" s="506"/>
      <c r="DT219" s="506"/>
      <c r="DU219" s="506"/>
      <c r="DV219" s="506"/>
      <c r="DW219" s="506"/>
    </row>
    <row r="220" spans="67:127" x14ac:dyDescent="0.3">
      <c r="BO220" s="506"/>
      <c r="BP220" s="506"/>
      <c r="BQ220" s="506"/>
      <c r="BR220" s="506"/>
      <c r="BS220" s="506"/>
      <c r="BT220" s="506"/>
      <c r="BU220" s="506"/>
      <c r="BV220" s="506"/>
      <c r="BW220" s="506"/>
      <c r="BX220" s="506"/>
      <c r="BY220" s="506"/>
      <c r="BZ220" s="506"/>
      <c r="CA220" s="506"/>
      <c r="CB220" s="506"/>
      <c r="CC220" s="506"/>
      <c r="CD220" s="506"/>
      <c r="CE220" s="506"/>
      <c r="CF220" s="506"/>
      <c r="CG220" s="506"/>
      <c r="CH220" s="506"/>
      <c r="CI220" s="506"/>
      <c r="CJ220" s="506"/>
      <c r="CK220" s="506"/>
      <c r="CL220" s="506"/>
      <c r="CM220" s="506"/>
      <c r="CN220" s="506"/>
      <c r="CX220" s="506"/>
      <c r="CY220" s="665"/>
      <c r="CZ220" s="665"/>
      <c r="DA220" s="665"/>
      <c r="DB220" s="665"/>
      <c r="DC220" s="665"/>
      <c r="DD220" s="665"/>
      <c r="DE220" s="478"/>
      <c r="DF220" s="478"/>
      <c r="DG220" s="478"/>
      <c r="DH220" s="478"/>
      <c r="DI220" s="478"/>
      <c r="DJ220" s="665"/>
      <c r="DK220" s="665"/>
      <c r="DL220" s="665"/>
      <c r="DM220" s="478"/>
      <c r="DN220" s="478"/>
      <c r="DO220" s="478"/>
      <c r="DP220" s="478"/>
      <c r="DQ220" s="478"/>
      <c r="DR220" s="478"/>
      <c r="DS220" s="478"/>
      <c r="DT220" s="478"/>
      <c r="DU220" s="478"/>
      <c r="DV220" s="478"/>
      <c r="DW220" s="506"/>
    </row>
    <row r="221" spans="67:127" x14ac:dyDescent="0.3">
      <c r="BO221" s="506"/>
      <c r="BP221" s="506"/>
      <c r="BQ221" s="506"/>
      <c r="BR221" s="506"/>
      <c r="BS221" s="506"/>
      <c r="BT221" s="506"/>
      <c r="BU221" s="506"/>
      <c r="BV221" s="506"/>
      <c r="BW221" s="506"/>
      <c r="BX221" s="506"/>
      <c r="BY221" s="506"/>
      <c r="BZ221" s="506"/>
      <c r="CA221" s="506"/>
      <c r="CB221" s="506"/>
      <c r="CC221" s="506"/>
      <c r="CD221" s="506"/>
      <c r="CE221" s="506"/>
      <c r="CF221" s="506"/>
      <c r="CG221" s="506"/>
      <c r="CH221" s="506"/>
      <c r="CI221" s="506"/>
      <c r="CJ221" s="506"/>
      <c r="CK221" s="506"/>
      <c r="CL221" s="506"/>
      <c r="CM221" s="506"/>
      <c r="CN221" s="506"/>
      <c r="CX221" s="506"/>
      <c r="CY221" s="665"/>
      <c r="CZ221" s="665"/>
      <c r="DA221" s="665"/>
      <c r="DB221" s="665"/>
      <c r="DC221" s="665"/>
      <c r="DD221" s="665"/>
      <c r="DE221" s="506"/>
      <c r="DF221" s="506"/>
      <c r="DG221" s="506"/>
      <c r="DH221" s="506"/>
      <c r="DI221" s="665"/>
      <c r="DJ221" s="665"/>
      <c r="DK221" s="665"/>
      <c r="DL221" s="665"/>
      <c r="DM221" s="506"/>
      <c r="DN221" s="506"/>
      <c r="DO221" s="506"/>
      <c r="DP221" s="506"/>
      <c r="DQ221" s="665"/>
      <c r="DR221" s="665"/>
      <c r="DS221" s="665"/>
      <c r="DT221" s="665"/>
      <c r="DU221" s="665"/>
      <c r="DV221" s="665"/>
      <c r="DW221" s="506"/>
    </row>
    <row r="222" spans="67:127" x14ac:dyDescent="0.3">
      <c r="BO222" s="506"/>
      <c r="BP222" s="506"/>
      <c r="BQ222" s="506"/>
      <c r="BR222" s="506"/>
      <c r="BS222" s="506"/>
      <c r="BT222" s="506"/>
      <c r="BU222" s="506"/>
      <c r="BV222" s="506"/>
      <c r="BW222" s="506"/>
      <c r="BX222" s="1029"/>
      <c r="BY222" s="1029"/>
      <c r="BZ222" s="506"/>
      <c r="CA222" s="1029"/>
      <c r="CB222" s="506"/>
      <c r="CC222" s="506"/>
      <c r="CD222" s="506"/>
      <c r="CE222" s="506"/>
      <c r="CF222" s="506"/>
      <c r="CG222" s="506"/>
      <c r="CH222" s="506"/>
      <c r="CI222" s="506"/>
      <c r="CJ222" s="506"/>
      <c r="CK222" s="506"/>
      <c r="CL222" s="506"/>
      <c r="CM222" s="506"/>
      <c r="CN222" s="506"/>
      <c r="CX222" s="506"/>
      <c r="CY222" s="506"/>
      <c r="CZ222" s="506"/>
      <c r="DA222" s="506"/>
      <c r="DB222" s="506"/>
      <c r="DC222" s="506"/>
      <c r="DD222" s="506"/>
      <c r="DE222" s="506"/>
      <c r="DF222" s="506"/>
      <c r="DG222" s="506"/>
      <c r="DH222" s="506"/>
      <c r="DI222" s="506"/>
      <c r="DJ222" s="506"/>
      <c r="DK222" s="506"/>
      <c r="DL222" s="506"/>
      <c r="DM222" s="506"/>
      <c r="DN222" s="506"/>
      <c r="DO222" s="506"/>
      <c r="DP222" s="506"/>
      <c r="DQ222" s="506"/>
      <c r="DR222" s="506"/>
      <c r="DS222" s="506"/>
      <c r="DT222" s="506"/>
      <c r="DU222" s="506"/>
      <c r="DV222" s="506"/>
      <c r="DW222" s="506"/>
    </row>
    <row r="223" spans="67:127" x14ac:dyDescent="0.3">
      <c r="BO223" s="478"/>
      <c r="BP223" s="506"/>
      <c r="BQ223" s="478"/>
      <c r="BR223" s="506"/>
      <c r="BS223" s="478"/>
      <c r="BT223" s="506"/>
      <c r="BU223" s="506"/>
      <c r="BV223" s="506"/>
      <c r="BW223" s="506"/>
      <c r="BX223" s="506"/>
      <c r="BY223" s="506"/>
      <c r="BZ223" s="506"/>
      <c r="CA223" s="506"/>
      <c r="CB223" s="506"/>
      <c r="CC223" s="506"/>
      <c r="CD223" s="506"/>
      <c r="CE223" s="506"/>
      <c r="CF223" s="506"/>
      <c r="CG223" s="506"/>
      <c r="CH223" s="506"/>
      <c r="CI223" s="506"/>
      <c r="CJ223" s="506"/>
      <c r="CK223" s="506"/>
      <c r="CL223" s="506"/>
      <c r="CM223" s="506"/>
      <c r="CN223" s="506"/>
      <c r="CX223" s="506"/>
      <c r="CY223" s="506"/>
      <c r="CZ223" s="506"/>
      <c r="DA223" s="506"/>
      <c r="DB223" s="506"/>
      <c r="DC223" s="506"/>
      <c r="DD223" s="506"/>
      <c r="DE223" s="506"/>
      <c r="DF223" s="506"/>
      <c r="DG223" s="506"/>
      <c r="DH223" s="506"/>
      <c r="DI223" s="506"/>
      <c r="DJ223" s="506"/>
      <c r="DK223" s="506"/>
      <c r="DL223" s="506"/>
      <c r="DM223" s="506"/>
      <c r="DN223" s="506"/>
      <c r="DO223" s="506"/>
      <c r="DP223" s="506"/>
      <c r="DQ223" s="506"/>
      <c r="DR223" s="506"/>
      <c r="DS223" s="506"/>
      <c r="DT223" s="506"/>
      <c r="DU223" s="506"/>
      <c r="DV223" s="506"/>
      <c r="DW223" s="506"/>
    </row>
    <row r="224" spans="67:127" x14ac:dyDescent="0.3">
      <c r="BO224" s="478"/>
      <c r="BP224" s="506"/>
      <c r="BQ224" s="506"/>
      <c r="BR224" s="506"/>
      <c r="BS224" s="478"/>
      <c r="BT224" s="506"/>
      <c r="BU224" s="506"/>
      <c r="BV224" s="506"/>
      <c r="BW224" s="506"/>
      <c r="BX224" s="506"/>
      <c r="BY224" s="506"/>
      <c r="BZ224" s="506"/>
      <c r="CA224" s="506"/>
      <c r="CB224" s="506"/>
      <c r="CC224" s="506"/>
      <c r="CD224" s="506"/>
      <c r="CE224" s="506"/>
      <c r="CF224" s="506"/>
      <c r="CG224" s="506"/>
      <c r="CH224" s="506"/>
      <c r="CI224" s="506"/>
      <c r="CJ224" s="506"/>
      <c r="CK224" s="506"/>
      <c r="CL224" s="506"/>
      <c r="CM224" s="506"/>
      <c r="CN224" s="506"/>
    </row>
    <row r="225" spans="67:92" x14ac:dyDescent="0.3">
      <c r="BO225" s="478"/>
      <c r="BP225" s="503"/>
      <c r="BQ225" s="503"/>
      <c r="BR225" s="503"/>
      <c r="BS225" s="503"/>
      <c r="BT225" s="503"/>
      <c r="BU225" s="503"/>
      <c r="BV225" s="503"/>
      <c r="BW225" s="503"/>
      <c r="BX225" s="503"/>
      <c r="BY225" s="503"/>
      <c r="BZ225" s="503"/>
      <c r="CA225" s="503"/>
      <c r="CB225" s="503"/>
      <c r="CC225" s="503"/>
      <c r="CD225" s="503"/>
      <c r="CE225" s="503"/>
      <c r="CF225" s="503"/>
      <c r="CG225" s="503"/>
      <c r="CH225" s="503"/>
      <c r="CI225" s="503"/>
      <c r="CJ225" s="503"/>
      <c r="CK225" s="503"/>
      <c r="CL225" s="503"/>
      <c r="CM225" s="503"/>
      <c r="CN225" s="506"/>
    </row>
    <row r="226" spans="67:92" x14ac:dyDescent="0.3">
      <c r="BO226" s="478"/>
      <c r="BP226" s="506"/>
      <c r="BQ226" s="506"/>
      <c r="BR226" s="506"/>
      <c r="BS226" s="506"/>
      <c r="BT226" s="506"/>
      <c r="BU226" s="506"/>
      <c r="BV226" s="506"/>
      <c r="BW226" s="506"/>
      <c r="BX226" s="506"/>
      <c r="BY226" s="506"/>
      <c r="BZ226" s="506"/>
      <c r="CA226" s="506"/>
      <c r="CB226" s="506"/>
      <c r="CC226" s="506"/>
      <c r="CD226" s="506"/>
      <c r="CE226" s="506"/>
      <c r="CF226" s="506"/>
      <c r="CG226" s="506"/>
      <c r="CH226" s="506"/>
      <c r="CI226" s="506"/>
      <c r="CJ226" s="506"/>
      <c r="CK226" s="506"/>
      <c r="CL226" s="506"/>
      <c r="CM226" s="506"/>
      <c r="CN226" s="506"/>
    </row>
    <row r="227" spans="67:92" x14ac:dyDescent="0.3">
      <c r="BO227" s="520"/>
      <c r="BP227" s="664"/>
      <c r="BQ227" s="664"/>
      <c r="BR227" s="664"/>
      <c r="BS227" s="664"/>
      <c r="BT227" s="664"/>
      <c r="BU227" s="664"/>
      <c r="BV227" s="664"/>
      <c r="BW227" s="664"/>
      <c r="BX227" s="664"/>
      <c r="BY227" s="664"/>
      <c r="BZ227" s="664"/>
      <c r="CA227" s="664"/>
      <c r="CB227" s="664"/>
      <c r="CC227" s="664"/>
      <c r="CD227" s="664"/>
      <c r="CE227" s="664"/>
      <c r="CF227" s="664"/>
      <c r="CG227" s="664"/>
      <c r="CH227" s="664"/>
      <c r="CI227" s="664"/>
      <c r="CJ227" s="664"/>
      <c r="CK227" s="664"/>
      <c r="CL227" s="664"/>
      <c r="CM227" s="664"/>
      <c r="CN227" s="506"/>
    </row>
    <row r="228" spans="67:92" x14ac:dyDescent="0.3">
      <c r="BO228" s="478"/>
      <c r="BP228" s="519"/>
      <c r="BQ228" s="519"/>
      <c r="BR228" s="519"/>
      <c r="BS228" s="519"/>
      <c r="BT228" s="519"/>
      <c r="BU228" s="519"/>
      <c r="BV228" s="519"/>
      <c r="BW228" s="519"/>
      <c r="BX228" s="519"/>
      <c r="BY228" s="519"/>
      <c r="BZ228" s="519"/>
      <c r="CA228" s="519"/>
      <c r="CB228" s="519"/>
      <c r="CC228" s="519"/>
      <c r="CD228" s="519"/>
      <c r="CE228" s="519"/>
      <c r="CF228" s="519"/>
      <c r="CG228" s="519"/>
      <c r="CH228" s="519"/>
      <c r="CI228" s="519"/>
      <c r="CJ228" s="519"/>
      <c r="CK228" s="519"/>
      <c r="CL228" s="519"/>
      <c r="CM228" s="519"/>
      <c r="CN228" s="506"/>
    </row>
    <row r="229" spans="67:92" x14ac:dyDescent="0.3">
      <c r="BO229" s="506"/>
      <c r="BP229" s="506"/>
      <c r="BQ229" s="506"/>
      <c r="BR229" s="506"/>
      <c r="BS229" s="506"/>
      <c r="BT229" s="506"/>
      <c r="BU229" s="506"/>
      <c r="BV229" s="506"/>
      <c r="BW229" s="506"/>
      <c r="BX229" s="506"/>
      <c r="BY229" s="506"/>
      <c r="BZ229" s="506"/>
      <c r="CA229" s="506"/>
      <c r="CB229" s="506"/>
      <c r="CC229" s="506"/>
      <c r="CD229" s="506"/>
      <c r="CE229" s="506"/>
      <c r="CF229" s="506"/>
      <c r="CG229" s="506"/>
      <c r="CH229" s="506"/>
      <c r="CI229" s="506"/>
      <c r="CJ229" s="506"/>
      <c r="CK229" s="506"/>
      <c r="CL229" s="506"/>
      <c r="CM229" s="506"/>
      <c r="CN229" s="506"/>
    </row>
    <row r="230" spans="67:92" x14ac:dyDescent="0.3">
      <c r="BO230" s="506"/>
      <c r="BP230" s="665"/>
      <c r="BQ230" s="665"/>
      <c r="BR230" s="665"/>
      <c r="BS230" s="665"/>
      <c r="BT230" s="665"/>
      <c r="BU230" s="665"/>
      <c r="BV230" s="478"/>
      <c r="BW230" s="478"/>
      <c r="BX230" s="478"/>
      <c r="BY230" s="478"/>
      <c r="BZ230" s="478"/>
      <c r="CA230" s="665"/>
      <c r="CB230" s="665"/>
      <c r="CC230" s="665"/>
      <c r="CD230" s="478"/>
      <c r="CE230" s="478"/>
      <c r="CF230" s="478"/>
      <c r="CG230" s="478"/>
      <c r="CH230" s="478"/>
      <c r="CI230" s="478"/>
      <c r="CJ230" s="478"/>
      <c r="CK230" s="478"/>
      <c r="CL230" s="478"/>
      <c r="CM230" s="478"/>
      <c r="CN230" s="506"/>
    </row>
    <row r="231" spans="67:92" x14ac:dyDescent="0.3">
      <c r="BO231" s="506"/>
      <c r="BP231" s="665"/>
      <c r="BQ231" s="665"/>
      <c r="BR231" s="665"/>
      <c r="BS231" s="665"/>
      <c r="BT231" s="665"/>
      <c r="BU231" s="665"/>
      <c r="BV231" s="506"/>
      <c r="BW231" s="506"/>
      <c r="BX231" s="506"/>
      <c r="BY231" s="506"/>
      <c r="BZ231" s="665"/>
      <c r="CA231" s="665"/>
      <c r="CB231" s="665"/>
      <c r="CC231" s="665"/>
      <c r="CD231" s="506"/>
      <c r="CE231" s="506"/>
      <c r="CF231" s="506"/>
      <c r="CG231" s="506"/>
      <c r="CH231" s="665"/>
      <c r="CI231" s="665"/>
      <c r="CJ231" s="665"/>
      <c r="CK231" s="665"/>
      <c r="CL231" s="665"/>
      <c r="CM231" s="665"/>
      <c r="CN231" s="506"/>
    </row>
    <row r="232" spans="67:92" x14ac:dyDescent="0.3">
      <c r="BO232" s="506"/>
      <c r="BP232" s="506"/>
      <c r="BQ232" s="506"/>
      <c r="BR232" s="506"/>
      <c r="BS232" s="506"/>
      <c r="BT232" s="506"/>
      <c r="BU232" s="506"/>
      <c r="BV232" s="506"/>
      <c r="BW232" s="506"/>
      <c r="BX232" s="506"/>
      <c r="BY232" s="506"/>
      <c r="BZ232" s="506"/>
      <c r="CA232" s="506"/>
      <c r="CB232" s="506"/>
      <c r="CC232" s="506"/>
      <c r="CD232" s="506"/>
      <c r="CE232" s="506"/>
      <c r="CF232" s="506"/>
      <c r="CG232" s="506"/>
      <c r="CH232" s="506"/>
      <c r="CI232" s="506"/>
      <c r="CJ232" s="506"/>
      <c r="CK232" s="506"/>
      <c r="CL232" s="506"/>
      <c r="CM232" s="506"/>
      <c r="CN232" s="506"/>
    </row>
    <row r="233" spans="67:92" x14ac:dyDescent="0.3">
      <c r="BO233" s="506"/>
      <c r="BP233" s="506"/>
      <c r="BQ233" s="506"/>
      <c r="BR233" s="506"/>
      <c r="BS233" s="506"/>
      <c r="BT233" s="506"/>
      <c r="BU233" s="506"/>
      <c r="BV233" s="506"/>
      <c r="BW233" s="506"/>
      <c r="BX233" s="506"/>
      <c r="BY233" s="506"/>
      <c r="BZ233" s="506"/>
      <c r="CA233" s="506"/>
      <c r="CB233" s="506"/>
      <c r="CC233" s="506"/>
      <c r="CD233" s="506"/>
      <c r="CE233" s="506"/>
      <c r="CF233" s="506"/>
      <c r="CG233" s="506"/>
      <c r="CH233" s="506"/>
      <c r="CI233" s="506"/>
      <c r="CJ233" s="506"/>
      <c r="CK233" s="506"/>
      <c r="CL233" s="506"/>
      <c r="CM233" s="506"/>
      <c r="CN233" s="506"/>
    </row>
  </sheetData>
  <sheetProtection algorithmName="SHA-512" hashValue="App6vL9mrdcuqjTVy99qWQhdrBl9IbEm2ftLQ3VeLVrYtZJCvzIpWdmHCsFBl7k8ZREUgBdaO+R0ntWaf6rZYw==" saltValue="78Bjp98SsFG/Vrcg3aMKHg==" spinCount="100000" sheet="1" objects="1" scenarios="1"/>
  <protectedRanges>
    <protectedRange sqref="B101 B104 D107:D118 B125 D128:D151" name="Range1"/>
  </protectedRanges>
  <mergeCells count="25">
    <mergeCell ref="B99:B100"/>
    <mergeCell ref="W104:AA104"/>
    <mergeCell ref="AZ104:BA104"/>
    <mergeCell ref="AZ125:BA125"/>
    <mergeCell ref="DD194:DF194"/>
    <mergeCell ref="CY80:CZ80"/>
    <mergeCell ref="DP196:DQ196"/>
    <mergeCell ref="BU204:BW204"/>
    <mergeCell ref="BU206:BV206"/>
    <mergeCell ref="CG206:CH206"/>
    <mergeCell ref="DD196:DE196"/>
    <mergeCell ref="B83:E83"/>
    <mergeCell ref="BP83:BW83"/>
    <mergeCell ref="CL83:CS83"/>
    <mergeCell ref="BP26:BQ26"/>
    <mergeCell ref="CL27:CS28"/>
    <mergeCell ref="BP28:BQ28"/>
    <mergeCell ref="CJ28:CK28"/>
    <mergeCell ref="BP30:BW31"/>
    <mergeCell ref="BX31:BY31"/>
    <mergeCell ref="CR31:CS31"/>
    <mergeCell ref="BP67:BW68"/>
    <mergeCell ref="CL67:CS68"/>
    <mergeCell ref="BX68:BY68"/>
    <mergeCell ref="CJ68:CK68"/>
  </mergeCells>
  <conditionalFormatting sqref="AB54:AE91 U54:U91 AB51:AE51 U51 BF32:BN32 U27">
    <cfRule type="cellIs" dxfId="318" priority="92" stopIfTrue="1" operator="between">
      <formula>"OVERLOAD"</formula>
      <formula>"OVERLOAD"</formula>
    </cfRule>
  </conditionalFormatting>
  <conditionalFormatting sqref="BP85:CS86 CY217:DV218 BP227:CM228 DD144:DQ147 BU90:CH97">
    <cfRule type="cellIs" dxfId="317" priority="89" stopIfTrue="1" operator="equal">
      <formula>FALSE</formula>
    </cfRule>
  </conditionalFormatting>
  <conditionalFormatting sqref="BX83:CK83 CY215:DV215 BP225:CM225 BP63:CS63">
    <cfRule type="cellIs" dxfId="316" priority="5" stopIfTrue="1" operator="equal">
      <formula>0</formula>
    </cfRule>
  </conditionalFormatting>
  <conditionalFormatting sqref="BN100:BN129 BL69:BL91 BN160:BN170 CW150:CW160">
    <cfRule type="cellIs" dxfId="315" priority="91" stopIfTrue="1" operator="equal">
      <formula>FALSE</formula>
    </cfRule>
  </conditionalFormatting>
  <conditionalFormatting sqref="D107 K107:O107 AB107 T107:Y107">
    <cfRule type="expression" dxfId="314" priority="83" stopIfTrue="1">
      <formula>$B$104&lt;1</formula>
    </cfRule>
  </conditionalFormatting>
  <conditionalFormatting sqref="AX108:BA108 D108 J108:AB108">
    <cfRule type="expression" dxfId="313" priority="81" stopIfTrue="1">
      <formula>$B$104&lt;2</formula>
    </cfRule>
  </conditionalFormatting>
  <conditionalFormatting sqref="AX109:BA109 D109 J109:AB109">
    <cfRule type="expression" dxfId="312" priority="80" stopIfTrue="1">
      <formula>$B$104&lt;3</formula>
    </cfRule>
  </conditionalFormatting>
  <conditionalFormatting sqref="AX110:BA110 D110 J110:AB110">
    <cfRule type="expression" dxfId="311" priority="79" stopIfTrue="1">
      <formula>$B$104&lt;4</formula>
    </cfRule>
  </conditionalFormatting>
  <conditionalFormatting sqref="AX111:BA111 D111 J111:AB111">
    <cfRule type="expression" dxfId="310" priority="78" stopIfTrue="1">
      <formula>$B$104&lt;5</formula>
    </cfRule>
  </conditionalFormatting>
  <conditionalFormatting sqref="AX112:BA112 D112 J112:AB112">
    <cfRule type="expression" dxfId="309" priority="77" stopIfTrue="1">
      <formula>$B$104&lt;6</formula>
    </cfRule>
  </conditionalFormatting>
  <conditionalFormatting sqref="AX113:BA113 D113 J113:AB113">
    <cfRule type="expression" dxfId="308" priority="76" stopIfTrue="1">
      <formula>$B$104&lt;7</formula>
    </cfRule>
  </conditionalFormatting>
  <conditionalFormatting sqref="AX114:BA114 D114 J114:AB114">
    <cfRule type="expression" dxfId="307" priority="75" stopIfTrue="1">
      <formula>$B$104&lt;8</formula>
    </cfRule>
  </conditionalFormatting>
  <conditionalFormatting sqref="AX115:BA115 D115 J115:AB115">
    <cfRule type="expression" dxfId="306" priority="74" stopIfTrue="1">
      <formula>$B$104&lt;9</formula>
    </cfRule>
  </conditionalFormatting>
  <conditionalFormatting sqref="AX116:BA116 D116 J116:AB116">
    <cfRule type="expression" dxfId="305" priority="48" stopIfTrue="1">
      <formula>$B$104&lt;10</formula>
    </cfRule>
  </conditionalFormatting>
  <conditionalFormatting sqref="AX117:BA117 D117 J117:AB117">
    <cfRule type="expression" dxfId="304" priority="35" stopIfTrue="1">
      <formula>$B$104&lt;11</formula>
    </cfRule>
  </conditionalFormatting>
  <conditionalFormatting sqref="AX118:BA118 D118 J118:AB118">
    <cfRule type="expression" dxfId="303" priority="21" stopIfTrue="1">
      <formula>$B$104&lt;12</formula>
    </cfRule>
  </conditionalFormatting>
  <conditionalFormatting sqref="D98:G99">
    <cfRule type="cellIs" dxfId="302" priority="86" stopIfTrue="1" operator="equal">
      <formula>"change the angle of frame or of cabinets"</formula>
    </cfRule>
  </conditionalFormatting>
  <conditionalFormatting sqref="E101:G101">
    <cfRule type="cellIs" dxfId="301" priority="87" stopIfTrue="1" operator="equal">
      <formula>"USE EXBAR VR AT THE BACK"</formula>
    </cfRule>
  </conditionalFormatting>
  <conditionalFormatting sqref="E100:G100 E101">
    <cfRule type="cellIs" dxfId="300" priority="88" stopIfTrue="1" operator="equal">
      <formula>"USE EXBAR VR AT THE FRONT"</formula>
    </cfRule>
  </conditionalFormatting>
  <conditionalFormatting sqref="B107:B118">
    <cfRule type="cellIs" dxfId="299" priority="84" stopIfTrue="1" operator="greaterThan">
      <formula>$B$104</formula>
    </cfRule>
  </conditionalFormatting>
  <conditionalFormatting sqref="B128:B151">
    <cfRule type="cellIs" dxfId="298" priority="72" stopIfTrue="1" operator="greaterThan">
      <formula>$B$125</formula>
    </cfRule>
  </conditionalFormatting>
  <conditionalFormatting sqref="AX128:BA128 AB128:AE128 D128:G128 AX129:AY151">
    <cfRule type="expression" dxfId="297" priority="70" stopIfTrue="1">
      <formula>$B$125&lt;1</formula>
    </cfRule>
  </conditionalFormatting>
  <conditionalFormatting sqref="AX129:BA129 AB129:AE129 D129 F129:G129">
    <cfRule type="expression" dxfId="296" priority="69" stopIfTrue="1">
      <formula>$B$125&lt;2</formula>
    </cfRule>
  </conditionalFormatting>
  <conditionalFormatting sqref="AX130:BA130 AB130:AE130 D130:G130">
    <cfRule type="expression" dxfId="295" priority="68" stopIfTrue="1">
      <formula>$B$125&lt;3</formula>
    </cfRule>
  </conditionalFormatting>
  <conditionalFormatting sqref="AX131:BA131 AB131:AE131 D131:G131">
    <cfRule type="expression" dxfId="294" priority="67" stopIfTrue="1">
      <formula>$B$125&lt;4</formula>
    </cfRule>
  </conditionalFormatting>
  <conditionalFormatting sqref="AX132:BA132 AB132:AE132 D132:G132">
    <cfRule type="expression" dxfId="293" priority="66" stopIfTrue="1">
      <formula>$B$125&lt;5</formula>
    </cfRule>
  </conditionalFormatting>
  <conditionalFormatting sqref="AX133:BA133 AB133:AE133 D133:G133">
    <cfRule type="expression" dxfId="292" priority="65">
      <formula>$B$125&lt;6</formula>
    </cfRule>
  </conditionalFormatting>
  <conditionalFormatting sqref="AX134:BA134 AB134:AE134 D134:G134">
    <cfRule type="expression" dxfId="291" priority="64">
      <formula>$B$125&lt;7</formula>
    </cfRule>
  </conditionalFormatting>
  <conditionalFormatting sqref="AX135:BA135 AB135:AE135 D135:G135">
    <cfRule type="expression" dxfId="290" priority="63">
      <formula>$B$125&lt;8</formula>
    </cfRule>
  </conditionalFormatting>
  <conditionalFormatting sqref="AX136:BA136 AB136:AE136 D136:G136">
    <cfRule type="expression" dxfId="289" priority="62">
      <formula>$B$125&lt;9</formula>
    </cfRule>
  </conditionalFormatting>
  <conditionalFormatting sqref="AX137:BA137 AB137:AE137 D137:G137">
    <cfRule type="expression" dxfId="288" priority="61">
      <formula>$B$125&lt;10</formula>
    </cfRule>
  </conditionalFormatting>
  <conditionalFormatting sqref="AX138:BA138 AB138:AE138 D138:G138">
    <cfRule type="expression" dxfId="287" priority="60">
      <formula>$B$125&lt;11</formula>
    </cfRule>
  </conditionalFormatting>
  <conditionalFormatting sqref="AX139:BA139 AB139:AE139 D139:G139">
    <cfRule type="expression" dxfId="286" priority="59">
      <formula>$B$125&lt;12</formula>
    </cfRule>
  </conditionalFormatting>
  <conditionalFormatting sqref="AX140:BA140 AB140:AE140 D140:G140">
    <cfRule type="expression" dxfId="285" priority="58">
      <formula>$B$125&lt;13</formula>
    </cfRule>
  </conditionalFormatting>
  <conditionalFormatting sqref="AX141:BA141 AB141:AE141 D141:G141">
    <cfRule type="expression" dxfId="284" priority="57">
      <formula>$B$125&lt;14</formula>
    </cfRule>
  </conditionalFormatting>
  <conditionalFormatting sqref="AX142:BA142 AB142:AE142 D142:G142">
    <cfRule type="expression" dxfId="283" priority="56">
      <formula>$B$125&lt;15</formula>
    </cfRule>
  </conditionalFormatting>
  <conditionalFormatting sqref="AX143:BA143 AB143:AE143 D143:G143">
    <cfRule type="expression" dxfId="282" priority="55">
      <formula>$B$125&lt;16</formula>
    </cfRule>
  </conditionalFormatting>
  <conditionalFormatting sqref="AX144:BA144 AB144:AE144 D144:G144">
    <cfRule type="expression" dxfId="281" priority="54">
      <formula>$B$125&lt;17</formula>
    </cfRule>
  </conditionalFormatting>
  <conditionalFormatting sqref="AX145:BA145 AB145:AE145 D145:G145">
    <cfRule type="expression" dxfId="280" priority="53">
      <formula>$B$125&lt;18</formula>
    </cfRule>
  </conditionalFormatting>
  <conditionalFormatting sqref="AX146:BA146 AB146:AE146 D146:G146">
    <cfRule type="expression" dxfId="279" priority="52">
      <formula>$B$125&lt;19</formula>
    </cfRule>
  </conditionalFormatting>
  <conditionalFormatting sqref="AX147:BA147 AB147:AE147 D147:G147">
    <cfRule type="expression" dxfId="278" priority="51">
      <formula>$B$125&lt;20</formula>
    </cfRule>
  </conditionalFormatting>
  <conditionalFormatting sqref="AX148:BA148 AB148:AE148 D148:G148">
    <cfRule type="expression" dxfId="277" priority="50">
      <formula>$B$125&lt;21</formula>
    </cfRule>
  </conditionalFormatting>
  <conditionalFormatting sqref="AX149:BA149 AB149:AE149 D149:G149">
    <cfRule type="expression" dxfId="276" priority="49">
      <formula>$B$125&lt;22</formula>
    </cfRule>
  </conditionalFormatting>
  <conditionalFormatting sqref="AX150:BA150 AB150:AE150 D150:G150">
    <cfRule type="expression" dxfId="275" priority="34">
      <formula>$B$125&lt;23</formula>
    </cfRule>
  </conditionalFormatting>
  <conditionalFormatting sqref="AX151:BA151 AB151:AE151 D151:G151">
    <cfRule type="expression" dxfId="274" priority="20">
      <formula>$B$125&lt;24</formula>
    </cfRule>
  </conditionalFormatting>
  <conditionalFormatting sqref="E107">
    <cfRule type="expression" dxfId="273" priority="47" stopIfTrue="1">
      <formula>$B$104&lt;1</formula>
    </cfRule>
  </conditionalFormatting>
  <conditionalFormatting sqref="E108">
    <cfRule type="expression" dxfId="272" priority="46" stopIfTrue="1">
      <formula>$B$104&lt;2</formula>
    </cfRule>
  </conditionalFormatting>
  <conditionalFormatting sqref="E109">
    <cfRule type="expression" dxfId="271" priority="45" stopIfTrue="1">
      <formula>$B$104&lt;3</formula>
    </cfRule>
  </conditionalFormatting>
  <conditionalFormatting sqref="E110">
    <cfRule type="expression" dxfId="270" priority="44" stopIfTrue="1">
      <formula>$B$104&lt;4</formula>
    </cfRule>
  </conditionalFormatting>
  <conditionalFormatting sqref="E111">
    <cfRule type="expression" dxfId="269" priority="43" stopIfTrue="1">
      <formula>$B$104&lt;5</formula>
    </cfRule>
  </conditionalFormatting>
  <conditionalFormatting sqref="E112">
    <cfRule type="expression" dxfId="268" priority="42" stopIfTrue="1">
      <formula>$B$104&lt;6</formula>
    </cfRule>
  </conditionalFormatting>
  <conditionalFormatting sqref="E113">
    <cfRule type="expression" dxfId="267" priority="41" stopIfTrue="1">
      <formula>$B$104&lt;7</formula>
    </cfRule>
  </conditionalFormatting>
  <conditionalFormatting sqref="E114">
    <cfRule type="expression" dxfId="266" priority="40" stopIfTrue="1">
      <formula>$B$104&lt;8</formula>
    </cfRule>
  </conditionalFormatting>
  <conditionalFormatting sqref="E115">
    <cfRule type="expression" dxfId="265" priority="39" stopIfTrue="1">
      <formula>$B$104&lt;9</formula>
    </cfRule>
  </conditionalFormatting>
  <conditionalFormatting sqref="E116">
    <cfRule type="expression" dxfId="264" priority="38" stopIfTrue="1">
      <formula>$B$104&lt;10</formula>
    </cfRule>
  </conditionalFormatting>
  <conditionalFormatting sqref="E117">
    <cfRule type="expression" dxfId="263" priority="37" stopIfTrue="1">
      <formula>$B$104&lt;11</formula>
    </cfRule>
  </conditionalFormatting>
  <conditionalFormatting sqref="E118">
    <cfRule type="expression" dxfId="262" priority="36" stopIfTrue="1">
      <formula>$B$104&lt;12</formula>
    </cfRule>
  </conditionalFormatting>
  <conditionalFormatting sqref="AZ107:BA118 D87 B87">
    <cfRule type="cellIs" dxfId="261" priority="82" stopIfTrue="1" operator="lessThan">
      <formula>10</formula>
    </cfRule>
  </conditionalFormatting>
  <conditionalFormatting sqref="AZ128:BA151">
    <cfRule type="cellIs" dxfId="260" priority="71" stopIfTrue="1" operator="lessThan">
      <formula>10</formula>
    </cfRule>
  </conditionalFormatting>
  <conditionalFormatting sqref="F107:G107">
    <cfRule type="expression" dxfId="259" priority="33" stopIfTrue="1">
      <formula>$B$104&lt;1</formula>
    </cfRule>
  </conditionalFormatting>
  <conditionalFormatting sqref="F108:G108">
    <cfRule type="expression" dxfId="258" priority="32" stopIfTrue="1">
      <formula>$B$104&lt;2</formula>
    </cfRule>
  </conditionalFormatting>
  <conditionalFormatting sqref="F109:G109">
    <cfRule type="expression" dxfId="257" priority="31" stopIfTrue="1">
      <formula>$B$104&lt;3</formula>
    </cfRule>
  </conditionalFormatting>
  <conditionalFormatting sqref="F110:G110">
    <cfRule type="expression" dxfId="256" priority="30" stopIfTrue="1">
      <formula>$B$104&lt;4</formula>
    </cfRule>
  </conditionalFormatting>
  <conditionalFormatting sqref="F111:G111">
    <cfRule type="expression" dxfId="255" priority="29" stopIfTrue="1">
      <formula>$B$104&lt;5</formula>
    </cfRule>
  </conditionalFormatting>
  <conditionalFormatting sqref="F112:G112">
    <cfRule type="expression" dxfId="254" priority="28" stopIfTrue="1">
      <formula>$B$104&lt;6</formula>
    </cfRule>
  </conditionalFormatting>
  <conditionalFormatting sqref="F113:G113">
    <cfRule type="expression" dxfId="253" priority="27" stopIfTrue="1">
      <formula>$B$104&lt;7</formula>
    </cfRule>
  </conditionalFormatting>
  <conditionalFormatting sqref="F114:G114">
    <cfRule type="expression" dxfId="252" priority="26" stopIfTrue="1">
      <formula>$B$104&lt;8</formula>
    </cfRule>
  </conditionalFormatting>
  <conditionalFormatting sqref="F115:G115">
    <cfRule type="expression" dxfId="251" priority="25" stopIfTrue="1">
      <formula>$B$104&lt;9</formula>
    </cfRule>
  </conditionalFormatting>
  <conditionalFormatting sqref="F116:G116">
    <cfRule type="expression" dxfId="250" priority="24" stopIfTrue="1">
      <formula>$B$104&lt;10</formula>
    </cfRule>
  </conditionalFormatting>
  <conditionalFormatting sqref="F117:G117">
    <cfRule type="expression" dxfId="249" priority="23" stopIfTrue="1">
      <formula>$B$104&lt;11</formula>
    </cfRule>
  </conditionalFormatting>
  <conditionalFormatting sqref="F118:G118">
    <cfRule type="expression" dxfId="248" priority="22" stopIfTrue="1">
      <formula>$B$104&lt;12</formula>
    </cfRule>
  </conditionalFormatting>
  <conditionalFormatting sqref="D107:D118">
    <cfRule type="cellIs" dxfId="247" priority="85" stopIfTrue="1" operator="notEqual">
      <formula>0</formula>
    </cfRule>
  </conditionalFormatting>
  <conditionalFormatting sqref="D128:D151">
    <cfRule type="cellIs" dxfId="246" priority="73" stopIfTrue="1" operator="notEqual">
      <formula>0</formula>
    </cfRule>
  </conditionalFormatting>
  <conditionalFormatting sqref="B69">
    <cfRule type="cellIs" dxfId="245" priority="19" stopIfTrue="1" operator="equal">
      <formula>"overload"</formula>
    </cfRule>
  </conditionalFormatting>
  <conditionalFormatting sqref="E69">
    <cfRule type="cellIs" dxfId="244" priority="18" stopIfTrue="1" operator="between">
      <formula>"OVERLOAD"</formula>
      <formula>"OVERLOAD"</formula>
    </cfRule>
  </conditionalFormatting>
  <conditionalFormatting sqref="Z107:AA107">
    <cfRule type="expression" dxfId="243" priority="17" stopIfTrue="1">
      <formula>$B$107&lt;1</formula>
    </cfRule>
  </conditionalFormatting>
  <conditionalFormatting sqref="AD108:AD118">
    <cfRule type="expression" dxfId="242" priority="12" stopIfTrue="1">
      <formula>$B$107&lt;1</formula>
    </cfRule>
  </conditionalFormatting>
  <conditionalFormatting sqref="AC107:AD107">
    <cfRule type="expression" dxfId="241" priority="16" stopIfTrue="1">
      <formula>$B$107&lt;1</formula>
    </cfRule>
  </conditionalFormatting>
  <conditionalFormatting sqref="AD107:AD118">
    <cfRule type="expression" dxfId="240" priority="15" stopIfTrue="1">
      <formula>$B$107&lt;1</formula>
    </cfRule>
  </conditionalFormatting>
  <conditionalFormatting sqref="AD108:AD118">
    <cfRule type="expression" dxfId="239" priority="14" stopIfTrue="1">
      <formula>$B$107&lt;1</formula>
    </cfRule>
  </conditionalFormatting>
  <conditionalFormatting sqref="AC108:AC118">
    <cfRule type="expression" dxfId="238" priority="13" stopIfTrue="1">
      <formula>$B$107&lt;1</formula>
    </cfRule>
  </conditionalFormatting>
  <conditionalFormatting sqref="AD108:AD118">
    <cfRule type="expression" dxfId="237" priority="11" stopIfTrue="1">
      <formula>$B$107&lt;1</formula>
    </cfRule>
  </conditionalFormatting>
  <conditionalFormatting sqref="AE107">
    <cfRule type="expression" dxfId="236" priority="10" stopIfTrue="1">
      <formula>$B$107&lt;1</formula>
    </cfRule>
  </conditionalFormatting>
  <conditionalFormatting sqref="AE108:AE118">
    <cfRule type="expression" dxfId="235" priority="9" stopIfTrue="1">
      <formula>$B$107&lt;1</formula>
    </cfRule>
  </conditionalFormatting>
  <conditionalFormatting sqref="C91">
    <cfRule type="cellIs" dxfId="234" priority="8" stopIfTrue="1" operator="between">
      <formula>"OVERLOAD"</formula>
      <formula>"OVERLOAD"</formula>
    </cfRule>
  </conditionalFormatting>
  <conditionalFormatting sqref="D101">
    <cfRule type="cellIs" dxfId="233" priority="6" stopIfTrue="1" operator="equal">
      <formula>"USE EXBAR VR AT THE BACK"</formula>
    </cfRule>
  </conditionalFormatting>
  <conditionalFormatting sqref="D100">
    <cfRule type="cellIs" dxfId="232" priority="7" stopIfTrue="1" operator="equal">
      <formula>"USE EXBAR VR AT THE FRONT"</formula>
    </cfRule>
  </conditionalFormatting>
  <conditionalFormatting sqref="BP64:CS64 BX83:CK83">
    <cfRule type="expression" dxfId="231" priority="4">
      <formula>$B$101=0</formula>
    </cfRule>
    <cfRule type="expression" dxfId="230" priority="90">
      <formula>$B$101=0</formula>
    </cfRule>
  </conditionalFormatting>
  <conditionalFormatting sqref="E87">
    <cfRule type="cellIs" dxfId="229" priority="3" stopIfTrue="1" operator="lessThan">
      <formula>10</formula>
    </cfRule>
  </conditionalFormatting>
  <conditionalFormatting sqref="B69 E69 B87 D87:E87">
    <cfRule type="expression" dxfId="228" priority="2">
      <formula>$BM$68=0</formula>
    </cfRule>
  </conditionalFormatting>
  <conditionalFormatting sqref="E129">
    <cfRule type="expression" dxfId="227" priority="1" stopIfTrue="1">
      <formula>$B$125&lt;1</formula>
    </cfRule>
  </conditionalFormatting>
  <dataValidations count="11">
    <dataValidation type="decimal" allowBlank="1" showInputMessage="1" showErrorMessage="1" sqref="F107:G107 F128:G128" xr:uid="{00000000-0002-0000-0D00-000000000000}">
      <formula1>0</formula1>
      <formula2>4</formula2>
    </dataValidation>
    <dataValidation type="decimal" allowBlank="1" showInputMessage="1" showErrorMessage="1" sqref="G108:G118 G129:G151 F109:F118 F130:F151" xr:uid="{00000000-0002-0000-0D00-000001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04" xr:uid="{00000000-0002-0000-0D00-000002000000}">
      <formula1>0</formula1>
      <formula2>10</formula2>
    </dataValidation>
    <dataValidation type="whole" allowBlank="1" showInputMessage="1" showErrorMessage="1" errorTitle="Coda Audio" error="YOU HAVE ENTERED A WRONG NUMBER OF CABINETS" promptTitle="Coda Audio" prompt="ENTER THE NUMBER OF CABINETS FROM 1 UP TO 6" sqref="B125" xr:uid="{00000000-0002-0000-0D00-000003000000}">
      <formula1>1</formula1>
      <formula2>6</formula2>
    </dataValidation>
    <dataValidation type="whole" allowBlank="1" showInputMessage="1" showErrorMessage="1" sqref="D128" xr:uid="{00000000-0002-0000-0D00-000004000000}">
      <formula1>0</formula1>
      <formula2>0</formula2>
    </dataValidation>
    <dataValidation type="decimal" allowBlank="1" showInputMessage="1" showErrorMessage="1" sqref="D131:D151" xr:uid="{00000000-0002-0000-0D00-000005000000}">
      <formula1>0</formula1>
      <formula2>10</formula2>
    </dataValidation>
    <dataValidation type="custom" allowBlank="1" showInputMessage="1" showErrorMessage="1" sqref="D107:D118" xr:uid="{00000000-0002-0000-0D00-000006000000}">
      <formula1>OR(D107=0,D107=2.5,D107=5)</formula1>
    </dataValidation>
    <dataValidation type="decimal" allowBlank="1" showInputMessage="1" showErrorMessage="1" sqref="B101" xr:uid="{00000000-0002-0000-0D00-000007000000}">
      <formula1>-89.9</formula1>
      <formula2>89.9</formula2>
    </dataValidation>
    <dataValidation type="decimal" operator="notEqual" allowBlank="1" showInputMessage="1" showErrorMessage="1" sqref="F91" xr:uid="{00000000-0002-0000-0D00-000008000000}">
      <formula1>90</formula1>
    </dataValidation>
    <dataValidation type="decimal" allowBlank="1" showInputMessage="1" showErrorMessage="1" sqref="D129" xr:uid="{8DC5C546-9693-4367-B823-26B48C79B89C}">
      <formula1>0</formula1>
      <formula2>0</formula2>
    </dataValidation>
    <dataValidation type="decimal" allowBlank="1" showInputMessage="1" showErrorMessage="1" sqref="D130" xr:uid="{4D31984D-9822-4834-AE34-5EB5E040702C}">
      <formula1>0</formula1>
      <formula2>5</formula2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EG266"/>
  <sheetViews>
    <sheetView topLeftCell="A26" zoomScale="50" zoomScaleNormal="50" workbookViewId="0">
      <selection activeCell="B160" sqref="B160"/>
    </sheetView>
  </sheetViews>
  <sheetFormatPr baseColWidth="10" defaultColWidth="9.109375" defaultRowHeight="17.399999999999999" x14ac:dyDescent="0.3"/>
  <cols>
    <col min="1" max="1" width="1.5546875" style="474" customWidth="1"/>
    <col min="2" max="2" width="40.88671875" style="472" customWidth="1"/>
    <col min="3" max="3" width="19.5546875" style="472" hidden="1" customWidth="1"/>
    <col min="4" max="4" width="32.88671875" style="473" bestFit="1" customWidth="1"/>
    <col min="5" max="5" width="28.6640625" style="473" bestFit="1" customWidth="1"/>
    <col min="6" max="6" width="90.5546875" style="473" hidden="1" customWidth="1"/>
    <col min="7" max="7" width="10" style="473" hidden="1" customWidth="1"/>
    <col min="8" max="11" width="17.5546875" style="466" hidden="1" customWidth="1"/>
    <col min="12" max="14" width="19.44140625" style="466" hidden="1" customWidth="1"/>
    <col min="15" max="15" width="8.6640625" style="466" hidden="1" customWidth="1"/>
    <col min="16" max="17" width="20.109375" style="466" hidden="1" customWidth="1"/>
    <col min="18" max="18" width="28" style="466" hidden="1" customWidth="1"/>
    <col min="19" max="19" width="20.109375" style="466" hidden="1" customWidth="1"/>
    <col min="20" max="20" width="22.33203125" style="466" hidden="1" customWidth="1"/>
    <col min="21" max="21" width="9.33203125" style="466" hidden="1" customWidth="1"/>
    <col min="22" max="22" width="20.109375" style="466" hidden="1" customWidth="1"/>
    <col min="23" max="24" width="17.5546875" style="466" hidden="1" customWidth="1"/>
    <col min="25" max="25" width="14.44140625" style="466" hidden="1" customWidth="1"/>
    <col min="26" max="26" width="19.44140625" style="466" hidden="1" customWidth="1"/>
    <col min="27" max="27" width="20.109375" style="466" hidden="1" customWidth="1"/>
    <col min="28" max="28" width="39.88671875" style="466" customWidth="1"/>
    <col min="29" max="29" width="28.6640625" style="466" hidden="1" customWidth="1"/>
    <col min="30" max="31" width="4.88671875" style="466" hidden="1" customWidth="1"/>
    <col min="32" max="32" width="47.6640625" style="466" hidden="1" customWidth="1"/>
    <col min="33" max="33" width="39.44140625" style="466" hidden="1" customWidth="1"/>
    <col min="34" max="34" width="19.44140625" style="466" hidden="1" customWidth="1"/>
    <col min="35" max="35" width="9.33203125" style="466" hidden="1" customWidth="1"/>
    <col min="36" max="36" width="17.5546875" style="466" hidden="1" customWidth="1"/>
    <col min="37" max="37" width="19.44140625" style="466" hidden="1" customWidth="1"/>
    <col min="38" max="38" width="23.33203125" style="466" hidden="1" customWidth="1"/>
    <col min="39" max="39" width="17.5546875" style="466" hidden="1" customWidth="1"/>
    <col min="40" max="40" width="19.44140625" style="466" hidden="1" customWidth="1"/>
    <col min="41" max="41" width="22.33203125" style="466" hidden="1" customWidth="1"/>
    <col min="42" max="42" width="35.109375" style="466" hidden="1" customWidth="1"/>
    <col min="43" max="43" width="38.33203125" style="466" hidden="1" customWidth="1"/>
    <col min="44" max="44" width="69.44140625" style="466" hidden="1" customWidth="1"/>
    <col min="45" max="45" width="19.44140625" style="466" hidden="1" customWidth="1"/>
    <col min="46" max="46" width="20.109375" style="466" hidden="1" customWidth="1"/>
    <col min="47" max="47" width="38.5546875" style="466" hidden="1" customWidth="1"/>
    <col min="48" max="48" width="19.44140625" style="466" hidden="1" customWidth="1"/>
    <col min="49" max="50" width="20.109375" style="466" hidden="1" customWidth="1"/>
    <col min="51" max="51" width="38.5546875" style="466" hidden="1" customWidth="1"/>
    <col min="52" max="52" width="11" style="466" hidden="1" customWidth="1"/>
    <col min="53" max="53" width="13.109375" style="466" customWidth="1"/>
    <col min="54" max="54" width="11.88671875" style="466" bestFit="1" customWidth="1"/>
    <col min="55" max="55" width="91" style="474" hidden="1" customWidth="1"/>
    <col min="56" max="56" width="14.44140625" style="474" hidden="1" customWidth="1"/>
    <col min="57" max="58" width="9.33203125" style="474" hidden="1" customWidth="1"/>
    <col min="59" max="59" width="4" style="474" hidden="1" customWidth="1"/>
    <col min="60" max="61" width="4.88671875" style="474" hidden="1" customWidth="1"/>
    <col min="62" max="62" width="6.88671875" style="474" hidden="1" customWidth="1"/>
    <col min="63" max="63" width="134.6640625" style="474" hidden="1" customWidth="1"/>
    <col min="64" max="64" width="16.33203125" style="474" hidden="1" customWidth="1"/>
    <col min="65" max="65" width="20.44140625" style="474" hidden="1" customWidth="1"/>
    <col min="66" max="66" width="16.33203125" style="474" hidden="1" customWidth="1"/>
    <col min="67" max="67" width="22.44140625" style="474" hidden="1" customWidth="1"/>
    <col min="68" max="68" width="43.88671875" style="474" customWidth="1"/>
    <col min="69" max="98" width="7.33203125" style="474" customWidth="1"/>
    <col min="99" max="99" width="22.44140625" style="474" hidden="1" customWidth="1"/>
    <col min="100" max="100" width="40.88671875" style="474" hidden="1" customWidth="1"/>
    <col min="101" max="101" width="18" style="474" hidden="1" customWidth="1"/>
    <col min="102" max="102" width="9.109375" style="474" hidden="1" customWidth="1"/>
    <col min="103" max="103" width="41.44140625" style="474" hidden="1" customWidth="1"/>
    <col min="104" max="133" width="6.5546875" style="474" hidden="1" customWidth="1"/>
    <col min="134" max="134" width="0" style="474" hidden="1" customWidth="1"/>
    <col min="135" max="136" width="9.109375" style="474"/>
    <col min="137" max="137" width="11.44140625" style="474" customWidth="1"/>
    <col min="138" max="138" width="9.33203125" style="474" customWidth="1"/>
    <col min="139" max="16384" width="9.109375" style="474"/>
  </cols>
  <sheetData>
    <row r="1" spans="2:6" hidden="1" x14ac:dyDescent="0.3">
      <c r="D1" s="1183" t="s">
        <v>202</v>
      </c>
      <c r="E1" s="1183" t="s">
        <v>203</v>
      </c>
      <c r="F1" s="1183" t="s">
        <v>204</v>
      </c>
    </row>
    <row r="2" spans="2:6" ht="21" hidden="1" x14ac:dyDescent="0.4">
      <c r="B2" s="1005" t="s">
        <v>29</v>
      </c>
      <c r="C2" s="1284">
        <v>650</v>
      </c>
      <c r="D2" s="1177">
        <f>+COS(($B$101*-1)*3.14159265358979/180)*C2</f>
        <v>650</v>
      </c>
      <c r="E2" s="1035">
        <f>+COS(($B$101*-1)*3.14159265358979/180)*50</f>
        <v>50</v>
      </c>
      <c r="F2" s="1035">
        <f>+COS((($B$101*-1)+58.1516306)*3.14159265358979/180)*91.9127</f>
        <v>48.499858560820385</v>
      </c>
    </row>
    <row r="3" spans="2:6" ht="21" hidden="1" x14ac:dyDescent="0.4">
      <c r="B3" s="1005" t="s">
        <v>99</v>
      </c>
      <c r="C3" s="1284">
        <f>+C9-48.5</f>
        <v>123.93440765912405</v>
      </c>
      <c r="D3" s="1177">
        <f>+C9-F2</f>
        <v>123.93454909830366</v>
      </c>
    </row>
    <row r="4" spans="2:6" ht="53.4" hidden="1" x14ac:dyDescent="0.4">
      <c r="B4" s="1007" t="s">
        <v>40</v>
      </c>
      <c r="C4" s="1283">
        <v>1050</v>
      </c>
      <c r="D4" s="1177">
        <f>+COS(($B$101*-1)*3.14159265358979/180)*C4</f>
        <v>1050</v>
      </c>
    </row>
    <row r="5" spans="2:6" ht="36" hidden="1" x14ac:dyDescent="0.4">
      <c r="B5" s="1007" t="s">
        <v>206</v>
      </c>
      <c r="C5" s="1283">
        <f>+C9+401.5</f>
        <v>573.93440765912408</v>
      </c>
      <c r="D5" s="1177">
        <f>+(COS(($B$101*-1)*3.14159265358979/180)*400)+$D$3</f>
        <v>523.93454909830371</v>
      </c>
    </row>
    <row r="6" spans="2:6" hidden="1" x14ac:dyDescent="0.3">
      <c r="B6" s="464"/>
      <c r="C6" s="464"/>
    </row>
    <row r="7" spans="2:6" hidden="1" x14ac:dyDescent="0.3">
      <c r="B7" s="1281" t="s">
        <v>18</v>
      </c>
      <c r="C7" s="1282">
        <f>+C11+C14+30+4.3</f>
        <v>247.3</v>
      </c>
    </row>
    <row r="8" spans="2:6" hidden="1" x14ac:dyDescent="0.3">
      <c r="B8" s="1281" t="s">
        <v>19</v>
      </c>
      <c r="C8" s="1281">
        <f>+AS107</f>
        <v>326.55452901143133</v>
      </c>
    </row>
    <row r="9" spans="2:6" hidden="1" x14ac:dyDescent="0.3">
      <c r="B9" s="1281" t="s">
        <v>14</v>
      </c>
      <c r="C9" s="1281">
        <f>+AP107</f>
        <v>172.43440765912405</v>
      </c>
    </row>
    <row r="10" spans="2:6" hidden="1" x14ac:dyDescent="0.3"/>
    <row r="11" spans="2:6" hidden="1" x14ac:dyDescent="0.3">
      <c r="B11" s="1279" t="s">
        <v>222</v>
      </c>
      <c r="C11" s="1280">
        <f>+B137*72+30</f>
        <v>102</v>
      </c>
    </row>
    <row r="12" spans="2:6" hidden="1" x14ac:dyDescent="0.3">
      <c r="B12" s="1279" t="s">
        <v>218</v>
      </c>
      <c r="C12" s="1278">
        <v>747</v>
      </c>
      <c r="D12" s="490"/>
    </row>
    <row r="13" spans="2:6" hidden="1" x14ac:dyDescent="0.3">
      <c r="D13" s="490"/>
    </row>
    <row r="14" spans="2:6" hidden="1" x14ac:dyDescent="0.3">
      <c r="B14" s="1091" t="s">
        <v>101</v>
      </c>
      <c r="C14" s="1277">
        <f>(+B158*25.5)+30+(B104*25.5)+30</f>
        <v>111</v>
      </c>
      <c r="D14" s="490"/>
    </row>
    <row r="15" spans="2:6" hidden="1" x14ac:dyDescent="0.3">
      <c r="B15" s="1091" t="s">
        <v>103</v>
      </c>
      <c r="C15" s="1277">
        <v>326.60000000000002</v>
      </c>
      <c r="D15" s="490"/>
    </row>
    <row r="16" spans="2:6" hidden="1" x14ac:dyDescent="0.3">
      <c r="B16" s="491"/>
      <c r="C16" s="491"/>
      <c r="D16" s="490"/>
    </row>
    <row r="17" spans="2:137" hidden="1" x14ac:dyDescent="0.3">
      <c r="B17" s="491"/>
      <c r="C17" s="491"/>
      <c r="D17" s="490"/>
    </row>
    <row r="18" spans="2:137" hidden="1" x14ac:dyDescent="0.3">
      <c r="B18" s="1341" t="s">
        <v>122</v>
      </c>
      <c r="C18" s="1091">
        <v>5800</v>
      </c>
      <c r="D18" s="1091">
        <v>10000</v>
      </c>
    </row>
    <row r="19" spans="2:137" hidden="1" x14ac:dyDescent="0.3">
      <c r="B19" s="1341" t="s">
        <v>123</v>
      </c>
      <c r="C19" s="1091">
        <v>5800</v>
      </c>
      <c r="D19" s="1091">
        <v>5800</v>
      </c>
    </row>
    <row r="20" spans="2:137" hidden="1" x14ac:dyDescent="0.3">
      <c r="B20" s="1341" t="s">
        <v>124</v>
      </c>
      <c r="C20" s="1091">
        <v>8000</v>
      </c>
      <c r="D20" s="1091">
        <v>8000</v>
      </c>
      <c r="E20" s="1170">
        <v>8000</v>
      </c>
    </row>
    <row r="21" spans="2:137" hidden="1" x14ac:dyDescent="0.3">
      <c r="B21" s="1091"/>
      <c r="C21" s="1091" t="s">
        <v>22</v>
      </c>
      <c r="D21" s="1091" t="s">
        <v>23</v>
      </c>
    </row>
    <row r="22" spans="2:137" hidden="1" x14ac:dyDescent="0.3">
      <c r="B22" s="1276" t="s">
        <v>102</v>
      </c>
      <c r="C22" s="1091">
        <f>+((C8-C9)/C8)*C7</f>
        <v>116.7152883342536</v>
      </c>
      <c r="D22" s="1091">
        <f>+(C9/C8)*C7</f>
        <v>130.5847116657464</v>
      </c>
    </row>
    <row r="23" spans="2:137" hidden="1" x14ac:dyDescent="0.3"/>
    <row r="24" spans="2:137" hidden="1" x14ac:dyDescent="0.3"/>
    <row r="25" spans="2:137" ht="16.5" hidden="1" customHeight="1" x14ac:dyDescent="0.3"/>
    <row r="26" spans="2:137" s="466" customFormat="1" ht="32.25" customHeight="1" thickBot="1" x14ac:dyDescent="0.45">
      <c r="B26" s="464"/>
      <c r="C26" s="464"/>
      <c r="D26" s="465"/>
      <c r="E26" s="465"/>
      <c r="F26" s="465"/>
      <c r="G26" s="465"/>
      <c r="BD26" s="1275"/>
      <c r="BE26" s="471"/>
      <c r="BF26" s="465"/>
      <c r="BG26" s="465"/>
      <c r="BH26" s="465"/>
      <c r="BI26" s="465"/>
      <c r="BJ26" s="465"/>
      <c r="BK26" s="465"/>
      <c r="BL26" s="465"/>
      <c r="BM26" s="465"/>
      <c r="BN26" s="465"/>
      <c r="BO26" s="465"/>
      <c r="BP26" s="1169" t="s">
        <v>28</v>
      </c>
      <c r="BQ26" s="2064">
        <f>+C7</f>
        <v>247.3</v>
      </c>
      <c r="BR26" s="2064"/>
      <c r="BS26" s="1096" t="s">
        <v>17</v>
      </c>
      <c r="BT26" s="1093"/>
      <c r="BU26" s="1168" t="s">
        <v>221</v>
      </c>
      <c r="BV26" s="1094"/>
      <c r="BW26" s="1094"/>
      <c r="BX26" s="1094"/>
      <c r="BY26" s="1094"/>
      <c r="BZ26" s="1094"/>
      <c r="CA26" s="1094"/>
      <c r="CB26" s="1094"/>
      <c r="CC26" s="1094"/>
      <c r="CD26" s="1094"/>
      <c r="CE26" s="1094"/>
      <c r="CF26" s="1094"/>
      <c r="CG26" s="1094"/>
      <c r="CH26" s="1094"/>
      <c r="CI26" s="1094"/>
      <c r="CJ26" s="1094"/>
      <c r="CK26" s="1094"/>
      <c r="CL26" s="1094"/>
      <c r="CM26" s="1043"/>
      <c r="CN26" s="1043"/>
      <c r="CO26" s="1053"/>
      <c r="CR26" s="474"/>
      <c r="CS26" s="474"/>
      <c r="CT26" s="474"/>
      <c r="CU26" s="474"/>
      <c r="CV26" s="474"/>
      <c r="CW26" s="474"/>
      <c r="CX26" s="474"/>
      <c r="CY26" s="474"/>
      <c r="CZ26" s="474"/>
      <c r="DA26" s="474"/>
      <c r="DB26" s="474"/>
      <c r="DC26" s="474"/>
      <c r="DD26" s="474"/>
      <c r="DE26" s="474"/>
      <c r="DF26" s="474"/>
      <c r="DG26" s="474"/>
      <c r="DH26" s="474"/>
      <c r="DI26" s="474"/>
      <c r="DJ26" s="474"/>
      <c r="DK26" s="474"/>
      <c r="DL26" s="474"/>
      <c r="DM26" s="474"/>
      <c r="DN26" s="474"/>
      <c r="DO26" s="474"/>
      <c r="DP26" s="474"/>
      <c r="DQ26" s="474"/>
      <c r="DR26" s="474"/>
      <c r="DS26" s="474"/>
      <c r="DT26" s="474"/>
      <c r="DU26" s="474"/>
      <c r="DV26" s="474"/>
      <c r="DW26" s="474"/>
      <c r="DX26" s="474"/>
      <c r="DY26" s="474"/>
      <c r="DZ26" s="474"/>
      <c r="EA26" s="474"/>
      <c r="EB26" s="474"/>
      <c r="EC26" s="474"/>
      <c r="ED26" s="474"/>
      <c r="EE26" s="474"/>
      <c r="EF26" s="474"/>
      <c r="EG26" s="474"/>
    </row>
    <row r="27" spans="2:137" ht="30.75" customHeight="1" x14ac:dyDescent="0.45">
      <c r="U27" s="493"/>
      <c r="BD27" s="475"/>
      <c r="BF27" s="473"/>
      <c r="BG27" s="475"/>
      <c r="BH27" s="475"/>
      <c r="BI27" s="475"/>
      <c r="BJ27" s="475"/>
      <c r="BK27" s="475"/>
      <c r="BL27" s="475"/>
      <c r="BM27" s="475"/>
      <c r="BN27" s="475"/>
      <c r="BO27" s="475"/>
      <c r="BP27" s="1167" t="s">
        <v>30</v>
      </c>
      <c r="BQ27" s="1166" t="s">
        <v>31</v>
      </c>
      <c r="BR27" s="1001"/>
      <c r="BS27" s="1001"/>
      <c r="BT27" s="1001"/>
      <c r="BU27" s="1001"/>
      <c r="BV27" s="1001"/>
      <c r="BW27" s="1001"/>
      <c r="BX27" s="1001"/>
      <c r="BY27" s="1001"/>
      <c r="BZ27" s="1001"/>
      <c r="CA27" s="1001"/>
      <c r="CB27" s="1001"/>
      <c r="CC27" s="1001"/>
      <c r="CD27" s="1001"/>
      <c r="CE27" s="1001"/>
      <c r="CF27" s="1001"/>
      <c r="CG27" s="1001"/>
      <c r="CH27" s="1001"/>
      <c r="CI27" s="594"/>
      <c r="CJ27" s="1274"/>
      <c r="CK27" s="1274"/>
      <c r="CL27" s="1162" t="s">
        <v>32</v>
      </c>
      <c r="CM27" s="2071"/>
      <c r="CN27" s="2072"/>
      <c r="CO27" s="2072"/>
      <c r="CP27" s="2072"/>
      <c r="CQ27" s="2072"/>
      <c r="CR27" s="2072"/>
      <c r="CS27" s="2072"/>
      <c r="CT27" s="2073"/>
    </row>
    <row r="28" spans="2:137" ht="33.75" customHeight="1" thickBot="1" x14ac:dyDescent="0.5">
      <c r="BF28" s="473"/>
      <c r="BG28" s="475"/>
      <c r="BH28" s="475"/>
      <c r="BI28" s="475"/>
      <c r="BJ28" s="475"/>
      <c r="BK28" s="475"/>
      <c r="BL28" s="475"/>
      <c r="BM28" s="475"/>
      <c r="BN28" s="475"/>
      <c r="BO28" s="1347">
        <f>+IF(AND(CK28&gt;0,BQ28&gt;0),BQ28)</f>
        <v>123.90093905522811</v>
      </c>
      <c r="BP28" s="1890" t="s">
        <v>78</v>
      </c>
      <c r="BQ28" s="2083">
        <f>+((D4-D5)/D4)*C7</f>
        <v>123.90093905522811</v>
      </c>
      <c r="BR28" s="2084"/>
      <c r="BS28" s="1273"/>
      <c r="BT28" s="1273"/>
      <c r="BU28" s="1273"/>
      <c r="BV28" s="1273"/>
      <c r="BW28" s="1273"/>
      <c r="BX28" s="1273"/>
      <c r="BY28" s="1273"/>
      <c r="BZ28" s="1273"/>
      <c r="CA28" s="1273"/>
      <c r="CB28" s="1273"/>
      <c r="CC28" s="1273"/>
      <c r="CD28" s="1273"/>
      <c r="CE28" s="1273"/>
      <c r="CF28" s="1273"/>
      <c r="CG28" s="1273"/>
      <c r="CH28" s="1273"/>
      <c r="CI28" s="586"/>
      <c r="CJ28" s="1272"/>
      <c r="CK28" s="2081">
        <f>+(D5/D4)*C7</f>
        <v>123.39906094477192</v>
      </c>
      <c r="CL28" s="2082"/>
      <c r="CM28" s="2074"/>
      <c r="CN28" s="2075"/>
      <c r="CO28" s="2075"/>
      <c r="CP28" s="2075"/>
      <c r="CQ28" s="2075"/>
      <c r="CR28" s="2075"/>
      <c r="CS28" s="2075"/>
      <c r="CT28" s="2076"/>
      <c r="CU28" s="1352">
        <f>+IF(AND(BQ28&gt;0,CK28&gt;0),CK28)</f>
        <v>123.39906094477192</v>
      </c>
    </row>
    <row r="29" spans="2:137" ht="30.75" customHeight="1" x14ac:dyDescent="0.45">
      <c r="F29" s="479"/>
      <c r="G29" s="479"/>
      <c r="BF29" s="473"/>
      <c r="BG29" s="475"/>
      <c r="BH29" s="475"/>
      <c r="BI29" s="475"/>
      <c r="BJ29" s="475"/>
      <c r="BK29" s="475"/>
      <c r="BL29" s="475"/>
      <c r="BM29" s="475"/>
      <c r="BN29" s="475"/>
      <c r="BO29" s="475"/>
      <c r="BP29" s="1159" t="s">
        <v>30</v>
      </c>
      <c r="BQ29" s="2071"/>
      <c r="BR29" s="2072"/>
      <c r="BS29" s="2072"/>
      <c r="BT29" s="2072"/>
      <c r="BU29" s="2072"/>
      <c r="BV29" s="2072"/>
      <c r="BW29" s="2072"/>
      <c r="BX29" s="2073"/>
      <c r="BY29" s="1158" t="s">
        <v>31</v>
      </c>
      <c r="BZ29" s="1003"/>
      <c r="CA29" s="1003"/>
      <c r="CB29" s="1003"/>
      <c r="CC29" s="1003"/>
      <c r="CD29" s="1003"/>
      <c r="CE29" s="1003"/>
      <c r="CF29" s="1003"/>
      <c r="CG29" s="1003"/>
      <c r="CH29" s="1003"/>
      <c r="CI29" s="1003"/>
      <c r="CJ29" s="1003"/>
      <c r="CK29" s="1003"/>
      <c r="CL29" s="594"/>
      <c r="CM29" s="1003"/>
      <c r="CN29" s="594"/>
      <c r="CO29" s="1271"/>
      <c r="CP29" s="594"/>
      <c r="CQ29" s="594"/>
      <c r="CR29" s="594"/>
      <c r="CS29" s="1156"/>
      <c r="CT29" s="1155" t="s">
        <v>32</v>
      </c>
    </row>
    <row r="30" spans="2:137" ht="28.5" customHeight="1" thickBot="1" x14ac:dyDescent="0.5">
      <c r="H30" s="465"/>
      <c r="I30" s="465"/>
      <c r="J30" s="465"/>
      <c r="K30" s="465"/>
      <c r="L30" s="465"/>
      <c r="M30" s="465"/>
      <c r="N30" s="465"/>
      <c r="O30" s="465"/>
      <c r="P30" s="465"/>
      <c r="Q30" s="465"/>
      <c r="R30" s="465"/>
      <c r="S30" s="465"/>
      <c r="T30" s="465"/>
      <c r="AF30" s="465"/>
      <c r="AG30" s="465"/>
      <c r="AH30" s="465"/>
      <c r="AI30" s="465"/>
      <c r="AJ30" s="465"/>
      <c r="AK30" s="465"/>
      <c r="AL30" s="465"/>
      <c r="AM30" s="465"/>
      <c r="AN30" s="465"/>
      <c r="AO30" s="465"/>
      <c r="AP30" s="465"/>
      <c r="AQ30" s="465"/>
      <c r="AR30" s="465"/>
      <c r="AS30" s="465"/>
      <c r="AT30" s="465"/>
      <c r="AU30" s="465"/>
      <c r="AV30" s="465"/>
      <c r="AW30" s="465"/>
      <c r="AX30" s="465"/>
      <c r="AY30" s="465"/>
      <c r="AZ30" s="465"/>
      <c r="BA30" s="465"/>
      <c r="BB30" s="465"/>
      <c r="BC30" s="473"/>
      <c r="BF30" s="473"/>
      <c r="BG30" s="473"/>
      <c r="BH30" s="473"/>
      <c r="BI30" s="473"/>
      <c r="BJ30" s="473"/>
      <c r="BK30" s="473"/>
      <c r="BL30" s="473"/>
      <c r="BM30" s="473"/>
      <c r="BN30" s="473"/>
      <c r="BO30" s="1347">
        <f>+IF(AND(CS30&gt;0,BY30&gt;0),BY30)</f>
        <v>218.11046286475192</v>
      </c>
      <c r="BP30" s="1891" t="s">
        <v>79</v>
      </c>
      <c r="BQ30" s="2074"/>
      <c r="BR30" s="2075"/>
      <c r="BS30" s="2075"/>
      <c r="BT30" s="2075"/>
      <c r="BU30" s="2075"/>
      <c r="BV30" s="2075"/>
      <c r="BW30" s="2075"/>
      <c r="BX30" s="2076"/>
      <c r="BY30" s="2094">
        <f>+((D4-D3)/D4)*C7</f>
        <v>218.11046286475192</v>
      </c>
      <c r="BZ30" s="2095"/>
      <c r="CA30" s="1004"/>
      <c r="CB30" s="1004"/>
      <c r="CC30" s="1004"/>
      <c r="CD30" s="1004"/>
      <c r="CE30" s="1004"/>
      <c r="CF30" s="1004"/>
      <c r="CG30" s="1004"/>
      <c r="CH30" s="1004"/>
      <c r="CI30" s="1004"/>
      <c r="CJ30" s="1004"/>
      <c r="CK30" s="1004"/>
      <c r="CL30" s="586"/>
      <c r="CM30" s="1004"/>
      <c r="CN30" s="586"/>
      <c r="CO30" s="1270"/>
      <c r="CP30" s="586"/>
      <c r="CQ30" s="586"/>
      <c r="CR30" s="586"/>
      <c r="CS30" s="2092">
        <f>+(D3/D4)*C7</f>
        <v>29.189537135248091</v>
      </c>
      <c r="CT30" s="2093"/>
      <c r="CU30" s="1347">
        <f>+IF(AND(BY30&gt;0,CS30&gt;0),CS30)</f>
        <v>29.189537135248091</v>
      </c>
    </row>
    <row r="31" spans="2:137" ht="15.75" customHeight="1" thickBot="1" x14ac:dyDescent="0.4">
      <c r="H31" s="465"/>
      <c r="I31" s="465"/>
      <c r="J31" s="465"/>
      <c r="K31" s="465"/>
      <c r="L31" s="465"/>
      <c r="M31" s="465"/>
      <c r="N31" s="465"/>
      <c r="O31" s="465"/>
      <c r="P31" s="465"/>
      <c r="Q31" s="465"/>
      <c r="R31" s="465"/>
      <c r="S31" s="465"/>
      <c r="T31" s="465"/>
      <c r="AF31" s="465"/>
      <c r="AG31" s="465"/>
      <c r="AH31" s="465"/>
      <c r="AI31" s="465"/>
      <c r="AJ31" s="465"/>
      <c r="AK31" s="465"/>
      <c r="AL31" s="465"/>
      <c r="AM31" s="465"/>
      <c r="AN31" s="465"/>
      <c r="AO31" s="465"/>
      <c r="AP31" s="465"/>
      <c r="AQ31" s="465"/>
      <c r="AR31" s="465"/>
      <c r="AS31" s="465"/>
      <c r="AT31" s="465"/>
      <c r="AU31" s="465"/>
      <c r="AV31" s="465"/>
      <c r="AW31" s="465"/>
      <c r="AX31" s="465"/>
      <c r="AY31" s="465"/>
      <c r="AZ31" s="465"/>
      <c r="BA31" s="465"/>
      <c r="BB31" s="465"/>
      <c r="BC31" s="473"/>
      <c r="BF31" s="473"/>
      <c r="BG31" s="493"/>
      <c r="BH31" s="493"/>
      <c r="BI31" s="493"/>
      <c r="BJ31" s="493"/>
      <c r="BK31" s="493"/>
      <c r="BL31" s="493"/>
      <c r="BM31" s="493"/>
      <c r="BN31" s="493"/>
      <c r="BO31" s="493"/>
      <c r="BP31" s="1093"/>
      <c r="BQ31" s="1053"/>
      <c r="BR31" s="1053"/>
      <c r="BS31" s="1053"/>
      <c r="BT31" s="1053"/>
      <c r="BU31" s="1053"/>
      <c r="BV31" s="1053"/>
      <c r="BW31" s="1053"/>
      <c r="BX31" s="1053"/>
      <c r="BY31" s="1053"/>
      <c r="BZ31" s="1053"/>
      <c r="CA31" s="1053"/>
      <c r="CB31" s="1053"/>
      <c r="CC31" s="1053"/>
      <c r="CD31" s="1053"/>
      <c r="CE31" s="1053"/>
      <c r="CF31" s="1053"/>
      <c r="CG31" s="1053"/>
      <c r="CH31" s="1053"/>
      <c r="CI31" s="1053"/>
      <c r="CJ31" s="1053"/>
      <c r="CK31" s="1053"/>
      <c r="CL31" s="1053"/>
      <c r="CM31" s="1053"/>
      <c r="CN31" s="1053"/>
      <c r="CO31" s="1053"/>
      <c r="CR31" s="473"/>
      <c r="CS31" s="473"/>
      <c r="CT31" s="473"/>
      <c r="CU31" s="473"/>
      <c r="CV31" s="473"/>
      <c r="CW31" s="473"/>
      <c r="CX31" s="473"/>
      <c r="CY31" s="473"/>
      <c r="CZ31" s="473"/>
      <c r="DA31" s="473"/>
      <c r="DB31" s="473"/>
      <c r="DC31" s="473"/>
      <c r="DD31" s="473"/>
      <c r="DE31" s="473"/>
      <c r="DF31" s="473"/>
      <c r="DG31" s="473"/>
      <c r="DH31" s="473"/>
      <c r="DI31" s="473"/>
      <c r="DJ31" s="473"/>
      <c r="DK31" s="473"/>
      <c r="DL31" s="473"/>
      <c r="DM31" s="473"/>
      <c r="DN31" s="473"/>
      <c r="DO31" s="473"/>
      <c r="DP31" s="473"/>
      <c r="DQ31" s="473"/>
      <c r="DR31" s="473"/>
      <c r="DS31" s="473"/>
      <c r="DT31" s="473"/>
      <c r="DU31" s="473"/>
      <c r="DV31" s="473"/>
      <c r="DW31" s="473"/>
      <c r="DX31" s="473"/>
      <c r="DY31" s="473"/>
      <c r="DZ31" s="473"/>
      <c r="EA31" s="473"/>
      <c r="EB31" s="473"/>
      <c r="EC31" s="473"/>
      <c r="ED31" s="473"/>
      <c r="EE31" s="473"/>
      <c r="EF31" s="473"/>
      <c r="EG31" s="473"/>
    </row>
    <row r="32" spans="2:137" ht="26.25" hidden="1" customHeight="1" x14ac:dyDescent="0.35">
      <c r="E32" s="490"/>
      <c r="F32" s="490"/>
      <c r="G32" s="490"/>
      <c r="H32" s="465"/>
      <c r="I32" s="465"/>
      <c r="J32" s="465"/>
      <c r="K32" s="465"/>
      <c r="L32" s="465"/>
      <c r="M32" s="465"/>
      <c r="N32" s="465"/>
      <c r="O32" s="465"/>
      <c r="P32" s="465"/>
      <c r="Q32" s="465"/>
      <c r="R32" s="465"/>
      <c r="S32" s="465"/>
      <c r="T32" s="465"/>
      <c r="U32" s="465"/>
      <c r="V32" s="465"/>
      <c r="W32" s="465"/>
      <c r="X32" s="465"/>
      <c r="Y32" s="465"/>
      <c r="Z32" s="465"/>
      <c r="AA32" s="465"/>
      <c r="AB32" s="465"/>
      <c r="AC32" s="465"/>
      <c r="AD32" s="465"/>
      <c r="AE32" s="465"/>
      <c r="AF32" s="465"/>
      <c r="AG32" s="465"/>
      <c r="AH32" s="465"/>
      <c r="AI32" s="465"/>
      <c r="AJ32" s="465"/>
      <c r="AK32" s="465"/>
      <c r="AL32" s="465"/>
      <c r="AM32" s="465"/>
      <c r="AN32" s="465"/>
      <c r="AO32" s="465"/>
      <c r="AP32" s="465"/>
      <c r="AQ32" s="465"/>
      <c r="AR32" s="465"/>
      <c r="AS32" s="465"/>
      <c r="AT32" s="465"/>
      <c r="AU32" s="465"/>
      <c r="AV32" s="465"/>
      <c r="AW32" s="465"/>
      <c r="AX32" s="465"/>
      <c r="AY32" s="465"/>
      <c r="AZ32" s="465"/>
      <c r="BA32" s="465"/>
      <c r="BB32" s="465"/>
      <c r="BC32" s="473"/>
      <c r="BF32" s="473"/>
      <c r="BG32" s="1269"/>
      <c r="BH32" s="1269"/>
      <c r="BI32" s="1269"/>
      <c r="BJ32" s="1269"/>
      <c r="BK32" s="1269"/>
      <c r="BL32" s="1269"/>
      <c r="BM32" s="1269"/>
      <c r="BN32" s="1269"/>
      <c r="BO32" s="1269"/>
      <c r="BP32" s="1093"/>
      <c r="CO32" s="1053"/>
    </row>
    <row r="33" spans="5:98" ht="26.25" hidden="1" customHeight="1" thickBot="1" x14ac:dyDescent="0.45">
      <c r="E33" s="490"/>
      <c r="F33" s="490"/>
      <c r="G33" s="490"/>
      <c r="H33" s="465"/>
      <c r="I33" s="465"/>
      <c r="J33" s="465"/>
      <c r="K33" s="465"/>
      <c r="L33" s="465"/>
      <c r="M33" s="465"/>
      <c r="N33" s="465"/>
      <c r="O33" s="465"/>
      <c r="P33" s="465"/>
      <c r="Q33" s="465"/>
      <c r="R33" s="465"/>
      <c r="S33" s="465"/>
      <c r="T33" s="465"/>
      <c r="U33" s="465"/>
      <c r="V33" s="465"/>
      <c r="W33" s="465"/>
      <c r="X33" s="465"/>
      <c r="Y33" s="465"/>
      <c r="Z33" s="465"/>
      <c r="AA33" s="465"/>
      <c r="AB33" s="465"/>
      <c r="AC33" s="465"/>
      <c r="AD33" s="465"/>
      <c r="AE33" s="465"/>
      <c r="AF33" s="465"/>
      <c r="AG33" s="465"/>
      <c r="AH33" s="465"/>
      <c r="AI33" s="465"/>
      <c r="AJ33" s="465"/>
      <c r="AK33" s="465"/>
      <c r="AL33" s="465"/>
      <c r="AM33" s="465"/>
      <c r="AN33" s="465"/>
      <c r="AO33" s="465"/>
      <c r="AP33" s="465"/>
      <c r="AQ33" s="465"/>
      <c r="AR33" s="465"/>
      <c r="AS33" s="465"/>
      <c r="AT33" s="465"/>
      <c r="AU33" s="465"/>
      <c r="AV33" s="465"/>
      <c r="AW33" s="465"/>
      <c r="AX33" s="465"/>
      <c r="AY33" s="465"/>
      <c r="AZ33" s="465"/>
      <c r="BA33" s="465"/>
      <c r="BB33" s="465"/>
      <c r="BC33" s="473"/>
      <c r="BG33" s="489"/>
      <c r="BH33" s="489"/>
      <c r="BI33" s="489"/>
      <c r="BJ33" s="489"/>
      <c r="BK33" s="489"/>
      <c r="BL33" s="489"/>
      <c r="BM33" s="489"/>
      <c r="BN33" s="489"/>
      <c r="BO33" s="489"/>
      <c r="BP33" s="1892" t="s">
        <v>93</v>
      </c>
      <c r="BQ33" s="1104"/>
      <c r="BR33" s="1104"/>
      <c r="BS33" s="1104"/>
      <c r="BT33" s="1104"/>
      <c r="BU33" s="1104"/>
      <c r="BV33" s="1105"/>
      <c r="BW33" s="1104"/>
      <c r="BX33" s="1104"/>
      <c r="BY33" s="1104"/>
      <c r="BZ33" s="1104"/>
      <c r="CA33" s="1104"/>
      <c r="CB33" s="1104"/>
      <c r="CC33" s="1104"/>
      <c r="CD33" s="1104"/>
      <c r="CE33" s="1104"/>
      <c r="CF33" s="1104"/>
      <c r="CG33" s="1104"/>
      <c r="CH33" s="1104"/>
      <c r="CI33" s="1104"/>
      <c r="CJ33" s="1104"/>
      <c r="CK33" s="1104"/>
      <c r="CL33" s="1104"/>
      <c r="CM33" s="1104"/>
      <c r="CN33" s="1105"/>
      <c r="CO33" s="1093"/>
      <c r="CP33" s="1093"/>
      <c r="CQ33" s="1093"/>
      <c r="CR33" s="1093"/>
      <c r="CS33" s="1093"/>
      <c r="CT33" s="1093"/>
    </row>
    <row r="34" spans="5:98" ht="26.25" hidden="1" customHeight="1" thickBot="1" x14ac:dyDescent="0.45">
      <c r="E34" s="490"/>
      <c r="F34" s="490"/>
      <c r="G34" s="490"/>
      <c r="H34" s="465"/>
      <c r="I34" s="465"/>
      <c r="J34" s="465"/>
      <c r="K34" s="465"/>
      <c r="L34" s="465"/>
      <c r="M34" s="465"/>
      <c r="N34" s="465"/>
      <c r="O34" s="465"/>
      <c r="P34" s="465"/>
      <c r="Q34" s="465"/>
      <c r="R34" s="465"/>
      <c r="S34" s="465"/>
      <c r="T34" s="465"/>
      <c r="U34" s="465"/>
      <c r="V34" s="465"/>
      <c r="W34" s="465"/>
      <c r="X34" s="465"/>
      <c r="Y34" s="465"/>
      <c r="Z34" s="465"/>
      <c r="AA34" s="465"/>
      <c r="AB34" s="465"/>
      <c r="AC34" s="465"/>
      <c r="AD34" s="465"/>
      <c r="AE34" s="465"/>
      <c r="AF34" s="465"/>
      <c r="AG34" s="465"/>
      <c r="AH34" s="465"/>
      <c r="AI34" s="465"/>
      <c r="AJ34" s="465"/>
      <c r="AK34" s="465"/>
      <c r="AL34" s="465"/>
      <c r="AM34" s="465"/>
      <c r="AN34" s="465"/>
      <c r="AO34" s="465"/>
      <c r="AP34" s="465"/>
      <c r="AQ34" s="465"/>
      <c r="AR34" s="465"/>
      <c r="AS34" s="465"/>
      <c r="AT34" s="465"/>
      <c r="AU34" s="465"/>
      <c r="AV34" s="465"/>
      <c r="AW34" s="465"/>
      <c r="AX34" s="465"/>
      <c r="AY34" s="465"/>
      <c r="AZ34" s="465"/>
      <c r="BA34" s="465"/>
      <c r="BB34" s="465"/>
      <c r="BC34" s="473"/>
      <c r="BG34" s="489"/>
      <c r="BH34" s="489"/>
      <c r="BI34" s="489"/>
      <c r="BJ34" s="489"/>
      <c r="BK34" s="489"/>
      <c r="BL34" s="489"/>
      <c r="BM34" s="489"/>
      <c r="BN34" s="489"/>
      <c r="BO34" s="489"/>
      <c r="BP34" s="1892" t="s">
        <v>92</v>
      </c>
      <c r="BQ34" s="1093"/>
      <c r="BR34" s="1093"/>
      <c r="BS34" s="1093"/>
      <c r="BT34" s="1093"/>
      <c r="BU34" s="1093"/>
      <c r="BV34" s="1093"/>
      <c r="BW34" s="1093"/>
      <c r="BX34" s="1093"/>
      <c r="BY34" s="1093"/>
      <c r="BZ34" s="1093"/>
      <c r="CA34" s="1093"/>
      <c r="CB34" s="1093"/>
      <c r="CC34" s="1093"/>
      <c r="CD34" s="1093"/>
      <c r="CE34" s="1093"/>
      <c r="CF34" s="1093"/>
      <c r="CG34" s="1093"/>
      <c r="CH34" s="1093"/>
      <c r="CI34" s="1093"/>
      <c r="CJ34" s="1093"/>
      <c r="CK34" s="1093"/>
      <c r="CL34" s="1093"/>
      <c r="CM34" s="1093"/>
      <c r="CN34" s="1093"/>
      <c r="CO34" s="1093"/>
      <c r="CP34" s="1093"/>
      <c r="CQ34" s="1093"/>
      <c r="CR34" s="1101" t="b">
        <f>IF(CS84=29,28)</f>
        <v>0</v>
      </c>
      <c r="CS34" s="1150"/>
      <c r="CT34" s="1116" t="b">
        <f>IF(CS84=29,30)</f>
        <v>0</v>
      </c>
    </row>
    <row r="35" spans="5:98" ht="26.25" hidden="1" customHeight="1" thickBot="1" x14ac:dyDescent="0.45">
      <c r="E35" s="490"/>
      <c r="F35" s="490"/>
      <c r="G35" s="490"/>
      <c r="H35" s="465"/>
      <c r="I35" s="465"/>
      <c r="J35" s="465"/>
      <c r="K35" s="465"/>
      <c r="L35" s="465"/>
      <c r="M35" s="465"/>
      <c r="N35" s="465"/>
      <c r="O35" s="465"/>
      <c r="P35" s="465"/>
      <c r="Q35" s="465"/>
      <c r="R35" s="465"/>
      <c r="S35" s="465"/>
      <c r="T35" s="465"/>
      <c r="U35" s="465"/>
      <c r="V35" s="465"/>
      <c r="W35" s="465"/>
      <c r="X35" s="465"/>
      <c r="Y35" s="465"/>
      <c r="Z35" s="465"/>
      <c r="AA35" s="465"/>
      <c r="AB35" s="465"/>
      <c r="AC35" s="465"/>
      <c r="AD35" s="465"/>
      <c r="AE35" s="465"/>
      <c r="AF35" s="465"/>
      <c r="AG35" s="465"/>
      <c r="AH35" s="465"/>
      <c r="AI35" s="465"/>
      <c r="AJ35" s="465"/>
      <c r="AK35" s="465"/>
      <c r="AL35" s="465"/>
      <c r="AM35" s="465"/>
      <c r="AN35" s="465"/>
      <c r="AO35" s="465"/>
      <c r="AP35" s="465"/>
      <c r="AQ35" s="465"/>
      <c r="AR35" s="465"/>
      <c r="AS35" s="465"/>
      <c r="AT35" s="465"/>
      <c r="AU35" s="465"/>
      <c r="AV35" s="465"/>
      <c r="AW35" s="465"/>
      <c r="AX35" s="465"/>
      <c r="AY35" s="465"/>
      <c r="AZ35" s="465"/>
      <c r="BA35" s="465"/>
      <c r="BB35" s="465"/>
      <c r="BC35" s="473"/>
      <c r="BG35" s="489"/>
      <c r="BH35" s="489"/>
      <c r="BI35" s="489"/>
      <c r="BJ35" s="489"/>
      <c r="BK35" s="489"/>
      <c r="BL35" s="489"/>
      <c r="BM35" s="489"/>
      <c r="BN35" s="489"/>
      <c r="BO35" s="489"/>
      <c r="BP35" s="1892" t="s">
        <v>91</v>
      </c>
      <c r="BQ35" s="1093"/>
      <c r="BR35" s="1093"/>
      <c r="BS35" s="1093"/>
      <c r="BT35" s="1093"/>
      <c r="BU35" s="1093"/>
      <c r="BV35" s="1093"/>
      <c r="BW35" s="1093"/>
      <c r="BX35" s="1093"/>
      <c r="BY35" s="1093"/>
      <c r="BZ35" s="1093"/>
      <c r="CA35" s="1093"/>
      <c r="CB35" s="1093"/>
      <c r="CC35" s="1093"/>
      <c r="CD35" s="1093"/>
      <c r="CE35" s="1093"/>
      <c r="CF35" s="1093"/>
      <c r="CG35" s="1093"/>
      <c r="CH35" s="1093"/>
      <c r="CI35" s="1093"/>
      <c r="CJ35" s="1093"/>
      <c r="CK35" s="1093"/>
      <c r="CL35" s="1093"/>
      <c r="CM35" s="1093"/>
      <c r="CN35" s="1093"/>
      <c r="CO35" s="1093"/>
      <c r="CP35" s="1101" t="b">
        <f>IF(CR84=28,26)</f>
        <v>0</v>
      </c>
      <c r="CQ35" s="1150"/>
      <c r="CR35" s="1150"/>
      <c r="CS35" s="1150"/>
      <c r="CT35" s="1116" t="b">
        <f>IF(CR84=28,30)</f>
        <v>0</v>
      </c>
    </row>
    <row r="36" spans="5:98" ht="26.25" hidden="1" customHeight="1" thickBot="1" x14ac:dyDescent="0.45">
      <c r="E36" s="490"/>
      <c r="F36" s="490"/>
      <c r="G36" s="490"/>
      <c r="H36" s="465"/>
      <c r="I36" s="465"/>
      <c r="J36" s="465"/>
      <c r="K36" s="465"/>
      <c r="L36" s="465"/>
      <c r="M36" s="465"/>
      <c r="N36" s="465"/>
      <c r="O36" s="465"/>
      <c r="P36" s="465"/>
      <c r="Q36" s="465"/>
      <c r="R36" s="465"/>
      <c r="S36" s="465"/>
      <c r="T36" s="465"/>
      <c r="U36" s="465"/>
      <c r="V36" s="465"/>
      <c r="W36" s="465"/>
      <c r="X36" s="465"/>
      <c r="Y36" s="465"/>
      <c r="Z36" s="465"/>
      <c r="AA36" s="465"/>
      <c r="AB36" s="465"/>
      <c r="AC36" s="465"/>
      <c r="AD36" s="465"/>
      <c r="AE36" s="465"/>
      <c r="AF36" s="465"/>
      <c r="AG36" s="465"/>
      <c r="AH36" s="465"/>
      <c r="AI36" s="465"/>
      <c r="AJ36" s="465"/>
      <c r="AK36" s="465"/>
      <c r="AL36" s="465"/>
      <c r="AM36" s="465"/>
      <c r="AN36" s="465"/>
      <c r="AO36" s="465"/>
      <c r="AP36" s="465"/>
      <c r="AQ36" s="465"/>
      <c r="AR36" s="465"/>
      <c r="AS36" s="465"/>
      <c r="AT36" s="465"/>
      <c r="AU36" s="465"/>
      <c r="AV36" s="465"/>
      <c r="AW36" s="465"/>
      <c r="AX36" s="465"/>
      <c r="AY36" s="465"/>
      <c r="AZ36" s="465"/>
      <c r="BA36" s="465"/>
      <c r="BB36" s="465"/>
      <c r="BC36" s="473"/>
      <c r="BG36" s="489"/>
      <c r="BH36" s="489"/>
      <c r="BI36" s="489"/>
      <c r="BJ36" s="489"/>
      <c r="BK36" s="489"/>
      <c r="BL36" s="489"/>
      <c r="BM36" s="489"/>
      <c r="BN36" s="489"/>
      <c r="BO36" s="489"/>
      <c r="BP36" s="1892" t="s">
        <v>90</v>
      </c>
      <c r="BQ36" s="1093"/>
      <c r="BR36" s="1093"/>
      <c r="BS36" s="1093"/>
      <c r="BT36" s="1093"/>
      <c r="BU36" s="1093"/>
      <c r="BV36" s="1093"/>
      <c r="BW36" s="1093"/>
      <c r="BX36" s="1093"/>
      <c r="BY36" s="1093"/>
      <c r="BZ36" s="1093"/>
      <c r="CA36" s="1093"/>
      <c r="CB36" s="1093"/>
      <c r="CC36" s="1093"/>
      <c r="CD36" s="1093"/>
      <c r="CE36" s="1093"/>
      <c r="CF36" s="1093"/>
      <c r="CG36" s="1093"/>
      <c r="CH36" s="1093"/>
      <c r="CI36" s="1093"/>
      <c r="CJ36" s="1093"/>
      <c r="CK36" s="1093"/>
      <c r="CL36" s="1093"/>
      <c r="CM36" s="1093"/>
      <c r="CN36" s="1101" t="b">
        <f>IF(CQ84=27,24)</f>
        <v>0</v>
      </c>
      <c r="CO36" s="1150"/>
      <c r="CP36" s="1150"/>
      <c r="CQ36" s="1150"/>
      <c r="CR36" s="1150"/>
      <c r="CS36" s="1150"/>
      <c r="CT36" s="1116" t="b">
        <f>IF(CQ84=27,30)</f>
        <v>0</v>
      </c>
    </row>
    <row r="37" spans="5:98" ht="26.25" hidden="1" customHeight="1" thickBot="1" x14ac:dyDescent="0.45">
      <c r="E37" s="490"/>
      <c r="F37" s="490"/>
      <c r="G37" s="490"/>
      <c r="H37" s="465"/>
      <c r="I37" s="465"/>
      <c r="J37" s="465"/>
      <c r="K37" s="465"/>
      <c r="L37" s="465"/>
      <c r="M37" s="465"/>
      <c r="N37" s="465"/>
      <c r="O37" s="465"/>
      <c r="P37" s="465"/>
      <c r="Q37" s="465"/>
      <c r="R37" s="465"/>
      <c r="S37" s="465"/>
      <c r="T37" s="465"/>
      <c r="U37" s="465"/>
      <c r="V37" s="465"/>
      <c r="W37" s="465"/>
      <c r="X37" s="465"/>
      <c r="Y37" s="465"/>
      <c r="Z37" s="465"/>
      <c r="AA37" s="465"/>
      <c r="AB37" s="465"/>
      <c r="AC37" s="465"/>
      <c r="AD37" s="465"/>
      <c r="AE37" s="465"/>
      <c r="AF37" s="465"/>
      <c r="AG37" s="465"/>
      <c r="AH37" s="465"/>
      <c r="AI37" s="465"/>
      <c r="AJ37" s="465"/>
      <c r="AK37" s="465"/>
      <c r="AL37" s="465"/>
      <c r="AM37" s="465"/>
      <c r="AN37" s="465"/>
      <c r="AO37" s="465"/>
      <c r="AP37" s="465"/>
      <c r="AQ37" s="465"/>
      <c r="AR37" s="465"/>
      <c r="AS37" s="465"/>
      <c r="AT37" s="465"/>
      <c r="AU37" s="465"/>
      <c r="AV37" s="465"/>
      <c r="AW37" s="465"/>
      <c r="AX37" s="465"/>
      <c r="AY37" s="465"/>
      <c r="AZ37" s="465"/>
      <c r="BA37" s="465"/>
      <c r="BB37" s="465"/>
      <c r="BC37" s="473"/>
      <c r="BG37" s="489"/>
      <c r="BH37" s="489"/>
      <c r="BI37" s="489"/>
      <c r="BJ37" s="489"/>
      <c r="BK37" s="489"/>
      <c r="BL37" s="489"/>
      <c r="BM37" s="489"/>
      <c r="BN37" s="489"/>
      <c r="BO37" s="489"/>
      <c r="BP37" s="1892" t="s">
        <v>89</v>
      </c>
      <c r="BQ37" s="1093"/>
      <c r="BR37" s="1093"/>
      <c r="BS37" s="1093"/>
      <c r="BT37" s="1093"/>
      <c r="BU37" s="1093"/>
      <c r="BV37" s="1093"/>
      <c r="BW37" s="1093"/>
      <c r="BX37" s="1093"/>
      <c r="BY37" s="1093"/>
      <c r="BZ37" s="1093"/>
      <c r="CA37" s="1093"/>
      <c r="CB37" s="1093"/>
      <c r="CC37" s="1093"/>
      <c r="CD37" s="1093"/>
      <c r="CE37" s="1093"/>
      <c r="CF37" s="1093"/>
      <c r="CG37" s="1093"/>
      <c r="CH37" s="1093"/>
      <c r="CI37" s="1093"/>
      <c r="CJ37" s="1093"/>
      <c r="CK37" s="1093"/>
      <c r="CL37" s="1101" t="b">
        <f>IF(CP84=26,22)</f>
        <v>0</v>
      </c>
      <c r="CM37" s="1150"/>
      <c r="CN37" s="1150"/>
      <c r="CO37" s="1150"/>
      <c r="CP37" s="1150"/>
      <c r="CQ37" s="1150"/>
      <c r="CR37" s="1150"/>
      <c r="CS37" s="1150"/>
      <c r="CT37" s="1116" t="b">
        <f>IF(CP84=26,30)</f>
        <v>0</v>
      </c>
    </row>
    <row r="38" spans="5:98" ht="26.25" hidden="1" customHeight="1" thickBot="1" x14ac:dyDescent="0.45">
      <c r="E38" s="490"/>
      <c r="F38" s="490"/>
      <c r="G38" s="490"/>
      <c r="H38" s="465"/>
      <c r="I38" s="465"/>
      <c r="J38" s="465"/>
      <c r="K38" s="465"/>
      <c r="L38" s="465"/>
      <c r="M38" s="465"/>
      <c r="N38" s="465"/>
      <c r="O38" s="465"/>
      <c r="P38" s="465"/>
      <c r="Q38" s="465"/>
      <c r="R38" s="465"/>
      <c r="S38" s="465"/>
      <c r="T38" s="465"/>
      <c r="U38" s="465"/>
      <c r="V38" s="465"/>
      <c r="W38" s="465"/>
      <c r="X38" s="465"/>
      <c r="Y38" s="465"/>
      <c r="Z38" s="465"/>
      <c r="AA38" s="465"/>
      <c r="AB38" s="465"/>
      <c r="AC38" s="465"/>
      <c r="AD38" s="465"/>
      <c r="AE38" s="465"/>
      <c r="AF38" s="465"/>
      <c r="AG38" s="465"/>
      <c r="AH38" s="465"/>
      <c r="AI38" s="465"/>
      <c r="AJ38" s="465"/>
      <c r="AK38" s="465"/>
      <c r="AL38" s="465"/>
      <c r="AM38" s="465"/>
      <c r="AN38" s="465"/>
      <c r="AO38" s="465"/>
      <c r="AP38" s="465"/>
      <c r="AQ38" s="465"/>
      <c r="AR38" s="465"/>
      <c r="AS38" s="465"/>
      <c r="AT38" s="465"/>
      <c r="AU38" s="465"/>
      <c r="AV38" s="465"/>
      <c r="AW38" s="465"/>
      <c r="AX38" s="465"/>
      <c r="AY38" s="465"/>
      <c r="AZ38" s="465"/>
      <c r="BA38" s="465"/>
      <c r="BB38" s="465"/>
      <c r="BC38" s="473"/>
      <c r="BG38" s="489"/>
      <c r="BH38" s="489"/>
      <c r="BI38" s="489"/>
      <c r="BJ38" s="489"/>
      <c r="BK38" s="489"/>
      <c r="BL38" s="489"/>
      <c r="BM38" s="489"/>
      <c r="BN38" s="489"/>
      <c r="BO38" s="489"/>
      <c r="BP38" s="1892" t="s">
        <v>88</v>
      </c>
      <c r="BQ38" s="1093"/>
      <c r="BR38" s="1093"/>
      <c r="BS38" s="1093"/>
      <c r="BT38" s="1093"/>
      <c r="BU38" s="1093"/>
      <c r="BV38" s="1093"/>
      <c r="BW38" s="1093"/>
      <c r="BX38" s="1093"/>
      <c r="BY38" s="1093"/>
      <c r="BZ38" s="1093"/>
      <c r="CA38" s="1093"/>
      <c r="CB38" s="1093"/>
      <c r="CC38" s="1093"/>
      <c r="CD38" s="1093"/>
      <c r="CE38" s="1093"/>
      <c r="CF38" s="1093"/>
      <c r="CG38" s="1093"/>
      <c r="CH38" s="1093"/>
      <c r="CI38" s="1093"/>
      <c r="CJ38" s="1101" t="b">
        <f>IF(CO84=25,20)</f>
        <v>0</v>
      </c>
      <c r="CK38" s="1150"/>
      <c r="CL38" s="1150"/>
      <c r="CM38" s="1150"/>
      <c r="CN38" s="1150"/>
      <c r="CO38" s="1150"/>
      <c r="CP38" s="1150"/>
      <c r="CQ38" s="1150"/>
      <c r="CR38" s="1150"/>
      <c r="CS38" s="1150"/>
      <c r="CT38" s="1116" t="b">
        <f>IF(CO84=25,30)</f>
        <v>0</v>
      </c>
    </row>
    <row r="39" spans="5:98" ht="26.25" hidden="1" customHeight="1" thickBot="1" x14ac:dyDescent="0.45">
      <c r="E39" s="490"/>
      <c r="F39" s="490"/>
      <c r="G39" s="490"/>
      <c r="H39" s="465"/>
      <c r="I39" s="465"/>
      <c r="J39" s="465"/>
      <c r="K39" s="465"/>
      <c r="L39" s="465"/>
      <c r="M39" s="465"/>
      <c r="N39" s="465"/>
      <c r="O39" s="465"/>
      <c r="P39" s="465"/>
      <c r="Q39" s="465"/>
      <c r="R39" s="465"/>
      <c r="S39" s="465"/>
      <c r="T39" s="465"/>
      <c r="U39" s="465"/>
      <c r="V39" s="465"/>
      <c r="W39" s="465"/>
      <c r="X39" s="465"/>
      <c r="Y39" s="465"/>
      <c r="Z39" s="465"/>
      <c r="AA39" s="465"/>
      <c r="AB39" s="465"/>
      <c r="AC39" s="465"/>
      <c r="AD39" s="465"/>
      <c r="AE39" s="465"/>
      <c r="AF39" s="465"/>
      <c r="AG39" s="465"/>
      <c r="AH39" s="465"/>
      <c r="AI39" s="465"/>
      <c r="AJ39" s="465"/>
      <c r="AK39" s="465"/>
      <c r="AL39" s="465"/>
      <c r="AM39" s="465"/>
      <c r="AN39" s="465"/>
      <c r="AO39" s="465"/>
      <c r="AP39" s="465"/>
      <c r="AQ39" s="465"/>
      <c r="AR39" s="465"/>
      <c r="AS39" s="465"/>
      <c r="AT39" s="465"/>
      <c r="AU39" s="465"/>
      <c r="AV39" s="465"/>
      <c r="AW39" s="465"/>
      <c r="AX39" s="465"/>
      <c r="AY39" s="465"/>
      <c r="AZ39" s="465"/>
      <c r="BA39" s="465"/>
      <c r="BB39" s="465"/>
      <c r="BC39" s="473"/>
      <c r="BG39" s="489"/>
      <c r="BH39" s="489"/>
      <c r="BI39" s="489"/>
      <c r="BJ39" s="489"/>
      <c r="BK39" s="489"/>
      <c r="BL39" s="489"/>
      <c r="BM39" s="489"/>
      <c r="BN39" s="489"/>
      <c r="BO39" s="489"/>
      <c r="BP39" s="1169" t="s">
        <v>15</v>
      </c>
      <c r="BQ39" s="1093"/>
      <c r="BR39" s="1093"/>
      <c r="BS39" s="1093"/>
      <c r="BT39" s="1093"/>
      <c r="BU39" s="1093"/>
      <c r="BV39" s="1093"/>
      <c r="BW39" s="1093"/>
      <c r="BX39" s="1093"/>
      <c r="BY39" s="1093"/>
      <c r="BZ39" s="1093"/>
      <c r="CA39" s="1093"/>
      <c r="CB39" s="1093"/>
      <c r="CC39" s="1093"/>
      <c r="CD39" s="1093"/>
      <c r="CE39" s="1093"/>
      <c r="CF39" s="1093"/>
      <c r="CG39" s="1093"/>
      <c r="CH39" s="1101" t="b">
        <f>IF(CN84=24,18)</f>
        <v>0</v>
      </c>
      <c r="CI39" s="1150"/>
      <c r="CJ39" s="1150"/>
      <c r="CK39" s="1150"/>
      <c r="CL39" s="1150"/>
      <c r="CM39" s="1150"/>
      <c r="CN39" s="1150"/>
      <c r="CO39" s="1150"/>
      <c r="CP39" s="1150"/>
      <c r="CQ39" s="1150"/>
      <c r="CR39" s="1150"/>
      <c r="CS39" s="1150"/>
      <c r="CT39" s="1116" t="b">
        <f>IF(CN84=24,30)</f>
        <v>0</v>
      </c>
    </row>
    <row r="40" spans="5:98" ht="26.25" hidden="1" customHeight="1" thickBot="1" x14ac:dyDescent="0.45">
      <c r="E40" s="490"/>
      <c r="F40" s="490"/>
      <c r="G40" s="490"/>
      <c r="H40" s="465"/>
      <c r="I40" s="465"/>
      <c r="J40" s="465"/>
      <c r="K40" s="465"/>
      <c r="L40" s="465"/>
      <c r="M40" s="465"/>
      <c r="N40" s="465"/>
      <c r="O40" s="465"/>
      <c r="P40" s="465"/>
      <c r="Q40" s="465"/>
      <c r="R40" s="465"/>
      <c r="S40" s="465"/>
      <c r="T40" s="465"/>
      <c r="U40" s="465"/>
      <c r="V40" s="465"/>
      <c r="W40" s="465"/>
      <c r="X40" s="465"/>
      <c r="Y40" s="465"/>
      <c r="Z40" s="465"/>
      <c r="AA40" s="465"/>
      <c r="AB40" s="465"/>
      <c r="AC40" s="465"/>
      <c r="AD40" s="465"/>
      <c r="AE40" s="465"/>
      <c r="AF40" s="465"/>
      <c r="AG40" s="465"/>
      <c r="AH40" s="465"/>
      <c r="AI40" s="465"/>
      <c r="AJ40" s="465"/>
      <c r="AK40" s="465"/>
      <c r="AL40" s="465"/>
      <c r="AM40" s="465"/>
      <c r="AN40" s="465"/>
      <c r="AO40" s="465"/>
      <c r="AP40" s="465"/>
      <c r="AQ40" s="465"/>
      <c r="AR40" s="465"/>
      <c r="AS40" s="465"/>
      <c r="AT40" s="465"/>
      <c r="AU40" s="465"/>
      <c r="AV40" s="465"/>
      <c r="AW40" s="465"/>
      <c r="AX40" s="465"/>
      <c r="AY40" s="465"/>
      <c r="AZ40" s="465"/>
      <c r="BA40" s="465"/>
      <c r="BB40" s="465"/>
      <c r="BC40" s="473"/>
      <c r="BG40" s="489"/>
      <c r="BH40" s="489"/>
      <c r="BI40" s="489"/>
      <c r="BJ40" s="489"/>
      <c r="BK40" s="489"/>
      <c r="BL40" s="489"/>
      <c r="BM40" s="489"/>
      <c r="BN40" s="489"/>
      <c r="BO40" s="489"/>
      <c r="BP40" s="1169" t="s">
        <v>87</v>
      </c>
      <c r="BQ40" s="1093"/>
      <c r="BR40" s="1093"/>
      <c r="BS40" s="1093"/>
      <c r="BT40" s="1093"/>
      <c r="BU40" s="1093"/>
      <c r="BV40" s="1093"/>
      <c r="BW40" s="1093"/>
      <c r="BX40" s="1093"/>
      <c r="BY40" s="1093"/>
      <c r="BZ40" s="1093"/>
      <c r="CA40" s="1093"/>
      <c r="CB40" s="1093"/>
      <c r="CC40" s="1093"/>
      <c r="CD40" s="1093"/>
      <c r="CE40" s="1093"/>
      <c r="CF40" s="1101" t="b">
        <f>IF(CM84=23,16)</f>
        <v>0</v>
      </c>
      <c r="CG40" s="1150"/>
      <c r="CH40" s="1150"/>
      <c r="CI40" s="1150"/>
      <c r="CJ40" s="1150"/>
      <c r="CK40" s="1150"/>
      <c r="CL40" s="1150"/>
      <c r="CM40" s="1150"/>
      <c r="CN40" s="1150"/>
      <c r="CO40" s="1150"/>
      <c r="CP40" s="1150"/>
      <c r="CQ40" s="1150"/>
      <c r="CR40" s="1150"/>
      <c r="CS40" s="1150"/>
      <c r="CT40" s="1116" t="b">
        <f>IF(CM84=23,30)</f>
        <v>0</v>
      </c>
    </row>
    <row r="41" spans="5:98" ht="26.25" hidden="1" customHeight="1" thickBot="1" x14ac:dyDescent="0.45">
      <c r="E41" s="490"/>
      <c r="F41" s="490"/>
      <c r="G41" s="490"/>
      <c r="H41" s="465"/>
      <c r="I41" s="465"/>
      <c r="J41" s="465"/>
      <c r="K41" s="465"/>
      <c r="L41" s="465"/>
      <c r="M41" s="465"/>
      <c r="N41" s="465"/>
      <c r="O41" s="465"/>
      <c r="P41" s="465"/>
      <c r="Q41" s="465"/>
      <c r="R41" s="465"/>
      <c r="S41" s="465"/>
      <c r="T41" s="465"/>
      <c r="U41" s="465"/>
      <c r="V41" s="465"/>
      <c r="W41" s="465"/>
      <c r="X41" s="465"/>
      <c r="Y41" s="465"/>
      <c r="Z41" s="465"/>
      <c r="AA41" s="465"/>
      <c r="AB41" s="465"/>
      <c r="AC41" s="465"/>
      <c r="AD41" s="465"/>
      <c r="AE41" s="465"/>
      <c r="AF41" s="465"/>
      <c r="AG41" s="465"/>
      <c r="AH41" s="465"/>
      <c r="AI41" s="465"/>
      <c r="AJ41" s="465"/>
      <c r="AK41" s="465"/>
      <c r="AL41" s="465"/>
      <c r="AM41" s="465"/>
      <c r="AN41" s="465"/>
      <c r="AO41" s="465"/>
      <c r="AP41" s="465"/>
      <c r="AQ41" s="465"/>
      <c r="AR41" s="465"/>
      <c r="AS41" s="465"/>
      <c r="AT41" s="465"/>
      <c r="AU41" s="465"/>
      <c r="AV41" s="465"/>
      <c r="AW41" s="465"/>
      <c r="AX41" s="465"/>
      <c r="AY41" s="465"/>
      <c r="AZ41" s="465"/>
      <c r="BA41" s="465"/>
      <c r="BB41" s="465"/>
      <c r="BC41" s="473"/>
      <c r="BG41" s="489"/>
      <c r="BH41" s="489"/>
      <c r="BI41" s="489"/>
      <c r="BJ41" s="489"/>
      <c r="BK41" s="489"/>
      <c r="BL41" s="489"/>
      <c r="BM41" s="489"/>
      <c r="BN41" s="489"/>
      <c r="BO41" s="489"/>
      <c r="BP41" s="1169">
        <v>12</v>
      </c>
      <c r="BQ41" s="1096"/>
      <c r="BR41" s="1096"/>
      <c r="BS41" s="1096"/>
      <c r="BT41" s="1096"/>
      <c r="BU41" s="1096"/>
      <c r="BV41" s="1096"/>
      <c r="BW41" s="1096"/>
      <c r="BX41" s="1096"/>
      <c r="BY41" s="1096"/>
      <c r="BZ41" s="1096"/>
      <c r="CA41" s="1096"/>
      <c r="CB41" s="1096"/>
      <c r="CC41" s="1096"/>
      <c r="CD41" s="1096"/>
      <c r="CE41" s="1096"/>
      <c r="CF41" s="1115" t="b">
        <f>IF(CL84=22,16)</f>
        <v>0</v>
      </c>
      <c r="CG41" s="1139"/>
      <c r="CH41" s="1139"/>
      <c r="CI41" s="1139"/>
      <c r="CJ41" s="1139"/>
      <c r="CK41" s="1139"/>
      <c r="CL41" s="1139"/>
      <c r="CM41" s="1139"/>
      <c r="CN41" s="1139"/>
      <c r="CO41" s="1126"/>
      <c r="CP41" s="1126"/>
      <c r="CQ41" s="1113" t="b">
        <f>IF(CL84=22,27)</f>
        <v>0</v>
      </c>
      <c r="CR41" s="1093"/>
      <c r="CS41" s="1093"/>
      <c r="CT41" s="1093"/>
    </row>
    <row r="42" spans="5:98" ht="26.25" hidden="1" customHeight="1" thickBot="1" x14ac:dyDescent="0.45">
      <c r="E42" s="490"/>
      <c r="F42" s="490"/>
      <c r="G42" s="490"/>
      <c r="H42" s="465"/>
      <c r="I42" s="465"/>
      <c r="J42" s="465"/>
      <c r="K42" s="465"/>
      <c r="L42" s="465"/>
      <c r="M42" s="465"/>
      <c r="N42" s="465"/>
      <c r="O42" s="465"/>
      <c r="P42" s="465"/>
      <c r="Q42" s="465"/>
      <c r="R42" s="465"/>
      <c r="S42" s="465"/>
      <c r="T42" s="465"/>
      <c r="U42" s="465"/>
      <c r="V42" s="465"/>
      <c r="W42" s="465"/>
      <c r="X42" s="465"/>
      <c r="Y42" s="465"/>
      <c r="Z42" s="465"/>
      <c r="AA42" s="465"/>
      <c r="AB42" s="465"/>
      <c r="AC42" s="465"/>
      <c r="AD42" s="465"/>
      <c r="AE42" s="465"/>
      <c r="AF42" s="465"/>
      <c r="AG42" s="465"/>
      <c r="AH42" s="465"/>
      <c r="AI42" s="465"/>
      <c r="AJ42" s="465"/>
      <c r="AK42" s="465"/>
      <c r="AL42" s="465"/>
      <c r="AM42" s="465"/>
      <c r="AN42" s="465"/>
      <c r="AO42" s="465"/>
      <c r="AP42" s="465"/>
      <c r="AQ42" s="465"/>
      <c r="AR42" s="465"/>
      <c r="AS42" s="465"/>
      <c r="AT42" s="465"/>
      <c r="AU42" s="465"/>
      <c r="AV42" s="465"/>
      <c r="AW42" s="465"/>
      <c r="AX42" s="465"/>
      <c r="AY42" s="465"/>
      <c r="AZ42" s="465"/>
      <c r="BA42" s="465"/>
      <c r="BB42" s="465"/>
      <c r="BC42" s="473"/>
      <c r="BG42" s="489"/>
      <c r="BH42" s="489"/>
      <c r="BI42" s="489"/>
      <c r="BJ42" s="489"/>
      <c r="BK42" s="489"/>
      <c r="BL42" s="489"/>
      <c r="BM42" s="489"/>
      <c r="BN42" s="489"/>
      <c r="BO42" s="489"/>
      <c r="BP42" s="1169">
        <v>11</v>
      </c>
      <c r="BQ42" s="1093"/>
      <c r="BR42" s="1093"/>
      <c r="BS42" s="1093"/>
      <c r="BT42" s="1093"/>
      <c r="BU42" s="1093"/>
      <c r="BV42" s="1093"/>
      <c r="BW42" s="1093"/>
      <c r="BX42" s="1093"/>
      <c r="BY42" s="1093"/>
      <c r="BZ42" s="1093"/>
      <c r="CA42" s="1093"/>
      <c r="CB42" s="1101" t="b">
        <f>IF(CK84=21,12)</f>
        <v>0</v>
      </c>
      <c r="CC42" s="1150"/>
      <c r="CD42" s="1150"/>
      <c r="CE42" s="1150"/>
      <c r="CF42" s="1150"/>
      <c r="CG42" s="1150"/>
      <c r="CH42" s="1150"/>
      <c r="CI42" s="1150"/>
      <c r="CJ42" s="1150"/>
      <c r="CK42" s="1150"/>
      <c r="CL42" s="1150"/>
      <c r="CM42" s="1150"/>
      <c r="CN42" s="1150"/>
      <c r="CO42" s="1150"/>
      <c r="CP42" s="1150"/>
      <c r="CQ42" s="1150"/>
      <c r="CR42" s="1150"/>
      <c r="CS42" s="1150"/>
      <c r="CT42" s="1116" t="b">
        <f>IF(CK84=21,30)</f>
        <v>0</v>
      </c>
    </row>
    <row r="43" spans="5:98" ht="26.25" hidden="1" customHeight="1" thickBot="1" x14ac:dyDescent="0.45">
      <c r="E43" s="490"/>
      <c r="F43" s="490"/>
      <c r="G43" s="490"/>
      <c r="H43" s="465"/>
      <c r="I43" s="465"/>
      <c r="J43" s="465"/>
      <c r="K43" s="465"/>
      <c r="L43" s="465"/>
      <c r="M43" s="465"/>
      <c r="N43" s="465"/>
      <c r="O43" s="465"/>
      <c r="P43" s="465"/>
      <c r="Q43" s="465"/>
      <c r="R43" s="465"/>
      <c r="S43" s="465"/>
      <c r="T43" s="465"/>
      <c r="U43" s="465"/>
      <c r="V43" s="465"/>
      <c r="W43" s="465"/>
      <c r="X43" s="465"/>
      <c r="Y43" s="465"/>
      <c r="Z43" s="465"/>
      <c r="AA43" s="465"/>
      <c r="AB43" s="465"/>
      <c r="AC43" s="465"/>
      <c r="AD43" s="465"/>
      <c r="AE43" s="465"/>
      <c r="AF43" s="465"/>
      <c r="AG43" s="465"/>
      <c r="AH43" s="465"/>
      <c r="AI43" s="465"/>
      <c r="AJ43" s="465"/>
      <c r="AK43" s="465"/>
      <c r="AL43" s="465"/>
      <c r="AM43" s="465"/>
      <c r="AN43" s="465"/>
      <c r="AO43" s="465"/>
      <c r="AP43" s="465"/>
      <c r="AQ43" s="465"/>
      <c r="AR43" s="465"/>
      <c r="AS43" s="465"/>
      <c r="AT43" s="465"/>
      <c r="AU43" s="465"/>
      <c r="AV43" s="465"/>
      <c r="AW43" s="465"/>
      <c r="AX43" s="465"/>
      <c r="AY43" s="465"/>
      <c r="AZ43" s="465"/>
      <c r="BA43" s="465"/>
      <c r="BB43" s="465"/>
      <c r="BC43" s="473"/>
      <c r="BG43" s="489"/>
      <c r="BH43" s="489"/>
      <c r="BI43" s="489"/>
      <c r="BJ43" s="489"/>
      <c r="BK43" s="489"/>
      <c r="BL43" s="489"/>
      <c r="BM43" s="489"/>
      <c r="BN43" s="489"/>
      <c r="BO43" s="489"/>
      <c r="BP43" s="1169">
        <v>10</v>
      </c>
      <c r="BQ43" s="1093"/>
      <c r="BR43" s="1093"/>
      <c r="BS43" s="1093"/>
      <c r="BT43" s="1093"/>
      <c r="BU43" s="1093"/>
      <c r="BV43" s="1093"/>
      <c r="BW43" s="1093"/>
      <c r="BX43" s="1093"/>
      <c r="BZ43" s="1101" t="b">
        <f>IF(CJ84=20,10)</f>
        <v>0</v>
      </c>
      <c r="CA43" s="1150"/>
      <c r="CB43" s="1150"/>
      <c r="CC43" s="1150"/>
      <c r="CD43" s="1150"/>
      <c r="CE43" s="1150"/>
      <c r="CF43" s="1150"/>
      <c r="CG43" s="1150"/>
      <c r="CH43" s="1150"/>
      <c r="CI43" s="1150"/>
      <c r="CJ43" s="1150"/>
      <c r="CK43" s="1150"/>
      <c r="CL43" s="1150"/>
      <c r="CM43" s="1150"/>
      <c r="CN43" s="1150"/>
      <c r="CO43" s="1150"/>
      <c r="CP43" s="1150"/>
      <c r="CQ43" s="1150"/>
      <c r="CR43" s="1150"/>
      <c r="CS43" s="1150"/>
      <c r="CT43" s="1116" t="b">
        <f>IF(CJ84=20,30)</f>
        <v>0</v>
      </c>
    </row>
    <row r="44" spans="5:98" ht="26.25" hidden="1" customHeight="1" thickBot="1" x14ac:dyDescent="0.45">
      <c r="E44" s="490"/>
      <c r="F44" s="490"/>
      <c r="G44" s="490"/>
      <c r="H44" s="465"/>
      <c r="I44" s="465"/>
      <c r="J44" s="465"/>
      <c r="K44" s="465"/>
      <c r="L44" s="465"/>
      <c r="M44" s="465"/>
      <c r="N44" s="465"/>
      <c r="O44" s="465"/>
      <c r="P44" s="465"/>
      <c r="Q44" s="465"/>
      <c r="R44" s="465"/>
      <c r="S44" s="465"/>
      <c r="T44" s="465"/>
      <c r="U44" s="465"/>
      <c r="V44" s="465"/>
      <c r="W44" s="465"/>
      <c r="X44" s="465"/>
      <c r="Y44" s="465"/>
      <c r="Z44" s="465"/>
      <c r="AA44" s="465"/>
      <c r="AB44" s="465"/>
      <c r="AC44" s="465"/>
      <c r="AD44" s="465"/>
      <c r="AE44" s="465"/>
      <c r="AF44" s="465"/>
      <c r="AG44" s="465"/>
      <c r="AH44" s="465"/>
      <c r="AI44" s="465"/>
      <c r="AJ44" s="465"/>
      <c r="AK44" s="465"/>
      <c r="AL44" s="465"/>
      <c r="AM44" s="465"/>
      <c r="AN44" s="465"/>
      <c r="AO44" s="465"/>
      <c r="AP44" s="465"/>
      <c r="AQ44" s="465"/>
      <c r="AR44" s="465"/>
      <c r="AS44" s="465"/>
      <c r="AT44" s="465"/>
      <c r="AU44" s="465"/>
      <c r="AV44" s="465"/>
      <c r="AW44" s="465"/>
      <c r="AX44" s="465"/>
      <c r="AY44" s="465"/>
      <c r="AZ44" s="465"/>
      <c r="BA44" s="465"/>
      <c r="BB44" s="465"/>
      <c r="BC44" s="473"/>
      <c r="BG44" s="489"/>
      <c r="BH44" s="489"/>
      <c r="BI44" s="489"/>
      <c r="BJ44" s="489"/>
      <c r="BK44" s="489"/>
      <c r="BL44" s="489"/>
      <c r="BM44" s="489"/>
      <c r="BN44" s="489"/>
      <c r="BO44" s="489"/>
      <c r="BP44" s="1169">
        <v>9</v>
      </c>
      <c r="BQ44" s="1093"/>
      <c r="BR44" s="1093"/>
      <c r="BS44" s="1093"/>
      <c r="BT44" s="1093"/>
      <c r="BU44" s="1093"/>
      <c r="BV44" s="1093"/>
      <c r="BW44" s="1093"/>
      <c r="BX44" s="1093"/>
      <c r="BY44" s="1101" t="b">
        <f>IF(CI84=19,9)</f>
        <v>0</v>
      </c>
      <c r="BZ44" s="1142"/>
      <c r="CA44" s="1142"/>
      <c r="CB44" s="1142"/>
      <c r="CC44" s="1142"/>
      <c r="CD44" s="1142"/>
      <c r="CE44" s="1118"/>
      <c r="CF44" s="1142"/>
      <c r="CG44" s="1142"/>
      <c r="CH44" s="1142"/>
      <c r="CI44" s="1142"/>
      <c r="CJ44" s="1142"/>
      <c r="CK44" s="1118"/>
      <c r="CL44" s="1142"/>
      <c r="CM44" s="1142"/>
      <c r="CN44" s="1142"/>
      <c r="CO44" s="1150"/>
      <c r="CP44" s="1150"/>
      <c r="CQ44" s="1118"/>
      <c r="CR44" s="1150"/>
      <c r="CS44" s="1116" t="b">
        <f>IF(CI84=19,29)</f>
        <v>0</v>
      </c>
      <c r="CT44" s="1093"/>
    </row>
    <row r="45" spans="5:98" ht="26.25" hidden="1" customHeight="1" thickBot="1" x14ac:dyDescent="0.45">
      <c r="E45" s="490"/>
      <c r="F45" s="490"/>
      <c r="G45" s="490"/>
      <c r="H45" s="465"/>
      <c r="I45" s="465"/>
      <c r="J45" s="465"/>
      <c r="K45" s="465"/>
      <c r="L45" s="465"/>
      <c r="M45" s="465"/>
      <c r="N45" s="465"/>
      <c r="O45" s="465"/>
      <c r="P45" s="465"/>
      <c r="Q45" s="465"/>
      <c r="R45" s="465"/>
      <c r="S45" s="465"/>
      <c r="AF45" s="465"/>
      <c r="AG45" s="465"/>
      <c r="AH45" s="465"/>
      <c r="AI45" s="465"/>
      <c r="AJ45" s="465"/>
      <c r="AK45" s="465"/>
      <c r="AL45" s="465"/>
      <c r="AM45" s="465"/>
      <c r="AN45" s="465"/>
      <c r="AO45" s="465"/>
      <c r="AP45" s="465"/>
      <c r="AQ45" s="465"/>
      <c r="AR45" s="465"/>
      <c r="AS45" s="465"/>
      <c r="AT45" s="465"/>
      <c r="AU45" s="465"/>
      <c r="AV45" s="465"/>
      <c r="AW45" s="465"/>
      <c r="AX45" s="465"/>
      <c r="AY45" s="465"/>
      <c r="AZ45" s="465"/>
      <c r="BA45" s="465"/>
      <c r="BB45" s="465"/>
      <c r="BC45" s="473"/>
      <c r="BG45" s="489"/>
      <c r="BH45" s="489"/>
      <c r="BI45" s="489"/>
      <c r="BJ45" s="489"/>
      <c r="BK45" s="489"/>
      <c r="BL45" s="489"/>
      <c r="BM45" s="489"/>
      <c r="BN45" s="489"/>
      <c r="BO45" s="489"/>
      <c r="BP45" s="1169">
        <v>8</v>
      </c>
      <c r="BQ45" s="1096"/>
      <c r="BR45" s="1096"/>
      <c r="BS45" s="1096"/>
      <c r="BT45" s="1096"/>
      <c r="BU45" s="1096"/>
      <c r="BV45" s="1096"/>
      <c r="BW45" s="1096"/>
      <c r="BX45" s="1096"/>
      <c r="BY45" s="1115" t="b">
        <f>IF(CH84=18,9)</f>
        <v>0</v>
      </c>
      <c r="BZ45" s="1139"/>
      <c r="CA45" s="1139"/>
      <c r="CB45" s="1139"/>
      <c r="CC45" s="1139"/>
      <c r="CD45" s="1139"/>
      <c r="CE45" s="586"/>
      <c r="CF45" s="1139"/>
      <c r="CG45" s="1139"/>
      <c r="CH45" s="1139"/>
      <c r="CI45" s="1139"/>
      <c r="CJ45" s="1139"/>
      <c r="CK45" s="586"/>
      <c r="CL45" s="1139"/>
      <c r="CM45" s="1139"/>
      <c r="CN45" s="1139"/>
      <c r="CO45" s="1126"/>
      <c r="CP45" s="1126"/>
      <c r="CQ45" s="1113" t="b">
        <f>IF(CH84=18,27)</f>
        <v>0</v>
      </c>
      <c r="CR45" s="1093"/>
      <c r="CS45" s="1093"/>
      <c r="CT45" s="1093"/>
    </row>
    <row r="46" spans="5:98" ht="26.25" hidden="1" customHeight="1" thickBot="1" x14ac:dyDescent="0.45">
      <c r="E46" s="490"/>
      <c r="F46" s="490"/>
      <c r="G46" s="490"/>
      <c r="H46" s="465"/>
      <c r="I46" s="465"/>
      <c r="J46" s="465"/>
      <c r="K46" s="465"/>
      <c r="L46" s="465"/>
      <c r="M46" s="465"/>
      <c r="N46" s="465"/>
      <c r="O46" s="465"/>
      <c r="P46" s="465"/>
      <c r="Q46" s="465"/>
      <c r="R46" s="465"/>
      <c r="S46" s="465"/>
      <c r="AF46" s="465"/>
      <c r="AG46" s="465"/>
      <c r="AH46" s="465"/>
      <c r="AI46" s="465"/>
      <c r="AJ46" s="465"/>
      <c r="AK46" s="465"/>
      <c r="AL46" s="465"/>
      <c r="AM46" s="465"/>
      <c r="AN46" s="465"/>
      <c r="AO46" s="465"/>
      <c r="AP46" s="465"/>
      <c r="AQ46" s="465"/>
      <c r="AR46" s="465"/>
      <c r="AS46" s="465"/>
      <c r="AT46" s="465"/>
      <c r="AU46" s="465"/>
      <c r="AV46" s="465"/>
      <c r="AW46" s="465"/>
      <c r="AX46" s="465"/>
      <c r="AY46" s="465"/>
      <c r="AZ46" s="465"/>
      <c r="BA46" s="465"/>
      <c r="BB46" s="465"/>
      <c r="BC46" s="473"/>
      <c r="BG46" s="489"/>
      <c r="BH46" s="489"/>
      <c r="BI46" s="489"/>
      <c r="BJ46" s="489"/>
      <c r="BK46" s="489"/>
      <c r="BL46" s="489"/>
      <c r="BM46" s="489"/>
      <c r="BN46" s="489"/>
      <c r="BO46" s="489"/>
      <c r="BP46" s="1893">
        <v>7</v>
      </c>
      <c r="BQ46" s="1096"/>
      <c r="BR46" s="1096"/>
      <c r="BS46" s="1096"/>
      <c r="BT46" s="1096"/>
      <c r="BU46" s="1096"/>
      <c r="BV46" s="1096"/>
      <c r="BW46" s="1096"/>
      <c r="BX46" s="1096"/>
      <c r="BY46" s="1115" t="b">
        <f>IF(CG84=17,9)</f>
        <v>0</v>
      </c>
      <c r="BZ46" s="586"/>
      <c r="CA46" s="1139"/>
      <c r="CB46" s="1139"/>
      <c r="CC46" s="1139"/>
      <c r="CD46" s="1139"/>
      <c r="CE46" s="1139"/>
      <c r="CF46" s="1139"/>
      <c r="CG46" s="1139"/>
      <c r="CH46" s="1139"/>
      <c r="CI46" s="1139"/>
      <c r="CJ46" s="1139"/>
      <c r="CK46" s="1139"/>
      <c r="CL46" s="1139"/>
      <c r="CM46" s="1139"/>
      <c r="CN46" s="586"/>
      <c r="CO46" s="1113" t="b">
        <f>IF(CG84=17,25)</f>
        <v>0</v>
      </c>
      <c r="CP46" s="1093"/>
      <c r="CQ46" s="1093"/>
      <c r="CR46" s="1093"/>
      <c r="CS46" s="1093"/>
      <c r="CT46" s="1093"/>
    </row>
    <row r="47" spans="5:98" ht="26.25" hidden="1" customHeight="1" thickBot="1" x14ac:dyDescent="0.45">
      <c r="E47" s="490"/>
      <c r="F47" s="490"/>
      <c r="G47" s="490"/>
      <c r="H47" s="465"/>
      <c r="I47" s="465"/>
      <c r="J47" s="465"/>
      <c r="K47" s="465"/>
      <c r="L47" s="465"/>
      <c r="M47" s="465"/>
      <c r="N47" s="465"/>
      <c r="O47" s="465"/>
      <c r="P47" s="465"/>
      <c r="Q47" s="465"/>
      <c r="R47" s="465"/>
      <c r="S47" s="465"/>
      <c r="AF47" s="465"/>
      <c r="AG47" s="465"/>
      <c r="AH47" s="465"/>
      <c r="AI47" s="465"/>
      <c r="AJ47" s="465"/>
      <c r="AK47" s="465"/>
      <c r="AL47" s="465"/>
      <c r="AM47" s="465"/>
      <c r="AN47" s="465"/>
      <c r="AO47" s="465"/>
      <c r="AP47" s="465"/>
      <c r="AQ47" s="465"/>
      <c r="AR47" s="465"/>
      <c r="AS47" s="465"/>
      <c r="AT47" s="465"/>
      <c r="AU47" s="465"/>
      <c r="AV47" s="465"/>
      <c r="AW47" s="465"/>
      <c r="AX47" s="465"/>
      <c r="AY47" s="465"/>
      <c r="AZ47" s="465"/>
      <c r="BA47" s="465"/>
      <c r="BB47" s="465"/>
      <c r="BC47" s="473"/>
      <c r="BG47" s="489"/>
      <c r="BH47" s="489"/>
      <c r="BI47" s="489"/>
      <c r="BJ47" s="489"/>
      <c r="BK47" s="489"/>
      <c r="BL47" s="489"/>
      <c r="BM47" s="489"/>
      <c r="BN47" s="489"/>
      <c r="BO47" s="489"/>
      <c r="BP47" s="1893">
        <v>6</v>
      </c>
      <c r="BQ47" s="1096"/>
      <c r="BR47" s="1096"/>
      <c r="BS47" s="1096"/>
      <c r="BT47" s="1096"/>
      <c r="BU47" s="1096"/>
      <c r="BV47" s="1096"/>
      <c r="BW47" s="1096"/>
      <c r="BY47" s="1148" t="b">
        <f>IF(CF84=16,9)</f>
        <v>0</v>
      </c>
      <c r="BZ47" s="1096"/>
      <c r="CA47" s="1096"/>
      <c r="CB47" s="1096"/>
      <c r="CC47" s="1096"/>
      <c r="CD47" s="1096"/>
      <c r="CE47" s="1096"/>
      <c r="CF47" s="1096"/>
      <c r="CG47" s="1096"/>
      <c r="CH47" s="1096"/>
      <c r="CI47" s="1096"/>
      <c r="CJ47" s="1096"/>
      <c r="CK47" s="1096"/>
      <c r="CL47" s="1096"/>
      <c r="CM47" s="1113" t="b">
        <f>IF(CF84=16,23)</f>
        <v>0</v>
      </c>
      <c r="CO47" s="1093"/>
      <c r="CP47" s="1093"/>
      <c r="CQ47" s="1093"/>
      <c r="CR47" s="1093"/>
      <c r="CS47" s="1093"/>
      <c r="CT47" s="1093"/>
    </row>
    <row r="48" spans="5:98" ht="26.25" hidden="1" customHeight="1" thickBot="1" x14ac:dyDescent="0.45">
      <c r="E48" s="490"/>
      <c r="F48" s="490"/>
      <c r="G48" s="490"/>
      <c r="H48" s="465"/>
      <c r="I48" s="465"/>
      <c r="J48" s="465"/>
      <c r="K48" s="465"/>
      <c r="L48" s="465"/>
      <c r="M48" s="465"/>
      <c r="N48" s="465"/>
      <c r="O48" s="465"/>
      <c r="P48" s="465"/>
      <c r="Q48" s="465"/>
      <c r="R48" s="465"/>
      <c r="S48" s="465"/>
      <c r="AF48" s="465"/>
      <c r="AG48" s="465"/>
      <c r="AH48" s="465"/>
      <c r="AI48" s="465"/>
      <c r="AJ48" s="465"/>
      <c r="AK48" s="465"/>
      <c r="AL48" s="465"/>
      <c r="AM48" s="465"/>
      <c r="AN48" s="465"/>
      <c r="AO48" s="465"/>
      <c r="AP48" s="465"/>
      <c r="AQ48" s="465"/>
      <c r="AR48" s="465"/>
      <c r="AS48" s="465"/>
      <c r="AT48" s="465"/>
      <c r="AU48" s="465"/>
      <c r="AV48" s="465"/>
      <c r="AW48" s="465"/>
      <c r="AX48" s="465"/>
      <c r="AY48" s="465"/>
      <c r="AZ48" s="465"/>
      <c r="BA48" s="465"/>
      <c r="BB48" s="465"/>
      <c r="BC48" s="473"/>
      <c r="BG48" s="489"/>
      <c r="BH48" s="489"/>
      <c r="BI48" s="489"/>
      <c r="BJ48" s="489"/>
      <c r="BK48" s="489"/>
      <c r="BL48" s="489"/>
      <c r="BM48" s="489"/>
      <c r="BN48" s="489"/>
      <c r="BO48" s="489"/>
      <c r="BP48" s="1169" t="s">
        <v>86</v>
      </c>
      <c r="BQ48" s="1096"/>
      <c r="BR48" s="1096"/>
      <c r="BS48" s="1096"/>
      <c r="BT48" s="1096"/>
      <c r="BU48" s="1096"/>
      <c r="BV48" s="1096"/>
      <c r="BW48" s="1096"/>
      <c r="BX48" s="1101" t="b">
        <f>IF(CE84=15,8)</f>
        <v>0</v>
      </c>
      <c r="BY48" s="1142"/>
      <c r="BZ48" s="1142"/>
      <c r="CA48" s="1118"/>
      <c r="CB48" s="1142"/>
      <c r="CC48" s="1142"/>
      <c r="CD48" s="1142"/>
      <c r="CE48" s="1142"/>
      <c r="CF48" s="1142"/>
      <c r="CG48" s="1142"/>
      <c r="CH48" s="1142"/>
      <c r="CI48" s="1118"/>
      <c r="CJ48" s="1142"/>
      <c r="CK48" s="1142"/>
      <c r="CL48" s="1116" t="b">
        <f>IF(CE84=15,22)</f>
        <v>0</v>
      </c>
      <c r="CM48" s="1096"/>
      <c r="CN48" s="1096"/>
      <c r="CO48" s="1093"/>
      <c r="CP48" s="1093"/>
      <c r="CQ48" s="1093"/>
      <c r="CR48" s="1093"/>
      <c r="CS48" s="1093"/>
      <c r="CT48" s="1093"/>
    </row>
    <row r="49" spans="2:98" ht="26.25" hidden="1" customHeight="1" thickBot="1" x14ac:dyDescent="0.45">
      <c r="E49" s="490"/>
      <c r="F49" s="490"/>
      <c r="G49" s="490"/>
      <c r="H49" s="465"/>
      <c r="I49" s="465"/>
      <c r="J49" s="465"/>
      <c r="K49" s="465"/>
      <c r="L49" s="465"/>
      <c r="M49" s="465"/>
      <c r="N49" s="465"/>
      <c r="O49" s="465"/>
      <c r="P49" s="465"/>
      <c r="Q49" s="465"/>
      <c r="R49" s="465"/>
      <c r="S49" s="465"/>
      <c r="AF49" s="465"/>
      <c r="AG49" s="465"/>
      <c r="AH49" s="465"/>
      <c r="AI49" s="465"/>
      <c r="AJ49" s="465"/>
      <c r="AK49" s="465"/>
      <c r="AL49" s="465"/>
      <c r="AM49" s="465"/>
      <c r="AN49" s="465"/>
      <c r="AO49" s="465"/>
      <c r="AP49" s="465"/>
      <c r="AQ49" s="465"/>
      <c r="AR49" s="465"/>
      <c r="AS49" s="465"/>
      <c r="AT49" s="465"/>
      <c r="AU49" s="465"/>
      <c r="AV49" s="465"/>
      <c r="AW49" s="465"/>
      <c r="AX49" s="465"/>
      <c r="AY49" s="465"/>
      <c r="AZ49" s="465"/>
      <c r="BA49" s="465"/>
      <c r="BB49" s="465"/>
      <c r="BC49" s="473"/>
      <c r="BG49" s="489"/>
      <c r="BH49" s="489"/>
      <c r="BI49" s="489"/>
      <c r="BJ49" s="489"/>
      <c r="BK49" s="489"/>
      <c r="BL49" s="489"/>
      <c r="BM49" s="489"/>
      <c r="BN49" s="489"/>
      <c r="BO49" s="489"/>
      <c r="BP49" s="1169" t="s">
        <v>85</v>
      </c>
      <c r="BQ49" s="1096"/>
      <c r="BR49" s="1096"/>
      <c r="BS49" s="1096"/>
      <c r="BT49" s="1096"/>
      <c r="BU49" s="1096"/>
      <c r="BV49" s="1101" t="b">
        <f>IF(CD84=14,6)</f>
        <v>0</v>
      </c>
      <c r="BW49" s="1142"/>
      <c r="BX49" s="1142"/>
      <c r="BY49" s="1118"/>
      <c r="BZ49" s="1142"/>
      <c r="CA49" s="1142"/>
      <c r="CB49" s="1142"/>
      <c r="CC49" s="1142"/>
      <c r="CD49" s="1142"/>
      <c r="CE49" s="1142"/>
      <c r="CF49" s="1142"/>
      <c r="CG49" s="1142"/>
      <c r="CH49" s="1142"/>
      <c r="CI49" s="1118"/>
      <c r="CJ49" s="1142"/>
      <c r="CK49" s="1142"/>
      <c r="CL49" s="1116" t="b">
        <f>IF(CD84=14,22)</f>
        <v>0</v>
      </c>
      <c r="CM49" s="1096"/>
      <c r="CN49" s="1096"/>
      <c r="CO49" s="1093"/>
      <c r="CP49" s="1093"/>
      <c r="CQ49" s="1093"/>
      <c r="CR49" s="1093"/>
      <c r="CS49" s="1093"/>
      <c r="CT49" s="1093"/>
    </row>
    <row r="50" spans="2:98" ht="21.6" hidden="1" thickBot="1" x14ac:dyDescent="0.45">
      <c r="E50" s="490"/>
      <c r="F50" s="490"/>
      <c r="G50" s="490"/>
      <c r="H50" s="465"/>
      <c r="I50" s="465"/>
      <c r="J50" s="465"/>
      <c r="K50" s="465"/>
      <c r="L50" s="465"/>
      <c r="M50" s="465"/>
      <c r="N50" s="465"/>
      <c r="O50" s="465"/>
      <c r="P50" s="465"/>
      <c r="Q50" s="465"/>
      <c r="R50" s="465"/>
      <c r="S50" s="465"/>
      <c r="T50" s="465"/>
      <c r="U50" s="493"/>
      <c r="V50" s="465"/>
      <c r="W50" s="465"/>
      <c r="X50" s="465"/>
      <c r="Y50" s="465"/>
      <c r="Z50" s="465"/>
      <c r="AA50" s="465"/>
      <c r="AB50" s="493"/>
      <c r="AC50" s="493"/>
      <c r="AD50" s="493"/>
      <c r="AE50" s="493"/>
      <c r="AF50" s="465"/>
      <c r="AG50" s="465"/>
      <c r="AH50" s="465"/>
      <c r="AI50" s="465"/>
      <c r="AJ50" s="465"/>
      <c r="AK50" s="465"/>
      <c r="AL50" s="465"/>
      <c r="AM50" s="465"/>
      <c r="AN50" s="465"/>
      <c r="AO50" s="465"/>
      <c r="AP50" s="465"/>
      <c r="AQ50" s="465"/>
      <c r="AR50" s="465"/>
      <c r="AS50" s="465"/>
      <c r="AT50" s="465"/>
      <c r="AU50" s="465"/>
      <c r="AV50" s="465"/>
      <c r="AW50" s="465"/>
      <c r="AX50" s="465"/>
      <c r="AY50" s="465"/>
      <c r="AZ50" s="465"/>
      <c r="BA50" s="465"/>
      <c r="BB50" s="465"/>
      <c r="BC50" s="473"/>
      <c r="BG50" s="489"/>
      <c r="BH50" s="489"/>
      <c r="BI50" s="489"/>
      <c r="BJ50" s="489"/>
      <c r="BK50" s="489"/>
      <c r="BL50" s="489"/>
      <c r="BM50" s="489"/>
      <c r="BN50" s="489"/>
      <c r="BO50" s="489"/>
      <c r="BP50" s="1169">
        <v>5</v>
      </c>
      <c r="BQ50" s="1096"/>
      <c r="BR50" s="1096"/>
      <c r="BS50" s="1096"/>
      <c r="BT50" s="1101" t="b">
        <f>IF(CC84=13,4)</f>
        <v>0</v>
      </c>
      <c r="BU50" s="1142"/>
      <c r="BV50" s="1142"/>
      <c r="BW50" s="1118"/>
      <c r="BX50" s="1142"/>
      <c r="BY50" s="1142"/>
      <c r="BZ50" s="1142"/>
      <c r="CA50" s="1142"/>
      <c r="CB50" s="1142"/>
      <c r="CC50" s="1142"/>
      <c r="CD50" s="1142"/>
      <c r="CE50" s="1142"/>
      <c r="CF50" s="1142"/>
      <c r="CG50" s="1142"/>
      <c r="CH50" s="1142"/>
      <c r="CI50" s="1118"/>
      <c r="CJ50" s="1142"/>
      <c r="CK50" s="1142"/>
      <c r="CL50" s="1116" t="b">
        <f>IF(CC84=13,22)</f>
        <v>0</v>
      </c>
      <c r="CM50" s="1096"/>
      <c r="CN50" s="1096"/>
      <c r="CO50" s="1093"/>
      <c r="CP50" s="1093"/>
      <c r="CQ50" s="1093"/>
      <c r="CR50" s="1093"/>
      <c r="CS50" s="1093"/>
      <c r="CT50" s="1093"/>
    </row>
    <row r="51" spans="2:98" ht="21.6" hidden="1" thickBot="1" x14ac:dyDescent="0.45">
      <c r="E51" s="490"/>
      <c r="F51" s="490"/>
      <c r="G51" s="490"/>
      <c r="H51" s="465"/>
      <c r="I51" s="465"/>
      <c r="J51" s="465"/>
      <c r="K51" s="465"/>
      <c r="L51" s="465"/>
      <c r="M51" s="465"/>
      <c r="N51" s="465"/>
      <c r="O51" s="465"/>
      <c r="P51" s="465"/>
      <c r="Q51" s="465"/>
      <c r="R51" s="465"/>
      <c r="S51" s="1214"/>
      <c r="T51" s="471"/>
      <c r="U51" s="471"/>
      <c r="AF51" s="465"/>
      <c r="AG51" s="465"/>
      <c r="AH51" s="465"/>
      <c r="AI51" s="465"/>
      <c r="AJ51" s="465"/>
      <c r="AK51" s="465"/>
      <c r="AL51" s="465"/>
      <c r="AM51" s="465"/>
      <c r="AN51" s="465"/>
      <c r="AO51" s="465"/>
      <c r="AP51" s="465"/>
      <c r="AQ51" s="465"/>
      <c r="AR51" s="465"/>
      <c r="AS51" s="465"/>
      <c r="AT51" s="465"/>
      <c r="AU51" s="465"/>
      <c r="AV51" s="465"/>
      <c r="AW51" s="465"/>
      <c r="AX51" s="465"/>
      <c r="AY51" s="465"/>
      <c r="AZ51" s="465"/>
      <c r="BA51" s="465"/>
      <c r="BB51" s="465"/>
      <c r="BC51" s="473"/>
      <c r="BG51" s="489"/>
      <c r="BH51" s="489"/>
      <c r="BI51" s="489"/>
      <c r="BJ51" s="489"/>
      <c r="BK51" s="489"/>
      <c r="BL51" s="489"/>
      <c r="BM51" s="489"/>
      <c r="BN51" s="489"/>
      <c r="BO51" s="489"/>
      <c r="BP51" s="1169">
        <v>4</v>
      </c>
      <c r="BQ51" s="1096"/>
      <c r="BR51" s="1101" t="b">
        <f>IF(CB84=12,2)</f>
        <v>0</v>
      </c>
      <c r="BS51" s="1142"/>
      <c r="BT51" s="1142"/>
      <c r="BU51" s="1118"/>
      <c r="BV51" s="1142"/>
      <c r="BW51" s="1142"/>
      <c r="BX51" s="1142"/>
      <c r="BY51" s="1142"/>
      <c r="BZ51" s="1142"/>
      <c r="CA51" s="1142"/>
      <c r="CB51" s="1142"/>
      <c r="CC51" s="1142"/>
      <c r="CD51" s="1142"/>
      <c r="CE51" s="1142"/>
      <c r="CF51" s="1142"/>
      <c r="CG51" s="1142"/>
      <c r="CH51" s="1142"/>
      <c r="CI51" s="1118"/>
      <c r="CJ51" s="1142"/>
      <c r="CK51" s="1142"/>
      <c r="CL51" s="1116" t="b">
        <f>IF(CB84=12,22)</f>
        <v>0</v>
      </c>
      <c r="CM51" s="1096"/>
      <c r="CN51" s="1096"/>
      <c r="CO51" s="1093"/>
      <c r="CP51" s="1093"/>
      <c r="CQ51" s="1093"/>
      <c r="CR51" s="1093"/>
      <c r="CS51" s="1093"/>
      <c r="CT51" s="1093"/>
    </row>
    <row r="52" spans="2:98" ht="21.6" hidden="1" thickBot="1" x14ac:dyDescent="0.45">
      <c r="E52" s="490"/>
      <c r="F52" s="490"/>
      <c r="G52" s="490"/>
      <c r="H52" s="465"/>
      <c r="I52" s="465"/>
      <c r="J52" s="465"/>
      <c r="K52" s="465"/>
      <c r="L52" s="465"/>
      <c r="M52" s="465"/>
      <c r="N52" s="465"/>
      <c r="O52" s="465"/>
      <c r="P52" s="465"/>
      <c r="Q52" s="465"/>
      <c r="R52" s="465"/>
      <c r="S52" s="1214"/>
      <c r="T52" s="1227"/>
      <c r="U52" s="471"/>
      <c r="AF52" s="465"/>
      <c r="AG52" s="465"/>
      <c r="AH52" s="465"/>
      <c r="AI52" s="465"/>
      <c r="AJ52" s="465"/>
      <c r="AK52" s="465"/>
      <c r="AL52" s="465"/>
      <c r="AM52" s="465"/>
      <c r="AN52" s="465"/>
      <c r="AO52" s="465"/>
      <c r="AP52" s="465"/>
      <c r="AQ52" s="465"/>
      <c r="AR52" s="465"/>
      <c r="AS52" s="465"/>
      <c r="AT52" s="465"/>
      <c r="AU52" s="465"/>
      <c r="AV52" s="465"/>
      <c r="AW52" s="465"/>
      <c r="AX52" s="465"/>
      <c r="AY52" s="465"/>
      <c r="AZ52" s="465"/>
      <c r="BA52" s="465"/>
      <c r="BB52" s="465"/>
      <c r="BC52" s="473"/>
      <c r="BG52" s="489"/>
      <c r="BH52" s="489"/>
      <c r="BI52" s="489"/>
      <c r="BJ52" s="489"/>
      <c r="BK52" s="489"/>
      <c r="BL52" s="489"/>
      <c r="BM52" s="489"/>
      <c r="BN52" s="489"/>
      <c r="BO52" s="489"/>
      <c r="BP52" s="1169">
        <v>3</v>
      </c>
      <c r="BQ52" s="1101">
        <f>IF(CA84=11,1)</f>
        <v>1</v>
      </c>
      <c r="BR52" s="1139"/>
      <c r="BS52" s="586"/>
      <c r="BT52" s="1139"/>
      <c r="BU52" s="1139"/>
      <c r="BV52" s="1139"/>
      <c r="BW52" s="1139"/>
      <c r="BX52" s="1139"/>
      <c r="BY52" s="1139"/>
      <c r="BZ52" s="1139"/>
      <c r="CA52" s="1139"/>
      <c r="CB52" s="1139"/>
      <c r="CC52" s="1139"/>
      <c r="CD52" s="1139"/>
      <c r="CE52" s="1139"/>
      <c r="CF52" s="1139"/>
      <c r="CG52" s="1139"/>
      <c r="CH52" s="1139"/>
      <c r="CI52" s="586"/>
      <c r="CJ52" s="1139"/>
      <c r="CK52" s="1113">
        <f>IF(CA84=11,21)</f>
        <v>21</v>
      </c>
      <c r="CL52" s="1096"/>
      <c r="CM52" s="1096"/>
      <c r="CN52" s="1096"/>
      <c r="CO52" s="1093"/>
      <c r="CP52" s="1093"/>
      <c r="CQ52" s="1093"/>
      <c r="CR52" s="1093"/>
      <c r="CS52" s="1093"/>
      <c r="CT52" s="1093"/>
    </row>
    <row r="53" spans="2:98" ht="21.6" hidden="1" thickBot="1" x14ac:dyDescent="0.45">
      <c r="E53" s="490"/>
      <c r="F53" s="490"/>
      <c r="G53" s="490"/>
      <c r="H53" s="465"/>
      <c r="I53" s="465"/>
      <c r="J53" s="465"/>
      <c r="K53" s="465"/>
      <c r="L53" s="465"/>
      <c r="M53" s="465"/>
      <c r="N53" s="465"/>
      <c r="O53" s="465"/>
      <c r="P53" s="465"/>
      <c r="Q53" s="465"/>
      <c r="R53" s="465"/>
      <c r="S53" s="1214"/>
      <c r="T53" s="1214"/>
      <c r="U53" s="493"/>
      <c r="V53" s="465"/>
      <c r="W53" s="465"/>
      <c r="X53" s="465"/>
      <c r="Y53" s="465"/>
      <c r="Z53" s="465"/>
      <c r="AA53" s="465"/>
      <c r="AB53" s="493"/>
      <c r="AC53" s="493"/>
      <c r="AD53" s="493"/>
      <c r="AE53" s="493"/>
      <c r="AF53" s="465"/>
      <c r="AG53" s="465"/>
      <c r="AH53" s="465"/>
      <c r="AI53" s="465"/>
      <c r="AJ53" s="465"/>
      <c r="AK53" s="465"/>
      <c r="AL53" s="465"/>
      <c r="AM53" s="465"/>
      <c r="AN53" s="465"/>
      <c r="AO53" s="465"/>
      <c r="AP53" s="465"/>
      <c r="AQ53" s="465"/>
      <c r="AR53" s="465"/>
      <c r="AS53" s="465"/>
      <c r="AT53" s="465"/>
      <c r="AU53" s="465"/>
      <c r="AV53" s="465"/>
      <c r="AW53" s="465"/>
      <c r="AX53" s="465"/>
      <c r="AY53" s="465"/>
      <c r="AZ53" s="465"/>
      <c r="BA53" s="465"/>
      <c r="BB53" s="465"/>
      <c r="BC53" s="473"/>
      <c r="BG53" s="489"/>
      <c r="BH53" s="489"/>
      <c r="BI53" s="489"/>
      <c r="BJ53" s="489"/>
      <c r="BK53" s="489"/>
      <c r="BL53" s="489"/>
      <c r="BM53" s="489"/>
      <c r="BN53" s="489"/>
      <c r="BO53" s="489"/>
      <c r="BP53" s="1169">
        <v>2</v>
      </c>
      <c r="BQ53" s="1115" t="b">
        <f>IF(BZ84=10,1)</f>
        <v>0</v>
      </c>
      <c r="BR53" s="1139"/>
      <c r="BS53" s="1139"/>
      <c r="BT53" s="1139"/>
      <c r="BU53" s="1139"/>
      <c r="BV53" s="1139"/>
      <c r="BW53" s="1139"/>
      <c r="BX53" s="1139"/>
      <c r="BY53" s="1139"/>
      <c r="BZ53" s="1139"/>
      <c r="CA53" s="1139"/>
      <c r="CB53" s="1139"/>
      <c r="CC53" s="1139"/>
      <c r="CD53" s="1139"/>
      <c r="CE53" s="1139"/>
      <c r="CF53" s="1139"/>
      <c r="CG53" s="1139"/>
      <c r="CH53" s="1139"/>
      <c r="CI53" s="1113" t="b">
        <f>IF(BZ84=10,19)</f>
        <v>0</v>
      </c>
      <c r="CJ53" s="1096"/>
      <c r="CK53" s="1096"/>
      <c r="CL53" s="1096"/>
      <c r="CM53" s="1096"/>
      <c r="CN53" s="1096"/>
      <c r="CO53" s="1093"/>
      <c r="CP53" s="1093"/>
      <c r="CQ53" s="1093"/>
      <c r="CR53" s="1093"/>
      <c r="CS53" s="1093"/>
      <c r="CT53" s="1093"/>
    </row>
    <row r="54" spans="2:98" ht="21.6" hidden="1" thickBot="1" x14ac:dyDescent="0.45">
      <c r="E54" s="490"/>
      <c r="F54" s="490"/>
      <c r="G54" s="490"/>
      <c r="H54" s="465"/>
      <c r="I54" s="465"/>
      <c r="J54" s="465"/>
      <c r="K54" s="465"/>
      <c r="L54" s="465"/>
      <c r="M54" s="465"/>
      <c r="N54" s="465"/>
      <c r="O54" s="465"/>
      <c r="P54" s="465"/>
      <c r="Q54" s="465"/>
      <c r="R54" s="465"/>
      <c r="U54" s="493"/>
      <c r="V54" s="465"/>
      <c r="W54" s="465"/>
      <c r="X54" s="465"/>
      <c r="Y54" s="465"/>
      <c r="Z54" s="465"/>
      <c r="AA54" s="465"/>
      <c r="AB54" s="493"/>
      <c r="AC54" s="493"/>
      <c r="AD54" s="493"/>
      <c r="AE54" s="493"/>
      <c r="AF54" s="465"/>
      <c r="AG54" s="465"/>
      <c r="AH54" s="465"/>
      <c r="AI54" s="465"/>
      <c r="AJ54" s="465"/>
      <c r="AK54" s="465"/>
      <c r="AL54" s="465"/>
      <c r="AM54" s="465"/>
      <c r="AN54" s="465"/>
      <c r="AO54" s="465"/>
      <c r="AP54" s="465"/>
      <c r="AQ54" s="465"/>
      <c r="AR54" s="465"/>
      <c r="AS54" s="465"/>
      <c r="AT54" s="465"/>
      <c r="AU54" s="465"/>
      <c r="AV54" s="465"/>
      <c r="AW54" s="465"/>
      <c r="AX54" s="465"/>
      <c r="AY54" s="465"/>
      <c r="AZ54" s="465"/>
      <c r="BA54" s="465"/>
      <c r="BB54" s="465"/>
      <c r="BC54" s="473"/>
      <c r="BG54" s="489"/>
      <c r="BH54" s="489"/>
      <c r="BI54" s="489"/>
      <c r="BJ54" s="489"/>
      <c r="BK54" s="489"/>
      <c r="BL54" s="489"/>
      <c r="BM54" s="489"/>
      <c r="BN54" s="489"/>
      <c r="BO54" s="489"/>
      <c r="BP54" s="1169">
        <v>1</v>
      </c>
      <c r="BQ54" s="1115" t="b">
        <f>IF(BY84=9,1)</f>
        <v>0</v>
      </c>
      <c r="BR54" s="1139"/>
      <c r="BS54" s="1139"/>
      <c r="BT54" s="1139"/>
      <c r="BU54" s="1139"/>
      <c r="BV54" s="1139"/>
      <c r="BW54" s="1139"/>
      <c r="BX54" s="1139"/>
      <c r="BY54" s="1139"/>
      <c r="BZ54" s="1139"/>
      <c r="CA54" s="1139"/>
      <c r="CB54" s="1139"/>
      <c r="CC54" s="1139"/>
      <c r="CD54" s="1139"/>
      <c r="CE54" s="1139"/>
      <c r="CF54" s="1139"/>
      <c r="CG54" s="1113" t="b">
        <f>IF(BY84=9,17)</f>
        <v>0</v>
      </c>
      <c r="CH54" s="1096"/>
      <c r="CI54" s="1096"/>
      <c r="CJ54" s="1096"/>
      <c r="CK54" s="1096"/>
      <c r="CL54" s="1096"/>
      <c r="CM54" s="1096"/>
      <c r="CN54" s="1096"/>
      <c r="CO54" s="1093"/>
      <c r="CP54" s="1093"/>
      <c r="CQ54" s="1093"/>
      <c r="CR54" s="1093"/>
      <c r="CS54" s="1093"/>
      <c r="CT54" s="1093"/>
    </row>
    <row r="55" spans="2:98" ht="21.6" hidden="1" thickBot="1" x14ac:dyDescent="0.45">
      <c r="E55" s="490"/>
      <c r="F55" s="490"/>
      <c r="G55" s="490"/>
      <c r="H55" s="465"/>
      <c r="I55" s="465"/>
      <c r="J55" s="465"/>
      <c r="K55" s="465"/>
      <c r="L55" s="465"/>
      <c r="M55" s="465"/>
      <c r="N55" s="465"/>
      <c r="O55" s="465"/>
      <c r="P55" s="465"/>
      <c r="Q55" s="465"/>
      <c r="R55" s="465"/>
      <c r="U55" s="493"/>
      <c r="V55" s="465"/>
      <c r="W55" s="465"/>
      <c r="X55" s="465"/>
      <c r="Y55" s="465"/>
      <c r="Z55" s="465"/>
      <c r="AA55" s="465"/>
      <c r="AB55" s="493"/>
      <c r="AC55" s="493"/>
      <c r="AD55" s="493"/>
      <c r="AE55" s="493"/>
      <c r="AF55" s="465"/>
      <c r="AG55" s="465"/>
      <c r="AH55" s="465"/>
      <c r="AI55" s="465"/>
      <c r="AJ55" s="465"/>
      <c r="AK55" s="465"/>
      <c r="AL55" s="465"/>
      <c r="AM55" s="465"/>
      <c r="AN55" s="465"/>
      <c r="AO55" s="465"/>
      <c r="AP55" s="465"/>
      <c r="AQ55" s="465"/>
      <c r="AR55" s="465"/>
      <c r="AS55" s="465"/>
      <c r="AT55" s="465"/>
      <c r="AU55" s="465"/>
      <c r="AV55" s="465"/>
      <c r="AW55" s="465"/>
      <c r="AX55" s="465"/>
      <c r="AY55" s="465"/>
      <c r="AZ55" s="465"/>
      <c r="BA55" s="465"/>
      <c r="BB55" s="465"/>
      <c r="BC55" s="473"/>
      <c r="BG55" s="489"/>
      <c r="BH55" s="489"/>
      <c r="BI55" s="489"/>
      <c r="BJ55" s="489"/>
      <c r="BK55" s="489"/>
      <c r="BL55" s="489"/>
      <c r="BM55" s="489"/>
      <c r="BN55" s="489"/>
      <c r="BO55" s="489"/>
      <c r="BP55" s="1169" t="s">
        <v>84</v>
      </c>
      <c r="BR55" s="1096"/>
      <c r="BS55" s="1115" t="b">
        <f>IF(BX84=8,3)</f>
        <v>0</v>
      </c>
      <c r="BT55" s="1139"/>
      <c r="BU55" s="1139"/>
      <c r="BV55" s="1139"/>
      <c r="BW55" s="1139"/>
      <c r="BX55" s="1139"/>
      <c r="BY55" s="1139"/>
      <c r="BZ55" s="1139"/>
      <c r="CA55" s="1139"/>
      <c r="CB55" s="1139"/>
      <c r="CC55" s="1113" t="b">
        <f>IF(BX84=8,5)</f>
        <v>0</v>
      </c>
      <c r="CD55" s="1096"/>
      <c r="CF55" s="1096"/>
      <c r="CG55" s="1096"/>
      <c r="CH55" s="1096"/>
      <c r="CI55" s="1096"/>
      <c r="CJ55" s="1096"/>
      <c r="CK55" s="1096"/>
      <c r="CL55" s="1096"/>
      <c r="CM55" s="1096"/>
      <c r="CN55" s="1096"/>
      <c r="CO55" s="1093"/>
      <c r="CP55" s="1093"/>
      <c r="CQ55" s="1093"/>
      <c r="CR55" s="1093"/>
      <c r="CS55" s="1093"/>
      <c r="CT55" s="1093"/>
    </row>
    <row r="56" spans="2:98" ht="21.6" hidden="1" thickBot="1" x14ac:dyDescent="0.45">
      <c r="E56" s="490"/>
      <c r="F56" s="490"/>
      <c r="G56" s="490"/>
      <c r="H56" s="465"/>
      <c r="I56" s="465"/>
      <c r="J56" s="465"/>
      <c r="K56" s="465"/>
      <c r="L56" s="465"/>
      <c r="M56" s="465"/>
      <c r="N56" s="465"/>
      <c r="O56" s="465"/>
      <c r="P56" s="465"/>
      <c r="Q56" s="465"/>
      <c r="R56" s="465"/>
      <c r="U56" s="493"/>
      <c r="V56" s="465"/>
      <c r="W56" s="465"/>
      <c r="X56" s="465"/>
      <c r="Y56" s="465"/>
      <c r="Z56" s="465"/>
      <c r="AA56" s="465"/>
      <c r="AB56" s="493"/>
      <c r="AC56" s="493"/>
      <c r="AD56" s="493"/>
      <c r="AE56" s="493"/>
      <c r="AF56" s="465"/>
      <c r="AG56" s="465"/>
      <c r="AH56" s="465"/>
      <c r="AI56" s="465"/>
      <c r="AJ56" s="465"/>
      <c r="AK56" s="465"/>
      <c r="AL56" s="465"/>
      <c r="AM56" s="465"/>
      <c r="AN56" s="465"/>
      <c r="AO56" s="465"/>
      <c r="AP56" s="465"/>
      <c r="AQ56" s="465"/>
      <c r="AR56" s="465"/>
      <c r="AS56" s="465"/>
      <c r="AT56" s="465"/>
      <c r="AU56" s="465"/>
      <c r="AV56" s="465"/>
      <c r="AW56" s="465"/>
      <c r="AX56" s="465"/>
      <c r="AY56" s="465"/>
      <c r="AZ56" s="465"/>
      <c r="BA56" s="465"/>
      <c r="BB56" s="465"/>
      <c r="BC56" s="473"/>
      <c r="BG56" s="489"/>
      <c r="BH56" s="489"/>
      <c r="BI56" s="489"/>
      <c r="BJ56" s="489"/>
      <c r="BK56" s="489"/>
      <c r="BL56" s="489"/>
      <c r="BM56" s="489"/>
      <c r="BN56" s="489"/>
      <c r="BO56" s="489"/>
      <c r="BP56" s="1169" t="s">
        <v>16</v>
      </c>
      <c r="BQ56" s="1096"/>
      <c r="BR56" s="1101" t="b">
        <f>IF(BW84=7,2)</f>
        <v>0</v>
      </c>
      <c r="BS56" s="1139"/>
      <c r="BT56" s="1139"/>
      <c r="BU56" s="1139"/>
      <c r="BV56" s="1139"/>
      <c r="BW56" s="1139"/>
      <c r="BX56" s="1139"/>
      <c r="BY56" s="1139"/>
      <c r="BZ56" s="1139"/>
      <c r="CA56" s="586"/>
      <c r="CB56" s="1113" t="b">
        <f>IF(BW84=7,12)</f>
        <v>0</v>
      </c>
      <c r="CC56" s="1096"/>
      <c r="CD56" s="1096"/>
      <c r="CE56" s="1096"/>
      <c r="CF56" s="1096"/>
      <c r="CG56" s="1096"/>
      <c r="CH56" s="1096"/>
      <c r="CI56" s="1096"/>
      <c r="CJ56" s="1096"/>
      <c r="CK56" s="1096"/>
      <c r="CL56" s="1096"/>
      <c r="CM56" s="1096"/>
      <c r="CN56" s="1096"/>
      <c r="CO56" s="1093"/>
      <c r="CP56" s="1093"/>
      <c r="CQ56" s="1093"/>
      <c r="CR56" s="1093"/>
      <c r="CS56" s="1093"/>
      <c r="CT56" s="1093"/>
    </row>
    <row r="57" spans="2:98" ht="21.6" hidden="1" thickBot="1" x14ac:dyDescent="0.45">
      <c r="E57" s="490"/>
      <c r="F57" s="490"/>
      <c r="G57" s="490"/>
      <c r="H57" s="465"/>
      <c r="I57" s="465"/>
      <c r="J57" s="465"/>
      <c r="K57" s="465"/>
      <c r="L57" s="465"/>
      <c r="M57" s="465"/>
      <c r="N57" s="465"/>
      <c r="O57" s="465"/>
      <c r="P57" s="465"/>
      <c r="Q57" s="465"/>
      <c r="R57" s="465"/>
      <c r="S57" s="465"/>
      <c r="T57" s="465"/>
      <c r="U57" s="493"/>
      <c r="V57" s="465"/>
      <c r="W57" s="465"/>
      <c r="X57" s="465"/>
      <c r="Y57" s="465"/>
      <c r="Z57" s="465"/>
      <c r="AA57" s="465"/>
      <c r="AB57" s="493"/>
      <c r="AC57" s="493"/>
      <c r="AD57" s="493"/>
      <c r="AE57" s="493"/>
      <c r="AF57" s="465"/>
      <c r="AG57" s="465"/>
      <c r="AH57" s="465"/>
      <c r="AI57" s="465"/>
      <c r="AJ57" s="465"/>
      <c r="AK57" s="465"/>
      <c r="AL57" s="465"/>
      <c r="AM57" s="465"/>
      <c r="AN57" s="465"/>
      <c r="AO57" s="465"/>
      <c r="AP57" s="465"/>
      <c r="AQ57" s="465"/>
      <c r="AR57" s="465"/>
      <c r="AS57" s="465"/>
      <c r="AT57" s="465"/>
      <c r="AU57" s="465"/>
      <c r="AV57" s="465"/>
      <c r="AW57" s="465"/>
      <c r="AX57" s="465"/>
      <c r="AY57" s="465"/>
      <c r="AZ57" s="465"/>
      <c r="BA57" s="465"/>
      <c r="BB57" s="465"/>
      <c r="BC57" s="473"/>
      <c r="BG57" s="489"/>
      <c r="BH57" s="489"/>
      <c r="BI57" s="489"/>
      <c r="BJ57" s="489"/>
      <c r="BK57" s="489"/>
      <c r="BL57" s="489"/>
      <c r="BM57" s="489"/>
      <c r="BN57" s="489"/>
      <c r="BO57" s="489"/>
      <c r="BP57" s="1169" t="s">
        <v>83</v>
      </c>
      <c r="BQ57" s="1101" t="b">
        <f>IF(BV84=6,1)</f>
        <v>0</v>
      </c>
      <c r="BR57" s="1142"/>
      <c r="BS57" s="1142"/>
      <c r="BT57" s="1142"/>
      <c r="BU57" s="1142"/>
      <c r="BV57" s="1142"/>
      <c r="BW57" s="1142"/>
      <c r="BX57" s="1142"/>
      <c r="BY57" s="1142"/>
      <c r="BZ57" s="1142"/>
      <c r="CA57" s="1116" t="b">
        <f>IF(BV84=6,11)</f>
        <v>0</v>
      </c>
      <c r="CB57" s="1096"/>
      <c r="CC57" s="1096"/>
      <c r="CD57" s="1096"/>
      <c r="CE57" s="1096"/>
      <c r="CF57" s="1096"/>
      <c r="CG57" s="1096"/>
      <c r="CH57" s="1096"/>
      <c r="CI57" s="1096"/>
      <c r="CJ57" s="1096"/>
      <c r="CK57" s="1096"/>
      <c r="CL57" s="1096"/>
      <c r="CM57" s="1096"/>
      <c r="CN57" s="1096"/>
      <c r="CO57" s="1093"/>
      <c r="CP57" s="1093"/>
      <c r="CQ57" s="1093"/>
      <c r="CR57" s="1093"/>
      <c r="CS57" s="1093"/>
      <c r="CT57" s="1093"/>
    </row>
    <row r="58" spans="2:98" ht="21.6" hidden="1" thickBot="1" x14ac:dyDescent="0.45">
      <c r="E58" s="490"/>
      <c r="F58" s="490"/>
      <c r="G58" s="490"/>
      <c r="H58" s="465"/>
      <c r="I58" s="465"/>
      <c r="J58" s="465"/>
      <c r="K58" s="465"/>
      <c r="L58" s="465"/>
      <c r="M58" s="465"/>
      <c r="N58" s="465"/>
      <c r="O58" s="465"/>
      <c r="P58" s="465"/>
      <c r="Q58" s="465"/>
      <c r="R58" s="465"/>
      <c r="S58" s="465"/>
      <c r="T58" s="465"/>
      <c r="U58" s="493"/>
      <c r="V58" s="465"/>
      <c r="W58" s="465"/>
      <c r="X58" s="465"/>
      <c r="Y58" s="465"/>
      <c r="Z58" s="465"/>
      <c r="AA58" s="465"/>
      <c r="AB58" s="493"/>
      <c r="AC58" s="493"/>
      <c r="AD58" s="493"/>
      <c r="AE58" s="493"/>
      <c r="AF58" s="465"/>
      <c r="AG58" s="465"/>
      <c r="AH58" s="465"/>
      <c r="AI58" s="465"/>
      <c r="AJ58" s="465"/>
      <c r="AK58" s="465"/>
      <c r="AL58" s="465"/>
      <c r="AM58" s="465"/>
      <c r="AN58" s="465"/>
      <c r="AO58" s="465"/>
      <c r="AP58" s="465"/>
      <c r="AQ58" s="465"/>
      <c r="AR58" s="465"/>
      <c r="AS58" s="465"/>
      <c r="AT58" s="465"/>
      <c r="AU58" s="465"/>
      <c r="AV58" s="465"/>
      <c r="AW58" s="465"/>
      <c r="AX58" s="465"/>
      <c r="AY58" s="465"/>
      <c r="AZ58" s="465"/>
      <c r="BA58" s="465"/>
      <c r="BB58" s="465"/>
      <c r="BC58" s="473"/>
      <c r="BG58" s="489"/>
      <c r="BH58" s="489"/>
      <c r="BI58" s="489"/>
      <c r="BJ58" s="489"/>
      <c r="BK58" s="489"/>
      <c r="BL58" s="489"/>
      <c r="BM58" s="489"/>
      <c r="BN58" s="489"/>
      <c r="BO58" s="489"/>
      <c r="BP58" s="1169" t="s">
        <v>37</v>
      </c>
      <c r="BQ58" s="1115" t="b">
        <f>IF(BU84=5,1)</f>
        <v>0</v>
      </c>
      <c r="BR58" s="586"/>
      <c r="BS58" s="1139"/>
      <c r="BT58" s="1139"/>
      <c r="BU58" s="1139"/>
      <c r="BV58" s="1139"/>
      <c r="BW58" s="1139"/>
      <c r="BX58" s="586"/>
      <c r="BY58" s="1113" t="b">
        <f>IF(BU84=5,9)</f>
        <v>0</v>
      </c>
      <c r="BZ58" s="1096"/>
      <c r="CA58" s="1096"/>
      <c r="CB58" s="1096"/>
      <c r="CC58" s="1096"/>
      <c r="CD58" s="1096"/>
      <c r="CE58" s="1096"/>
      <c r="CF58" s="1096"/>
      <c r="CG58" s="1096"/>
      <c r="CH58" s="1096"/>
      <c r="CI58" s="1096"/>
      <c r="CJ58" s="1096"/>
      <c r="CK58" s="1096"/>
      <c r="CL58" s="1096"/>
      <c r="CM58" s="1096"/>
      <c r="CN58" s="1096"/>
      <c r="CO58" s="1093"/>
      <c r="CP58" s="1093"/>
      <c r="CQ58" s="1093"/>
      <c r="CR58" s="1093"/>
      <c r="CS58" s="1093"/>
      <c r="CT58" s="1093"/>
    </row>
    <row r="59" spans="2:98" ht="21.6" hidden="1" thickBot="1" x14ac:dyDescent="0.45">
      <c r="E59" s="490"/>
      <c r="F59" s="490"/>
      <c r="G59" s="490"/>
      <c r="H59" s="465"/>
      <c r="I59" s="465"/>
      <c r="J59" s="465"/>
      <c r="K59" s="465"/>
      <c r="L59" s="465"/>
      <c r="M59" s="465"/>
      <c r="N59" s="465"/>
      <c r="O59" s="465"/>
      <c r="P59" s="465"/>
      <c r="Q59" s="465"/>
      <c r="R59" s="465"/>
      <c r="S59" s="465"/>
      <c r="T59" s="465"/>
      <c r="U59" s="493"/>
      <c r="V59" s="465"/>
      <c r="W59" s="465"/>
      <c r="X59" s="465"/>
      <c r="Y59" s="465"/>
      <c r="Z59" s="465"/>
      <c r="AA59" s="465"/>
      <c r="AB59" s="493"/>
      <c r="AC59" s="493"/>
      <c r="AD59" s="493"/>
      <c r="AE59" s="493"/>
      <c r="AF59" s="465"/>
      <c r="AG59" s="465"/>
      <c r="AH59" s="465"/>
      <c r="AI59" s="465"/>
      <c r="AJ59" s="465"/>
      <c r="AK59" s="465"/>
      <c r="AL59" s="465"/>
      <c r="AM59" s="465"/>
      <c r="AN59" s="465"/>
      <c r="AO59" s="465"/>
      <c r="AP59" s="465"/>
      <c r="AQ59" s="465"/>
      <c r="AR59" s="465"/>
      <c r="AS59" s="465"/>
      <c r="AT59" s="465"/>
      <c r="AU59" s="465"/>
      <c r="AV59" s="465"/>
      <c r="AW59" s="465"/>
      <c r="AX59" s="465"/>
      <c r="AY59" s="465"/>
      <c r="AZ59" s="465"/>
      <c r="BA59" s="465"/>
      <c r="BB59" s="465"/>
      <c r="BC59" s="473"/>
      <c r="BG59" s="489"/>
      <c r="BH59" s="489"/>
      <c r="BI59" s="489"/>
      <c r="BJ59" s="489"/>
      <c r="BK59" s="489"/>
      <c r="BL59" s="489"/>
      <c r="BM59" s="489"/>
      <c r="BN59" s="489"/>
      <c r="BO59" s="489"/>
      <c r="BP59" s="1169" t="s">
        <v>36</v>
      </c>
      <c r="BQ59" s="1115" t="b">
        <f>IF(BT84=4,1)</f>
        <v>0</v>
      </c>
      <c r="BR59" s="1139"/>
      <c r="BS59" s="1139"/>
      <c r="BT59" s="1139"/>
      <c r="BU59" s="1139"/>
      <c r="BV59" s="1139"/>
      <c r="BW59" s="1113" t="b">
        <f>IF(BT84=4,7)</f>
        <v>0</v>
      </c>
      <c r="BX59" s="1096"/>
      <c r="BY59" s="1141"/>
      <c r="BZ59" s="1141"/>
      <c r="CA59" s="1096"/>
      <c r="CB59" s="1141"/>
      <c r="CC59" s="1096"/>
      <c r="CD59" s="1096"/>
      <c r="CE59" s="1096"/>
      <c r="CF59" s="1096"/>
      <c r="CG59" s="1096"/>
      <c r="CH59" s="1096"/>
      <c r="CI59" s="1096"/>
      <c r="CJ59" s="1096"/>
      <c r="CK59" s="1096"/>
      <c r="CL59" s="1096"/>
      <c r="CM59" s="1096"/>
      <c r="CN59" s="1096"/>
      <c r="CO59" s="1093"/>
      <c r="CP59" s="1093"/>
      <c r="CQ59" s="1093"/>
      <c r="CR59" s="1093"/>
      <c r="CS59" s="1093"/>
      <c r="CT59" s="1093"/>
    </row>
    <row r="60" spans="2:98" ht="21.6" hidden="1" thickBot="1" x14ac:dyDescent="0.45">
      <c r="D60" s="490"/>
      <c r="E60" s="490"/>
      <c r="F60" s="490"/>
      <c r="G60" s="490"/>
      <c r="H60" s="465"/>
      <c r="I60" s="465"/>
      <c r="J60" s="465"/>
      <c r="K60" s="465"/>
      <c r="L60" s="465"/>
      <c r="M60" s="465"/>
      <c r="N60" s="465"/>
      <c r="O60" s="465"/>
      <c r="P60" s="465"/>
      <c r="Q60" s="465"/>
      <c r="R60" s="465"/>
      <c r="S60" s="465"/>
      <c r="T60" s="465"/>
      <c r="U60" s="493"/>
      <c r="V60" s="465"/>
      <c r="W60" s="465"/>
      <c r="X60" s="465"/>
      <c r="Y60" s="465"/>
      <c r="Z60" s="465"/>
      <c r="AA60" s="465"/>
      <c r="AB60" s="493"/>
      <c r="AC60" s="493"/>
      <c r="AD60" s="493"/>
      <c r="AE60" s="493"/>
      <c r="AF60" s="465"/>
      <c r="AG60" s="465"/>
      <c r="AH60" s="465"/>
      <c r="AI60" s="465"/>
      <c r="AJ60" s="465"/>
      <c r="AK60" s="465"/>
      <c r="AL60" s="465"/>
      <c r="AM60" s="465"/>
      <c r="AN60" s="465"/>
      <c r="AO60" s="465"/>
      <c r="AP60" s="465"/>
      <c r="AQ60" s="465"/>
      <c r="AR60" s="465"/>
      <c r="AS60" s="465"/>
      <c r="AT60" s="465"/>
      <c r="AU60" s="465"/>
      <c r="AV60" s="465"/>
      <c r="AW60" s="465"/>
      <c r="AX60" s="465"/>
      <c r="AY60" s="465"/>
      <c r="AZ60" s="465"/>
      <c r="BA60" s="465"/>
      <c r="BB60" s="465"/>
      <c r="BC60" s="473"/>
      <c r="BG60" s="489"/>
      <c r="BH60" s="489"/>
      <c r="BI60" s="489"/>
      <c r="BJ60" s="489"/>
      <c r="BK60" s="489"/>
      <c r="BL60" s="489"/>
      <c r="BM60" s="489"/>
      <c r="BN60" s="489"/>
      <c r="BO60" s="489"/>
      <c r="BP60" s="1169" t="s">
        <v>35</v>
      </c>
      <c r="BQ60" s="1115" t="b">
        <f>IF(BS84=3,1)</f>
        <v>0</v>
      </c>
      <c r="BR60" s="1139"/>
      <c r="BS60" s="1139"/>
      <c r="BT60" s="1139"/>
      <c r="BU60" s="1113" t="b">
        <f>IF(BS84=3,5)</f>
        <v>0</v>
      </c>
      <c r="BV60" s="1096"/>
      <c r="BW60" s="1096"/>
      <c r="BX60" s="1096"/>
      <c r="BY60" s="1096"/>
      <c r="BZ60" s="1096"/>
      <c r="CA60" s="1096"/>
      <c r="CB60" s="1096"/>
      <c r="CC60" s="1096"/>
      <c r="CD60" s="1096"/>
      <c r="CE60" s="1096"/>
      <c r="CF60" s="1096"/>
      <c r="CG60" s="1096"/>
      <c r="CH60" s="1096"/>
      <c r="CI60" s="1096"/>
      <c r="CJ60" s="1096"/>
      <c r="CK60" s="1096"/>
      <c r="CL60" s="1096"/>
      <c r="CM60" s="1096"/>
      <c r="CN60" s="1096"/>
      <c r="CO60" s="1093"/>
      <c r="CP60" s="1093"/>
      <c r="CQ60" s="1093"/>
      <c r="CR60" s="1093"/>
      <c r="CS60" s="1093"/>
      <c r="CT60" s="1093"/>
    </row>
    <row r="61" spans="2:98" ht="21.6" hidden="1" thickBot="1" x14ac:dyDescent="0.45">
      <c r="D61" s="490"/>
      <c r="E61" s="490"/>
      <c r="F61" s="490"/>
      <c r="G61" s="490"/>
      <c r="H61" s="465"/>
      <c r="I61" s="465"/>
      <c r="J61" s="465"/>
      <c r="K61" s="465"/>
      <c r="L61" s="465"/>
      <c r="M61" s="465"/>
      <c r="N61" s="465"/>
      <c r="O61" s="465"/>
      <c r="P61" s="465"/>
      <c r="Q61" s="465"/>
      <c r="R61" s="465"/>
      <c r="S61" s="465"/>
      <c r="T61" s="465"/>
      <c r="U61" s="493"/>
      <c r="V61" s="465"/>
      <c r="W61" s="465"/>
      <c r="X61" s="465"/>
      <c r="Y61" s="465"/>
      <c r="Z61" s="465"/>
      <c r="AA61" s="465"/>
      <c r="AB61" s="493"/>
      <c r="AC61" s="493"/>
      <c r="AD61" s="493"/>
      <c r="AE61" s="493"/>
      <c r="AF61" s="465"/>
      <c r="AG61" s="465"/>
      <c r="AH61" s="465"/>
      <c r="AI61" s="465"/>
      <c r="AJ61" s="465"/>
      <c r="AK61" s="465"/>
      <c r="AL61" s="465"/>
      <c r="AM61" s="465"/>
      <c r="AN61" s="465"/>
      <c r="AO61" s="465"/>
      <c r="AP61" s="465"/>
      <c r="AQ61" s="465"/>
      <c r="AR61" s="465"/>
      <c r="AS61" s="465"/>
      <c r="AT61" s="465"/>
      <c r="AU61" s="465"/>
      <c r="AV61" s="465"/>
      <c r="AW61" s="465"/>
      <c r="AX61" s="465"/>
      <c r="AY61" s="465"/>
      <c r="AZ61" s="465"/>
      <c r="BA61" s="465"/>
      <c r="BB61" s="465"/>
      <c r="BC61" s="473"/>
      <c r="BG61" s="489"/>
      <c r="BH61" s="489"/>
      <c r="BI61" s="489"/>
      <c r="BJ61" s="489"/>
      <c r="BK61" s="489"/>
      <c r="BL61" s="489"/>
      <c r="BM61" s="489"/>
      <c r="BN61" s="489"/>
      <c r="BO61" s="489"/>
      <c r="BP61" s="1169" t="s">
        <v>34</v>
      </c>
      <c r="BQ61" s="1115" t="b">
        <f>IF(BR84=2,1)</f>
        <v>0</v>
      </c>
      <c r="BR61" s="1139"/>
      <c r="BS61" s="1113" t="b">
        <f>IF(BR84=2,3)</f>
        <v>0</v>
      </c>
      <c r="BT61" s="1096"/>
      <c r="BU61" s="1096"/>
      <c r="BV61" s="1096"/>
      <c r="BW61" s="1096"/>
      <c r="BX61" s="1096"/>
      <c r="BY61" s="1096"/>
      <c r="BZ61" s="1096"/>
      <c r="CA61" s="1096"/>
      <c r="CB61" s="1096"/>
      <c r="CC61" s="1096"/>
      <c r="CD61" s="1096"/>
      <c r="CE61" s="1096"/>
      <c r="CF61" s="1096"/>
      <c r="CG61" s="1096"/>
      <c r="CH61" s="1096"/>
      <c r="CI61" s="1096"/>
      <c r="CJ61" s="1096"/>
      <c r="CK61" s="1096"/>
      <c r="CL61" s="1096"/>
      <c r="CM61" s="1096"/>
      <c r="CN61" s="1096"/>
      <c r="CO61" s="1093"/>
      <c r="CP61" s="1093"/>
      <c r="CQ61" s="1093"/>
      <c r="CR61" s="1093"/>
      <c r="CS61" s="1093"/>
      <c r="CT61" s="1093"/>
    </row>
    <row r="62" spans="2:98" ht="21.6" hidden="1" thickBot="1" x14ac:dyDescent="0.45">
      <c r="B62" s="491"/>
      <c r="C62" s="491"/>
      <c r="D62" s="490"/>
      <c r="E62" s="490"/>
      <c r="F62" s="490"/>
      <c r="G62" s="490"/>
      <c r="H62" s="465"/>
      <c r="I62" s="465"/>
      <c r="J62" s="465"/>
      <c r="K62" s="465"/>
      <c r="L62" s="465"/>
      <c r="M62" s="465"/>
      <c r="N62" s="465"/>
      <c r="O62" s="465"/>
      <c r="P62" s="465"/>
      <c r="Q62" s="465"/>
      <c r="R62" s="465"/>
      <c r="S62" s="465"/>
      <c r="T62" s="465"/>
      <c r="U62" s="493"/>
      <c r="V62" s="465"/>
      <c r="W62" s="465"/>
      <c r="X62" s="465"/>
      <c r="Y62" s="465"/>
      <c r="Z62" s="465"/>
      <c r="AA62" s="465"/>
      <c r="AB62" s="493"/>
      <c r="AC62" s="493"/>
      <c r="AD62" s="493"/>
      <c r="AE62" s="493"/>
      <c r="AF62" s="465"/>
      <c r="AG62" s="465"/>
      <c r="AH62" s="465"/>
      <c r="AI62" s="465"/>
      <c r="AJ62" s="465"/>
      <c r="AK62" s="465"/>
      <c r="AL62" s="465"/>
      <c r="AM62" s="465"/>
      <c r="AN62" s="465"/>
      <c r="AO62" s="465"/>
      <c r="AP62" s="465"/>
      <c r="AQ62" s="465"/>
      <c r="AR62" s="465"/>
      <c r="AS62" s="465"/>
      <c r="AT62" s="465"/>
      <c r="AU62" s="465"/>
      <c r="AV62" s="465"/>
      <c r="AW62" s="465"/>
      <c r="AX62" s="465"/>
      <c r="AY62" s="465"/>
      <c r="AZ62" s="465"/>
      <c r="BA62" s="465"/>
      <c r="BB62" s="465"/>
      <c r="BC62" s="473"/>
      <c r="BG62" s="489"/>
      <c r="BH62" s="489"/>
      <c r="BI62" s="489"/>
      <c r="BJ62" s="489"/>
      <c r="BK62" s="489"/>
      <c r="BL62" s="489"/>
      <c r="BM62" s="489"/>
      <c r="BN62" s="489"/>
      <c r="BO62" s="489"/>
      <c r="BP62" s="1135"/>
      <c r="BQ62" s="1133">
        <f t="shared" ref="BQ62:CT62" si="0">SUM(BQ33:BQ61)</f>
        <v>1</v>
      </c>
      <c r="BR62" s="1133">
        <f t="shared" si="0"/>
        <v>0</v>
      </c>
      <c r="BS62" s="1133">
        <f t="shared" si="0"/>
        <v>0</v>
      </c>
      <c r="BT62" s="1133">
        <f t="shared" si="0"/>
        <v>0</v>
      </c>
      <c r="BU62" s="1133">
        <f t="shared" si="0"/>
        <v>0</v>
      </c>
      <c r="BV62" s="1133">
        <f t="shared" si="0"/>
        <v>0</v>
      </c>
      <c r="BW62" s="1133">
        <f t="shared" si="0"/>
        <v>0</v>
      </c>
      <c r="BX62" s="1133">
        <f t="shared" si="0"/>
        <v>0</v>
      </c>
      <c r="BY62" s="1133">
        <f t="shared" si="0"/>
        <v>0</v>
      </c>
      <c r="BZ62" s="1133">
        <f t="shared" si="0"/>
        <v>0</v>
      </c>
      <c r="CA62" s="1133">
        <f t="shared" si="0"/>
        <v>0</v>
      </c>
      <c r="CB62" s="1133">
        <f t="shared" si="0"/>
        <v>0</v>
      </c>
      <c r="CC62" s="1133">
        <f t="shared" si="0"/>
        <v>0</v>
      </c>
      <c r="CD62" s="1133">
        <f t="shared" si="0"/>
        <v>0</v>
      </c>
      <c r="CE62" s="1133">
        <f t="shared" si="0"/>
        <v>0</v>
      </c>
      <c r="CF62" s="1133">
        <f t="shared" si="0"/>
        <v>0</v>
      </c>
      <c r="CG62" s="1133">
        <f t="shared" si="0"/>
        <v>0</v>
      </c>
      <c r="CH62" s="1133">
        <f t="shared" si="0"/>
        <v>0</v>
      </c>
      <c r="CI62" s="1133">
        <f t="shared" si="0"/>
        <v>0</v>
      </c>
      <c r="CJ62" s="1133">
        <f t="shared" si="0"/>
        <v>0</v>
      </c>
      <c r="CK62" s="1133">
        <f t="shared" si="0"/>
        <v>21</v>
      </c>
      <c r="CL62" s="1133">
        <f t="shared" si="0"/>
        <v>0</v>
      </c>
      <c r="CM62" s="1133">
        <f t="shared" si="0"/>
        <v>0</v>
      </c>
      <c r="CN62" s="1133">
        <f t="shared" si="0"/>
        <v>0</v>
      </c>
      <c r="CO62" s="1133">
        <f t="shared" si="0"/>
        <v>0</v>
      </c>
      <c r="CP62" s="1133">
        <f t="shared" si="0"/>
        <v>0</v>
      </c>
      <c r="CQ62" s="1133">
        <f t="shared" si="0"/>
        <v>0</v>
      </c>
      <c r="CR62" s="1133">
        <f t="shared" si="0"/>
        <v>0</v>
      </c>
      <c r="CS62" s="1133">
        <f t="shared" si="0"/>
        <v>0</v>
      </c>
      <c r="CT62" s="1133">
        <f t="shared" si="0"/>
        <v>0</v>
      </c>
    </row>
    <row r="63" spans="2:98" ht="48" customHeight="1" thickBot="1" x14ac:dyDescent="0.45">
      <c r="B63" s="491"/>
      <c r="C63" s="491"/>
      <c r="D63" s="490"/>
      <c r="E63" s="490"/>
      <c r="F63" s="490"/>
      <c r="G63" s="490"/>
      <c r="H63" s="465"/>
      <c r="I63" s="465"/>
      <c r="J63" s="465"/>
      <c r="K63" s="465"/>
      <c r="L63" s="465"/>
      <c r="M63" s="465"/>
      <c r="N63" s="465"/>
      <c r="O63" s="465"/>
      <c r="P63" s="465"/>
      <c r="Q63" s="465"/>
      <c r="R63" s="465"/>
      <c r="S63" s="465"/>
      <c r="T63" s="465"/>
      <c r="U63" s="493"/>
      <c r="V63" s="465"/>
      <c r="W63" s="465"/>
      <c r="X63" s="465"/>
      <c r="Y63" s="465"/>
      <c r="Z63" s="465"/>
      <c r="AA63" s="465"/>
      <c r="AB63" s="493"/>
      <c r="AC63" s="493"/>
      <c r="AD63" s="493"/>
      <c r="AE63" s="493"/>
      <c r="AF63" s="465"/>
      <c r="AG63" s="465"/>
      <c r="AH63" s="465"/>
      <c r="AI63" s="465"/>
      <c r="AJ63" s="465"/>
      <c r="AK63" s="465"/>
      <c r="AL63" s="465"/>
      <c r="AM63" s="465"/>
      <c r="AN63" s="465"/>
      <c r="AO63" s="465"/>
      <c r="AP63" s="465"/>
      <c r="AQ63" s="465"/>
      <c r="AR63" s="465"/>
      <c r="AS63" s="465"/>
      <c r="AT63" s="465"/>
      <c r="AU63" s="465"/>
      <c r="AV63" s="465"/>
      <c r="AW63" s="465"/>
      <c r="AX63" s="465"/>
      <c r="AY63" s="465"/>
      <c r="AZ63" s="465"/>
      <c r="BA63" s="465"/>
      <c r="BB63" s="465"/>
      <c r="BC63" s="473"/>
      <c r="BG63" s="489"/>
      <c r="BH63" s="489"/>
      <c r="BI63" s="489"/>
      <c r="BJ63" s="489"/>
      <c r="BK63" s="489"/>
      <c r="BL63" s="489"/>
      <c r="BM63" s="489"/>
      <c r="BN63" s="489"/>
      <c r="BO63" s="489"/>
      <c r="BP63" s="1134" t="s">
        <v>80</v>
      </c>
      <c r="BQ63" s="1109" t="str">
        <f>IF(BQ62=1,"A ","")</f>
        <v xml:space="preserve">A </v>
      </c>
      <c r="BR63" s="1108" t="str">
        <f>IF(BR62=2,"B ","")</f>
        <v/>
      </c>
      <c r="BS63" s="1108" t="str">
        <f>IF(BS62=3,"C ","")</f>
        <v/>
      </c>
      <c r="BT63" s="1108" t="str">
        <f>IF(BT62=4,"D ","")</f>
        <v/>
      </c>
      <c r="BU63" s="1108" t="str">
        <f>IF(BU62=5,"E ","")</f>
        <v/>
      </c>
      <c r="BV63" s="1108" t="str">
        <f>IF(BV62=6,"F ","")</f>
        <v/>
      </c>
      <c r="BW63" s="1108" t="str">
        <f>IF(BW62=7,"G ","")</f>
        <v/>
      </c>
      <c r="BX63" s="1108" t="str">
        <f>IF(BX62=8,"H ","")</f>
        <v/>
      </c>
      <c r="BY63" s="1108" t="str">
        <f>IF(BY62=9,"1 ","")</f>
        <v/>
      </c>
      <c r="BZ63" s="1108" t="str">
        <f>IF(BZ62=10,"2 ","")</f>
        <v/>
      </c>
      <c r="CA63" s="1108" t="str">
        <f>IF(CA62=11,"3 ","")</f>
        <v/>
      </c>
      <c r="CB63" s="1108" t="str">
        <f>IF(CB62=12,"4 ","")</f>
        <v/>
      </c>
      <c r="CC63" s="1108" t="str">
        <f>IF(CC62=13,"5 ","")</f>
        <v/>
      </c>
      <c r="CD63" s="1108" t="str">
        <f>IF(CD62=14,"i ","")</f>
        <v/>
      </c>
      <c r="CE63" s="1108" t="str">
        <f>IF(CE62=15,"J ","")</f>
        <v/>
      </c>
      <c r="CF63" s="1108" t="str">
        <f>IF(CF62=16,"6 ","")</f>
        <v/>
      </c>
      <c r="CG63" s="1108" t="str">
        <f>IF(CG62=17,"7 ","")</f>
        <v/>
      </c>
      <c r="CH63" s="1108" t="str">
        <f>IF(CH62=18,"8 ","")</f>
        <v/>
      </c>
      <c r="CI63" s="1108" t="str">
        <f>IF(CI62=19,"9 ","")</f>
        <v/>
      </c>
      <c r="CJ63" s="1108" t="str">
        <f>IF(CJ62=20,"10 ","")</f>
        <v/>
      </c>
      <c r="CK63" s="1108" t="str">
        <f>IF(CK62=21,"11 ","")</f>
        <v xml:space="preserve">11 </v>
      </c>
      <c r="CL63" s="1108" t="str">
        <f>IF(CL62=22,"12 ","")</f>
        <v/>
      </c>
      <c r="CM63" s="1108" t="str">
        <f>IF(CM62=23,"K ","")</f>
        <v/>
      </c>
      <c r="CN63" s="1108" t="str">
        <f>IF(CN62=24,"L ","")</f>
        <v/>
      </c>
      <c r="CO63" s="1108" t="str">
        <f>IF(CO62=25,"M ","")</f>
        <v/>
      </c>
      <c r="CP63" s="1108" t="str">
        <f>IF(CP62=26,"N ","")</f>
        <v/>
      </c>
      <c r="CQ63" s="1108" t="str">
        <f>IF(CQ62=27,"O ","")</f>
        <v/>
      </c>
      <c r="CR63" s="1108" t="str">
        <f>IF(CR62=28,"P ","")</f>
        <v/>
      </c>
      <c r="CS63" s="1108" t="str">
        <f>IF(CS62=29,"Q ","")</f>
        <v/>
      </c>
      <c r="CT63" s="1107" t="str">
        <f>IF(CT62=30,"R ","")</f>
        <v/>
      </c>
    </row>
    <row r="64" spans="2:98" ht="15.75" customHeight="1" thickBot="1" x14ac:dyDescent="0.45">
      <c r="B64" s="1227"/>
      <c r="E64" s="490"/>
      <c r="F64" s="490"/>
      <c r="G64" s="490"/>
      <c r="H64" s="465"/>
      <c r="I64" s="465"/>
      <c r="J64" s="465"/>
      <c r="K64" s="465"/>
      <c r="L64" s="465"/>
      <c r="M64" s="465"/>
      <c r="N64" s="465"/>
      <c r="O64" s="465"/>
      <c r="P64" s="465"/>
      <c r="Q64" s="465"/>
      <c r="R64" s="465"/>
      <c r="S64" s="465"/>
      <c r="T64" s="465"/>
      <c r="U64" s="493"/>
      <c r="V64" s="465"/>
      <c r="W64" s="465"/>
      <c r="X64" s="465"/>
      <c r="Y64" s="465"/>
      <c r="Z64" s="465"/>
      <c r="AA64" s="465"/>
      <c r="AB64" s="493"/>
      <c r="AC64" s="493"/>
      <c r="AD64" s="493"/>
      <c r="AE64" s="493"/>
      <c r="AF64" s="465"/>
      <c r="AG64" s="465"/>
      <c r="AH64" s="465"/>
      <c r="AI64" s="465"/>
      <c r="AJ64" s="465"/>
      <c r="AK64" s="465"/>
      <c r="AL64" s="465"/>
      <c r="AM64" s="465"/>
      <c r="AN64" s="465"/>
      <c r="AO64" s="465"/>
      <c r="AP64" s="465"/>
      <c r="AQ64" s="465"/>
      <c r="AR64" s="465"/>
      <c r="AS64" s="465"/>
      <c r="AT64" s="465"/>
      <c r="AU64" s="465"/>
      <c r="AV64" s="465"/>
      <c r="AW64" s="465"/>
      <c r="AX64" s="465"/>
      <c r="AY64" s="465"/>
      <c r="AZ64" s="465"/>
      <c r="BA64" s="465"/>
      <c r="BB64" s="465"/>
      <c r="BC64" s="473"/>
      <c r="BG64" s="489"/>
      <c r="BH64" s="489"/>
      <c r="BI64" s="489"/>
      <c r="BJ64" s="489"/>
      <c r="BK64" s="489"/>
      <c r="BL64" s="489"/>
      <c r="BM64" s="489"/>
      <c r="BN64" s="489"/>
      <c r="BO64" s="489"/>
      <c r="BP64" s="1093"/>
      <c r="BQ64" s="1093"/>
      <c r="BR64" s="1093"/>
      <c r="BS64" s="1093"/>
      <c r="BT64" s="1093"/>
      <c r="BU64" s="1093"/>
      <c r="BV64" s="1093"/>
      <c r="BW64" s="1093"/>
      <c r="BX64" s="1093"/>
      <c r="BY64" s="1093"/>
      <c r="BZ64" s="1093"/>
      <c r="CA64" s="1093"/>
      <c r="CB64" s="1093"/>
      <c r="CC64" s="1093"/>
      <c r="CD64" s="1093"/>
      <c r="CE64" s="1093"/>
      <c r="CF64" s="1093"/>
      <c r="CG64" s="1093"/>
      <c r="CH64" s="1093"/>
      <c r="CI64" s="1093"/>
      <c r="CJ64" s="1104"/>
      <c r="CK64" s="1104"/>
      <c r="CL64" s="1104"/>
      <c r="CM64" s="1104"/>
      <c r="CN64" s="1105"/>
      <c r="CO64" s="1093"/>
      <c r="CP64" s="1093"/>
      <c r="CQ64" s="1093"/>
      <c r="CR64" s="1093"/>
      <c r="CS64" s="1093"/>
      <c r="CT64" s="1093"/>
    </row>
    <row r="65" spans="2:137" ht="21" hidden="1" thickBot="1" x14ac:dyDescent="0.4">
      <c r="B65" s="491"/>
      <c r="C65" s="491"/>
      <c r="D65" s="490"/>
      <c r="E65" s="490"/>
      <c r="F65" s="490"/>
      <c r="G65" s="490"/>
      <c r="H65" s="465"/>
      <c r="I65" s="465"/>
      <c r="J65" s="465"/>
      <c r="K65" s="465"/>
      <c r="L65" s="465"/>
      <c r="M65" s="465"/>
      <c r="N65" s="465"/>
      <c r="O65" s="465"/>
      <c r="P65" s="465"/>
      <c r="Q65" s="465"/>
      <c r="R65" s="465"/>
      <c r="S65" s="465"/>
      <c r="T65" s="465"/>
      <c r="U65" s="493"/>
      <c r="V65" s="465"/>
      <c r="W65" s="465"/>
      <c r="X65" s="465"/>
      <c r="Y65" s="465"/>
      <c r="Z65" s="465"/>
      <c r="AA65" s="465"/>
      <c r="AB65" s="493"/>
      <c r="AC65" s="493"/>
      <c r="AD65" s="493"/>
      <c r="AE65" s="493"/>
      <c r="AF65" s="465"/>
      <c r="AG65" s="465"/>
      <c r="AH65" s="465"/>
      <c r="AI65" s="465"/>
      <c r="AJ65" s="465"/>
      <c r="AK65" s="465"/>
      <c r="AL65" s="465"/>
      <c r="AM65" s="465"/>
      <c r="AN65" s="465"/>
      <c r="AO65" s="465"/>
      <c r="AP65" s="465"/>
      <c r="AQ65" s="465"/>
      <c r="AR65" s="465"/>
      <c r="AS65" s="465"/>
      <c r="AT65" s="465"/>
      <c r="AU65" s="465"/>
      <c r="AV65" s="465"/>
      <c r="AW65" s="465"/>
      <c r="AX65" s="465"/>
      <c r="AY65" s="465"/>
      <c r="AZ65" s="465"/>
      <c r="BA65" s="465"/>
      <c r="BB65" s="465"/>
      <c r="BC65" s="473"/>
      <c r="BG65" s="489"/>
      <c r="BH65" s="489"/>
      <c r="BI65" s="489"/>
      <c r="BJ65" s="489"/>
      <c r="BK65" s="489"/>
      <c r="BL65" s="489"/>
      <c r="BM65" s="489"/>
      <c r="BN65" s="489"/>
      <c r="BO65" s="489"/>
      <c r="BP65" s="1093"/>
      <c r="BQ65" s="1053"/>
      <c r="BR65" s="1053"/>
      <c r="BS65" s="1053"/>
      <c r="BT65" s="1053"/>
      <c r="BU65" s="1053"/>
      <c r="BV65" s="1053"/>
      <c r="BW65" s="1053"/>
      <c r="BX65" s="1053"/>
      <c r="BY65" s="1053"/>
      <c r="BZ65" s="1053"/>
      <c r="CA65" s="1053"/>
      <c r="CB65" s="1053"/>
      <c r="CC65" s="1053"/>
      <c r="CD65" s="1053"/>
      <c r="CE65" s="1053"/>
      <c r="CF65" s="1053"/>
      <c r="CG65" s="1053"/>
      <c r="CH65" s="1053"/>
      <c r="CI65" s="1053"/>
      <c r="CJ65" s="1267"/>
      <c r="CK65" s="1267"/>
      <c r="CL65" s="1267"/>
      <c r="CM65" s="1267"/>
      <c r="CN65" s="505"/>
      <c r="CO65" s="1053"/>
    </row>
    <row r="66" spans="2:137" ht="34.5" customHeight="1" thickBot="1" x14ac:dyDescent="0.45">
      <c r="B66" s="491"/>
      <c r="C66" s="491"/>
      <c r="D66" s="490"/>
      <c r="E66" s="490"/>
      <c r="F66" s="490"/>
      <c r="G66" s="490"/>
      <c r="H66" s="465"/>
      <c r="I66" s="465"/>
      <c r="J66" s="465"/>
      <c r="K66" s="465"/>
      <c r="L66" s="465"/>
      <c r="M66" s="465"/>
      <c r="N66" s="465"/>
      <c r="O66" s="465"/>
      <c r="P66" s="465"/>
      <c r="Q66" s="465"/>
      <c r="R66" s="465"/>
      <c r="S66" s="465"/>
      <c r="T66" s="465"/>
      <c r="U66" s="493"/>
      <c r="V66" s="465"/>
      <c r="W66" s="465"/>
      <c r="X66" s="465"/>
      <c r="Y66" s="465"/>
      <c r="Z66" s="465"/>
      <c r="AA66" s="465"/>
      <c r="AB66" s="493"/>
      <c r="AC66" s="493"/>
      <c r="AD66" s="493"/>
      <c r="AE66" s="493"/>
      <c r="AF66" s="465"/>
      <c r="AG66" s="465"/>
      <c r="AH66" s="465"/>
      <c r="AI66" s="465"/>
      <c r="AJ66" s="465"/>
      <c r="AK66" s="465"/>
      <c r="AL66" s="465"/>
      <c r="AM66" s="465"/>
      <c r="AN66" s="465"/>
      <c r="AO66" s="465"/>
      <c r="AP66" s="465"/>
      <c r="AQ66" s="465"/>
      <c r="AR66" s="465"/>
      <c r="AS66" s="465"/>
      <c r="AT66" s="465"/>
      <c r="AU66" s="465"/>
      <c r="AV66" s="465"/>
      <c r="AW66" s="465"/>
      <c r="AX66" s="465"/>
      <c r="AY66" s="465"/>
      <c r="AZ66" s="465"/>
      <c r="BA66" s="465"/>
      <c r="BB66" s="465"/>
      <c r="BC66" s="473"/>
      <c r="BG66" s="489"/>
      <c r="BH66" s="489"/>
      <c r="BI66" s="489"/>
      <c r="BJ66" s="489"/>
      <c r="BK66" s="489"/>
      <c r="BL66" s="489"/>
      <c r="BM66" s="489"/>
      <c r="BN66" s="489"/>
      <c r="BO66" s="489"/>
      <c r="BP66" s="1132" t="s">
        <v>30</v>
      </c>
      <c r="BQ66" s="2071"/>
      <c r="BR66" s="2072"/>
      <c r="BS66" s="2072"/>
      <c r="BT66" s="2072"/>
      <c r="BU66" s="2072"/>
      <c r="BV66" s="2072"/>
      <c r="BW66" s="2072"/>
      <c r="BX66" s="2073"/>
      <c r="BY66" s="1131" t="s">
        <v>31</v>
      </c>
      <c r="BZ66" s="1014"/>
      <c r="CA66" s="1014"/>
      <c r="CB66" s="1014"/>
      <c r="CC66" s="1014"/>
      <c r="CD66" s="1014"/>
      <c r="CE66" s="1014"/>
      <c r="CF66" s="1014"/>
      <c r="CG66" s="1014"/>
      <c r="CH66" s="1014"/>
      <c r="CI66" s="594"/>
      <c r="CJ66" s="1003"/>
      <c r="CK66" s="1003"/>
      <c r="CL66" s="1128" t="s">
        <v>32</v>
      </c>
      <c r="CM66" s="2071"/>
      <c r="CN66" s="2072"/>
      <c r="CO66" s="2072"/>
      <c r="CP66" s="2072"/>
      <c r="CQ66" s="2072"/>
      <c r="CR66" s="2072"/>
      <c r="CS66" s="2072"/>
      <c r="CT66" s="2073"/>
    </row>
    <row r="67" spans="2:137" ht="30.75" customHeight="1" thickTop="1" thickBot="1" x14ac:dyDescent="0.5">
      <c r="B67" s="1356" t="s">
        <v>190</v>
      </c>
      <c r="C67" s="1423"/>
      <c r="D67" s="1470"/>
      <c r="E67" s="1356" t="s">
        <v>191</v>
      </c>
      <c r="F67" s="490"/>
      <c r="G67" s="490"/>
      <c r="H67" s="465"/>
      <c r="I67" s="465"/>
      <c r="J67" s="465"/>
      <c r="K67" s="465"/>
      <c r="L67" s="465"/>
      <c r="M67" s="465"/>
      <c r="N67" s="465"/>
      <c r="O67" s="465"/>
      <c r="P67" s="465"/>
      <c r="Q67" s="465"/>
      <c r="R67" s="465"/>
      <c r="S67" s="465"/>
      <c r="T67" s="465"/>
      <c r="U67" s="493"/>
      <c r="V67" s="465"/>
      <c r="W67" s="465"/>
      <c r="X67" s="465"/>
      <c r="Y67" s="465"/>
      <c r="Z67" s="465"/>
      <c r="AA67" s="465"/>
      <c r="AB67" s="493"/>
      <c r="AC67" s="493"/>
      <c r="AD67" s="493"/>
      <c r="AE67" s="493"/>
      <c r="AF67" s="465"/>
      <c r="AG67" s="465"/>
      <c r="AH67" s="465"/>
      <c r="AI67" s="465"/>
      <c r="AJ67" s="465"/>
      <c r="AK67" s="465"/>
      <c r="AL67" s="465"/>
      <c r="AM67" s="465"/>
      <c r="AN67" s="465"/>
      <c r="AO67" s="465"/>
      <c r="AP67" s="465"/>
      <c r="AQ67" s="465"/>
      <c r="AR67" s="465"/>
      <c r="AS67" s="465"/>
      <c r="AT67" s="465"/>
      <c r="AU67" s="465"/>
      <c r="AV67" s="465"/>
      <c r="AW67" s="465"/>
      <c r="AX67" s="465"/>
      <c r="AY67" s="465"/>
      <c r="AZ67" s="465"/>
      <c r="BA67" s="465"/>
      <c r="BB67" s="465"/>
      <c r="BC67" s="473"/>
      <c r="BF67" s="644"/>
      <c r="BG67" s="1099"/>
      <c r="BH67" s="1099"/>
      <c r="BI67" s="1053"/>
      <c r="BJ67" s="1053"/>
      <c r="BK67" s="1053"/>
      <c r="BL67" s="1053"/>
      <c r="BM67" s="1348" t="s">
        <v>223</v>
      </c>
      <c r="BN67" s="1348">
        <f>+MAX(BO28,BO30,BO67)</f>
        <v>218.11046286475192</v>
      </c>
      <c r="BO67" s="1347">
        <f>+IF(AND(CK67&gt;0,BY67&gt;0),BY67)</f>
        <v>200.14767078152229</v>
      </c>
      <c r="BP67" s="1127" t="s">
        <v>41</v>
      </c>
      <c r="BQ67" s="2074"/>
      <c r="BR67" s="2075"/>
      <c r="BS67" s="2075"/>
      <c r="BT67" s="2075"/>
      <c r="BU67" s="2075"/>
      <c r="BV67" s="2075"/>
      <c r="BW67" s="2075"/>
      <c r="BX67" s="2076"/>
      <c r="BY67" s="2088">
        <f>+((D2-D3)/D2)*C7</f>
        <v>200.14767078152229</v>
      </c>
      <c r="BZ67" s="2089"/>
      <c r="CA67" s="1015"/>
      <c r="CB67" s="1015"/>
      <c r="CC67" s="1015"/>
      <c r="CD67" s="1015"/>
      <c r="CE67" s="1015"/>
      <c r="CF67" s="1015"/>
      <c r="CG67" s="1015"/>
      <c r="CH67" s="1015"/>
      <c r="CI67" s="586"/>
      <c r="CJ67" s="1004"/>
      <c r="CK67" s="2090">
        <f>+(D3/D2)*C7</f>
        <v>47.152329218477689</v>
      </c>
      <c r="CL67" s="2091"/>
      <c r="CM67" s="2074"/>
      <c r="CN67" s="2075"/>
      <c r="CO67" s="2075"/>
      <c r="CP67" s="2075"/>
      <c r="CQ67" s="2075"/>
      <c r="CR67" s="2075"/>
      <c r="CS67" s="2075"/>
      <c r="CT67" s="2076"/>
      <c r="CU67" s="1347">
        <f>+IF(AND(BY67&gt;0,CK67&gt;0),CK67)</f>
        <v>47.152329218477689</v>
      </c>
      <c r="CV67" s="1348">
        <f>+MAX(CU28,CU30,CU67)</f>
        <v>123.39906094477192</v>
      </c>
      <c r="CW67" s="1348" t="s">
        <v>224</v>
      </c>
    </row>
    <row r="68" spans="2:137" ht="19.5" hidden="1" customHeight="1" thickTop="1" thickBot="1" x14ac:dyDescent="0.45">
      <c r="B68" s="1423"/>
      <c r="C68" s="1423"/>
      <c r="D68" s="1471"/>
      <c r="E68" s="1425"/>
      <c r="F68" s="490"/>
      <c r="G68" s="490"/>
      <c r="H68" s="465"/>
      <c r="I68" s="465"/>
      <c r="J68" s="465"/>
      <c r="K68" s="465"/>
      <c r="L68" s="465"/>
      <c r="M68" s="465"/>
      <c r="N68" s="465"/>
      <c r="O68" s="465"/>
      <c r="P68" s="465"/>
      <c r="Q68" s="465"/>
      <c r="R68" s="465"/>
      <c r="S68" s="465"/>
      <c r="T68" s="465"/>
      <c r="U68" s="493"/>
      <c r="V68" s="465"/>
      <c r="W68" s="465"/>
      <c r="X68" s="465"/>
      <c r="Y68" s="465"/>
      <c r="Z68" s="465"/>
      <c r="AA68" s="465"/>
      <c r="AB68" s="493"/>
      <c r="AC68" s="493"/>
      <c r="AD68" s="493"/>
      <c r="AE68" s="493"/>
      <c r="AF68" s="465"/>
      <c r="AG68" s="465"/>
      <c r="AH68" s="465"/>
      <c r="AI68" s="465"/>
      <c r="AJ68" s="465"/>
      <c r="AK68" s="465"/>
      <c r="AL68" s="465"/>
      <c r="AM68" s="465"/>
      <c r="AN68" s="465"/>
      <c r="AO68" s="465"/>
      <c r="AP68" s="465"/>
      <c r="AQ68" s="465"/>
      <c r="AR68" s="465"/>
      <c r="AS68" s="465"/>
      <c r="AT68" s="465"/>
      <c r="AU68" s="465"/>
      <c r="AV68" s="465"/>
      <c r="AW68" s="465"/>
      <c r="AX68" s="465"/>
      <c r="AY68" s="465"/>
      <c r="AZ68" s="465"/>
      <c r="BA68" s="465"/>
      <c r="BB68" s="465"/>
      <c r="BC68" s="473"/>
      <c r="BF68" s="644"/>
      <c r="BG68" s="1099"/>
      <c r="BH68" s="1099"/>
      <c r="BI68" s="1053"/>
      <c r="BJ68" s="1053"/>
      <c r="BK68" s="1053"/>
      <c r="BL68" s="1053"/>
      <c r="BM68" s="1053"/>
      <c r="BN68" s="489"/>
      <c r="BO68" s="489"/>
      <c r="BP68" s="1112"/>
      <c r="BQ68" s="1268"/>
      <c r="BR68" s="509"/>
      <c r="BS68" s="1268"/>
      <c r="BT68" s="1268"/>
      <c r="BU68" s="1268"/>
      <c r="BV68" s="509"/>
      <c r="BW68" s="1268"/>
      <c r="BX68" s="1268"/>
      <c r="BY68" s="1268"/>
      <c r="BZ68" s="1268"/>
      <c r="CA68" s="1268"/>
      <c r="CB68" s="1268"/>
      <c r="CC68" s="1268"/>
      <c r="CD68" s="1268"/>
      <c r="CE68" s="1268"/>
      <c r="CF68" s="1268"/>
      <c r="CG68" s="495"/>
      <c r="CH68" s="1268"/>
      <c r="CI68" s="495"/>
      <c r="CJ68" s="1267"/>
      <c r="CK68" s="1267"/>
      <c r="CL68" s="1267"/>
      <c r="CM68" s="1267"/>
      <c r="CN68" s="1043"/>
      <c r="CO68" s="1043"/>
    </row>
    <row r="69" spans="2:137" ht="21.75" hidden="1" customHeight="1" thickTop="1" thickBot="1" x14ac:dyDescent="0.45">
      <c r="B69" s="1423"/>
      <c r="C69" s="1423"/>
      <c r="D69" s="1471"/>
      <c r="E69" s="1425"/>
      <c r="F69" s="490"/>
      <c r="G69" s="490"/>
      <c r="H69" s="465"/>
      <c r="I69" s="465"/>
      <c r="J69" s="465"/>
      <c r="K69" s="465"/>
      <c r="L69" s="465"/>
      <c r="M69" s="465"/>
      <c r="N69" s="465"/>
      <c r="O69" s="465"/>
      <c r="P69" s="465"/>
      <c r="Q69" s="465"/>
      <c r="R69" s="465"/>
      <c r="S69" s="465"/>
      <c r="T69" s="465"/>
      <c r="U69" s="493"/>
      <c r="V69" s="465"/>
      <c r="W69" s="465"/>
      <c r="X69" s="465"/>
      <c r="Y69" s="465"/>
      <c r="Z69" s="465"/>
      <c r="AA69" s="465"/>
      <c r="AB69" s="493"/>
      <c r="AC69" s="493"/>
      <c r="AD69" s="493"/>
      <c r="AE69" s="493"/>
      <c r="AF69" s="465"/>
      <c r="AG69" s="465"/>
      <c r="AH69" s="465"/>
      <c r="AI69" s="465"/>
      <c r="AJ69" s="465"/>
      <c r="AK69" s="465"/>
      <c r="AL69" s="465"/>
      <c r="AM69" s="465"/>
      <c r="AN69" s="465"/>
      <c r="AO69" s="465"/>
      <c r="AP69" s="465"/>
      <c r="AQ69" s="465"/>
      <c r="AR69" s="465"/>
      <c r="AS69" s="465"/>
      <c r="AT69" s="465"/>
      <c r="AU69" s="465"/>
      <c r="AV69" s="465"/>
      <c r="AW69" s="465"/>
      <c r="AX69" s="465"/>
      <c r="AY69" s="465"/>
      <c r="AZ69" s="465"/>
      <c r="BA69" s="465"/>
      <c r="BB69" s="465"/>
      <c r="BC69" s="473"/>
      <c r="BF69" s="644"/>
      <c r="BG69" s="1099"/>
      <c r="BH69" s="1099"/>
      <c r="BI69" s="1053"/>
      <c r="BJ69" s="1053"/>
      <c r="BK69" s="1053"/>
      <c r="BL69" s="1053"/>
      <c r="BM69" s="1053"/>
      <c r="BN69" s="489"/>
      <c r="BO69" s="524"/>
      <c r="BP69" s="1112"/>
      <c r="BQ69" s="1112"/>
      <c r="BR69" s="1111"/>
      <c r="BS69" s="1112"/>
      <c r="BT69" s="1112"/>
      <c r="BU69" s="1112"/>
      <c r="BX69" s="474">
        <v>11</v>
      </c>
      <c r="BY69" s="1111"/>
      <c r="BZ69" s="1112"/>
      <c r="CA69" s="1112"/>
      <c r="CB69" s="1112"/>
      <c r="CC69" s="1112"/>
      <c r="CD69" s="1112"/>
      <c r="CE69" s="1112"/>
      <c r="CF69" s="1112"/>
      <c r="CG69" s="1112"/>
      <c r="CH69" s="1112"/>
      <c r="CI69" s="1112"/>
      <c r="CJ69" s="1115" t="b">
        <f>IF(CK84=21,10)</f>
        <v>0</v>
      </c>
      <c r="CK69" s="1114"/>
      <c r="CL69" s="1113" t="b">
        <f>IF(CK84=21,12)</f>
        <v>0</v>
      </c>
      <c r="CM69" s="1104"/>
      <c r="CN69" s="1094"/>
      <c r="CO69" s="1093"/>
      <c r="CP69" s="1093"/>
      <c r="CQ69" s="1093"/>
      <c r="CR69" s="1093"/>
      <c r="CS69" s="1093"/>
      <c r="CT69" s="1093"/>
      <c r="CU69" s="1093"/>
      <c r="CV69" s="1093"/>
    </row>
    <row r="70" spans="2:137" ht="21.75" hidden="1" customHeight="1" thickTop="1" thickBot="1" x14ac:dyDescent="0.45">
      <c r="B70" s="1423"/>
      <c r="C70" s="1423"/>
      <c r="D70" s="1471"/>
      <c r="E70" s="1425"/>
      <c r="F70" s="490"/>
      <c r="G70" s="490"/>
      <c r="H70" s="465"/>
      <c r="I70" s="465"/>
      <c r="J70" s="465"/>
      <c r="K70" s="465"/>
      <c r="L70" s="465"/>
      <c r="M70" s="465"/>
      <c r="N70" s="465"/>
      <c r="O70" s="465"/>
      <c r="P70" s="465"/>
      <c r="Q70" s="465"/>
      <c r="R70" s="465"/>
      <c r="S70" s="465"/>
      <c r="T70" s="465"/>
      <c r="U70" s="493"/>
      <c r="V70" s="465"/>
      <c r="W70" s="465"/>
      <c r="X70" s="465"/>
      <c r="Y70" s="465"/>
      <c r="Z70" s="465"/>
      <c r="AA70" s="465"/>
      <c r="AB70" s="493"/>
      <c r="AC70" s="493"/>
      <c r="AD70" s="493"/>
      <c r="AE70" s="493"/>
      <c r="AF70" s="465"/>
      <c r="AG70" s="465"/>
      <c r="AH70" s="465"/>
      <c r="AI70" s="465"/>
      <c r="AJ70" s="465"/>
      <c r="AK70" s="465"/>
      <c r="AL70" s="465"/>
      <c r="AM70" s="465"/>
      <c r="AN70" s="465"/>
      <c r="AO70" s="465"/>
      <c r="AP70" s="465"/>
      <c r="AQ70" s="465"/>
      <c r="AR70" s="465"/>
      <c r="AS70" s="465"/>
      <c r="AT70" s="465"/>
      <c r="AU70" s="465"/>
      <c r="AV70" s="465"/>
      <c r="AW70" s="465"/>
      <c r="AX70" s="465"/>
      <c r="AY70" s="465"/>
      <c r="AZ70" s="465"/>
      <c r="BA70" s="465"/>
      <c r="BB70" s="465"/>
      <c r="BC70" s="473"/>
      <c r="BF70" s="644"/>
      <c r="BG70" s="1099"/>
      <c r="BH70" s="1099"/>
      <c r="BI70" s="1053"/>
      <c r="BJ70" s="1053"/>
      <c r="BK70" s="1053"/>
      <c r="BL70" s="1053"/>
      <c r="BM70" s="1053"/>
      <c r="BN70" s="489"/>
      <c r="BO70" s="524"/>
      <c r="BP70" s="1112"/>
      <c r="BQ70" s="1112"/>
      <c r="BR70" s="1111"/>
      <c r="BS70" s="1112"/>
      <c r="BT70" s="1112"/>
      <c r="BU70" s="1112"/>
      <c r="BX70" s="474">
        <v>10</v>
      </c>
      <c r="BY70" s="1111"/>
      <c r="BZ70" s="1112"/>
      <c r="CA70" s="1112"/>
      <c r="CB70" s="1112"/>
      <c r="CC70" s="1112"/>
      <c r="CD70" s="1112"/>
      <c r="CE70" s="1112"/>
      <c r="CF70" s="1112"/>
      <c r="CG70" s="1112"/>
      <c r="CH70" s="1121" t="b">
        <f>IF(CJ84=20,8)</f>
        <v>0</v>
      </c>
      <c r="CI70" s="1120"/>
      <c r="CJ70" s="1120"/>
      <c r="CK70" s="1120"/>
      <c r="CL70" s="1119" t="b">
        <f>IF(CJ84=20,12)</f>
        <v>0</v>
      </c>
      <c r="CM70" s="1104"/>
      <c r="CN70" s="1094"/>
      <c r="CO70" s="1093"/>
      <c r="CP70" s="1093"/>
      <c r="CQ70" s="1093"/>
      <c r="CR70" s="1093"/>
      <c r="CS70" s="1093"/>
      <c r="CT70" s="1093"/>
      <c r="CU70" s="1093"/>
      <c r="CV70" s="1093"/>
    </row>
    <row r="71" spans="2:137" ht="21.75" hidden="1" customHeight="1" thickTop="1" thickBot="1" x14ac:dyDescent="0.45">
      <c r="B71" s="1423"/>
      <c r="C71" s="1423"/>
      <c r="D71" s="1471"/>
      <c r="E71" s="1425"/>
      <c r="F71" s="490"/>
      <c r="G71" s="490"/>
      <c r="H71" s="465"/>
      <c r="I71" s="465"/>
      <c r="J71" s="465"/>
      <c r="K71" s="465"/>
      <c r="L71" s="465"/>
      <c r="M71" s="465"/>
      <c r="N71" s="465"/>
      <c r="O71" s="465"/>
      <c r="P71" s="465"/>
      <c r="Q71" s="465"/>
      <c r="R71" s="465"/>
      <c r="S71" s="465"/>
      <c r="T71" s="465"/>
      <c r="U71" s="493"/>
      <c r="V71" s="465"/>
      <c r="W71" s="465"/>
      <c r="X71" s="465"/>
      <c r="Y71" s="465"/>
      <c r="Z71" s="465"/>
      <c r="AA71" s="465"/>
      <c r="AB71" s="493"/>
      <c r="AC71" s="493"/>
      <c r="AD71" s="493"/>
      <c r="AE71" s="493"/>
      <c r="AF71" s="465"/>
      <c r="AG71" s="465"/>
      <c r="AH71" s="465"/>
      <c r="AI71" s="465"/>
      <c r="AJ71" s="465"/>
      <c r="AK71" s="465"/>
      <c r="AL71" s="465"/>
      <c r="AM71" s="465"/>
      <c r="AN71" s="465"/>
      <c r="AO71" s="465"/>
      <c r="AP71" s="465"/>
      <c r="AQ71" s="465"/>
      <c r="AR71" s="465"/>
      <c r="AS71" s="465"/>
      <c r="AT71" s="465"/>
      <c r="AU71" s="465"/>
      <c r="AV71" s="465"/>
      <c r="AW71" s="465"/>
      <c r="AX71" s="465"/>
      <c r="AY71" s="465"/>
      <c r="AZ71" s="465"/>
      <c r="BA71" s="465"/>
      <c r="BB71" s="465"/>
      <c r="BC71" s="473"/>
      <c r="BF71" s="644"/>
      <c r="BG71" s="1099"/>
      <c r="BH71" s="1099"/>
      <c r="BI71" s="1053"/>
      <c r="BJ71" s="1053"/>
      <c r="BK71" s="1053"/>
      <c r="BL71" s="1053"/>
      <c r="BM71" s="1053"/>
      <c r="BN71" s="489"/>
      <c r="BO71" s="524"/>
      <c r="BP71" s="1112"/>
      <c r="BQ71" s="1112"/>
      <c r="BR71" s="1111"/>
      <c r="BS71" s="1112"/>
      <c r="BT71" s="1112"/>
      <c r="BU71" s="1112"/>
      <c r="BX71" s="474">
        <v>9</v>
      </c>
      <c r="BY71" s="1111"/>
      <c r="BZ71" s="1112"/>
      <c r="CA71" s="1112"/>
      <c r="CB71" s="1112"/>
      <c r="CC71" s="1112"/>
      <c r="CD71" s="1112"/>
      <c r="CE71" s="1112"/>
      <c r="CF71" s="1101" t="b">
        <f>IF(CI84=19,6)</f>
        <v>0</v>
      </c>
      <c r="CG71" s="1117"/>
      <c r="CH71" s="1118"/>
      <c r="CI71" s="1117"/>
      <c r="CJ71" s="1118"/>
      <c r="CK71" s="1117"/>
      <c r="CL71" s="1116" t="b">
        <f>IF(CI84=19,12)</f>
        <v>0</v>
      </c>
      <c r="CM71" s="1104"/>
      <c r="CN71" s="1094"/>
      <c r="CO71" s="1093"/>
      <c r="CP71" s="1093"/>
      <c r="CQ71" s="1093"/>
      <c r="CR71" s="1093"/>
      <c r="CS71" s="1093"/>
      <c r="CT71" s="1093"/>
      <c r="CU71" s="1093"/>
      <c r="CV71" s="1093"/>
    </row>
    <row r="72" spans="2:137" ht="21.75" hidden="1" customHeight="1" thickTop="1" thickBot="1" x14ac:dyDescent="0.45">
      <c r="B72" s="1423"/>
      <c r="C72" s="1423"/>
      <c r="D72" s="1471"/>
      <c r="E72" s="1425"/>
      <c r="F72" s="490"/>
      <c r="G72" s="490"/>
      <c r="H72" s="465"/>
      <c r="I72" s="465"/>
      <c r="J72" s="465"/>
      <c r="K72" s="465"/>
      <c r="L72" s="465"/>
      <c r="M72" s="465"/>
      <c r="N72" s="465"/>
      <c r="O72" s="465"/>
      <c r="P72" s="465"/>
      <c r="Q72" s="465"/>
      <c r="R72" s="465"/>
      <c r="S72" s="465"/>
      <c r="T72" s="465"/>
      <c r="U72" s="493"/>
      <c r="V72" s="465"/>
      <c r="W72" s="465"/>
      <c r="X72" s="465"/>
      <c r="Y72" s="465"/>
      <c r="Z72" s="465"/>
      <c r="AA72" s="465"/>
      <c r="AB72" s="493"/>
      <c r="AC72" s="493"/>
      <c r="AD72" s="493"/>
      <c r="AE72" s="493"/>
      <c r="AF72" s="465"/>
      <c r="AG72" s="465"/>
      <c r="AH72" s="465"/>
      <c r="AI72" s="465"/>
      <c r="AJ72" s="465"/>
      <c r="AK72" s="465"/>
      <c r="AL72" s="465"/>
      <c r="AM72" s="465"/>
      <c r="AN72" s="465"/>
      <c r="AO72" s="465"/>
      <c r="AP72" s="465"/>
      <c r="AQ72" s="465"/>
      <c r="AR72" s="465"/>
      <c r="AS72" s="465"/>
      <c r="AT72" s="465"/>
      <c r="AU72" s="465"/>
      <c r="AV72" s="465"/>
      <c r="AW72" s="465"/>
      <c r="AX72" s="465"/>
      <c r="AY72" s="465"/>
      <c r="AZ72" s="465"/>
      <c r="BA72" s="465"/>
      <c r="BB72" s="465"/>
      <c r="BC72" s="473"/>
      <c r="BF72" s="644"/>
      <c r="BG72" s="1099"/>
      <c r="BH72" s="1099"/>
      <c r="BI72" s="1053"/>
      <c r="BJ72" s="1053"/>
      <c r="BK72" s="1053"/>
      <c r="BL72" s="1053"/>
      <c r="BM72" s="1053"/>
      <c r="BN72" s="489"/>
      <c r="BO72" s="524"/>
      <c r="BP72" s="1112"/>
      <c r="BQ72" s="1112"/>
      <c r="BR72" s="1111"/>
      <c r="BS72" s="1112"/>
      <c r="BT72" s="1112"/>
      <c r="BU72" s="1112"/>
      <c r="BX72" s="474">
        <v>8</v>
      </c>
      <c r="BY72" s="1111"/>
      <c r="BZ72" s="1112"/>
      <c r="CA72" s="1112"/>
      <c r="CB72" s="1112"/>
      <c r="CC72" s="1112"/>
      <c r="CF72" s="1115" t="b">
        <f>IF(CH84=18,6)</f>
        <v>0</v>
      </c>
      <c r="CG72" s="1114"/>
      <c r="CH72" s="1114"/>
      <c r="CI72" s="1114"/>
      <c r="CJ72" s="1113" t="b">
        <f>IF(CH84=18,10)</f>
        <v>0</v>
      </c>
      <c r="CK72" s="1112"/>
      <c r="CM72" s="1104"/>
      <c r="CN72" s="1094"/>
      <c r="CO72" s="1093"/>
      <c r="CP72" s="1093"/>
      <c r="CQ72" s="1093"/>
      <c r="CR72" s="1093"/>
      <c r="CS72" s="1093"/>
      <c r="CT72" s="1093"/>
      <c r="CU72" s="1093"/>
      <c r="CV72" s="1093"/>
    </row>
    <row r="73" spans="2:137" ht="21.75" hidden="1" customHeight="1" thickTop="1" thickBot="1" x14ac:dyDescent="0.45">
      <c r="B73" s="1423"/>
      <c r="C73" s="1423"/>
      <c r="D73" s="1471"/>
      <c r="E73" s="1425"/>
      <c r="F73" s="490"/>
      <c r="G73" s="490"/>
      <c r="H73" s="465"/>
      <c r="I73" s="465"/>
      <c r="J73" s="465"/>
      <c r="K73" s="465"/>
      <c r="L73" s="465"/>
      <c r="M73" s="465"/>
      <c r="N73" s="465"/>
      <c r="O73" s="465"/>
      <c r="P73" s="465"/>
      <c r="Q73" s="465"/>
      <c r="R73" s="465"/>
      <c r="S73" s="465"/>
      <c r="T73" s="465"/>
      <c r="U73" s="493"/>
      <c r="V73" s="465"/>
      <c r="W73" s="465"/>
      <c r="X73" s="465"/>
      <c r="Y73" s="465"/>
      <c r="Z73" s="465"/>
      <c r="AA73" s="465"/>
      <c r="AB73" s="493"/>
      <c r="AC73" s="493"/>
      <c r="AD73" s="493"/>
      <c r="AE73" s="493"/>
      <c r="AF73" s="465"/>
      <c r="AG73" s="465"/>
      <c r="AH73" s="465"/>
      <c r="AI73" s="465"/>
      <c r="AJ73" s="465"/>
      <c r="AK73" s="465"/>
      <c r="AL73" s="465"/>
      <c r="AM73" s="465"/>
      <c r="AN73" s="465"/>
      <c r="AO73" s="465"/>
      <c r="AP73" s="465"/>
      <c r="AQ73" s="465"/>
      <c r="AR73" s="465"/>
      <c r="AS73" s="465"/>
      <c r="AT73" s="465"/>
      <c r="AU73" s="465"/>
      <c r="AV73" s="465"/>
      <c r="AW73" s="465"/>
      <c r="AX73" s="465"/>
      <c r="AY73" s="465"/>
      <c r="AZ73" s="465"/>
      <c r="BA73" s="465"/>
      <c r="BB73" s="465"/>
      <c r="BC73" s="473"/>
      <c r="BF73" s="644"/>
      <c r="BG73" s="1099"/>
      <c r="BH73" s="1099"/>
      <c r="BI73" s="1053"/>
      <c r="BJ73" s="1053"/>
      <c r="BK73" s="1053"/>
      <c r="BL73" s="1053"/>
      <c r="BM73" s="1053"/>
      <c r="BN73" s="489"/>
      <c r="BO73" s="524"/>
      <c r="BP73" s="1112"/>
      <c r="BQ73" s="1112"/>
      <c r="BR73" s="1111"/>
      <c r="BS73" s="1112"/>
      <c r="BT73" s="1112"/>
      <c r="BU73" s="1112"/>
      <c r="BX73" s="474">
        <v>7</v>
      </c>
      <c r="BY73" s="1111"/>
      <c r="BZ73" s="1112"/>
      <c r="CA73" s="1112"/>
      <c r="CB73" s="1101" t="b">
        <f>IF(CG84=17,4)</f>
        <v>0</v>
      </c>
      <c r="CC73" s="1117"/>
      <c r="CD73" s="1117"/>
      <c r="CE73" s="1117"/>
      <c r="CF73" s="1117"/>
      <c r="CG73" s="1117"/>
      <c r="CH73" s="1117"/>
      <c r="CI73" s="1117"/>
      <c r="CJ73" s="1117"/>
      <c r="CK73" s="1114"/>
      <c r="CL73" s="1116" t="b">
        <f>IF(CG84=17,12)</f>
        <v>0</v>
      </c>
      <c r="CM73" s="1104"/>
      <c r="CN73" s="1094"/>
      <c r="CO73" s="1093"/>
      <c r="CP73" s="1093"/>
      <c r="CQ73" s="1093"/>
      <c r="CR73" s="1093"/>
      <c r="CS73" s="1093"/>
      <c r="CT73" s="1093"/>
      <c r="CU73" s="1093"/>
      <c r="CV73" s="1093"/>
    </row>
    <row r="74" spans="2:137" ht="21.75" hidden="1" customHeight="1" thickTop="1" thickBot="1" x14ac:dyDescent="0.45">
      <c r="B74" s="1423"/>
      <c r="C74" s="1423"/>
      <c r="D74" s="1471"/>
      <c r="E74" s="1425"/>
      <c r="F74" s="490"/>
      <c r="G74" s="490"/>
      <c r="H74" s="465"/>
      <c r="I74" s="465"/>
      <c r="J74" s="465"/>
      <c r="K74" s="465"/>
      <c r="L74" s="465"/>
      <c r="M74" s="465"/>
      <c r="N74" s="465"/>
      <c r="O74" s="465"/>
      <c r="P74" s="465"/>
      <c r="Q74" s="465"/>
      <c r="R74" s="465"/>
      <c r="S74" s="465"/>
      <c r="T74" s="465"/>
      <c r="U74" s="493"/>
      <c r="V74" s="465"/>
      <c r="W74" s="465"/>
      <c r="X74" s="465"/>
      <c r="Y74" s="465"/>
      <c r="Z74" s="465"/>
      <c r="AA74" s="465"/>
      <c r="AB74" s="493"/>
      <c r="AC74" s="493"/>
      <c r="AD74" s="493"/>
      <c r="AE74" s="493"/>
      <c r="AF74" s="465"/>
      <c r="AG74" s="465"/>
      <c r="AH74" s="465"/>
      <c r="AI74" s="465"/>
      <c r="AJ74" s="465"/>
      <c r="AK74" s="465"/>
      <c r="AL74" s="465"/>
      <c r="AM74" s="465"/>
      <c r="AN74" s="465"/>
      <c r="AO74" s="465"/>
      <c r="AP74" s="465"/>
      <c r="AQ74" s="465"/>
      <c r="AR74" s="465"/>
      <c r="AS74" s="465"/>
      <c r="AT74" s="465"/>
      <c r="AU74" s="465"/>
      <c r="AV74" s="465"/>
      <c r="AW74" s="465"/>
      <c r="AX74" s="465"/>
      <c r="AY74" s="465"/>
      <c r="AZ74" s="465"/>
      <c r="BA74" s="465"/>
      <c r="BB74" s="465"/>
      <c r="BC74" s="473"/>
      <c r="BF74" s="495"/>
      <c r="BG74" s="1099"/>
      <c r="BH74" s="1099"/>
      <c r="BI74" s="1053"/>
      <c r="BJ74" s="1053"/>
      <c r="BK74" s="1053"/>
      <c r="BL74" s="1053"/>
      <c r="BM74" s="1053"/>
      <c r="BN74" s="489"/>
      <c r="BO74" s="524"/>
      <c r="BP74" s="1112"/>
      <c r="BQ74" s="1112"/>
      <c r="BR74" s="1111"/>
      <c r="BS74" s="1112"/>
      <c r="BT74" s="1112"/>
      <c r="BU74" s="1112"/>
      <c r="BX74" s="474">
        <v>6</v>
      </c>
      <c r="BY74" s="1111"/>
      <c r="BZ74" s="1101" t="b">
        <f>IF(CF84=16,2)</f>
        <v>0</v>
      </c>
      <c r="CA74" s="1117"/>
      <c r="CB74" s="1117"/>
      <c r="CC74" s="1117"/>
      <c r="CD74" s="1117"/>
      <c r="CE74" s="1117"/>
      <c r="CF74" s="1117"/>
      <c r="CG74" s="1117"/>
      <c r="CH74" s="1117"/>
      <c r="CI74" s="1117"/>
      <c r="CJ74" s="1117"/>
      <c r="CK74" s="1117"/>
      <c r="CL74" s="1116" t="b">
        <f>IF(CF84=16,12)</f>
        <v>0</v>
      </c>
      <c r="CM74" s="1104"/>
      <c r="CN74" s="1094"/>
      <c r="CO74" s="1093"/>
      <c r="CP74" s="1093"/>
      <c r="CQ74" s="1093"/>
      <c r="CR74" s="1093"/>
      <c r="CS74" s="1093"/>
      <c r="CT74" s="1093"/>
      <c r="CU74" s="1093"/>
      <c r="CV74" s="1093"/>
    </row>
    <row r="75" spans="2:137" ht="21.75" hidden="1" customHeight="1" thickTop="1" thickBot="1" x14ac:dyDescent="0.45">
      <c r="B75" s="1423"/>
      <c r="C75" s="1423"/>
      <c r="D75" s="1471"/>
      <c r="E75" s="1425"/>
      <c r="F75" s="490"/>
      <c r="G75" s="490"/>
      <c r="H75" s="465"/>
      <c r="I75" s="465"/>
      <c r="J75" s="465"/>
      <c r="K75" s="465"/>
      <c r="L75" s="465"/>
      <c r="M75" s="465"/>
      <c r="N75" s="465"/>
      <c r="O75" s="465"/>
      <c r="P75" s="465"/>
      <c r="Q75" s="465"/>
      <c r="R75" s="465"/>
      <c r="S75" s="465"/>
      <c r="T75" s="465"/>
      <c r="U75" s="493"/>
      <c r="V75" s="465"/>
      <c r="W75" s="465"/>
      <c r="X75" s="465"/>
      <c r="Y75" s="465"/>
      <c r="Z75" s="465"/>
      <c r="AA75" s="465"/>
      <c r="AB75" s="493"/>
      <c r="AC75" s="493"/>
      <c r="AD75" s="493"/>
      <c r="AE75" s="493"/>
      <c r="AF75" s="465"/>
      <c r="AG75" s="465"/>
      <c r="AH75" s="465"/>
      <c r="AI75" s="465"/>
      <c r="AJ75" s="465"/>
      <c r="AK75" s="465"/>
      <c r="AL75" s="465"/>
      <c r="AM75" s="465"/>
      <c r="AN75" s="465"/>
      <c r="AO75" s="465"/>
      <c r="AP75" s="465"/>
      <c r="AQ75" s="465"/>
      <c r="AR75" s="465"/>
      <c r="AS75" s="465"/>
      <c r="AT75" s="465"/>
      <c r="AU75" s="465"/>
      <c r="AV75" s="465"/>
      <c r="AW75" s="465"/>
      <c r="AX75" s="465"/>
      <c r="AY75" s="465"/>
      <c r="AZ75" s="465"/>
      <c r="BA75" s="465"/>
      <c r="BB75" s="465"/>
      <c r="BC75" s="473"/>
      <c r="BF75" s="1099"/>
      <c r="BG75" s="1099"/>
      <c r="BH75" s="1099"/>
      <c r="BI75" s="1053"/>
      <c r="BJ75" s="1053"/>
      <c r="BK75" s="1053"/>
      <c r="BL75" s="1053"/>
      <c r="BM75" s="1053"/>
      <c r="BN75" s="489"/>
      <c r="BO75" s="524"/>
      <c r="BP75" s="1112"/>
      <c r="BQ75" s="1112"/>
      <c r="BR75" s="1111"/>
      <c r="BS75" s="1112"/>
      <c r="BT75" s="1112"/>
      <c r="BU75" s="1112"/>
      <c r="BX75" s="476" t="s">
        <v>86</v>
      </c>
      <c r="BY75" s="1101" t="b">
        <f>IF(CE84=15,1)</f>
        <v>0</v>
      </c>
      <c r="BZ75" s="1117"/>
      <c r="CA75" s="1117"/>
      <c r="CB75" s="1117"/>
      <c r="CC75" s="1117"/>
      <c r="CD75" s="1117"/>
      <c r="CE75" s="1117"/>
      <c r="CF75" s="1117"/>
      <c r="CG75" s="1117"/>
      <c r="CH75" s="1117"/>
      <c r="CI75" s="1117"/>
      <c r="CJ75" s="1117"/>
      <c r="CK75" s="1116" t="b">
        <f>IF(CE84=15,11)</f>
        <v>0</v>
      </c>
      <c r="CL75" s="1111"/>
      <c r="CM75" s="1104"/>
      <c r="CN75" s="1094"/>
      <c r="CO75" s="1093"/>
      <c r="CP75" s="1093"/>
      <c r="CQ75" s="1093"/>
      <c r="CR75" s="1093"/>
      <c r="CS75" s="1093"/>
      <c r="CT75" s="1093"/>
      <c r="CU75" s="1093"/>
      <c r="CV75" s="1093"/>
    </row>
    <row r="76" spans="2:137" ht="21.75" hidden="1" customHeight="1" thickTop="1" thickBot="1" x14ac:dyDescent="0.45">
      <c r="B76" s="1423"/>
      <c r="C76" s="1423"/>
      <c r="D76" s="1471"/>
      <c r="E76" s="1425"/>
      <c r="F76" s="490"/>
      <c r="G76" s="490"/>
      <c r="H76" s="465"/>
      <c r="I76" s="465"/>
      <c r="J76" s="465"/>
      <c r="K76" s="465"/>
      <c r="L76" s="465"/>
      <c r="M76" s="465"/>
      <c r="N76" s="465"/>
      <c r="O76" s="465"/>
      <c r="P76" s="465"/>
      <c r="Q76" s="465"/>
      <c r="R76" s="465"/>
      <c r="S76" s="465"/>
      <c r="T76" s="465"/>
      <c r="U76" s="493"/>
      <c r="V76" s="465"/>
      <c r="W76" s="465"/>
      <c r="X76" s="465"/>
      <c r="Y76" s="465"/>
      <c r="Z76" s="465"/>
      <c r="AA76" s="465"/>
      <c r="AB76" s="493"/>
      <c r="AC76" s="493"/>
      <c r="AD76" s="493"/>
      <c r="AE76" s="493"/>
      <c r="AF76" s="465"/>
      <c r="AG76" s="465"/>
      <c r="AH76" s="465"/>
      <c r="AI76" s="465"/>
      <c r="AJ76" s="465"/>
      <c r="AK76" s="465"/>
      <c r="AL76" s="465"/>
      <c r="AM76" s="465"/>
      <c r="AN76" s="465"/>
      <c r="AO76" s="465"/>
      <c r="AP76" s="465"/>
      <c r="AQ76" s="465"/>
      <c r="AR76" s="465"/>
      <c r="AS76" s="465"/>
      <c r="AT76" s="465"/>
      <c r="AU76" s="465"/>
      <c r="AV76" s="465"/>
      <c r="AW76" s="465"/>
      <c r="AX76" s="465"/>
      <c r="AY76" s="465"/>
      <c r="AZ76" s="465"/>
      <c r="BA76" s="465"/>
      <c r="BB76" s="465"/>
      <c r="BC76" s="473"/>
      <c r="BF76" s="1099"/>
      <c r="BG76" s="1099"/>
      <c r="BH76" s="1099"/>
      <c r="BI76" s="1053"/>
      <c r="BJ76" s="1053"/>
      <c r="BK76" s="1053"/>
      <c r="BL76" s="1053"/>
      <c r="BM76" s="1053"/>
      <c r="BN76" s="489"/>
      <c r="BO76" s="524"/>
      <c r="BP76" s="1112"/>
      <c r="BQ76" s="1112"/>
      <c r="BR76" s="1111"/>
      <c r="BS76" s="1112"/>
      <c r="BT76" s="1112"/>
      <c r="BU76" s="1112"/>
      <c r="BX76" s="476" t="s">
        <v>85</v>
      </c>
      <c r="BY76" s="1115" t="b">
        <f>IF(CD84=14,1)</f>
        <v>0</v>
      </c>
      <c r="BZ76" s="1114"/>
      <c r="CA76" s="1114"/>
      <c r="CB76" s="1114"/>
      <c r="CC76" s="1114"/>
      <c r="CD76" s="1114"/>
      <c r="CE76" s="1114"/>
      <c r="CF76" s="1114"/>
      <c r="CG76" s="1114"/>
      <c r="CH76" s="1114"/>
      <c r="CI76" s="1113" t="b">
        <f>IF(CD84=14,9)</f>
        <v>0</v>
      </c>
      <c r="CJ76" s="1112"/>
      <c r="CK76" s="1112"/>
      <c r="CL76" s="1111"/>
      <c r="CM76" s="1104"/>
      <c r="CN76" s="1094"/>
      <c r="CO76" s="1093"/>
      <c r="CP76" s="1093"/>
      <c r="CQ76" s="1093"/>
      <c r="CR76" s="1093"/>
      <c r="CS76" s="1093"/>
      <c r="CT76" s="1093"/>
      <c r="CU76" s="1093"/>
      <c r="CV76" s="1093"/>
    </row>
    <row r="77" spans="2:137" ht="21.75" hidden="1" customHeight="1" thickTop="1" thickBot="1" x14ac:dyDescent="0.45">
      <c r="B77" s="1423"/>
      <c r="C77" s="1423"/>
      <c r="D77" s="1471"/>
      <c r="E77" s="1425"/>
      <c r="F77" s="490"/>
      <c r="G77" s="490"/>
      <c r="H77" s="465"/>
      <c r="I77" s="465"/>
      <c r="J77" s="465"/>
      <c r="K77" s="465"/>
      <c r="L77" s="465"/>
      <c r="M77" s="465"/>
      <c r="N77" s="465"/>
      <c r="O77" s="465"/>
      <c r="P77" s="465"/>
      <c r="Q77" s="465"/>
      <c r="R77" s="465"/>
      <c r="S77" s="465"/>
      <c r="T77" s="465"/>
      <c r="U77" s="493"/>
      <c r="V77" s="465"/>
      <c r="W77" s="465"/>
      <c r="X77" s="465"/>
      <c r="Y77" s="465"/>
      <c r="Z77" s="465"/>
      <c r="AA77" s="465"/>
      <c r="AB77" s="493"/>
      <c r="AC77" s="493"/>
      <c r="AD77" s="493"/>
      <c r="AE77" s="493"/>
      <c r="AF77" s="465"/>
      <c r="AG77" s="465"/>
      <c r="AH77" s="465"/>
      <c r="AI77" s="465"/>
      <c r="AJ77" s="465"/>
      <c r="AK77" s="465"/>
      <c r="AL77" s="465"/>
      <c r="AM77" s="465"/>
      <c r="AN77" s="465"/>
      <c r="AO77" s="465"/>
      <c r="AP77" s="465"/>
      <c r="AQ77" s="465"/>
      <c r="AR77" s="465"/>
      <c r="AS77" s="465"/>
      <c r="AT77" s="465"/>
      <c r="AU77" s="465"/>
      <c r="AV77" s="465"/>
      <c r="AW77" s="465"/>
      <c r="AX77" s="465"/>
      <c r="AY77" s="465"/>
      <c r="AZ77" s="465"/>
      <c r="BA77" s="465"/>
      <c r="BB77" s="465"/>
      <c r="BC77" s="473"/>
      <c r="BF77" s="1099"/>
      <c r="BG77" s="1099"/>
      <c r="BH77" s="1099"/>
      <c r="BI77" s="1053"/>
      <c r="BJ77" s="1053"/>
      <c r="BK77" s="1053"/>
      <c r="BL77" s="1053"/>
      <c r="BM77" s="1053"/>
      <c r="BN77" s="489"/>
      <c r="BO77" s="524"/>
      <c r="BP77" s="1112"/>
      <c r="BQ77" s="1112"/>
      <c r="BR77" s="1111"/>
      <c r="BS77" s="1112"/>
      <c r="BT77" s="1112"/>
      <c r="BU77" s="1112"/>
      <c r="BX77" s="474">
        <v>5</v>
      </c>
      <c r="BY77" s="1101" t="b">
        <f>IF(CC84=13,1)</f>
        <v>0</v>
      </c>
      <c r="BZ77" s="1117"/>
      <c r="CA77" s="1117"/>
      <c r="CB77" s="1118"/>
      <c r="CC77" s="1117"/>
      <c r="CD77" s="1118"/>
      <c r="CE77" s="1117"/>
      <c r="CF77" s="1117"/>
      <c r="CG77" s="1116" t="b">
        <f>IF(CC84=13,7)</f>
        <v>0</v>
      </c>
      <c r="CH77" s="1112"/>
      <c r="CI77" s="1112"/>
      <c r="CJ77" s="1112"/>
      <c r="CK77" s="1112"/>
      <c r="CL77" s="1111"/>
      <c r="CM77" s="1104"/>
      <c r="CN77" s="1094"/>
      <c r="CO77" s="1093"/>
      <c r="CP77" s="1093"/>
      <c r="CQ77" s="1093"/>
      <c r="CR77" s="1093"/>
      <c r="CS77" s="1093"/>
      <c r="CT77" s="1093"/>
      <c r="CU77" s="1093"/>
      <c r="CV77" s="1093"/>
    </row>
    <row r="78" spans="2:137" ht="21.75" hidden="1" customHeight="1" thickTop="1" thickBot="1" x14ac:dyDescent="0.45">
      <c r="B78" s="1423"/>
      <c r="C78" s="1423"/>
      <c r="D78" s="1471"/>
      <c r="E78" s="1425"/>
      <c r="F78" s="490"/>
      <c r="G78" s="490"/>
      <c r="H78" s="465"/>
      <c r="I78" s="465"/>
      <c r="J78" s="465"/>
      <c r="K78" s="465"/>
      <c r="L78" s="465"/>
      <c r="M78" s="465"/>
      <c r="N78" s="465"/>
      <c r="O78" s="465"/>
      <c r="P78" s="465"/>
      <c r="Q78" s="465"/>
      <c r="R78" s="465"/>
      <c r="S78" s="465"/>
      <c r="T78" s="465"/>
      <c r="U78" s="493"/>
      <c r="V78" s="465"/>
      <c r="W78" s="465"/>
      <c r="X78" s="465"/>
      <c r="Y78" s="465"/>
      <c r="Z78" s="465"/>
      <c r="AA78" s="465"/>
      <c r="AB78" s="493"/>
      <c r="AC78" s="493"/>
      <c r="AD78" s="493"/>
      <c r="AE78" s="493"/>
      <c r="AF78" s="465"/>
      <c r="AG78" s="465"/>
      <c r="AH78" s="465"/>
      <c r="AI78" s="465"/>
      <c r="AJ78" s="465"/>
      <c r="AK78" s="465"/>
      <c r="AL78" s="465"/>
      <c r="AM78" s="465"/>
      <c r="AN78" s="465"/>
      <c r="AO78" s="465"/>
      <c r="AP78" s="465"/>
      <c r="AQ78" s="465"/>
      <c r="AR78" s="465"/>
      <c r="AS78" s="465"/>
      <c r="AT78" s="465"/>
      <c r="AU78" s="465"/>
      <c r="AV78" s="465"/>
      <c r="AW78" s="465"/>
      <c r="AX78" s="465"/>
      <c r="AY78" s="465"/>
      <c r="AZ78" s="465"/>
      <c r="BA78" s="465"/>
      <c r="BB78" s="465"/>
      <c r="BC78" s="473"/>
      <c r="BF78" s="1099"/>
      <c r="BG78" s="1099"/>
      <c r="BH78" s="1099"/>
      <c r="BI78" s="1053"/>
      <c r="BJ78" s="1053"/>
      <c r="BK78" s="1053"/>
      <c r="BL78" s="1053"/>
      <c r="BM78" s="1053"/>
      <c r="BN78" s="489"/>
      <c r="BO78" s="524"/>
      <c r="BP78" s="1112"/>
      <c r="BQ78" s="1112"/>
      <c r="BR78" s="1111"/>
      <c r="BS78" s="1112"/>
      <c r="BT78" s="1112"/>
      <c r="BU78" s="1112"/>
      <c r="BX78" s="474">
        <v>4</v>
      </c>
      <c r="BY78" s="1111"/>
      <c r="CA78" s="1115" t="b">
        <f>IF(CB84=12,3)</f>
        <v>0</v>
      </c>
      <c r="CB78" s="1114"/>
      <c r="CC78" s="1113" t="b">
        <f>IF(CB84=12,5)</f>
        <v>0</v>
      </c>
      <c r="CE78" s="1112"/>
      <c r="CF78" s="1112"/>
      <c r="CG78" s="1112"/>
      <c r="CH78" s="1112"/>
      <c r="CI78" s="1112"/>
      <c r="CJ78" s="1112"/>
      <c r="CK78" s="1112"/>
      <c r="CL78" s="1111"/>
      <c r="CM78" s="1104"/>
      <c r="CN78" s="1094"/>
      <c r="CO78" s="1093"/>
      <c r="CP78" s="1093"/>
      <c r="CQ78" s="1093"/>
      <c r="CR78" s="1093"/>
      <c r="CS78" s="1093"/>
      <c r="CT78" s="1093"/>
      <c r="CU78" s="1093"/>
      <c r="CV78" s="1093"/>
    </row>
    <row r="79" spans="2:137" ht="21.75" hidden="1" customHeight="1" thickTop="1" thickBot="1" x14ac:dyDescent="0.45">
      <c r="B79" s="1423"/>
      <c r="C79" s="1423"/>
      <c r="D79" s="1471"/>
      <c r="E79" s="1425"/>
      <c r="F79" s="490"/>
      <c r="G79" s="490"/>
      <c r="H79" s="465"/>
      <c r="I79" s="465"/>
      <c r="J79" s="465"/>
      <c r="K79" s="465"/>
      <c r="L79" s="465"/>
      <c r="M79" s="465"/>
      <c r="N79" s="465"/>
      <c r="O79" s="465"/>
      <c r="P79" s="465"/>
      <c r="Q79" s="465"/>
      <c r="R79" s="465"/>
      <c r="S79" s="465"/>
      <c r="T79" s="465"/>
      <c r="U79" s="493"/>
      <c r="V79" s="465"/>
      <c r="W79" s="465"/>
      <c r="X79" s="465"/>
      <c r="Y79" s="465"/>
      <c r="Z79" s="465"/>
      <c r="AA79" s="465"/>
      <c r="AB79" s="493"/>
      <c r="AC79" s="493"/>
      <c r="AD79" s="493"/>
      <c r="AE79" s="493"/>
      <c r="AF79" s="465"/>
      <c r="AG79" s="465"/>
      <c r="AH79" s="465"/>
      <c r="AI79" s="465"/>
      <c r="AJ79" s="465"/>
      <c r="AK79" s="465"/>
      <c r="AL79" s="465"/>
      <c r="AM79" s="465"/>
      <c r="AN79" s="465"/>
      <c r="AO79" s="465"/>
      <c r="AP79" s="465"/>
      <c r="AQ79" s="465"/>
      <c r="AR79" s="465"/>
      <c r="AS79" s="465"/>
      <c r="AT79" s="465"/>
      <c r="AU79" s="465"/>
      <c r="AV79" s="465"/>
      <c r="AW79" s="465"/>
      <c r="AX79" s="465"/>
      <c r="AY79" s="465"/>
      <c r="AZ79" s="465"/>
      <c r="BA79" s="465"/>
      <c r="BB79" s="465"/>
      <c r="BC79" s="473"/>
      <c r="BF79" s="1099"/>
      <c r="BG79" s="1099"/>
      <c r="BH79" s="1099"/>
      <c r="BI79" s="1053"/>
      <c r="BJ79" s="1053"/>
      <c r="BK79" s="1053"/>
      <c r="BL79" s="1053"/>
      <c r="BM79" s="1053"/>
      <c r="BN79" s="489"/>
      <c r="BO79" s="524"/>
      <c r="BP79" s="1112"/>
      <c r="BQ79" s="1112"/>
      <c r="BR79" s="1111"/>
      <c r="BS79" s="1112"/>
      <c r="BT79" s="1112"/>
      <c r="BU79" s="1112"/>
      <c r="BX79" s="474">
        <v>3</v>
      </c>
      <c r="BY79" s="1101">
        <f>IF(CA84=11,1)</f>
        <v>1</v>
      </c>
      <c r="BZ79" s="1117"/>
      <c r="CA79" s="1117"/>
      <c r="CB79" s="1117"/>
      <c r="CC79" s="1116">
        <f>IF(CA84=11,5)</f>
        <v>5</v>
      </c>
      <c r="CD79" s="1112"/>
      <c r="CE79" s="1112"/>
      <c r="CF79" s="1112"/>
      <c r="CG79" s="1112"/>
      <c r="CH79" s="1112"/>
      <c r="CI79" s="1112"/>
      <c r="CJ79" s="1112"/>
      <c r="CK79" s="1112"/>
      <c r="CL79" s="1111"/>
      <c r="CM79" s="1104"/>
      <c r="CN79" s="1094"/>
      <c r="CO79" s="1093"/>
      <c r="CP79" s="1093"/>
      <c r="CQ79" s="1093"/>
      <c r="CR79" s="1093"/>
      <c r="CS79" s="1093"/>
      <c r="CT79" s="1093"/>
      <c r="CU79" s="1093"/>
      <c r="CV79" s="1093"/>
      <c r="CZ79" s="2064"/>
      <c r="DA79" s="2064"/>
      <c r="DB79" s="1096"/>
      <c r="DC79" s="1096"/>
      <c r="DD79" s="1168"/>
      <c r="DE79" s="1094"/>
      <c r="DF79" s="1094"/>
      <c r="DG79" s="1094"/>
      <c r="DH79" s="1094"/>
      <c r="DI79" s="1094"/>
      <c r="DJ79" s="1094"/>
      <c r="DK79" s="1094"/>
      <c r="DL79" s="1094"/>
      <c r="DM79" s="1094"/>
      <c r="DN79" s="1094"/>
      <c r="DO79" s="1094"/>
      <c r="DP79" s="1094"/>
      <c r="DQ79" s="1094"/>
      <c r="DR79" s="1094"/>
      <c r="DS79" s="1094"/>
      <c r="DT79" s="1094"/>
      <c r="DU79" s="1094"/>
      <c r="DV79" s="1094"/>
      <c r="DW79" s="1094"/>
      <c r="DX79" s="1093"/>
      <c r="DY79" s="1093"/>
      <c r="DZ79" s="1093"/>
      <c r="EA79" s="1093"/>
      <c r="EB79" s="1093"/>
      <c r="EC79" s="1093"/>
      <c r="ED79" s="1093"/>
      <c r="EE79" s="1093"/>
      <c r="EF79" s="466"/>
      <c r="EG79" s="466"/>
    </row>
    <row r="80" spans="2:137" ht="21.75" hidden="1" customHeight="1" thickTop="1" thickBot="1" x14ac:dyDescent="0.45">
      <c r="B80" s="1423"/>
      <c r="C80" s="1423"/>
      <c r="D80" s="1472" t="b">
        <f>AND(B86&gt;=10,D86&gt;=10,BA107&gt;=10,BB107&gt;=10)</f>
        <v>1</v>
      </c>
      <c r="E80" s="1425"/>
      <c r="F80" s="1103" t="b">
        <f>AND(B86&gt;=10,D86&gt;=10,E86&gt;=10,BA107&gt;=10,BB107&gt;=10)</f>
        <v>1</v>
      </c>
      <c r="G80" s="490"/>
      <c r="H80" s="465"/>
      <c r="I80" s="465"/>
      <c r="J80" s="465"/>
      <c r="K80" s="465"/>
      <c r="L80" s="465"/>
      <c r="M80" s="465"/>
      <c r="N80" s="465"/>
      <c r="O80" s="465"/>
      <c r="P80" s="465"/>
      <c r="Q80" s="465"/>
      <c r="R80" s="465"/>
      <c r="S80" s="465"/>
      <c r="T80" s="465"/>
      <c r="U80" s="493"/>
      <c r="V80" s="465"/>
      <c r="W80" s="465"/>
      <c r="X80" s="465"/>
      <c r="Y80" s="465"/>
      <c r="Z80" s="465"/>
      <c r="AA80" s="465"/>
      <c r="AB80" s="493"/>
      <c r="AC80" s="493"/>
      <c r="AD80" s="493"/>
      <c r="AE80" s="493"/>
      <c r="AF80" s="465"/>
      <c r="AG80" s="465"/>
      <c r="AH80" s="465"/>
      <c r="AI80" s="465"/>
      <c r="AJ80" s="465"/>
      <c r="AK80" s="465"/>
      <c r="AL80" s="465"/>
      <c r="AM80" s="465"/>
      <c r="AN80" s="465"/>
      <c r="AO80" s="465"/>
      <c r="AP80" s="465"/>
      <c r="AQ80" s="465"/>
      <c r="AR80" s="465"/>
      <c r="AS80" s="465"/>
      <c r="AT80" s="465"/>
      <c r="AU80" s="465"/>
      <c r="AV80" s="465"/>
      <c r="AW80" s="465"/>
      <c r="AX80" s="465"/>
      <c r="AY80" s="465"/>
      <c r="AZ80" s="465"/>
      <c r="BA80" s="465"/>
      <c r="BB80" s="465"/>
      <c r="BC80" s="473"/>
      <c r="BF80" s="1099"/>
      <c r="BG80" s="1099"/>
      <c r="BH80" s="1099"/>
      <c r="BI80" s="1053"/>
      <c r="BJ80" s="1053"/>
      <c r="BK80" s="1053"/>
      <c r="BL80" s="1053"/>
      <c r="BM80" s="1053"/>
      <c r="BN80" s="489"/>
      <c r="BO80" s="524"/>
      <c r="BP80" s="1112"/>
      <c r="BQ80" s="1112"/>
      <c r="BR80" s="1111"/>
      <c r="BS80" s="1112"/>
      <c r="BT80" s="1112"/>
      <c r="BU80" s="1112"/>
      <c r="BX80" s="474">
        <v>2</v>
      </c>
      <c r="BY80" s="1115" t="b">
        <f>IF(BZ84=10,1)</f>
        <v>0</v>
      </c>
      <c r="BZ80" s="1114"/>
      <c r="CA80" s="1113" t="b">
        <f>IF(BZ84=10,3)</f>
        <v>0</v>
      </c>
      <c r="CB80" s="1112"/>
      <c r="CC80" s="1112"/>
      <c r="CD80" s="1112"/>
      <c r="CE80" s="1112"/>
      <c r="CF80" s="1112"/>
      <c r="CG80" s="1112"/>
      <c r="CH80" s="1112"/>
      <c r="CI80" s="1112"/>
      <c r="CJ80" s="1112"/>
      <c r="CK80" s="1112"/>
      <c r="CL80" s="1111"/>
      <c r="CM80" s="1104"/>
      <c r="CN80" s="1094"/>
      <c r="CO80" s="1093"/>
      <c r="CP80" s="1093"/>
      <c r="CQ80" s="1093"/>
      <c r="CR80" s="1093"/>
      <c r="CS80" s="1093"/>
      <c r="CT80" s="1093"/>
      <c r="CU80" s="1093"/>
      <c r="CV80" s="1093"/>
      <c r="ED80" s="1093"/>
      <c r="EE80" s="1093"/>
    </row>
    <row r="81" spans="2:135" ht="32.25" customHeight="1" thickTop="1" thickBot="1" x14ac:dyDescent="0.55000000000000004">
      <c r="B81" s="1443" t="str">
        <f>IF(D80=TRUE,"O K","OVERLOAD")</f>
        <v>O K</v>
      </c>
      <c r="C81" s="1423"/>
      <c r="D81" s="1422"/>
      <c r="E81" s="1420" t="str">
        <f>IF(F80=TRUE,"O K ","OVERLOAD")</f>
        <v xml:space="preserve">O K </v>
      </c>
      <c r="H81" s="465"/>
      <c r="I81" s="465"/>
      <c r="J81" s="465"/>
      <c r="K81" s="465"/>
      <c r="L81" s="465"/>
      <c r="M81" s="465"/>
      <c r="N81" s="465"/>
      <c r="O81" s="465"/>
      <c r="P81" s="465"/>
      <c r="Q81" s="465"/>
      <c r="R81" s="465"/>
      <c r="S81" s="465"/>
      <c r="T81" s="465"/>
      <c r="U81" s="493"/>
      <c r="V81" s="465"/>
      <c r="W81" s="465"/>
      <c r="X81" s="465"/>
      <c r="Y81" s="465"/>
      <c r="Z81" s="465"/>
      <c r="AA81" s="465"/>
      <c r="AB81" s="493"/>
      <c r="AC81" s="493"/>
      <c r="AD81" s="493"/>
      <c r="AE81" s="493"/>
      <c r="AF81" s="465"/>
      <c r="AG81" s="465"/>
      <c r="AH81" s="465"/>
      <c r="AI81" s="465"/>
      <c r="AJ81" s="465"/>
      <c r="AK81" s="465"/>
      <c r="AL81" s="465"/>
      <c r="AM81" s="465"/>
      <c r="AN81" s="465"/>
      <c r="AO81" s="465"/>
      <c r="AP81" s="465"/>
      <c r="AQ81" s="465"/>
      <c r="AR81" s="465"/>
      <c r="AS81" s="465"/>
      <c r="AT81" s="465"/>
      <c r="AU81" s="465"/>
      <c r="AV81" s="465"/>
      <c r="AW81" s="465"/>
      <c r="AX81" s="465"/>
      <c r="AY81" s="465"/>
      <c r="AZ81" s="465"/>
      <c r="BA81" s="465"/>
      <c r="BB81" s="465"/>
      <c r="BC81" s="473"/>
      <c r="BF81" s="1099"/>
      <c r="BG81" s="1099"/>
      <c r="BH81" s="1099"/>
      <c r="BI81" s="1053"/>
      <c r="BJ81" s="1053"/>
      <c r="BK81" s="1053"/>
      <c r="BL81" s="1053"/>
      <c r="BM81" s="1053"/>
      <c r="BN81" s="489"/>
      <c r="BO81" s="524"/>
      <c r="BP81" s="1112"/>
      <c r="BQ81" s="1112"/>
      <c r="BR81" s="1111"/>
      <c r="BS81" s="1112"/>
      <c r="BT81" s="1112"/>
      <c r="BU81" s="1112"/>
      <c r="BV81" s="1096"/>
      <c r="BW81" s="1112"/>
      <c r="BX81" s="1112"/>
      <c r="BY81" s="1112"/>
      <c r="BZ81" s="1112"/>
      <c r="CA81" s="1112"/>
      <c r="CB81" s="1112"/>
      <c r="CC81" s="1112"/>
      <c r="CD81" s="1112"/>
      <c r="CE81" s="1112"/>
      <c r="CF81" s="1112"/>
      <c r="CG81" s="1112"/>
      <c r="CH81" s="1112"/>
      <c r="CI81" s="1111"/>
      <c r="CJ81" s="1104"/>
      <c r="CK81" s="1104"/>
      <c r="CL81" s="1104"/>
      <c r="CM81" s="1104"/>
      <c r="CN81" s="1094"/>
      <c r="CO81" s="1093"/>
      <c r="CP81" s="1093"/>
      <c r="CQ81" s="1093"/>
      <c r="CR81" s="1093"/>
      <c r="CS81" s="1093"/>
      <c r="CT81" s="1093"/>
      <c r="CU81" s="1093"/>
      <c r="CV81" s="1093"/>
      <c r="ED81" s="1093"/>
      <c r="EE81" s="1093"/>
    </row>
    <row r="82" spans="2:135" ht="43.2" thickTop="1" thickBot="1" x14ac:dyDescent="0.45">
      <c r="B82" s="2099" t="s">
        <v>77</v>
      </c>
      <c r="C82" s="2099"/>
      <c r="D82" s="2099"/>
      <c r="E82" s="2099"/>
      <c r="H82" s="465"/>
      <c r="I82" s="465"/>
      <c r="J82" s="465"/>
      <c r="K82" s="465"/>
      <c r="L82" s="465"/>
      <c r="M82" s="465"/>
      <c r="N82" s="465"/>
      <c r="O82" s="465"/>
      <c r="P82" s="465"/>
      <c r="Q82" s="465"/>
      <c r="R82" s="465"/>
      <c r="S82" s="465"/>
      <c r="T82" s="465"/>
      <c r="U82" s="493"/>
      <c r="V82" s="465"/>
      <c r="W82" s="465"/>
      <c r="X82" s="465"/>
      <c r="Y82" s="465"/>
      <c r="Z82" s="465"/>
      <c r="AA82" s="465"/>
      <c r="AB82" s="493"/>
      <c r="AC82" s="493"/>
      <c r="AD82" s="493"/>
      <c r="AE82" s="493"/>
      <c r="AF82" s="465"/>
      <c r="AG82" s="465"/>
      <c r="AH82" s="465"/>
      <c r="AI82" s="465"/>
      <c r="AJ82" s="465"/>
      <c r="AK82" s="465"/>
      <c r="AL82" s="465"/>
      <c r="AM82" s="465"/>
      <c r="AN82" s="465"/>
      <c r="AO82" s="465"/>
      <c r="AP82" s="465"/>
      <c r="AQ82" s="465"/>
      <c r="AR82" s="465"/>
      <c r="AS82" s="465"/>
      <c r="AT82" s="465"/>
      <c r="AU82" s="465"/>
      <c r="AV82" s="465"/>
      <c r="AW82" s="465"/>
      <c r="AX82" s="465"/>
      <c r="AY82" s="465"/>
      <c r="AZ82" s="465"/>
      <c r="BA82" s="465"/>
      <c r="BB82" s="465"/>
      <c r="BC82" s="473"/>
      <c r="BF82" s="1099"/>
      <c r="BG82" s="1099"/>
      <c r="BH82" s="1099"/>
      <c r="BI82" s="1053"/>
      <c r="BJ82" s="1053"/>
      <c r="BK82" s="1053"/>
      <c r="BL82" s="1053"/>
      <c r="BM82" s="1053"/>
      <c r="BN82" s="489"/>
      <c r="BO82" s="524"/>
      <c r="BP82" s="1110" t="s">
        <v>82</v>
      </c>
      <c r="BQ82" s="2078"/>
      <c r="BR82" s="2079"/>
      <c r="BS82" s="2079"/>
      <c r="BT82" s="2079"/>
      <c r="BU82" s="2079"/>
      <c r="BV82" s="2079"/>
      <c r="BW82" s="2079"/>
      <c r="BX82" s="2080"/>
      <c r="BY82" s="1109">
        <f t="shared" ref="BY82:CL82" si="1">SUM(BY69:BY81)</f>
        <v>1</v>
      </c>
      <c r="BZ82" s="1108">
        <f t="shared" si="1"/>
        <v>0</v>
      </c>
      <c r="CA82" s="1108">
        <f t="shared" si="1"/>
        <v>0</v>
      </c>
      <c r="CB82" s="1108">
        <f t="shared" si="1"/>
        <v>0</v>
      </c>
      <c r="CC82" s="1108">
        <f t="shared" si="1"/>
        <v>5</v>
      </c>
      <c r="CD82" s="1108">
        <f t="shared" si="1"/>
        <v>0</v>
      </c>
      <c r="CE82" s="1108">
        <f t="shared" si="1"/>
        <v>0</v>
      </c>
      <c r="CF82" s="1108">
        <f t="shared" si="1"/>
        <v>0</v>
      </c>
      <c r="CG82" s="1108">
        <f t="shared" si="1"/>
        <v>0</v>
      </c>
      <c r="CH82" s="1108">
        <f t="shared" si="1"/>
        <v>0</v>
      </c>
      <c r="CI82" s="1108">
        <f t="shared" si="1"/>
        <v>0</v>
      </c>
      <c r="CJ82" s="1108">
        <f t="shared" si="1"/>
        <v>0</v>
      </c>
      <c r="CK82" s="1108">
        <f t="shared" si="1"/>
        <v>0</v>
      </c>
      <c r="CL82" s="1107">
        <f t="shared" si="1"/>
        <v>0</v>
      </c>
      <c r="CM82" s="2078"/>
      <c r="CN82" s="2079"/>
      <c r="CO82" s="2079"/>
      <c r="CP82" s="2079"/>
      <c r="CQ82" s="2079"/>
      <c r="CR82" s="2079"/>
      <c r="CS82" s="2079"/>
      <c r="CT82" s="2080"/>
      <c r="CU82" s="1093"/>
      <c r="CV82" s="1093"/>
      <c r="ED82" s="1093"/>
      <c r="EE82" s="1093"/>
    </row>
    <row r="83" spans="2:135" ht="22.2" thickTop="1" thickBot="1" x14ac:dyDescent="0.45">
      <c r="B83" s="1464" t="s">
        <v>25</v>
      </c>
      <c r="C83" s="1465"/>
      <c r="D83" s="1464" t="s">
        <v>26</v>
      </c>
      <c r="E83" s="1464" t="s">
        <v>168</v>
      </c>
      <c r="G83" s="490"/>
      <c r="H83" s="465"/>
      <c r="I83" s="465"/>
      <c r="J83" s="465"/>
      <c r="K83" s="465"/>
      <c r="L83" s="465"/>
      <c r="M83" s="465"/>
      <c r="N83" s="465"/>
      <c r="O83" s="465"/>
      <c r="P83" s="465"/>
      <c r="Q83" s="465"/>
      <c r="R83" s="465"/>
      <c r="S83" s="465"/>
      <c r="T83" s="465"/>
      <c r="U83" s="493"/>
      <c r="V83" s="465"/>
      <c r="W83" s="465"/>
      <c r="X83" s="465"/>
      <c r="Y83" s="465"/>
      <c r="Z83" s="465"/>
      <c r="AA83" s="465"/>
      <c r="AB83" s="493"/>
      <c r="AC83" s="493"/>
      <c r="AD83" s="493"/>
      <c r="AE83" s="493"/>
      <c r="AF83" s="465"/>
      <c r="AG83" s="465"/>
      <c r="AH83" s="465"/>
      <c r="AI83" s="465"/>
      <c r="AJ83" s="465"/>
      <c r="AK83" s="465"/>
      <c r="AL83" s="465"/>
      <c r="AM83" s="465"/>
      <c r="AN83" s="465"/>
      <c r="AO83" s="465"/>
      <c r="AP83" s="465"/>
      <c r="AQ83" s="465"/>
      <c r="AR83" s="465"/>
      <c r="AS83" s="465"/>
      <c r="AT83" s="465"/>
      <c r="AU83" s="465"/>
      <c r="AV83" s="465"/>
      <c r="AW83" s="465"/>
      <c r="AX83" s="465"/>
      <c r="AY83" s="465"/>
      <c r="AZ83" s="465"/>
      <c r="BA83" s="465"/>
      <c r="BB83" s="465"/>
      <c r="BC83" s="473"/>
      <c r="BF83" s="1099"/>
      <c r="BG83" s="1099"/>
      <c r="BH83" s="1099"/>
      <c r="BI83" s="1053"/>
      <c r="BJ83" s="1053"/>
      <c r="BK83" s="1053"/>
      <c r="BL83" s="1053"/>
      <c r="BM83" s="1053"/>
      <c r="BN83" s="489"/>
      <c r="BO83" s="524"/>
      <c r="BP83" s="1106"/>
      <c r="BQ83" s="1104"/>
      <c r="BR83" s="1105"/>
      <c r="BS83" s="1104"/>
      <c r="BT83" s="1104"/>
      <c r="BU83" s="1104"/>
      <c r="BV83" s="1105"/>
      <c r="BW83" s="1104"/>
      <c r="BX83" s="1104"/>
      <c r="BY83" s="1104"/>
      <c r="BZ83" s="1104"/>
      <c r="CA83" s="1104"/>
      <c r="CB83" s="1104"/>
      <c r="CC83" s="1104"/>
      <c r="CD83" s="1104"/>
      <c r="CE83" s="1104"/>
      <c r="CF83" s="1104"/>
      <c r="CG83" s="1104"/>
      <c r="CH83" s="1104"/>
      <c r="CI83" s="1104"/>
      <c r="CJ83" s="1104"/>
      <c r="CK83" s="1104"/>
      <c r="CL83" s="1104"/>
      <c r="CM83" s="1104"/>
      <c r="CN83" s="1094"/>
      <c r="CO83" s="1093"/>
      <c r="CP83" s="1093"/>
      <c r="CQ83" s="1093"/>
      <c r="CR83" s="1093"/>
      <c r="CS83" s="1093"/>
      <c r="CT83" s="1093"/>
      <c r="CU83" s="1093"/>
      <c r="CV83" s="1093"/>
      <c r="ED83" s="1093"/>
      <c r="EE83" s="1093"/>
    </row>
    <row r="84" spans="2:135" ht="22.2" hidden="1" thickTop="1" thickBot="1" x14ac:dyDescent="0.45">
      <c r="B84" s="1423"/>
      <c r="C84" s="1423"/>
      <c r="D84" s="1429"/>
      <c r="E84" s="1429"/>
      <c r="G84" s="490"/>
      <c r="H84" s="465"/>
      <c r="I84" s="465"/>
      <c r="J84" s="465"/>
      <c r="K84" s="465"/>
      <c r="L84" s="465"/>
      <c r="M84" s="465"/>
      <c r="N84" s="465"/>
      <c r="O84" s="465"/>
      <c r="P84" s="465"/>
      <c r="Q84" s="465"/>
      <c r="R84" s="465"/>
      <c r="S84" s="465"/>
      <c r="T84" s="465"/>
      <c r="U84" s="493"/>
      <c r="V84" s="465"/>
      <c r="W84" s="465"/>
      <c r="X84" s="465"/>
      <c r="Y84" s="465"/>
      <c r="Z84" s="465"/>
      <c r="AA84" s="465"/>
      <c r="AB84" s="493"/>
      <c r="AC84" s="493"/>
      <c r="AD84" s="493"/>
      <c r="AE84" s="493"/>
      <c r="AF84" s="465"/>
      <c r="AG84" s="465"/>
      <c r="AH84" s="465"/>
      <c r="AI84" s="465"/>
      <c r="AJ84" s="465"/>
      <c r="AK84" s="465"/>
      <c r="AL84" s="465"/>
      <c r="AM84" s="465"/>
      <c r="AN84" s="465"/>
      <c r="AO84" s="465"/>
      <c r="AP84" s="465"/>
      <c r="AQ84" s="465"/>
      <c r="AR84" s="465"/>
      <c r="AS84" s="465"/>
      <c r="AT84" s="465"/>
      <c r="AU84" s="465"/>
      <c r="AV84" s="465"/>
      <c r="AW84" s="465"/>
      <c r="AX84" s="465"/>
      <c r="AY84" s="465"/>
      <c r="AZ84" s="465"/>
      <c r="BA84" s="465"/>
      <c r="BB84" s="465"/>
      <c r="BC84" s="473"/>
      <c r="BF84" s="1099"/>
      <c r="BG84" s="1099"/>
      <c r="BH84" s="1099"/>
      <c r="BI84" s="1053"/>
      <c r="BJ84" s="1053"/>
      <c r="BK84" s="1053"/>
      <c r="BL84" s="1053"/>
      <c r="BM84" s="1053"/>
      <c r="BN84" s="489"/>
      <c r="BO84" s="524"/>
      <c r="BP84" s="1096"/>
      <c r="BQ84" s="1102" t="b">
        <f>+BO108</f>
        <v>0</v>
      </c>
      <c r="BR84" s="1102" t="b">
        <f>+BO109</f>
        <v>0</v>
      </c>
      <c r="BS84" s="1102" t="b">
        <f>+BO110</f>
        <v>0</v>
      </c>
      <c r="BT84" s="1102" t="b">
        <f>+BO111</f>
        <v>0</v>
      </c>
      <c r="BU84" s="1102" t="b">
        <f>+BO112</f>
        <v>0</v>
      </c>
      <c r="BV84" s="1102" t="b">
        <f>+BO113</f>
        <v>0</v>
      </c>
      <c r="BW84" s="1102" t="b">
        <f>+BO114</f>
        <v>0</v>
      </c>
      <c r="BX84" s="1102" t="b">
        <f>+BO115</f>
        <v>0</v>
      </c>
      <c r="BY84" s="1102" t="b">
        <f>+BO116</f>
        <v>0</v>
      </c>
      <c r="BZ84" s="1102" t="b">
        <f>+BO117</f>
        <v>0</v>
      </c>
      <c r="CA84" s="1102">
        <f>+BO118</f>
        <v>11</v>
      </c>
      <c r="CB84" s="1102" t="b">
        <f>+BO119</f>
        <v>0</v>
      </c>
      <c r="CC84" s="1102" t="b">
        <f>+BO120</f>
        <v>0</v>
      </c>
      <c r="CD84" s="1102" t="b">
        <f>+BO121</f>
        <v>0</v>
      </c>
      <c r="CE84" s="1102" t="b">
        <f>+BO122</f>
        <v>0</v>
      </c>
      <c r="CF84" s="1102" t="b">
        <f>+BO123</f>
        <v>0</v>
      </c>
      <c r="CG84" s="1102" t="b">
        <f>+BO124</f>
        <v>0</v>
      </c>
      <c r="CH84" s="1102" t="b">
        <f>+BO125</f>
        <v>0</v>
      </c>
      <c r="CI84" s="1102" t="b">
        <f>+BO126</f>
        <v>0</v>
      </c>
      <c r="CJ84" s="1102" t="b">
        <f>+BO127</f>
        <v>0</v>
      </c>
      <c r="CK84" s="1102" t="b">
        <f>+BO128</f>
        <v>0</v>
      </c>
      <c r="CL84" s="1102" t="b">
        <f>+BO129</f>
        <v>0</v>
      </c>
      <c r="CM84" s="1102" t="b">
        <f>+BO130</f>
        <v>0</v>
      </c>
      <c r="CN84" s="1102" t="b">
        <f>+BO131</f>
        <v>0</v>
      </c>
      <c r="CO84" s="1102" t="b">
        <f>+BO132</f>
        <v>0</v>
      </c>
      <c r="CP84" s="1102" t="b">
        <f>+BO133</f>
        <v>0</v>
      </c>
      <c r="CQ84" s="1102" t="b">
        <f>+BO134</f>
        <v>0</v>
      </c>
      <c r="CR84" s="1102" t="b">
        <f>+BO135</f>
        <v>0</v>
      </c>
      <c r="CS84" s="1102" t="b">
        <f>+BO136</f>
        <v>0</v>
      </c>
      <c r="CT84" s="1102" t="b">
        <f>+BO137</f>
        <v>0</v>
      </c>
      <c r="CU84" s="1093"/>
      <c r="CV84" s="1093"/>
      <c r="CZ84" s="1104"/>
      <c r="DA84" s="1104"/>
      <c r="DB84" s="1104"/>
      <c r="DC84" s="1104"/>
      <c r="DD84" s="1104"/>
      <c r="DE84" s="1105"/>
      <c r="DF84" s="1104"/>
      <c r="DG84" s="1104"/>
      <c r="DH84" s="1104"/>
      <c r="DI84" s="1104"/>
      <c r="DJ84" s="1104"/>
      <c r="DK84" s="1104"/>
      <c r="DL84" s="1104"/>
      <c r="DM84" s="1104"/>
      <c r="DN84" s="1104"/>
      <c r="DO84" s="1104"/>
      <c r="DP84" s="1104"/>
      <c r="DQ84" s="1104"/>
      <c r="DR84" s="1104"/>
      <c r="DS84" s="1104"/>
      <c r="DT84" s="1104"/>
      <c r="DU84" s="1104"/>
      <c r="DV84" s="1104"/>
      <c r="DW84" s="1105"/>
      <c r="DX84" s="1093"/>
      <c r="DY84" s="1093"/>
      <c r="DZ84" s="1093"/>
      <c r="EA84" s="1093"/>
      <c r="EB84" s="1093"/>
      <c r="EC84" s="1093"/>
      <c r="ED84" s="1093"/>
      <c r="EE84" s="1093"/>
    </row>
    <row r="85" spans="2:135" ht="22.2" hidden="1" thickTop="1" thickBot="1" x14ac:dyDescent="0.45">
      <c r="B85" s="1466">
        <f>+C20/BN67</f>
        <v>36.678662247215158</v>
      </c>
      <c r="C85" s="1421"/>
      <c r="D85" s="1467">
        <f>+D20/CV67</f>
        <v>64.83031506682579</v>
      </c>
      <c r="E85" s="1468">
        <f>+E20/BQ26</f>
        <v>32.349373230893647</v>
      </c>
      <c r="F85" s="490"/>
      <c r="G85" s="490"/>
      <c r="H85" s="465"/>
      <c r="I85" s="465"/>
      <c r="J85" s="465"/>
      <c r="K85" s="465"/>
      <c r="L85" s="465"/>
      <c r="M85" s="465"/>
      <c r="N85" s="465"/>
      <c r="O85" s="465"/>
      <c r="P85" s="465"/>
      <c r="Q85" s="465"/>
      <c r="R85" s="465"/>
      <c r="S85" s="465"/>
      <c r="T85" s="465"/>
      <c r="U85" s="493"/>
      <c r="V85" s="465"/>
      <c r="W85" s="465"/>
      <c r="X85" s="465"/>
      <c r="Y85" s="465"/>
      <c r="Z85" s="465"/>
      <c r="AA85" s="465"/>
      <c r="AB85" s="493"/>
      <c r="AC85" s="493"/>
      <c r="AD85" s="493"/>
      <c r="AE85" s="493"/>
      <c r="AF85" s="465"/>
      <c r="AG85" s="465"/>
      <c r="AH85" s="465"/>
      <c r="AI85" s="465"/>
      <c r="AJ85" s="465"/>
      <c r="AK85" s="465"/>
      <c r="AL85" s="465"/>
      <c r="AM85" s="465"/>
      <c r="AN85" s="465"/>
      <c r="AO85" s="465"/>
      <c r="AP85" s="465"/>
      <c r="AQ85" s="465"/>
      <c r="AR85" s="465"/>
      <c r="AS85" s="465"/>
      <c r="AT85" s="465"/>
      <c r="AU85" s="465"/>
      <c r="AV85" s="465"/>
      <c r="AW85" s="465"/>
      <c r="AX85" s="465"/>
      <c r="AY85" s="465"/>
      <c r="AZ85" s="465"/>
      <c r="BA85" s="465"/>
      <c r="BB85" s="465"/>
      <c r="BC85" s="473"/>
      <c r="BF85" s="1099"/>
      <c r="BG85" s="1099"/>
      <c r="BH85" s="1099"/>
      <c r="BI85" s="1053"/>
      <c r="BJ85" s="1053"/>
      <c r="BK85" s="1053"/>
      <c r="BL85" s="1053"/>
      <c r="BM85" s="1053"/>
      <c r="BN85" s="489"/>
      <c r="BO85" s="524"/>
      <c r="BP85" s="1094" t="s">
        <v>27</v>
      </c>
      <c r="BQ85" s="1102" t="b">
        <f t="shared" ref="BQ85:CT85" si="2">+BQ84</f>
        <v>0</v>
      </c>
      <c r="BR85" s="1102" t="b">
        <f t="shared" si="2"/>
        <v>0</v>
      </c>
      <c r="BS85" s="1102" t="b">
        <f t="shared" si="2"/>
        <v>0</v>
      </c>
      <c r="BT85" s="1102" t="b">
        <f t="shared" si="2"/>
        <v>0</v>
      </c>
      <c r="BU85" s="1102" t="b">
        <f t="shared" si="2"/>
        <v>0</v>
      </c>
      <c r="BV85" s="1102" t="b">
        <f t="shared" si="2"/>
        <v>0</v>
      </c>
      <c r="BW85" s="1102" t="b">
        <f t="shared" si="2"/>
        <v>0</v>
      </c>
      <c r="BX85" s="1102" t="b">
        <f t="shared" si="2"/>
        <v>0</v>
      </c>
      <c r="BY85" s="1102" t="b">
        <f t="shared" si="2"/>
        <v>0</v>
      </c>
      <c r="BZ85" s="1102" t="b">
        <f t="shared" si="2"/>
        <v>0</v>
      </c>
      <c r="CA85" s="1102">
        <f t="shared" si="2"/>
        <v>11</v>
      </c>
      <c r="CB85" s="1102" t="b">
        <f t="shared" si="2"/>
        <v>0</v>
      </c>
      <c r="CC85" s="1102" t="b">
        <f t="shared" si="2"/>
        <v>0</v>
      </c>
      <c r="CD85" s="1102" t="b">
        <f t="shared" si="2"/>
        <v>0</v>
      </c>
      <c r="CE85" s="1102" t="b">
        <f t="shared" si="2"/>
        <v>0</v>
      </c>
      <c r="CF85" s="1102" t="b">
        <f t="shared" si="2"/>
        <v>0</v>
      </c>
      <c r="CG85" s="1102" t="b">
        <f t="shared" si="2"/>
        <v>0</v>
      </c>
      <c r="CH85" s="1102" t="b">
        <f t="shared" si="2"/>
        <v>0</v>
      </c>
      <c r="CI85" s="1102" t="b">
        <f t="shared" si="2"/>
        <v>0</v>
      </c>
      <c r="CJ85" s="1102" t="b">
        <f t="shared" si="2"/>
        <v>0</v>
      </c>
      <c r="CK85" s="1102" t="b">
        <f t="shared" si="2"/>
        <v>0</v>
      </c>
      <c r="CL85" s="1102" t="b">
        <f t="shared" si="2"/>
        <v>0</v>
      </c>
      <c r="CM85" s="1102" t="b">
        <f t="shared" si="2"/>
        <v>0</v>
      </c>
      <c r="CN85" s="1102" t="b">
        <f t="shared" si="2"/>
        <v>0</v>
      </c>
      <c r="CO85" s="1102" t="b">
        <f t="shared" si="2"/>
        <v>0</v>
      </c>
      <c r="CP85" s="1102" t="b">
        <f t="shared" si="2"/>
        <v>0</v>
      </c>
      <c r="CQ85" s="1102" t="b">
        <f t="shared" si="2"/>
        <v>0</v>
      </c>
      <c r="CR85" s="1102" t="b">
        <f t="shared" si="2"/>
        <v>0</v>
      </c>
      <c r="CS85" s="1102" t="b">
        <f t="shared" si="2"/>
        <v>0</v>
      </c>
      <c r="CT85" s="1102" t="b">
        <f t="shared" si="2"/>
        <v>0</v>
      </c>
      <c r="CU85" s="1093"/>
      <c r="CV85" s="1093"/>
      <c r="CZ85" s="1104"/>
      <c r="DA85" s="1104"/>
      <c r="DB85" s="1104"/>
      <c r="DC85" s="1104"/>
      <c r="DD85" s="1104"/>
      <c r="DE85" s="1105"/>
      <c r="DF85" s="1104"/>
      <c r="DG85" s="1104"/>
      <c r="DH85" s="1104"/>
      <c r="DI85" s="1104"/>
      <c r="DJ85" s="1104"/>
      <c r="DK85" s="1104"/>
      <c r="DL85" s="1104"/>
      <c r="DM85" s="1104"/>
      <c r="DN85" s="1104"/>
      <c r="DO85" s="1104"/>
      <c r="DP85" s="1104"/>
      <c r="DQ85" s="1104"/>
      <c r="DR85" s="1104"/>
      <c r="DS85" s="1104"/>
      <c r="DT85" s="1104"/>
      <c r="DU85" s="1104"/>
      <c r="DV85" s="1104"/>
      <c r="DW85" s="1105"/>
      <c r="DX85" s="1093"/>
      <c r="DY85" s="1093"/>
      <c r="DZ85" s="1093"/>
      <c r="EA85" s="1093"/>
      <c r="EB85" s="1093"/>
      <c r="EC85" s="1093"/>
      <c r="ED85" s="1093"/>
      <c r="EE85" s="1093"/>
    </row>
    <row r="86" spans="2:135" ht="36" customHeight="1" thickTop="1" thickBot="1" x14ac:dyDescent="0.45">
      <c r="B86" s="1469">
        <f>ABS(B85)</f>
        <v>36.678662247215158</v>
      </c>
      <c r="C86" s="1423"/>
      <c r="D86" s="1469">
        <f>+IF(B85&lt;&gt;TRUE,ABS(D85))</f>
        <v>64.83031506682579</v>
      </c>
      <c r="E86" s="1367">
        <f>+IF(AND(D85&lt;&gt;TRUE,B85&lt;&gt;TRUE),E85)</f>
        <v>32.349373230893647</v>
      </c>
      <c r="F86" s="490"/>
      <c r="G86" s="490"/>
      <c r="H86" s="465"/>
      <c r="I86" s="465"/>
      <c r="J86" s="465"/>
      <c r="K86" s="465"/>
      <c r="L86" s="465"/>
      <c r="M86" s="465"/>
      <c r="N86" s="465"/>
      <c r="O86" s="465"/>
      <c r="P86" s="465"/>
      <c r="Q86" s="465"/>
      <c r="R86" s="465"/>
      <c r="S86" s="465"/>
      <c r="T86" s="465"/>
      <c r="U86" s="493"/>
      <c r="V86" s="465"/>
      <c r="W86" s="465"/>
      <c r="X86" s="465"/>
      <c r="Y86" s="465"/>
      <c r="Z86" s="465"/>
      <c r="AA86" s="465"/>
      <c r="AB86" s="493"/>
      <c r="AC86" s="493"/>
      <c r="AD86" s="493"/>
      <c r="AE86" s="493"/>
      <c r="AF86" s="465"/>
      <c r="AG86" s="465"/>
      <c r="AH86" s="465"/>
      <c r="AI86" s="465"/>
      <c r="AJ86" s="465"/>
      <c r="AK86" s="465"/>
      <c r="AL86" s="465"/>
      <c r="AM86" s="465"/>
      <c r="AN86" s="465"/>
      <c r="AO86" s="465"/>
      <c r="AP86" s="465"/>
      <c r="AQ86" s="465"/>
      <c r="AR86" s="465"/>
      <c r="AS86" s="465"/>
      <c r="AT86" s="465"/>
      <c r="AU86" s="465"/>
      <c r="AV86" s="465"/>
      <c r="AW86" s="465"/>
      <c r="AX86" s="465"/>
      <c r="AY86" s="465"/>
      <c r="AZ86" s="465"/>
      <c r="BA86" s="465"/>
      <c r="BB86" s="465"/>
      <c r="BC86" s="473"/>
      <c r="BF86" s="1099"/>
      <c r="BG86" s="1099"/>
      <c r="BI86" s="1053"/>
      <c r="BJ86" s="1053"/>
      <c r="BK86" s="1053"/>
      <c r="BL86" s="1053"/>
      <c r="BM86" s="1053"/>
      <c r="BN86" s="489"/>
      <c r="BO86" s="524"/>
      <c r="BP86" s="1101" t="s">
        <v>27</v>
      </c>
      <c r="BQ86" s="1100" t="str">
        <f>IF(BQ85=1,"A ","")</f>
        <v/>
      </c>
      <c r="BR86" s="1017" t="str">
        <f>IF(BR85=2,"B ","")</f>
        <v/>
      </c>
      <c r="BS86" s="1017" t="str">
        <f>IF(BS85=3,"C ","")</f>
        <v/>
      </c>
      <c r="BT86" s="1017" t="str">
        <f>IF(BT85=4,"D ","")</f>
        <v/>
      </c>
      <c r="BU86" s="1017" t="str">
        <f>IF(BU85=5,"E ","")</f>
        <v/>
      </c>
      <c r="BV86" s="1017" t="str">
        <f>IF(BV85=6,"F ","")</f>
        <v/>
      </c>
      <c r="BW86" s="1017" t="str">
        <f>IF(BW85=7,"G ","")</f>
        <v/>
      </c>
      <c r="BX86" s="1017" t="str">
        <f>IF(BX85=8,"H ","")</f>
        <v/>
      </c>
      <c r="BY86" s="1017" t="str">
        <f>IF(BY85=9,"1 ","")</f>
        <v/>
      </c>
      <c r="BZ86" s="1017" t="str">
        <f>IF(BZ85=10,"2 ","")</f>
        <v/>
      </c>
      <c r="CA86" s="1017" t="str">
        <f>IF(CA85=11,"3 ","")</f>
        <v xml:space="preserve">3 </v>
      </c>
      <c r="CB86" s="1017" t="str">
        <f>IF(CB85=12,"4 ","")</f>
        <v/>
      </c>
      <c r="CC86" s="1017" t="str">
        <f>IF(CC85=13,"5 ","")</f>
        <v/>
      </c>
      <c r="CD86" s="1017" t="str">
        <f>IF(CD85=14,"i ","")</f>
        <v/>
      </c>
      <c r="CE86" s="1017" t="str">
        <f>IF(CE85=15,"J ","")</f>
        <v/>
      </c>
      <c r="CF86" s="1017" t="str">
        <f>IF(CF85=16,"6 ","")</f>
        <v/>
      </c>
      <c r="CG86" s="1017" t="str">
        <f>IF(CG85=17,"7 ","")</f>
        <v/>
      </c>
      <c r="CH86" s="1017" t="str">
        <f>IF(CH85=18,"8 ","")</f>
        <v/>
      </c>
      <c r="CI86" s="1017" t="str">
        <f>IF(CI85=19,"9 ","")</f>
        <v/>
      </c>
      <c r="CJ86" s="1017" t="str">
        <f>IF(CJ85=20,"10 ","")</f>
        <v/>
      </c>
      <c r="CK86" s="1017" t="str">
        <f>IF(CK85=21,"11 ","")</f>
        <v/>
      </c>
      <c r="CL86" s="1017" t="str">
        <f>IF(CL85=22,"12 ","")</f>
        <v/>
      </c>
      <c r="CM86" s="1017" t="str">
        <f>IF(CM85=23,"K ","")</f>
        <v/>
      </c>
      <c r="CN86" s="1017" t="str">
        <f>IF(CN85=24,"L ","")</f>
        <v/>
      </c>
      <c r="CO86" s="1017" t="str">
        <f>IF(CO85=25,"M ","")</f>
        <v/>
      </c>
      <c r="CP86" s="1017" t="str">
        <f>IF(CP85=26,"N ","")</f>
        <v/>
      </c>
      <c r="CQ86" s="1017" t="str">
        <f>IF(CQ85=27,"O ","")</f>
        <v/>
      </c>
      <c r="CR86" s="1017" t="str">
        <f>IF(CR85=28,"P ","")</f>
        <v/>
      </c>
      <c r="CS86" s="1017" t="str">
        <f>IF(CS85=29,"Q ","")</f>
        <v/>
      </c>
      <c r="CT86" s="1019" t="str">
        <f>IF(CT85=30,"R ","")</f>
        <v/>
      </c>
      <c r="CU86" s="1093"/>
      <c r="CV86" s="1093"/>
      <c r="ED86" s="1093"/>
      <c r="EE86" s="1093"/>
    </row>
    <row r="87" spans="2:135" ht="21.6" hidden="1" thickTop="1" x14ac:dyDescent="0.4">
      <c r="B87" s="491"/>
      <c r="C87" s="491"/>
      <c r="F87" s="490"/>
      <c r="G87" s="490"/>
      <c r="H87" s="465"/>
      <c r="I87" s="465"/>
      <c r="J87" s="465"/>
      <c r="K87" s="465"/>
      <c r="L87" s="465"/>
      <c r="M87" s="465"/>
      <c r="N87" s="465"/>
      <c r="O87" s="465"/>
      <c r="P87" s="465"/>
      <c r="Q87" s="465"/>
      <c r="R87" s="465"/>
      <c r="S87" s="465"/>
      <c r="T87" s="465"/>
      <c r="U87" s="493"/>
      <c r="V87" s="465"/>
      <c r="W87" s="465"/>
      <c r="X87" s="465"/>
      <c r="Y87" s="465"/>
      <c r="Z87" s="465"/>
      <c r="AA87" s="465"/>
      <c r="AB87" s="493"/>
      <c r="AC87" s="493"/>
      <c r="AD87" s="493"/>
      <c r="AE87" s="493"/>
      <c r="AF87" s="465"/>
      <c r="AG87" s="465"/>
      <c r="AH87" s="465"/>
      <c r="AI87" s="465"/>
      <c r="AJ87" s="465"/>
      <c r="AK87" s="465"/>
      <c r="AL87" s="465"/>
      <c r="AM87" s="465"/>
      <c r="AN87" s="465"/>
      <c r="AO87" s="465"/>
      <c r="AP87" s="465"/>
      <c r="AQ87" s="465"/>
      <c r="AR87" s="465"/>
      <c r="AS87" s="465"/>
      <c r="AT87" s="465"/>
      <c r="AU87" s="465"/>
      <c r="AV87" s="465"/>
      <c r="AW87" s="465"/>
      <c r="AX87" s="465"/>
      <c r="AY87" s="465"/>
      <c r="AZ87" s="465"/>
      <c r="BA87" s="465"/>
      <c r="BB87" s="465"/>
      <c r="BC87" s="473"/>
      <c r="BF87" s="1099"/>
      <c r="BG87" s="1099"/>
      <c r="BI87" s="1053"/>
      <c r="BJ87" s="1053"/>
      <c r="BK87" s="1053"/>
      <c r="BL87" s="1053"/>
      <c r="BM87" s="1053"/>
      <c r="BN87" s="489"/>
      <c r="BO87" s="524"/>
      <c r="BP87" s="1093"/>
      <c r="BQ87" s="1097">
        <v>1</v>
      </c>
      <c r="BR87" s="1097">
        <v>2</v>
      </c>
      <c r="BS87" s="1097">
        <v>3</v>
      </c>
      <c r="BT87" s="1097">
        <v>4</v>
      </c>
      <c r="BU87" s="1097">
        <v>5</v>
      </c>
      <c r="BV87" s="1097">
        <v>6</v>
      </c>
      <c r="BW87" s="1097">
        <v>7</v>
      </c>
      <c r="BX87" s="1097">
        <v>8</v>
      </c>
      <c r="BY87" s="1097">
        <v>9</v>
      </c>
      <c r="BZ87" s="1097">
        <v>10</v>
      </c>
      <c r="CA87" s="1097">
        <v>11</v>
      </c>
      <c r="CB87" s="1097">
        <v>12</v>
      </c>
      <c r="CC87" s="1097">
        <v>13</v>
      </c>
      <c r="CD87" s="1097">
        <v>14</v>
      </c>
      <c r="CE87" s="1097">
        <v>15</v>
      </c>
      <c r="CF87" s="1097">
        <v>16</v>
      </c>
      <c r="CG87" s="1097">
        <v>17</v>
      </c>
      <c r="CH87" s="1097">
        <v>18</v>
      </c>
      <c r="CI87" s="1097">
        <v>19</v>
      </c>
      <c r="CJ87" s="1097">
        <v>20</v>
      </c>
      <c r="CK87" s="1097">
        <v>21</v>
      </c>
      <c r="CL87" s="1097">
        <v>22</v>
      </c>
      <c r="CM87" s="1097">
        <v>23</v>
      </c>
      <c r="CN87" s="1097">
        <v>24</v>
      </c>
      <c r="CO87" s="1097">
        <v>25</v>
      </c>
      <c r="CP87" s="1097">
        <v>26</v>
      </c>
      <c r="CQ87" s="1097">
        <v>27</v>
      </c>
      <c r="CR87" s="1097">
        <v>28</v>
      </c>
      <c r="CS87" s="1097">
        <v>29</v>
      </c>
      <c r="CT87" s="1097">
        <v>30</v>
      </c>
      <c r="CU87" s="1093"/>
      <c r="CV87" s="1093"/>
      <c r="ED87" s="1093"/>
      <c r="EE87" s="1093"/>
    </row>
    <row r="88" spans="2:135" ht="21" hidden="1" x14ac:dyDescent="0.4">
      <c r="B88" s="491"/>
      <c r="C88" s="491"/>
      <c r="G88" s="490"/>
      <c r="H88" s="465"/>
      <c r="I88" s="465"/>
      <c r="J88" s="465"/>
      <c r="K88" s="465"/>
      <c r="L88" s="465"/>
      <c r="M88" s="465"/>
      <c r="N88" s="465"/>
      <c r="O88" s="465"/>
      <c r="P88" s="465"/>
      <c r="Q88" s="465"/>
      <c r="R88" s="465"/>
      <c r="S88" s="465"/>
      <c r="T88" s="465"/>
      <c r="U88" s="493"/>
      <c r="V88" s="465"/>
      <c r="W88" s="465"/>
      <c r="X88" s="465"/>
      <c r="Y88" s="465"/>
      <c r="Z88" s="465"/>
      <c r="AA88" s="465"/>
      <c r="AB88" s="493"/>
      <c r="AC88" s="493"/>
      <c r="AD88" s="493"/>
      <c r="AE88" s="493"/>
      <c r="AF88" s="465"/>
      <c r="AG88" s="465"/>
      <c r="AH88" s="465"/>
      <c r="AI88" s="465"/>
      <c r="AJ88" s="465"/>
      <c r="AK88" s="465"/>
      <c r="AL88" s="465"/>
      <c r="AM88" s="465"/>
      <c r="AN88" s="465"/>
      <c r="AO88" s="465"/>
      <c r="AP88" s="465"/>
      <c r="AQ88" s="465"/>
      <c r="AR88" s="465"/>
      <c r="AS88" s="465"/>
      <c r="AT88" s="465"/>
      <c r="AU88" s="465"/>
      <c r="AV88" s="465"/>
      <c r="AW88" s="465"/>
      <c r="AX88" s="465"/>
      <c r="AY88" s="465"/>
      <c r="AZ88" s="465"/>
      <c r="BA88" s="465"/>
      <c r="BB88" s="465"/>
      <c r="BC88" s="473"/>
      <c r="BF88" s="1099"/>
      <c r="BG88" s="1099"/>
      <c r="BI88" s="1053"/>
      <c r="BJ88" s="1053"/>
      <c r="BK88" s="1053"/>
      <c r="BL88" s="1053"/>
      <c r="BM88" s="1053"/>
      <c r="BN88" s="489"/>
      <c r="BQ88" s="1097" t="s">
        <v>33</v>
      </c>
      <c r="BR88" s="1097" t="s">
        <v>34</v>
      </c>
      <c r="BS88" s="1097" t="s">
        <v>35</v>
      </c>
      <c r="BT88" s="1097" t="s">
        <v>36</v>
      </c>
      <c r="BU88" s="1097" t="s">
        <v>37</v>
      </c>
      <c r="BV88" s="1097" t="s">
        <v>83</v>
      </c>
      <c r="BW88" s="1097" t="s">
        <v>16</v>
      </c>
      <c r="BX88" s="1097" t="s">
        <v>84</v>
      </c>
      <c r="BY88" s="1097">
        <v>1</v>
      </c>
      <c r="BZ88" s="1097">
        <v>2</v>
      </c>
      <c r="CA88" s="1097">
        <v>3</v>
      </c>
      <c r="CB88" s="1098">
        <v>4</v>
      </c>
      <c r="CC88" s="1097">
        <v>5</v>
      </c>
      <c r="CD88" s="1097" t="s">
        <v>85</v>
      </c>
      <c r="CE88" s="1097" t="s">
        <v>86</v>
      </c>
      <c r="CF88" s="1097">
        <v>6</v>
      </c>
      <c r="CG88" s="1097">
        <v>7</v>
      </c>
      <c r="CH88" s="1097">
        <v>8</v>
      </c>
      <c r="CI88" s="1097">
        <v>9</v>
      </c>
      <c r="CJ88" s="1097">
        <v>10</v>
      </c>
      <c r="CK88" s="1097">
        <v>11</v>
      </c>
      <c r="CL88" s="1097">
        <v>12</v>
      </c>
      <c r="CM88" s="1097" t="s">
        <v>87</v>
      </c>
      <c r="CN88" s="1097" t="s">
        <v>15</v>
      </c>
      <c r="CO88" s="1097" t="s">
        <v>88</v>
      </c>
      <c r="CP88" s="1097" t="s">
        <v>89</v>
      </c>
      <c r="CQ88" s="1097" t="s">
        <v>90</v>
      </c>
      <c r="CR88" s="1097" t="s">
        <v>91</v>
      </c>
      <c r="CS88" s="1097" t="s">
        <v>92</v>
      </c>
      <c r="CT88" s="1097" t="s">
        <v>93</v>
      </c>
      <c r="ED88" s="1093"/>
      <c r="EE88" s="1093"/>
    </row>
    <row r="89" spans="2:135" ht="21" hidden="1" x14ac:dyDescent="0.4">
      <c r="G89" s="490"/>
      <c r="H89" s="465"/>
      <c r="I89" s="465"/>
      <c r="J89" s="465"/>
      <c r="K89" s="465"/>
      <c r="L89" s="465"/>
      <c r="M89" s="465"/>
      <c r="N89" s="465"/>
      <c r="O89" s="465"/>
      <c r="P89" s="465"/>
      <c r="Q89" s="465"/>
      <c r="R89" s="465"/>
      <c r="S89" s="465"/>
      <c r="T89" s="465"/>
      <c r="U89" s="493"/>
      <c r="V89" s="465"/>
      <c r="W89" s="465"/>
      <c r="X89" s="465"/>
      <c r="Y89" s="465"/>
      <c r="Z89" s="465"/>
      <c r="AA89" s="465"/>
      <c r="AB89" s="493"/>
      <c r="AC89" s="493"/>
      <c r="AD89" s="493"/>
      <c r="AE89" s="493"/>
      <c r="AF89" s="465"/>
      <c r="AG89" s="465"/>
      <c r="AH89" s="465"/>
      <c r="AI89" s="465"/>
      <c r="AJ89" s="465"/>
      <c r="AK89" s="465"/>
      <c r="AL89" s="465"/>
      <c r="AM89" s="465"/>
      <c r="AN89" s="465"/>
      <c r="AO89" s="465"/>
      <c r="AP89" s="465"/>
      <c r="AQ89" s="465"/>
      <c r="AR89" s="465"/>
      <c r="AS89" s="465"/>
      <c r="AT89" s="465"/>
      <c r="AU89" s="465"/>
      <c r="AV89" s="465"/>
      <c r="AW89" s="465"/>
      <c r="AX89" s="465"/>
      <c r="AY89" s="465"/>
      <c r="AZ89" s="465"/>
      <c r="BA89" s="465"/>
      <c r="BB89" s="465"/>
      <c r="BC89" s="473"/>
      <c r="BF89" s="1099"/>
      <c r="BG89" s="1099"/>
      <c r="BI89" s="1053"/>
      <c r="BJ89" s="1053"/>
      <c r="BK89" s="1053"/>
      <c r="BL89" s="1053"/>
      <c r="BM89" s="1053"/>
      <c r="BN89" s="489"/>
      <c r="BQ89" s="1096"/>
      <c r="BR89" s="1096"/>
      <c r="BS89" s="1096"/>
      <c r="BT89" s="1096"/>
      <c r="BU89" s="1096"/>
      <c r="BV89" s="1095"/>
      <c r="BW89" s="1095"/>
      <c r="BX89" s="1095"/>
      <c r="BY89" s="1095"/>
      <c r="BZ89" s="1095"/>
      <c r="CA89" s="1095"/>
      <c r="CB89" s="1095"/>
      <c r="CC89" s="1095"/>
      <c r="CD89" s="1095"/>
      <c r="CE89" s="1095"/>
      <c r="CF89" s="1095"/>
      <c r="CG89" s="1095"/>
      <c r="CH89" s="1095"/>
      <c r="CI89" s="1095"/>
      <c r="CJ89" s="1094"/>
      <c r="CK89" s="1093"/>
      <c r="CL89" s="1093"/>
      <c r="CM89" s="1093"/>
      <c r="CN89" s="1093"/>
      <c r="CO89" s="1093"/>
      <c r="CP89" s="1093"/>
      <c r="CQ89" s="1093"/>
      <c r="CR89" s="1093"/>
      <c r="CS89" s="1093"/>
      <c r="CT89" s="1093"/>
      <c r="CU89" s="1093"/>
      <c r="CV89" s="1093"/>
      <c r="ED89" s="1093"/>
      <c r="EE89" s="1093"/>
    </row>
    <row r="90" spans="2:135" ht="20.399999999999999" hidden="1" x14ac:dyDescent="0.35">
      <c r="G90" s="490"/>
      <c r="H90" s="465"/>
      <c r="I90" s="465"/>
      <c r="J90" s="465"/>
      <c r="K90" s="465"/>
      <c r="L90" s="465"/>
      <c r="M90" s="465"/>
      <c r="N90" s="465"/>
      <c r="O90" s="465"/>
      <c r="P90" s="465"/>
      <c r="Q90" s="465"/>
      <c r="R90" s="465"/>
      <c r="S90" s="465"/>
      <c r="T90" s="465"/>
      <c r="U90" s="493"/>
      <c r="V90" s="465"/>
      <c r="W90" s="465"/>
      <c r="X90" s="465"/>
      <c r="Y90" s="465"/>
      <c r="Z90" s="465"/>
      <c r="AA90" s="465"/>
      <c r="AB90" s="493"/>
      <c r="AC90" s="493"/>
      <c r="AD90" s="493"/>
      <c r="AE90" s="493"/>
      <c r="AF90" s="465"/>
      <c r="AG90" s="465"/>
      <c r="AH90" s="465"/>
      <c r="AI90" s="465"/>
      <c r="AJ90" s="465"/>
      <c r="AK90" s="465"/>
      <c r="AL90" s="465"/>
      <c r="AM90" s="465"/>
      <c r="AN90" s="465"/>
      <c r="AO90" s="465"/>
      <c r="AP90" s="465"/>
      <c r="AQ90" s="465"/>
      <c r="AR90" s="465"/>
      <c r="AS90" s="465"/>
      <c r="AT90" s="465"/>
      <c r="AU90" s="465"/>
      <c r="AV90" s="465"/>
      <c r="AW90" s="465"/>
      <c r="AX90" s="465"/>
      <c r="AY90" s="465"/>
      <c r="AZ90" s="465"/>
      <c r="BA90" s="465"/>
      <c r="BB90" s="465"/>
      <c r="BC90" s="473"/>
      <c r="BF90" s="1099"/>
      <c r="BG90" s="1099"/>
      <c r="BI90" s="1053"/>
      <c r="BJ90" s="1053"/>
      <c r="BK90" s="1053"/>
      <c r="BL90" s="1053"/>
      <c r="BM90" s="1053"/>
      <c r="BN90" s="489"/>
      <c r="BO90" s="524"/>
      <c r="BP90" s="478"/>
      <c r="BQ90" s="478"/>
      <c r="BR90" s="478"/>
      <c r="BS90" s="478"/>
      <c r="BT90" s="478"/>
      <c r="BU90" s="478"/>
      <c r="BV90" s="519"/>
      <c r="BW90" s="519"/>
      <c r="BX90" s="519"/>
      <c r="BY90" s="519"/>
      <c r="BZ90" s="519"/>
      <c r="CA90" s="519"/>
      <c r="CB90" s="519"/>
      <c r="CC90" s="519"/>
      <c r="CD90" s="519"/>
      <c r="CE90" s="519"/>
      <c r="CF90" s="519"/>
      <c r="CG90" s="519"/>
      <c r="CH90" s="519"/>
      <c r="CI90" s="519"/>
      <c r="CJ90" s="506"/>
      <c r="ED90" s="1093"/>
      <c r="EE90" s="1093"/>
    </row>
    <row r="91" spans="2:135" ht="20.399999999999999" hidden="1" x14ac:dyDescent="0.35">
      <c r="B91" s="1261"/>
      <c r="C91" s="1261"/>
      <c r="D91" s="522"/>
      <c r="E91" s="522"/>
      <c r="F91" s="522"/>
      <c r="G91" s="522"/>
      <c r="BG91" s="489"/>
      <c r="BH91" s="489"/>
      <c r="BI91" s="489"/>
      <c r="BJ91" s="489"/>
      <c r="BK91" s="489"/>
      <c r="BL91" s="489"/>
      <c r="BM91" s="489"/>
      <c r="BN91" s="489"/>
      <c r="BP91" s="1091" t="s">
        <v>95</v>
      </c>
      <c r="BS91" s="478"/>
      <c r="BT91" s="478"/>
      <c r="BU91" s="478"/>
      <c r="BV91" s="519"/>
      <c r="BW91" s="519"/>
      <c r="BX91" s="519"/>
      <c r="BY91" s="519"/>
      <c r="BZ91" s="519"/>
      <c r="CA91" s="519"/>
      <c r="CB91" s="519"/>
      <c r="CC91" s="519"/>
      <c r="CD91" s="519"/>
      <c r="CE91" s="519"/>
      <c r="CF91" s="519"/>
      <c r="CG91" s="519"/>
      <c r="CH91" s="519"/>
      <c r="CI91" s="519"/>
      <c r="CJ91" s="506"/>
      <c r="CR91" s="466"/>
      <c r="CV91" s="1091" t="s">
        <v>94</v>
      </c>
      <c r="CW91" s="489"/>
      <c r="CX91" s="489"/>
      <c r="ED91" s="1093"/>
      <c r="EE91" s="1093"/>
    </row>
    <row r="92" spans="2:135" ht="20.399999999999999" hidden="1" x14ac:dyDescent="0.35">
      <c r="BG92" s="524"/>
      <c r="BH92" s="524"/>
      <c r="BI92" s="524"/>
      <c r="BJ92" s="524"/>
      <c r="BK92" s="524"/>
      <c r="BL92" s="524"/>
      <c r="BM92" s="524"/>
      <c r="BN92" s="524"/>
      <c r="BP92" s="1091">
        <f>-+BL108</f>
        <v>523.93454909830371</v>
      </c>
      <c r="BS92" s="478"/>
      <c r="BT92" s="478"/>
      <c r="BU92" s="478"/>
      <c r="BV92" s="519"/>
      <c r="BW92" s="519"/>
      <c r="BX92" s="519"/>
      <c r="BY92" s="519"/>
      <c r="BZ92" s="519"/>
      <c r="CA92" s="519"/>
      <c r="CB92" s="519"/>
      <c r="CC92" s="519"/>
      <c r="CD92" s="519"/>
      <c r="CE92" s="519"/>
      <c r="CF92" s="519"/>
      <c r="CG92" s="519"/>
      <c r="CH92" s="519"/>
      <c r="CI92" s="519"/>
      <c r="CJ92" s="506"/>
      <c r="CP92" s="639"/>
      <c r="CR92" s="466"/>
      <c r="CV92" s="1091">
        <f>+-BL137</f>
        <v>-926.06545090169629</v>
      </c>
      <c r="CW92" s="489"/>
      <c r="CX92" s="489"/>
      <c r="ED92" s="1093"/>
      <c r="EE92" s="1093"/>
    </row>
    <row r="93" spans="2:135" ht="20.399999999999999" hidden="1" x14ac:dyDescent="0.35">
      <c r="B93" s="473"/>
      <c r="BG93" s="524"/>
      <c r="BH93" s="524"/>
      <c r="BI93" s="524"/>
      <c r="BJ93" s="524"/>
      <c r="BK93" s="524"/>
      <c r="BL93" s="524"/>
      <c r="BM93" s="524"/>
      <c r="BN93" s="524"/>
      <c r="BP93" s="478"/>
      <c r="BQ93" s="478"/>
      <c r="BR93" s="478"/>
      <c r="BS93" s="478"/>
      <c r="BT93" s="478"/>
      <c r="BU93" s="478"/>
      <c r="BV93" s="519"/>
      <c r="BW93" s="519"/>
      <c r="BX93" s="519"/>
      <c r="BY93" s="519"/>
      <c r="BZ93" s="519"/>
      <c r="CA93" s="519"/>
      <c r="CB93" s="519"/>
      <c r="CC93" s="519"/>
      <c r="CD93" s="519"/>
      <c r="CE93" s="519"/>
      <c r="CF93" s="519"/>
      <c r="CG93" s="519"/>
      <c r="CH93" s="519"/>
      <c r="CI93" s="519"/>
      <c r="CJ93" s="506"/>
      <c r="CR93" s="489"/>
      <c r="CS93" s="489"/>
      <c r="CT93" s="489"/>
      <c r="CU93" s="489"/>
      <c r="CV93" s="489"/>
      <c r="CW93" s="489"/>
      <c r="CX93" s="489"/>
      <c r="ED93" s="1093"/>
      <c r="EE93" s="1093"/>
    </row>
    <row r="94" spans="2:135" ht="20.399999999999999" hidden="1" x14ac:dyDescent="0.35">
      <c r="B94" s="1261"/>
      <c r="C94" s="1261"/>
      <c r="D94" s="522"/>
      <c r="E94" s="522"/>
      <c r="F94" s="522"/>
      <c r="G94" s="522"/>
      <c r="BG94" s="524"/>
      <c r="BH94" s="524"/>
      <c r="BI94" s="524"/>
      <c r="BJ94" s="524"/>
      <c r="BK94" s="524"/>
      <c r="BL94" s="524"/>
      <c r="BM94" s="524"/>
      <c r="BT94" s="478"/>
      <c r="BU94" s="478"/>
      <c r="BV94" s="519"/>
      <c r="BW94" s="519"/>
      <c r="BX94" s="519"/>
      <c r="BY94" s="519"/>
      <c r="BZ94" s="519"/>
      <c r="CA94" s="519"/>
      <c r="CB94" s="519"/>
      <c r="CC94" s="519"/>
      <c r="CD94" s="519"/>
      <c r="CE94" s="519"/>
      <c r="CF94" s="519"/>
      <c r="CG94" s="519"/>
      <c r="CH94" s="519"/>
      <c r="CI94" s="519"/>
      <c r="CJ94" s="506"/>
      <c r="CR94" s="489"/>
      <c r="CS94" s="489"/>
      <c r="CT94" s="489"/>
      <c r="CU94" s="489"/>
      <c r="CV94" s="489"/>
      <c r="CW94" s="489"/>
      <c r="CX94" s="489"/>
      <c r="ED94" s="1093"/>
      <c r="EE94" s="1093"/>
    </row>
    <row r="95" spans="2:135" ht="20.399999999999999" hidden="1" x14ac:dyDescent="0.35">
      <c r="B95" s="1261"/>
      <c r="C95" s="1261"/>
      <c r="D95" s="522"/>
      <c r="E95" s="522"/>
      <c r="F95" s="522"/>
      <c r="G95" s="522"/>
      <c r="H95" s="471"/>
      <c r="I95" s="471"/>
      <c r="J95" s="471"/>
      <c r="K95" s="471"/>
      <c r="L95" s="471"/>
      <c r="M95" s="471"/>
      <c r="N95" s="471"/>
      <c r="O95" s="471"/>
      <c r="P95" s="471"/>
      <c r="Q95" s="471"/>
      <c r="R95" s="471"/>
      <c r="AB95" s="471"/>
      <c r="AC95" s="471"/>
      <c r="AD95" s="471"/>
      <c r="AE95" s="471"/>
      <c r="AF95" s="471"/>
      <c r="AG95" s="471"/>
      <c r="AH95" s="471"/>
      <c r="AI95" s="471"/>
      <c r="AJ95" s="471"/>
      <c r="AK95" s="471"/>
      <c r="AL95" s="471"/>
      <c r="AM95" s="471"/>
      <c r="AN95" s="471"/>
      <c r="AO95" s="471"/>
      <c r="AP95" s="471"/>
      <c r="AQ95" s="471"/>
      <c r="AR95" s="471"/>
      <c r="AS95" s="471"/>
      <c r="AT95" s="471"/>
      <c r="AU95" s="471"/>
      <c r="AV95" s="471"/>
      <c r="AW95" s="471"/>
      <c r="AX95" s="471"/>
      <c r="AY95" s="471"/>
      <c r="AZ95" s="471"/>
      <c r="BA95" s="471"/>
      <c r="BB95" s="471"/>
      <c r="BC95" s="506"/>
      <c r="BG95" s="524"/>
      <c r="BT95" s="478"/>
      <c r="BU95" s="478"/>
      <c r="BV95" s="519"/>
      <c r="BW95" s="519"/>
      <c r="BX95" s="519"/>
      <c r="BY95" s="519"/>
      <c r="BZ95" s="519"/>
      <c r="CA95" s="519"/>
      <c r="CB95" s="519"/>
      <c r="CC95" s="519"/>
      <c r="CD95" s="519"/>
      <c r="CE95" s="519"/>
      <c r="CF95" s="519"/>
      <c r="CG95" s="519"/>
      <c r="CH95" s="519"/>
      <c r="CI95" s="519"/>
      <c r="CJ95" s="506"/>
      <c r="CR95" s="489"/>
      <c r="CS95" s="489"/>
      <c r="CT95" s="489"/>
      <c r="CU95" s="489"/>
      <c r="CV95" s="489"/>
      <c r="CW95" s="489"/>
      <c r="CX95" s="489"/>
      <c r="ED95" s="1093"/>
      <c r="EE95" s="1093"/>
    </row>
    <row r="96" spans="2:135" ht="21" hidden="1" thickTop="1" x14ac:dyDescent="0.35">
      <c r="B96" s="515"/>
      <c r="C96" s="515"/>
      <c r="D96" s="516"/>
      <c r="E96" s="516"/>
      <c r="F96" s="516"/>
      <c r="G96" s="516"/>
      <c r="H96" s="471"/>
      <c r="I96" s="471"/>
      <c r="J96" s="471"/>
      <c r="K96" s="471"/>
      <c r="L96" s="471"/>
      <c r="M96" s="471"/>
      <c r="N96" s="471"/>
      <c r="O96" s="471"/>
      <c r="P96" s="471"/>
      <c r="Q96" s="471"/>
      <c r="R96" s="471"/>
      <c r="AF96" s="471"/>
      <c r="AG96" s="471"/>
      <c r="AH96" s="471"/>
      <c r="AI96" s="471"/>
      <c r="AJ96" s="471"/>
      <c r="AK96" s="471"/>
      <c r="AL96" s="471"/>
      <c r="AM96" s="471"/>
      <c r="AN96" s="471"/>
      <c r="AO96" s="471"/>
      <c r="AP96" s="471"/>
      <c r="AQ96" s="471"/>
      <c r="AR96" s="471"/>
      <c r="AS96" s="471"/>
      <c r="AT96" s="471"/>
      <c r="AU96" s="471"/>
      <c r="AV96" s="471"/>
      <c r="AW96" s="471"/>
      <c r="AX96" s="471"/>
      <c r="AY96" s="471"/>
      <c r="AZ96" s="471"/>
      <c r="BA96" s="471"/>
      <c r="BB96" s="471"/>
      <c r="BC96" s="506"/>
      <c r="BG96" s="524"/>
      <c r="BT96" s="478"/>
      <c r="BU96" s="478"/>
      <c r="BV96" s="519"/>
      <c r="BW96" s="519"/>
      <c r="BX96" s="519"/>
      <c r="BY96" s="519"/>
      <c r="BZ96" s="519"/>
      <c r="CA96" s="519"/>
      <c r="CB96" s="519"/>
      <c r="CC96" s="519"/>
      <c r="CD96" s="519"/>
      <c r="CE96" s="519"/>
      <c r="CF96" s="519"/>
      <c r="CG96" s="519"/>
      <c r="CH96" s="519"/>
      <c r="CI96" s="519"/>
      <c r="CJ96" s="506"/>
      <c r="CR96" s="524"/>
      <c r="CS96" s="524"/>
      <c r="CT96" s="524"/>
      <c r="CU96" s="524"/>
      <c r="CV96" s="524"/>
      <c r="CW96" s="524"/>
      <c r="CX96" s="524"/>
      <c r="ED96" s="1093"/>
      <c r="EE96" s="1093"/>
    </row>
    <row r="97" spans="2:135" ht="21.6" thickTop="1" thickBot="1" x14ac:dyDescent="0.4">
      <c r="B97" s="525"/>
      <c r="C97" s="525"/>
      <c r="D97" s="516"/>
      <c r="E97" s="516"/>
      <c r="F97" s="516"/>
      <c r="G97" s="516"/>
      <c r="H97" s="471"/>
      <c r="I97" s="471"/>
      <c r="J97" s="471"/>
      <c r="K97" s="471"/>
      <c r="L97" s="471"/>
      <c r="M97" s="471"/>
      <c r="N97" s="471"/>
      <c r="O97" s="471"/>
      <c r="P97" s="471"/>
      <c r="Q97" s="471"/>
      <c r="R97" s="471"/>
      <c r="U97" s="469"/>
      <c r="V97" s="469"/>
      <c r="W97" s="469"/>
      <c r="X97" s="469"/>
      <c r="Y97" s="469"/>
      <c r="Z97" s="469"/>
      <c r="AA97" s="469"/>
      <c r="AF97" s="469"/>
      <c r="AG97" s="469"/>
      <c r="AH97" s="469"/>
      <c r="AI97" s="469"/>
      <c r="AJ97" s="469"/>
      <c r="AK97" s="469"/>
      <c r="AL97" s="469"/>
      <c r="AM97" s="469"/>
      <c r="AN97" s="469"/>
      <c r="AO97" s="469"/>
      <c r="AP97" s="469"/>
      <c r="AQ97" s="469"/>
      <c r="AR97" s="469"/>
      <c r="AS97" s="469"/>
      <c r="AT97" s="469"/>
      <c r="AU97" s="469"/>
      <c r="AV97" s="469"/>
      <c r="AW97" s="469"/>
      <c r="AX97" s="469"/>
      <c r="AY97" s="469"/>
      <c r="AZ97" s="469"/>
      <c r="BA97" s="469"/>
      <c r="BB97" s="469"/>
      <c r="BC97" s="478"/>
      <c r="BG97" s="524"/>
      <c r="CI97" s="521"/>
      <c r="CJ97" s="521"/>
      <c r="CK97" s="521"/>
      <c r="CL97" s="521"/>
      <c r="CM97" s="521"/>
      <c r="CN97" s="521"/>
      <c r="CR97" s="524"/>
      <c r="CS97" s="524"/>
      <c r="CT97" s="524"/>
      <c r="CU97" s="524"/>
      <c r="CV97" s="524"/>
      <c r="CW97" s="524"/>
      <c r="CX97" s="524"/>
      <c r="ED97" s="1093"/>
      <c r="EE97" s="1093"/>
    </row>
    <row r="98" spans="2:135" ht="48.75" customHeight="1" thickBot="1" x14ac:dyDescent="0.4">
      <c r="B98" s="525"/>
      <c r="D98" s="1020" t="str">
        <f>IF(BP92&gt;0," ","change the angle of frame or of cabinets")</f>
        <v xml:space="preserve"> </v>
      </c>
      <c r="E98" s="526"/>
      <c r="F98" s="526"/>
      <c r="G98" s="526"/>
      <c r="H98" s="471"/>
      <c r="I98" s="471"/>
      <c r="J98" s="471"/>
      <c r="K98" s="471"/>
      <c r="L98" s="471"/>
      <c r="M98" s="471"/>
      <c r="N98" s="471"/>
      <c r="O98" s="471"/>
      <c r="P98" s="471"/>
      <c r="Q98" s="471"/>
      <c r="R98" s="471"/>
      <c r="S98" s="471"/>
      <c r="T98" s="471"/>
      <c r="V98" s="471"/>
      <c r="W98" s="471"/>
      <c r="X98" s="471"/>
      <c r="Y98" s="471"/>
      <c r="Z98" s="471"/>
      <c r="AA98" s="471"/>
      <c r="AF98" s="471"/>
      <c r="AG98" s="471"/>
      <c r="AH98" s="471"/>
      <c r="AI98" s="471"/>
      <c r="AJ98" s="471"/>
      <c r="AK98" s="471"/>
      <c r="AL98" s="471"/>
      <c r="AM98" s="471"/>
      <c r="AN98" s="471"/>
      <c r="AO98" s="471"/>
      <c r="AP98" s="471"/>
      <c r="AQ98" s="471"/>
      <c r="AR98" s="471"/>
      <c r="AS98" s="471"/>
      <c r="AT98" s="471"/>
      <c r="AU98" s="471"/>
      <c r="AV98" s="471"/>
      <c r="AW98" s="471"/>
      <c r="AX98" s="471"/>
      <c r="AY98" s="471"/>
      <c r="AZ98" s="471"/>
      <c r="BA98" s="471"/>
      <c r="BB98" s="471"/>
      <c r="BC98" s="506"/>
      <c r="BG98" s="524"/>
      <c r="CR98" s="524"/>
      <c r="CS98" s="524"/>
      <c r="CT98" s="524"/>
      <c r="CU98" s="524"/>
      <c r="CV98" s="524"/>
      <c r="CW98" s="524"/>
      <c r="CX98" s="524"/>
      <c r="ED98" s="1093"/>
      <c r="EE98" s="1093"/>
    </row>
    <row r="99" spans="2:135" ht="48.75" customHeight="1" thickBot="1" x14ac:dyDescent="0.4">
      <c r="B99" s="2062" t="s">
        <v>70</v>
      </c>
      <c r="D99" s="1020" t="str">
        <f>IF(CV92&lt;0," ","change the angle of frame or of cabinets")</f>
        <v xml:space="preserve"> </v>
      </c>
      <c r="E99" s="526"/>
      <c r="F99" s="526"/>
      <c r="G99" s="526"/>
      <c r="H99" s="471"/>
      <c r="I99" s="471"/>
      <c r="J99" s="471"/>
      <c r="K99" s="471"/>
      <c r="L99" s="471"/>
      <c r="M99" s="471"/>
      <c r="N99" s="471"/>
      <c r="O99" s="471"/>
      <c r="P99" s="471"/>
      <c r="Q99" s="471"/>
      <c r="R99" s="471"/>
      <c r="S99" s="471"/>
      <c r="T99" s="471"/>
      <c r="V99" s="1260"/>
      <c r="W99" s="1260"/>
      <c r="X99" s="1260"/>
      <c r="Y99" s="1260"/>
      <c r="Z99" s="1260"/>
      <c r="AA99" s="1260"/>
      <c r="AF99" s="1227"/>
      <c r="AG99" s="1227"/>
      <c r="AH99" s="1227"/>
      <c r="AI99" s="1227"/>
      <c r="AJ99" s="1227"/>
      <c r="AK99" s="1227"/>
      <c r="AL99" s="1227"/>
      <c r="AM99" s="1227"/>
      <c r="AN99" s="1227"/>
      <c r="AO99" s="1227"/>
      <c r="AP99" s="1227"/>
      <c r="AQ99" s="1227"/>
      <c r="AR99" s="1227"/>
      <c r="AS99" s="1227"/>
      <c r="AT99" s="1227"/>
      <c r="AU99" s="1227"/>
      <c r="AV99" s="1227"/>
      <c r="AW99" s="1227"/>
      <c r="AX99" s="1227"/>
      <c r="AY99" s="1227"/>
      <c r="AZ99" s="1227"/>
      <c r="BA99" s="1227"/>
      <c r="BB99" s="1227"/>
      <c r="BC99" s="530"/>
      <c r="BG99" s="524"/>
      <c r="CR99" s="524"/>
      <c r="CS99" s="524"/>
      <c r="CT99" s="524"/>
      <c r="CU99" s="524"/>
      <c r="CV99" s="524"/>
      <c r="CW99" s="524"/>
      <c r="CX99" s="524"/>
      <c r="ED99" s="1093"/>
      <c r="EE99" s="1093"/>
    </row>
    <row r="100" spans="2:135" ht="48.75" customHeight="1" thickBot="1" x14ac:dyDescent="0.4">
      <c r="B100" s="2063"/>
      <c r="C100" s="1087"/>
      <c r="D100" s="1020" t="str">
        <f>IF(BP92&gt;(+COS(($B$101*-1)*3.14159265358979/180)*375)," ","USE EXBAR VR AT THE FRONT")</f>
        <v xml:space="preserve"> </v>
      </c>
      <c r="E100" s="526"/>
      <c r="F100" s="526"/>
      <c r="G100" s="526"/>
      <c r="H100" s="471"/>
      <c r="I100" s="471"/>
      <c r="J100" s="471"/>
      <c r="K100" s="471"/>
      <c r="L100" s="471"/>
      <c r="M100" s="471"/>
      <c r="N100" s="471"/>
      <c r="O100" s="471"/>
      <c r="P100" s="471"/>
      <c r="Q100" s="471"/>
      <c r="R100" s="471"/>
      <c r="S100" s="471"/>
      <c r="T100" s="471"/>
      <c r="AF100" s="471"/>
      <c r="AG100" s="471"/>
      <c r="AH100" s="471"/>
      <c r="AI100" s="471"/>
      <c r="AJ100" s="471"/>
      <c r="AK100" s="471"/>
      <c r="AL100" s="471"/>
      <c r="AM100" s="471"/>
      <c r="AN100" s="471"/>
      <c r="AO100" s="471"/>
      <c r="AP100" s="471"/>
      <c r="AQ100" s="471"/>
      <c r="AR100" s="471"/>
      <c r="AS100" s="471"/>
      <c r="AT100" s="471"/>
      <c r="AU100" s="471"/>
      <c r="AV100" s="471"/>
      <c r="AW100" s="471"/>
      <c r="AX100" s="471"/>
      <c r="AY100" s="471"/>
      <c r="AZ100" s="471"/>
      <c r="BA100" s="471"/>
      <c r="BB100" s="471"/>
      <c r="BC100" s="506"/>
      <c r="BG100" s="524"/>
      <c r="CR100" s="524"/>
      <c r="CS100" s="524"/>
      <c r="CT100" s="524"/>
      <c r="CU100" s="524"/>
      <c r="CV100" s="524"/>
      <c r="CW100" s="524"/>
      <c r="CX100" s="524"/>
      <c r="ED100" s="1093"/>
      <c r="EE100" s="1093"/>
    </row>
    <row r="101" spans="2:135" ht="48.75" customHeight="1" thickBot="1" x14ac:dyDescent="0.4">
      <c r="B101" s="1259">
        <v>0</v>
      </c>
      <c r="C101" s="1087"/>
      <c r="D101" s="1086" t="str">
        <f>IF(CV92&lt;-(+COS(($B$101*-1)*3.14159265358979/180)*375)," ","USE EXBAR VR AT THE BACK")</f>
        <v xml:space="preserve"> </v>
      </c>
      <c r="E101" s="526"/>
      <c r="F101" s="526"/>
      <c r="G101" s="526"/>
      <c r="AF101" s="471"/>
      <c r="AG101" s="471"/>
      <c r="AH101" s="471"/>
      <c r="AI101" s="471"/>
      <c r="AJ101" s="471"/>
      <c r="AK101" s="471"/>
      <c r="AL101" s="471"/>
      <c r="AM101" s="471"/>
      <c r="AN101" s="471"/>
      <c r="AO101" s="471"/>
      <c r="AP101" s="471"/>
      <c r="AQ101" s="471"/>
      <c r="AR101" s="471"/>
      <c r="AS101" s="471"/>
      <c r="AT101" s="471"/>
      <c r="AU101" s="471"/>
      <c r="AV101" s="471"/>
      <c r="AW101" s="471"/>
      <c r="AX101" s="471"/>
      <c r="AY101" s="471"/>
      <c r="AZ101" s="471"/>
      <c r="BA101" s="471"/>
      <c r="BB101" s="471"/>
      <c r="BC101" s="506"/>
      <c r="BG101" s="524"/>
      <c r="CR101" s="524"/>
      <c r="CS101" s="524"/>
      <c r="CT101" s="524"/>
      <c r="CU101" s="524"/>
      <c r="CV101" s="524"/>
      <c r="CW101" s="524"/>
      <c r="CX101" s="524"/>
      <c r="ED101" s="1093"/>
      <c r="EE101" s="1093"/>
    </row>
    <row r="102" spans="2:135" ht="21" thickBot="1" x14ac:dyDescent="0.4">
      <c r="AF102" s="471"/>
      <c r="AG102" s="471"/>
      <c r="AH102" s="471"/>
      <c r="AI102" s="471"/>
      <c r="AJ102" s="471"/>
      <c r="AK102" s="471"/>
      <c r="AL102" s="471"/>
      <c r="AM102" s="471"/>
      <c r="AN102" s="471"/>
      <c r="AO102" s="471"/>
      <c r="AP102" s="471"/>
      <c r="AQ102" s="471"/>
      <c r="AR102" s="471"/>
      <c r="AS102" s="471"/>
      <c r="AT102" s="471"/>
      <c r="AU102" s="471"/>
      <c r="AV102" s="471"/>
      <c r="AW102" s="471"/>
      <c r="AX102" s="471"/>
      <c r="AY102" s="471"/>
      <c r="AZ102" s="471"/>
      <c r="BA102" s="471"/>
      <c r="BB102" s="471"/>
      <c r="BC102" s="506"/>
      <c r="BG102" s="524"/>
      <c r="CR102" s="524"/>
      <c r="CS102" s="524"/>
      <c r="CT102" s="524"/>
      <c r="CU102" s="524"/>
      <c r="CV102" s="524"/>
      <c r="CW102" s="524"/>
      <c r="CX102" s="524"/>
      <c r="ED102" s="1093"/>
      <c r="EE102" s="1093"/>
    </row>
    <row r="103" spans="2:135" ht="78.75" customHeight="1" thickBot="1" x14ac:dyDescent="0.45">
      <c r="B103" s="1903" t="s">
        <v>42</v>
      </c>
      <c r="C103" s="592"/>
      <c r="D103" s="643"/>
      <c r="E103" s="593"/>
      <c r="F103" s="593"/>
      <c r="G103" s="593"/>
      <c r="H103" s="1224"/>
      <c r="I103" s="1224"/>
      <c r="J103" s="1224"/>
      <c r="K103" s="1224"/>
      <c r="L103" s="1224"/>
      <c r="M103" s="1224"/>
      <c r="N103" s="1224"/>
      <c r="O103" s="1224"/>
      <c r="P103" s="1224"/>
      <c r="Q103" s="1224"/>
      <c r="R103" s="1224"/>
      <c r="S103" s="1234" t="s">
        <v>105</v>
      </c>
      <c r="T103" s="1234">
        <f>SUM(V107:V130)/B104</f>
        <v>146.5</v>
      </c>
      <c r="U103" s="1233"/>
      <c r="V103" s="1232"/>
      <c r="AB103" s="1232"/>
      <c r="AC103" s="1232"/>
      <c r="AD103" s="1232"/>
      <c r="AE103" s="1232"/>
      <c r="AF103" s="1232"/>
      <c r="AG103" s="1232"/>
      <c r="AH103" s="1232"/>
      <c r="AI103" s="1232"/>
      <c r="AJ103" s="1232"/>
      <c r="AK103" s="1232"/>
      <c r="AL103" s="1232"/>
      <c r="AM103" s="1232"/>
      <c r="AN103" s="1232"/>
      <c r="AO103" s="1232"/>
      <c r="AP103" s="1232"/>
      <c r="AQ103" s="1232"/>
      <c r="AR103" s="1232"/>
      <c r="AS103" s="1232"/>
      <c r="AT103" s="1232"/>
      <c r="AU103" s="1232"/>
      <c r="AV103" s="1232"/>
      <c r="AW103" s="1232"/>
      <c r="AX103" s="1232"/>
      <c r="AY103" s="1232"/>
      <c r="AZ103" s="1232"/>
      <c r="BA103" s="1232"/>
      <c r="BB103" s="1232"/>
      <c r="BC103" s="489"/>
      <c r="BD103" s="598"/>
      <c r="BE103" s="598"/>
      <c r="BF103" s="598"/>
      <c r="BG103" s="524"/>
      <c r="BO103" s="524"/>
      <c r="CR103" s="524"/>
      <c r="CS103" s="524"/>
      <c r="CT103" s="524"/>
      <c r="CU103" s="524"/>
      <c r="CV103" s="524"/>
      <c r="CW103" s="524"/>
    </row>
    <row r="104" spans="2:135" ht="27" customHeight="1" thickBot="1" x14ac:dyDescent="0.45">
      <c r="B104" s="1904">
        <v>1</v>
      </c>
      <c r="C104" s="773"/>
      <c r="D104" s="547" t="s">
        <v>71</v>
      </c>
      <c r="E104" s="772"/>
      <c r="F104" s="772"/>
      <c r="G104" s="772"/>
      <c r="H104" s="1231"/>
      <c r="I104" s="1230"/>
      <c r="J104" s="1230"/>
      <c r="K104" s="1230"/>
      <c r="L104" s="1230"/>
      <c r="M104" s="1230"/>
      <c r="N104" s="1230"/>
      <c r="O104" s="1230"/>
      <c r="P104" s="1230"/>
      <c r="Q104" s="1230"/>
      <c r="R104" s="1230"/>
      <c r="S104" s="1229"/>
      <c r="T104" s="1228"/>
      <c r="U104" s="1227"/>
      <c r="V104" s="1226"/>
      <c r="W104" s="2098" t="s">
        <v>178</v>
      </c>
      <c r="X104" s="2098"/>
      <c r="Y104" s="2098"/>
      <c r="Z104" s="2098"/>
      <c r="AA104" s="2098"/>
      <c r="AB104" s="1226"/>
      <c r="AC104" s="1226"/>
      <c r="AD104" s="1226"/>
      <c r="AE104" s="1226"/>
      <c r="AF104" s="1226"/>
      <c r="AG104" s="1226"/>
      <c r="AH104" s="1226"/>
      <c r="AI104" s="1226"/>
      <c r="AJ104" s="1226"/>
      <c r="AK104" s="1226"/>
      <c r="AL104" s="1226"/>
      <c r="AM104" s="1226"/>
      <c r="AN104" s="1226"/>
      <c r="AO104" s="1226"/>
      <c r="AP104" s="1226"/>
      <c r="AQ104" s="1226"/>
      <c r="AR104" s="1226"/>
      <c r="AS104" s="1226"/>
      <c r="AT104" s="1226"/>
      <c r="AU104" s="1226"/>
      <c r="AV104" s="1226"/>
      <c r="AW104" s="1226"/>
      <c r="AX104" s="1226"/>
      <c r="AY104" s="1226"/>
      <c r="AZ104" s="1226"/>
      <c r="BA104" s="2096" t="s">
        <v>68</v>
      </c>
      <c r="BB104" s="2097"/>
      <c r="BC104" s="599"/>
      <c r="BD104" s="600"/>
      <c r="BE104" s="600"/>
      <c r="BF104" s="600"/>
      <c r="BG104" s="524"/>
      <c r="BH104" s="524"/>
      <c r="BI104" s="524"/>
      <c r="BJ104" s="524"/>
      <c r="BK104" s="524"/>
      <c r="BL104" s="524"/>
      <c r="BM104" s="524"/>
      <c r="BN104" s="524"/>
      <c r="BO104" s="524"/>
      <c r="CR104" s="524"/>
      <c r="CS104" s="524"/>
      <c r="CT104" s="524"/>
      <c r="CU104" s="524"/>
      <c r="CV104" s="524"/>
      <c r="CW104" s="524"/>
    </row>
    <row r="105" spans="2:135" ht="18" hidden="1" thickBot="1" x14ac:dyDescent="0.35">
      <c r="B105" s="536"/>
      <c r="C105" s="537"/>
      <c r="D105" s="1905" t="s">
        <v>13</v>
      </c>
      <c r="E105" s="516"/>
      <c r="F105" s="516"/>
      <c r="G105" s="516"/>
      <c r="H105" s="1225" t="s">
        <v>4</v>
      </c>
      <c r="I105" s="1225" t="s">
        <v>1</v>
      </c>
      <c r="J105" s="1224" t="s">
        <v>0</v>
      </c>
      <c r="K105" s="1224" t="s">
        <v>2</v>
      </c>
      <c r="L105" s="1224" t="s">
        <v>3</v>
      </c>
      <c r="M105" s="1224" t="s">
        <v>8</v>
      </c>
      <c r="N105" s="1224" t="s">
        <v>5</v>
      </c>
      <c r="O105" s="1224" t="s">
        <v>6</v>
      </c>
      <c r="P105" s="1224" t="s">
        <v>7</v>
      </c>
      <c r="Q105" s="1224" t="s">
        <v>9</v>
      </c>
      <c r="R105" s="1216" t="s">
        <v>10</v>
      </c>
      <c r="S105" s="1224" t="s">
        <v>11</v>
      </c>
      <c r="T105" s="1223" t="s">
        <v>12</v>
      </c>
      <c r="U105" s="1214"/>
      <c r="V105" s="1213"/>
      <c r="W105" s="1022" t="s">
        <v>185</v>
      </c>
      <c r="X105" s="1023" t="s">
        <v>179</v>
      </c>
      <c r="Y105" s="1022" t="s">
        <v>187</v>
      </c>
      <c r="Z105" s="1024" t="s">
        <v>186</v>
      </c>
      <c r="AA105" s="1024" t="s">
        <v>181</v>
      </c>
      <c r="AB105" s="1213"/>
      <c r="AC105" s="1234" t="s">
        <v>184</v>
      </c>
      <c r="AD105" s="1234"/>
      <c r="AE105" s="1234"/>
      <c r="AF105" s="1213"/>
      <c r="AG105" s="1213"/>
      <c r="AH105" s="1213"/>
      <c r="AI105" s="1213"/>
      <c r="AJ105" s="1213"/>
      <c r="AK105" s="1213"/>
      <c r="AL105" s="1213"/>
      <c r="AM105" s="1213"/>
      <c r="AN105" s="1213"/>
      <c r="AO105" s="1213"/>
      <c r="AP105" s="1213"/>
      <c r="AQ105" s="1213"/>
      <c r="AR105" s="1213"/>
      <c r="AS105" s="1213"/>
      <c r="AT105" s="1213"/>
      <c r="AU105" s="1213" t="s">
        <v>108</v>
      </c>
      <c r="AV105" s="1213"/>
      <c r="AW105" s="1213"/>
      <c r="AX105" s="1213"/>
      <c r="AY105" s="1222"/>
      <c r="AZ105" s="1213"/>
      <c r="BA105" s="1213"/>
      <c r="BB105" s="1213"/>
      <c r="BC105" s="541"/>
      <c r="BD105" s="540"/>
      <c r="BE105" s="506"/>
      <c r="BF105" s="506"/>
      <c r="BG105" s="524"/>
      <c r="BH105" s="524"/>
      <c r="BI105" s="524"/>
      <c r="BJ105" s="524"/>
      <c r="BK105" s="524"/>
      <c r="BL105" s="524"/>
      <c r="BM105" s="524"/>
      <c r="BN105" s="524"/>
      <c r="BO105" s="524"/>
      <c r="CR105" s="524"/>
      <c r="CS105" s="524"/>
      <c r="CT105" s="524"/>
      <c r="CU105" s="524"/>
      <c r="CV105" s="524"/>
      <c r="CW105" s="524"/>
    </row>
    <row r="106" spans="2:135" ht="42" customHeight="1" thickBot="1" x14ac:dyDescent="0.45">
      <c r="B106" s="1344"/>
      <c r="C106" s="1343"/>
      <c r="D106" s="1906" t="s">
        <v>24</v>
      </c>
      <c r="E106" s="772"/>
      <c r="F106" s="1342" t="s">
        <v>58</v>
      </c>
      <c r="G106" s="1067"/>
      <c r="H106" s="1218"/>
      <c r="I106" s="1217"/>
      <c r="J106" s="471"/>
      <c r="K106" s="471"/>
      <c r="L106" s="471"/>
      <c r="M106" s="471"/>
      <c r="N106" s="471"/>
      <c r="O106" s="471"/>
      <c r="P106" s="471"/>
      <c r="Q106" s="471"/>
      <c r="R106" s="1216"/>
      <c r="S106" s="471"/>
      <c r="T106" s="1215"/>
      <c r="U106" s="1214"/>
      <c r="V106" s="1213"/>
      <c r="W106" s="1213"/>
      <c r="X106" s="1213"/>
      <c r="Y106" s="1213"/>
      <c r="Z106" s="1213"/>
      <c r="AA106" s="1213"/>
      <c r="AB106" s="1213"/>
      <c r="AC106" s="1341">
        <f>SUM(AC107:AC130)</f>
        <v>146.5</v>
      </c>
      <c r="AD106" s="1026"/>
      <c r="AE106" s="1026"/>
      <c r="AF106" s="1213" t="s">
        <v>51</v>
      </c>
      <c r="AG106" s="1213"/>
      <c r="AH106" s="1212" t="s">
        <v>44</v>
      </c>
      <c r="AI106" s="1340"/>
      <c r="AJ106" s="1339" t="s">
        <v>96</v>
      </c>
      <c r="AK106" s="1211" t="s">
        <v>45</v>
      </c>
      <c r="AL106" s="1337" t="s">
        <v>46</v>
      </c>
      <c r="AM106" s="1338" t="s">
        <v>97</v>
      </c>
      <c r="AN106" s="1209" t="s">
        <v>47</v>
      </c>
      <c r="AO106" s="1337" t="s">
        <v>48</v>
      </c>
      <c r="AP106" s="1249" t="s">
        <v>61</v>
      </c>
      <c r="AQ106" s="1336" t="s">
        <v>49</v>
      </c>
      <c r="AR106" s="1249" t="s">
        <v>115</v>
      </c>
      <c r="AS106" s="1207" t="s">
        <v>50</v>
      </c>
      <c r="AT106" s="1207" t="s">
        <v>52</v>
      </c>
      <c r="AU106" s="1249" t="s">
        <v>117</v>
      </c>
      <c r="AV106" s="1207"/>
      <c r="AW106" s="1206" t="s">
        <v>54</v>
      </c>
      <c r="AX106" s="1206" t="s">
        <v>55</v>
      </c>
      <c r="AY106" s="1205" t="s">
        <v>25</v>
      </c>
      <c r="AZ106" s="1205" t="s">
        <v>26</v>
      </c>
      <c r="BA106" s="1335" t="s">
        <v>25</v>
      </c>
      <c r="BB106" s="1335" t="s">
        <v>26</v>
      </c>
      <c r="BC106" s="506"/>
      <c r="BD106" s="540"/>
      <c r="BE106" s="506"/>
      <c r="BF106" s="506"/>
      <c r="BG106" s="524"/>
      <c r="BH106" s="524"/>
      <c r="BI106" s="524"/>
      <c r="BJ106" s="524"/>
      <c r="BK106" s="524"/>
      <c r="BL106" s="524"/>
      <c r="BM106" s="524"/>
      <c r="BN106" s="524"/>
      <c r="BO106" s="524"/>
      <c r="BP106" s="473"/>
      <c r="CR106" s="524"/>
      <c r="CS106" s="524"/>
      <c r="CT106" s="524"/>
      <c r="CU106" s="524"/>
      <c r="CV106" s="524"/>
      <c r="CW106" s="524"/>
    </row>
    <row r="107" spans="2:135" ht="21" customHeight="1" thickBot="1" x14ac:dyDescent="0.35">
      <c r="B107" s="1203">
        <v>1</v>
      </c>
      <c r="C107" s="1202">
        <f>+(B101*-1)+D107</f>
        <v>0</v>
      </c>
      <c r="D107" s="1907">
        <v>0</v>
      </c>
      <c r="E107" s="632" t="s">
        <v>73</v>
      </c>
      <c r="F107" s="584">
        <f t="shared" ref="F107:F130" si="3">+G107</f>
        <v>0</v>
      </c>
      <c r="G107" s="584">
        <f>+D107</f>
        <v>0</v>
      </c>
      <c r="H107" s="1302">
        <v>190.76</v>
      </c>
      <c r="I107" s="1301">
        <v>79.651040199999997</v>
      </c>
      <c r="J107" s="1299">
        <f>+I107-C107</f>
        <v>79.651040199999997</v>
      </c>
      <c r="K107" s="1299">
        <f t="shared" ref="K107:K130" si="4">+J107/2</f>
        <v>39.825520099999999</v>
      </c>
      <c r="L107" s="1299">
        <f t="shared" ref="L107:L130" si="5">SIN(K107*3.14159265358979/180)</f>
        <v>0.64045183696587837</v>
      </c>
      <c r="M107" s="1299">
        <f t="shared" ref="M107:M130" si="6">+L107*H107</f>
        <v>122.17259241961095</v>
      </c>
      <c r="N107" s="1299">
        <f t="shared" ref="N107:N130" si="7">+M107*2</f>
        <v>244.3451848392219</v>
      </c>
      <c r="O107" s="1299">
        <f>+C107/2</f>
        <v>0</v>
      </c>
      <c r="P107" s="1299">
        <f t="shared" ref="P107:P130" si="8">SIN(O107*3.14159265358979/180)</f>
        <v>0</v>
      </c>
      <c r="Q107" s="1299">
        <f t="shared" ref="Q107:Q130" si="9">+P107*N107</f>
        <v>0</v>
      </c>
      <c r="R107" s="1300">
        <v>146.5</v>
      </c>
      <c r="S107" s="1299">
        <f>+R107+Q107</f>
        <v>146.5</v>
      </c>
      <c r="T107" s="1298">
        <f t="shared" ref="T107:T130" si="10">+S107</f>
        <v>146.5</v>
      </c>
      <c r="U107" s="1224"/>
      <c r="V107" s="1296">
        <f t="shared" ref="V107:V130" si="11">IF(B107&lt;($B$104+1),T107,0)</f>
        <v>146.5</v>
      </c>
      <c r="W107" s="1334">
        <v>39.825520099999999</v>
      </c>
      <c r="X107" s="1296">
        <f>+W107+AI132</f>
        <v>39.825520099999999</v>
      </c>
      <c r="Y107" s="1334">
        <v>190.75559999999999</v>
      </c>
      <c r="Z107" s="1024">
        <f>+COS(X107*3.14159265358979/180)*Y107</f>
        <v>146.49998343586765</v>
      </c>
      <c r="AA107" s="1333">
        <f>+AC106-Z107</f>
        <v>1.6564132351959415E-5</v>
      </c>
      <c r="AB107" s="1195" t="str">
        <f t="shared" ref="AB107:AB130" si="12">IF(AZ107&lt;0,"pin in groundstacking hole"," ")</f>
        <v xml:space="preserve"> </v>
      </c>
      <c r="AC107" s="1311">
        <f>IF(AD107=1,AF107)</f>
        <v>146.5</v>
      </c>
      <c r="AD107" s="1311">
        <f t="shared" ref="AD107:AD130" si="13">MAX(AE$107:AE$130)</f>
        <v>1</v>
      </c>
      <c r="AE107" s="1311">
        <f>IF(V107=0,0,1)</f>
        <v>1</v>
      </c>
      <c r="AF107" s="1296">
        <f>SUM(V107:V130)/($B$104)</f>
        <v>146.5</v>
      </c>
      <c r="AG107" s="1296"/>
      <c r="AH107" s="1295">
        <f>C107</f>
        <v>0</v>
      </c>
      <c r="AI107" s="1294">
        <f t="shared" ref="AI107:AI130" si="14">IF(B107&lt;($B$104+1),AH107)</f>
        <v>0</v>
      </c>
      <c r="AJ107" s="1292">
        <f t="shared" ref="AJ107:AJ130" si="15">69.3447148-AH107</f>
        <v>69.344714800000006</v>
      </c>
      <c r="AK107" s="1293">
        <f t="shared" ref="AK107:AK130" si="16">SIN(AJ107*3.14159265358979/180)</f>
        <v>0.93571960494171247</v>
      </c>
      <c r="AL107" s="1290">
        <f t="shared" ref="AL107:AL130" si="17">+AK107*192.42</f>
        <v>180.0511663828843</v>
      </c>
      <c r="AM107" s="1292">
        <f t="shared" ref="AM107:AM130" si="18">50.1744799+AH107</f>
        <v>50.174479900000001</v>
      </c>
      <c r="AN107" s="1291">
        <f t="shared" ref="AN107:AN130" si="19">SIN(AM107*3.14159265358979/180)</f>
        <v>0.76799833627881664</v>
      </c>
      <c r="AO107" s="1290">
        <f t="shared" ref="AO107:AO130" si="20">+AN107*190.76</f>
        <v>146.50336262854705</v>
      </c>
      <c r="AP107" s="1289">
        <f t="shared" ref="AP107:AP130" si="21">+((AF107*AQ107)+($AG$140*$AQ$140)+($AQ$161*$AG$161))/AR107</f>
        <v>172.43440765912405</v>
      </c>
      <c r="AQ107" s="1290">
        <f>25.5*B104</f>
        <v>25.5</v>
      </c>
      <c r="AR107" s="1289">
        <f t="shared" ref="AR107:AR130" si="22">+AQ107+$AQ$161+$AQ$140+30+30</f>
        <v>183</v>
      </c>
      <c r="AS107" s="1288">
        <f t="shared" ref="AS107:AS130" si="23">+AO107+AL107</f>
        <v>326.55452901143133</v>
      </c>
      <c r="AT107" s="1286">
        <f t="shared" ref="AT107:AT130" si="24">+V107-AO107</f>
        <v>-3.3626285470518269E-3</v>
      </c>
      <c r="AU107" s="1287">
        <f t="shared" ref="AU107:AU130" si="25">+AP107-AT107</f>
        <v>172.4377702876711</v>
      </c>
      <c r="AV107" s="1286"/>
      <c r="AW107" s="1285">
        <f t="shared" ref="AW107:AW130" si="26">+((AS107-AU107)/AS107)*AR107</f>
        <v>86.36648504562875</v>
      </c>
      <c r="AX107" s="1285">
        <f t="shared" ref="AX107:AX130" si="27">+(AU107/AS107)*AR107</f>
        <v>96.633514954371265</v>
      </c>
      <c r="AY107" s="1185">
        <f t="shared" ref="AY107:AY130" si="28">2*$C$18/AW107</f>
        <v>134.31135924857358</v>
      </c>
      <c r="AZ107" s="1185">
        <f t="shared" ref="AZ107:AZ130" si="29">$D$18/AX107</f>
        <v>103.48376548986998</v>
      </c>
      <c r="BA107" s="1184">
        <f t="shared" ref="BA107:BA130" si="30">ABS(AY107)</f>
        <v>134.31135924857358</v>
      </c>
      <c r="BB107" s="1184">
        <f t="shared" ref="BB107:BB130" si="31">ABS(AZ107)</f>
        <v>103.48376548986998</v>
      </c>
      <c r="BC107" s="586" t="s">
        <v>56</v>
      </c>
      <c r="BD107" s="630"/>
      <c r="BG107" s="524"/>
      <c r="BH107" s="524"/>
      <c r="BI107" s="524"/>
      <c r="BJ107" s="524"/>
      <c r="BK107" s="1079" t="s">
        <v>205</v>
      </c>
      <c r="BL107" s="524"/>
      <c r="BM107" s="524"/>
      <c r="BN107" s="524"/>
      <c r="BO107" s="524"/>
      <c r="BP107" s="473"/>
      <c r="CR107" s="524"/>
      <c r="CS107" s="524"/>
      <c r="CT107" s="524"/>
      <c r="CU107" s="524"/>
      <c r="CV107" s="524"/>
      <c r="CW107" s="524"/>
    </row>
    <row r="108" spans="2:135" ht="21" customHeight="1" thickBot="1" x14ac:dyDescent="0.5">
      <c r="B108" s="631">
        <v>2</v>
      </c>
      <c r="C108" s="612"/>
      <c r="D108" s="1907">
        <v>0</v>
      </c>
      <c r="E108" s="632" t="s">
        <v>72</v>
      </c>
      <c r="F108" s="584" t="e">
        <f t="shared" si="3"/>
        <v>#DIV/0!</v>
      </c>
      <c r="G108" s="584" t="e">
        <f t="shared" ref="G108:G130" si="32">+D108+BC108</f>
        <v>#DIV/0!</v>
      </c>
      <c r="H108" s="1199">
        <v>190.76</v>
      </c>
      <c r="I108" s="1198">
        <v>79.651040199999997</v>
      </c>
      <c r="J108" s="1197">
        <f t="shared" ref="J108:J130" si="33">+I108-D108</f>
        <v>79.651040199999997</v>
      </c>
      <c r="K108" s="1197">
        <f t="shared" si="4"/>
        <v>39.825520099999999</v>
      </c>
      <c r="L108" s="1197">
        <f t="shared" si="5"/>
        <v>0.64045183696587837</v>
      </c>
      <c r="M108" s="1197">
        <f t="shared" si="6"/>
        <v>122.17259241961095</v>
      </c>
      <c r="N108" s="1197">
        <f t="shared" si="7"/>
        <v>244.3451848392219</v>
      </c>
      <c r="O108" s="1197">
        <f>+C107+(D108/2)</f>
        <v>0</v>
      </c>
      <c r="P108" s="1197">
        <f t="shared" si="8"/>
        <v>0</v>
      </c>
      <c r="Q108" s="1197">
        <f t="shared" si="9"/>
        <v>0</v>
      </c>
      <c r="R108" s="1197">
        <f t="shared" ref="R108:R130" si="34">+T107</f>
        <v>146.5</v>
      </c>
      <c r="S108" s="1197">
        <f>+R108+Q108</f>
        <v>146.5</v>
      </c>
      <c r="T108" s="1196">
        <f t="shared" si="10"/>
        <v>146.5</v>
      </c>
      <c r="U108" s="471"/>
      <c r="V108" s="1193">
        <f t="shared" si="11"/>
        <v>0</v>
      </c>
      <c r="W108" s="1193"/>
      <c r="X108" s="1193"/>
      <c r="Y108" s="1193"/>
      <c r="Z108" s="1193"/>
      <c r="AA108" s="1193"/>
      <c r="AB108" s="1195" t="e">
        <f t="shared" si="12"/>
        <v>#DIV/0!</v>
      </c>
      <c r="AC108" s="1311" t="b">
        <f>IF(AD108=2,AF108)</f>
        <v>0</v>
      </c>
      <c r="AD108" s="1311">
        <f t="shared" si="13"/>
        <v>1</v>
      </c>
      <c r="AE108" s="1311">
        <f>IF(V108=0,0,2)</f>
        <v>0</v>
      </c>
      <c r="AF108" s="1193" t="e">
        <f>SUM(V108:V130)/($B$104-B107)</f>
        <v>#DIV/0!</v>
      </c>
      <c r="AG108" s="1193"/>
      <c r="AH108" s="1192">
        <f>SUM(D108)+$C$107</f>
        <v>0</v>
      </c>
      <c r="AI108" s="1294" t="b">
        <f t="shared" si="14"/>
        <v>0</v>
      </c>
      <c r="AJ108" s="568">
        <f t="shared" si="15"/>
        <v>69.344714800000006</v>
      </c>
      <c r="AK108" s="1191">
        <f t="shared" si="16"/>
        <v>0.93571960494171247</v>
      </c>
      <c r="AL108" s="658">
        <f t="shared" si="17"/>
        <v>180.0511663828843</v>
      </c>
      <c r="AM108" s="568">
        <f t="shared" si="18"/>
        <v>50.174479900000001</v>
      </c>
      <c r="AN108" s="1190">
        <f t="shared" si="19"/>
        <v>0.76799833627881664</v>
      </c>
      <c r="AO108" s="658">
        <f t="shared" si="20"/>
        <v>146.50336262854705</v>
      </c>
      <c r="AP108" s="1289" t="e">
        <f t="shared" si="21"/>
        <v>#DIV/0!</v>
      </c>
      <c r="AQ108" s="658">
        <f t="shared" ref="AQ108:AQ130" si="35">25.5*($B$104-B107)</f>
        <v>0</v>
      </c>
      <c r="AR108" s="1237">
        <f t="shared" si="22"/>
        <v>157.5</v>
      </c>
      <c r="AS108" s="1188">
        <f t="shared" si="23"/>
        <v>326.55452901143133</v>
      </c>
      <c r="AT108" s="1187">
        <f t="shared" si="24"/>
        <v>-146.50336262854705</v>
      </c>
      <c r="AU108" s="1236" t="e">
        <f t="shared" si="25"/>
        <v>#DIV/0!</v>
      </c>
      <c r="AV108" s="1187"/>
      <c r="AW108" s="1186" t="e">
        <f t="shared" si="26"/>
        <v>#DIV/0!</v>
      </c>
      <c r="AX108" s="1186" t="e">
        <f t="shared" si="27"/>
        <v>#DIV/0!</v>
      </c>
      <c r="AY108" s="1185" t="e">
        <f t="shared" si="28"/>
        <v>#DIV/0!</v>
      </c>
      <c r="AZ108" s="1185" t="e">
        <f t="shared" si="29"/>
        <v>#DIV/0!</v>
      </c>
      <c r="BA108" s="1184" t="e">
        <f t="shared" si="30"/>
        <v>#DIV/0!</v>
      </c>
      <c r="BB108" s="1184" t="e">
        <f t="shared" si="31"/>
        <v>#DIV/0!</v>
      </c>
      <c r="BC108" s="474" t="e">
        <f t="shared" ref="BC108:BC130" si="36">IF(AZ108&lt;0,0.3,0)</f>
        <v>#DIV/0!</v>
      </c>
      <c r="BG108" s="524"/>
      <c r="BH108" s="524"/>
      <c r="BI108" s="1037">
        <v>1</v>
      </c>
      <c r="BJ108" s="1036">
        <v>-400</v>
      </c>
      <c r="BK108" s="1035">
        <f>+COS(($B$101*-1)*3.14159265358979/180)*BJ108</f>
        <v>-400</v>
      </c>
      <c r="BL108" s="1034">
        <f t="shared" ref="BL108:BL137" si="37">+BK108-D$3</f>
        <v>-523.93454909830371</v>
      </c>
      <c r="BM108" s="1033">
        <f t="shared" ref="BM108:BM137" si="38">ABS(BL108)</f>
        <v>523.93454909830371</v>
      </c>
      <c r="BN108" s="1033">
        <f>MIN(BM108:BM137)</f>
        <v>23.934549098303663</v>
      </c>
      <c r="BO108" s="1033" t="b">
        <f t="shared" ref="BO108:BO137" si="39">IF(BN108=BM108,BI108)</f>
        <v>0</v>
      </c>
      <c r="BP108" s="473"/>
      <c r="CR108" s="524"/>
      <c r="CS108" s="524"/>
      <c r="CT108" s="524"/>
      <c r="CU108" s="524"/>
      <c r="CV108" s="524"/>
      <c r="CW108" s="524"/>
    </row>
    <row r="109" spans="2:135" ht="21" customHeight="1" thickBot="1" x14ac:dyDescent="0.5">
      <c r="B109" s="631">
        <v>3</v>
      </c>
      <c r="C109" s="612"/>
      <c r="D109" s="1907">
        <v>0</v>
      </c>
      <c r="E109" s="632" t="s">
        <v>72</v>
      </c>
      <c r="F109" s="584">
        <f t="shared" si="3"/>
        <v>0</v>
      </c>
      <c r="G109" s="584">
        <f t="shared" si="32"/>
        <v>0</v>
      </c>
      <c r="H109" s="1199">
        <v>190.76</v>
      </c>
      <c r="I109" s="1198">
        <v>79.651040199999997</v>
      </c>
      <c r="J109" s="1197">
        <f t="shared" si="33"/>
        <v>79.651040199999997</v>
      </c>
      <c r="K109" s="1197">
        <f t="shared" si="4"/>
        <v>39.825520099999999</v>
      </c>
      <c r="L109" s="1197">
        <f t="shared" si="5"/>
        <v>0.64045183696587837</v>
      </c>
      <c r="M109" s="1197">
        <f t="shared" si="6"/>
        <v>122.17259241961095</v>
      </c>
      <c r="N109" s="1197">
        <f t="shared" si="7"/>
        <v>244.3451848392219</v>
      </c>
      <c r="O109" s="1197">
        <f>+C107+D108+(D109/2)</f>
        <v>0</v>
      </c>
      <c r="P109" s="1197">
        <f t="shared" si="8"/>
        <v>0</v>
      </c>
      <c r="Q109" s="1197">
        <f t="shared" si="9"/>
        <v>0</v>
      </c>
      <c r="R109" s="1197">
        <f t="shared" si="34"/>
        <v>146.5</v>
      </c>
      <c r="S109" s="1197">
        <f t="shared" ref="S109:S130" si="40">+S108+Q109</f>
        <v>146.5</v>
      </c>
      <c r="T109" s="1196">
        <f t="shared" si="10"/>
        <v>146.5</v>
      </c>
      <c r="U109" s="471"/>
      <c r="V109" s="1193">
        <f t="shared" si="11"/>
        <v>0</v>
      </c>
      <c r="W109" s="1193"/>
      <c r="X109" s="1193"/>
      <c r="Y109" s="1193"/>
      <c r="Z109" s="1193"/>
      <c r="AA109" s="1193"/>
      <c r="AB109" s="1195" t="str">
        <f t="shared" si="12"/>
        <v xml:space="preserve"> </v>
      </c>
      <c r="AC109" s="1311" t="b">
        <f>IF(AD109=3,AF109)</f>
        <v>0</v>
      </c>
      <c r="AD109" s="1311">
        <f t="shared" si="13"/>
        <v>1</v>
      </c>
      <c r="AE109" s="1311">
        <f>IF(V109=0,0,3)</f>
        <v>0</v>
      </c>
      <c r="AF109" s="1193">
        <f>SUM(V109:V130)/($B$104-B108)</f>
        <v>0</v>
      </c>
      <c r="AG109" s="1193"/>
      <c r="AH109" s="1192">
        <f>SUM(D108:D109)+$C$107</f>
        <v>0</v>
      </c>
      <c r="AI109" s="1294" t="b">
        <f t="shared" si="14"/>
        <v>0</v>
      </c>
      <c r="AJ109" s="568">
        <f t="shared" si="15"/>
        <v>69.344714800000006</v>
      </c>
      <c r="AK109" s="1191">
        <f t="shared" si="16"/>
        <v>0.93571960494171247</v>
      </c>
      <c r="AL109" s="658">
        <f t="shared" si="17"/>
        <v>180.0511663828843</v>
      </c>
      <c r="AM109" s="568">
        <f t="shared" si="18"/>
        <v>50.174479900000001</v>
      </c>
      <c r="AN109" s="1190">
        <f t="shared" si="19"/>
        <v>0.76799833627881664</v>
      </c>
      <c r="AO109" s="658">
        <f t="shared" si="20"/>
        <v>146.50336262854705</v>
      </c>
      <c r="AP109" s="1289">
        <f t="shared" si="21"/>
        <v>210.75565607287652</v>
      </c>
      <c r="AQ109" s="658">
        <f t="shared" si="35"/>
        <v>-25.5</v>
      </c>
      <c r="AR109" s="1237">
        <f t="shared" si="22"/>
        <v>132</v>
      </c>
      <c r="AS109" s="1188">
        <f t="shared" si="23"/>
        <v>326.55452901143133</v>
      </c>
      <c r="AT109" s="1187">
        <f t="shared" si="24"/>
        <v>-146.50336262854705</v>
      </c>
      <c r="AU109" s="1236">
        <f t="shared" si="25"/>
        <v>357.25901870142354</v>
      </c>
      <c r="AV109" s="1187"/>
      <c r="AW109" s="1186">
        <f t="shared" si="26"/>
        <v>-12.411380884376262</v>
      </c>
      <c r="AX109" s="1186">
        <f t="shared" si="27"/>
        <v>144.41138088437626</v>
      </c>
      <c r="AY109" s="1185">
        <f t="shared" si="28"/>
        <v>-934.62605878144893</v>
      </c>
      <c r="AZ109" s="1185">
        <f t="shared" si="29"/>
        <v>69.246619890758836</v>
      </c>
      <c r="BA109" s="1184">
        <f t="shared" si="30"/>
        <v>934.62605878144893</v>
      </c>
      <c r="BB109" s="1184">
        <f t="shared" si="31"/>
        <v>69.246619890758836</v>
      </c>
      <c r="BC109" s="474">
        <f t="shared" si="36"/>
        <v>0</v>
      </c>
      <c r="BG109" s="524"/>
      <c r="BH109" s="524"/>
      <c r="BI109" s="1037">
        <v>2</v>
      </c>
      <c r="BJ109" s="1036">
        <f t="shared" ref="BJ109:BJ137" si="41">+BJ108+50</f>
        <v>-350</v>
      </c>
      <c r="BK109" s="1035">
        <f t="shared" ref="BK109:BK137" si="42">+BK108+$E$2</f>
        <v>-350</v>
      </c>
      <c r="BL109" s="1034">
        <f t="shared" si="37"/>
        <v>-473.93454909830365</v>
      </c>
      <c r="BM109" s="1033">
        <f t="shared" si="38"/>
        <v>473.93454909830365</v>
      </c>
      <c r="BN109" s="1033">
        <f t="shared" ref="BN109:BN137" si="43">+BN108</f>
        <v>23.934549098303663</v>
      </c>
      <c r="BO109" s="1033" t="b">
        <f t="shared" si="39"/>
        <v>0</v>
      </c>
      <c r="BP109" s="473"/>
      <c r="CR109" s="524"/>
      <c r="CS109" s="524"/>
      <c r="CT109" s="524"/>
      <c r="CU109" s="524"/>
      <c r="CV109" s="524"/>
      <c r="CW109" s="524"/>
    </row>
    <row r="110" spans="2:135" ht="21" customHeight="1" thickBot="1" x14ac:dyDescent="0.5">
      <c r="B110" s="631">
        <v>4</v>
      </c>
      <c r="C110" s="612"/>
      <c r="D110" s="1907">
        <v>0</v>
      </c>
      <c r="E110" s="632" t="s">
        <v>72</v>
      </c>
      <c r="F110" s="584">
        <f t="shared" si="3"/>
        <v>0</v>
      </c>
      <c r="G110" s="584">
        <f t="shared" si="32"/>
        <v>0</v>
      </c>
      <c r="H110" s="1199">
        <v>190.76</v>
      </c>
      <c r="I110" s="1198">
        <v>79.651040199999997</v>
      </c>
      <c r="J110" s="1197">
        <f t="shared" si="33"/>
        <v>79.651040199999997</v>
      </c>
      <c r="K110" s="1197">
        <f t="shared" si="4"/>
        <v>39.825520099999999</v>
      </c>
      <c r="L110" s="1197">
        <f t="shared" si="5"/>
        <v>0.64045183696587837</v>
      </c>
      <c r="M110" s="1197">
        <f t="shared" si="6"/>
        <v>122.17259241961095</v>
      </c>
      <c r="N110" s="1197">
        <f t="shared" si="7"/>
        <v>244.3451848392219</v>
      </c>
      <c r="O110" s="1197">
        <f>+C107+D108+D109+(D110/2)</f>
        <v>0</v>
      </c>
      <c r="P110" s="1197">
        <f t="shared" si="8"/>
        <v>0</v>
      </c>
      <c r="Q110" s="1197">
        <f t="shared" si="9"/>
        <v>0</v>
      </c>
      <c r="R110" s="1197">
        <f t="shared" si="34"/>
        <v>146.5</v>
      </c>
      <c r="S110" s="1197">
        <f t="shared" si="40"/>
        <v>146.5</v>
      </c>
      <c r="T110" s="1196">
        <f t="shared" si="10"/>
        <v>146.5</v>
      </c>
      <c r="U110" s="471"/>
      <c r="V110" s="1193">
        <f t="shared" si="11"/>
        <v>0</v>
      </c>
      <c r="W110" s="1193"/>
      <c r="X110" s="1193"/>
      <c r="Y110" s="1193"/>
      <c r="Z110" s="1193"/>
      <c r="AA110" s="1193"/>
      <c r="AB110" s="1195" t="str">
        <f t="shared" si="12"/>
        <v xml:space="preserve"> </v>
      </c>
      <c r="AC110" s="1311" t="b">
        <f>IF(AD110=4,AF110)</f>
        <v>0</v>
      </c>
      <c r="AD110" s="1311">
        <f t="shared" si="13"/>
        <v>1</v>
      </c>
      <c r="AE110" s="1311">
        <f>IF(V110=0,0,4)</f>
        <v>0</v>
      </c>
      <c r="AF110" s="1193">
        <f>SUM(V110:V130)/($B$104-B109)</f>
        <v>0</v>
      </c>
      <c r="AG110" s="1193"/>
      <c r="AH110" s="1192">
        <f>SUM(D108:D110)+$C$107</f>
        <v>0</v>
      </c>
      <c r="AI110" s="1294" t="b">
        <f t="shared" si="14"/>
        <v>0</v>
      </c>
      <c r="AJ110" s="568">
        <f t="shared" si="15"/>
        <v>69.344714800000006</v>
      </c>
      <c r="AK110" s="1191">
        <f t="shared" si="16"/>
        <v>0.93571960494171247</v>
      </c>
      <c r="AL110" s="658">
        <f t="shared" si="17"/>
        <v>180.0511663828843</v>
      </c>
      <c r="AM110" s="568">
        <f t="shared" si="18"/>
        <v>50.174479900000001</v>
      </c>
      <c r="AN110" s="1190">
        <f t="shared" si="19"/>
        <v>0.76799833627881664</v>
      </c>
      <c r="AO110" s="658">
        <f t="shared" si="20"/>
        <v>146.50336262854705</v>
      </c>
      <c r="AP110" s="1289">
        <f t="shared" si="21"/>
        <v>261.21827794948075</v>
      </c>
      <c r="AQ110" s="658">
        <f t="shared" si="35"/>
        <v>-51</v>
      </c>
      <c r="AR110" s="1237">
        <f t="shared" si="22"/>
        <v>106.5</v>
      </c>
      <c r="AS110" s="1188">
        <f t="shared" si="23"/>
        <v>326.55452901143133</v>
      </c>
      <c r="AT110" s="1187">
        <f t="shared" si="24"/>
        <v>-146.50336262854705</v>
      </c>
      <c r="AU110" s="1236">
        <f t="shared" si="25"/>
        <v>407.7216405780278</v>
      </c>
      <c r="AV110" s="1187"/>
      <c r="AW110" s="1186">
        <f t="shared" si="26"/>
        <v>-26.47122184466755</v>
      </c>
      <c r="AX110" s="1186">
        <f t="shared" si="27"/>
        <v>132.97122184466755</v>
      </c>
      <c r="AY110" s="1185">
        <f t="shared" si="28"/>
        <v>-438.21173303100636</v>
      </c>
      <c r="AZ110" s="1185">
        <f t="shared" si="29"/>
        <v>75.204242401274314</v>
      </c>
      <c r="BA110" s="1184">
        <f t="shared" si="30"/>
        <v>438.21173303100636</v>
      </c>
      <c r="BB110" s="1184">
        <f t="shared" si="31"/>
        <v>75.204242401274314</v>
      </c>
      <c r="BC110" s="474">
        <f t="shared" si="36"/>
        <v>0</v>
      </c>
      <c r="BG110" s="524"/>
      <c r="BH110" s="524"/>
      <c r="BI110" s="1037">
        <v>3</v>
      </c>
      <c r="BJ110" s="1036">
        <f t="shared" si="41"/>
        <v>-300</v>
      </c>
      <c r="BK110" s="1035">
        <f t="shared" si="42"/>
        <v>-300</v>
      </c>
      <c r="BL110" s="1034">
        <f t="shared" si="37"/>
        <v>-423.93454909830365</v>
      </c>
      <c r="BM110" s="1033">
        <f t="shared" si="38"/>
        <v>423.93454909830365</v>
      </c>
      <c r="BN110" s="1033">
        <f t="shared" si="43"/>
        <v>23.934549098303663</v>
      </c>
      <c r="BO110" s="1033" t="b">
        <f t="shared" si="39"/>
        <v>0</v>
      </c>
      <c r="BP110" s="473"/>
      <c r="CR110" s="524"/>
      <c r="CS110" s="524"/>
      <c r="CT110" s="524"/>
      <c r="CU110" s="524"/>
      <c r="CV110" s="524"/>
      <c r="CW110" s="524"/>
    </row>
    <row r="111" spans="2:135" ht="21" customHeight="1" thickBot="1" x14ac:dyDescent="0.5">
      <c r="B111" s="631">
        <v>5</v>
      </c>
      <c r="C111" s="612"/>
      <c r="D111" s="1907">
        <v>0</v>
      </c>
      <c r="E111" s="632" t="s">
        <v>72</v>
      </c>
      <c r="F111" s="584">
        <f t="shared" si="3"/>
        <v>0</v>
      </c>
      <c r="G111" s="584">
        <f t="shared" si="32"/>
        <v>0</v>
      </c>
      <c r="H111" s="1199">
        <v>190.76</v>
      </c>
      <c r="I111" s="1198">
        <v>79.651040199999997</v>
      </c>
      <c r="J111" s="1197">
        <f t="shared" si="33"/>
        <v>79.651040199999997</v>
      </c>
      <c r="K111" s="1197">
        <f t="shared" si="4"/>
        <v>39.825520099999999</v>
      </c>
      <c r="L111" s="1197">
        <f t="shared" si="5"/>
        <v>0.64045183696587837</v>
      </c>
      <c r="M111" s="1197">
        <f t="shared" si="6"/>
        <v>122.17259241961095</v>
      </c>
      <c r="N111" s="1197">
        <f t="shared" si="7"/>
        <v>244.3451848392219</v>
      </c>
      <c r="O111" s="1197">
        <f>+C107+D108+D109+D110+(D111/2)</f>
        <v>0</v>
      </c>
      <c r="P111" s="1197">
        <f t="shared" si="8"/>
        <v>0</v>
      </c>
      <c r="Q111" s="1197">
        <f t="shared" si="9"/>
        <v>0</v>
      </c>
      <c r="R111" s="1197">
        <f t="shared" si="34"/>
        <v>146.5</v>
      </c>
      <c r="S111" s="1197">
        <f t="shared" si="40"/>
        <v>146.5</v>
      </c>
      <c r="T111" s="1196">
        <f t="shared" si="10"/>
        <v>146.5</v>
      </c>
      <c r="U111" s="471"/>
      <c r="V111" s="1193">
        <f t="shared" si="11"/>
        <v>0</v>
      </c>
      <c r="W111" s="1193"/>
      <c r="X111" s="1193"/>
      <c r="Y111" s="1193"/>
      <c r="Z111" s="1193"/>
      <c r="AA111" s="1193"/>
      <c r="AB111" s="1195" t="str">
        <f t="shared" si="12"/>
        <v xml:space="preserve"> </v>
      </c>
      <c r="AC111" s="1311" t="b">
        <f>IF(AD111=5,AF111)</f>
        <v>0</v>
      </c>
      <c r="AD111" s="1311">
        <f t="shared" si="13"/>
        <v>1</v>
      </c>
      <c r="AE111" s="1311">
        <f>IF(V111=0,0,5)</f>
        <v>0</v>
      </c>
      <c r="AF111" s="1193">
        <f>SUM(V111:V130)/($B$104-B110)</f>
        <v>0</v>
      </c>
      <c r="AG111" s="1193"/>
      <c r="AH111" s="1192">
        <f>SUM(D108:D111)+$C$107</f>
        <v>0</v>
      </c>
      <c r="AI111" s="1294" t="b">
        <f t="shared" si="14"/>
        <v>0</v>
      </c>
      <c r="AJ111" s="568">
        <f t="shared" si="15"/>
        <v>69.344714800000006</v>
      </c>
      <c r="AK111" s="1191">
        <f t="shared" si="16"/>
        <v>0.93571960494171247</v>
      </c>
      <c r="AL111" s="658">
        <f t="shared" si="17"/>
        <v>180.0511663828843</v>
      </c>
      <c r="AM111" s="568">
        <f t="shared" si="18"/>
        <v>50.174479900000001</v>
      </c>
      <c r="AN111" s="1190">
        <f t="shared" si="19"/>
        <v>0.76799833627881664</v>
      </c>
      <c r="AO111" s="658">
        <f t="shared" si="20"/>
        <v>146.50336262854705</v>
      </c>
      <c r="AP111" s="1289">
        <f t="shared" si="21"/>
        <v>343.45366174839137</v>
      </c>
      <c r="AQ111" s="658">
        <f t="shared" si="35"/>
        <v>-76.5</v>
      </c>
      <c r="AR111" s="1237">
        <f t="shared" si="22"/>
        <v>81</v>
      </c>
      <c r="AS111" s="1188">
        <f t="shared" si="23"/>
        <v>326.55452901143133</v>
      </c>
      <c r="AT111" s="1187">
        <f t="shared" si="24"/>
        <v>-146.50336262854705</v>
      </c>
      <c r="AU111" s="1236">
        <f t="shared" si="25"/>
        <v>489.95702437693842</v>
      </c>
      <c r="AV111" s="1187"/>
      <c r="AW111" s="1186">
        <f t="shared" si="26"/>
        <v>-40.531062804958836</v>
      </c>
      <c r="AX111" s="1186">
        <f t="shared" si="27"/>
        <v>121.53106280495884</v>
      </c>
      <c r="AY111" s="1185">
        <f t="shared" si="28"/>
        <v>-286.20024241211803</v>
      </c>
      <c r="AZ111" s="1185">
        <f t="shared" si="29"/>
        <v>82.283490074045247</v>
      </c>
      <c r="BA111" s="1184">
        <f t="shared" si="30"/>
        <v>286.20024241211803</v>
      </c>
      <c r="BB111" s="1184">
        <f t="shared" si="31"/>
        <v>82.283490074045247</v>
      </c>
      <c r="BC111" s="474">
        <f t="shared" si="36"/>
        <v>0</v>
      </c>
      <c r="BD111" s="478"/>
      <c r="BE111" s="478"/>
      <c r="BF111" s="478"/>
      <c r="BG111" s="524"/>
      <c r="BH111" s="524"/>
      <c r="BI111" s="1037">
        <v>4</v>
      </c>
      <c r="BJ111" s="1036">
        <f t="shared" si="41"/>
        <v>-250</v>
      </c>
      <c r="BK111" s="1035">
        <f t="shared" si="42"/>
        <v>-250</v>
      </c>
      <c r="BL111" s="1034">
        <f t="shared" si="37"/>
        <v>-373.93454909830365</v>
      </c>
      <c r="BM111" s="1033">
        <f t="shared" si="38"/>
        <v>373.93454909830365</v>
      </c>
      <c r="BN111" s="1033">
        <f t="shared" si="43"/>
        <v>23.934549098303663</v>
      </c>
      <c r="BO111" s="1033" t="b">
        <f t="shared" si="39"/>
        <v>0</v>
      </c>
      <c r="BP111" s="473"/>
      <c r="CR111" s="524"/>
      <c r="CS111" s="524"/>
      <c r="CT111" s="524"/>
      <c r="CU111" s="524"/>
      <c r="CV111" s="524"/>
      <c r="CW111" s="524"/>
    </row>
    <row r="112" spans="2:135" ht="21" customHeight="1" thickBot="1" x14ac:dyDescent="0.5">
      <c r="B112" s="631">
        <v>6</v>
      </c>
      <c r="C112" s="612"/>
      <c r="D112" s="1907">
        <v>0</v>
      </c>
      <c r="E112" s="632" t="s">
        <v>72</v>
      </c>
      <c r="F112" s="584">
        <f t="shared" si="3"/>
        <v>0</v>
      </c>
      <c r="G112" s="584">
        <f t="shared" si="32"/>
        <v>0</v>
      </c>
      <c r="H112" s="1199">
        <v>190.76</v>
      </c>
      <c r="I112" s="1198">
        <v>79.651040199999997</v>
      </c>
      <c r="J112" s="1197">
        <f t="shared" si="33"/>
        <v>79.651040199999997</v>
      </c>
      <c r="K112" s="1197">
        <f t="shared" si="4"/>
        <v>39.825520099999999</v>
      </c>
      <c r="L112" s="1197">
        <f t="shared" si="5"/>
        <v>0.64045183696587837</v>
      </c>
      <c r="M112" s="1197">
        <f t="shared" si="6"/>
        <v>122.17259241961095</v>
      </c>
      <c r="N112" s="1197">
        <f t="shared" si="7"/>
        <v>244.3451848392219</v>
      </c>
      <c r="O112" s="1197">
        <f>+C107+D108+D109+D110+D111+(D112/2)</f>
        <v>0</v>
      </c>
      <c r="P112" s="1197">
        <f t="shared" si="8"/>
        <v>0</v>
      </c>
      <c r="Q112" s="1197">
        <f t="shared" si="9"/>
        <v>0</v>
      </c>
      <c r="R112" s="1197">
        <f t="shared" si="34"/>
        <v>146.5</v>
      </c>
      <c r="S112" s="1197">
        <f t="shared" si="40"/>
        <v>146.5</v>
      </c>
      <c r="T112" s="1196">
        <f t="shared" si="10"/>
        <v>146.5</v>
      </c>
      <c r="U112" s="471"/>
      <c r="V112" s="1193">
        <f t="shared" si="11"/>
        <v>0</v>
      </c>
      <c r="W112" s="1193"/>
      <c r="X112" s="1193"/>
      <c r="Y112" s="1193"/>
      <c r="Z112" s="1193"/>
      <c r="AA112" s="1193"/>
      <c r="AB112" s="1195" t="str">
        <f t="shared" si="12"/>
        <v xml:space="preserve"> </v>
      </c>
      <c r="AC112" s="1311" t="b">
        <f>IF(AD112=6,AF112)</f>
        <v>0</v>
      </c>
      <c r="AD112" s="1311">
        <f t="shared" si="13"/>
        <v>1</v>
      </c>
      <c r="AE112" s="1311">
        <f>IF(V112=0,0,6)</f>
        <v>0</v>
      </c>
      <c r="AF112" s="1193">
        <f>SUM(V112:V130)/($B$104-B111)</f>
        <v>0</v>
      </c>
      <c r="AG112" s="1193"/>
      <c r="AH112" s="1192">
        <f>SUM(D108:D112)+$C$107</f>
        <v>0</v>
      </c>
      <c r="AI112" s="1294" t="b">
        <f t="shared" si="14"/>
        <v>0</v>
      </c>
      <c r="AJ112" s="568">
        <f t="shared" si="15"/>
        <v>69.344714800000006</v>
      </c>
      <c r="AK112" s="1191">
        <f t="shared" si="16"/>
        <v>0.93571960494171247</v>
      </c>
      <c r="AL112" s="658">
        <f t="shared" si="17"/>
        <v>180.0511663828843</v>
      </c>
      <c r="AM112" s="568">
        <f t="shared" si="18"/>
        <v>50.174479900000001</v>
      </c>
      <c r="AN112" s="1190">
        <f t="shared" si="19"/>
        <v>0.76799833627881664</v>
      </c>
      <c r="AO112" s="658">
        <f t="shared" si="20"/>
        <v>146.50336262854705</v>
      </c>
      <c r="AP112" s="1289">
        <f t="shared" si="21"/>
        <v>501.25669552467929</v>
      </c>
      <c r="AQ112" s="658">
        <f t="shared" si="35"/>
        <v>-102</v>
      </c>
      <c r="AR112" s="1237">
        <f t="shared" si="22"/>
        <v>55.5</v>
      </c>
      <c r="AS112" s="1188">
        <f t="shared" si="23"/>
        <v>326.55452901143133</v>
      </c>
      <c r="AT112" s="1187">
        <f t="shared" si="24"/>
        <v>-146.50336262854705</v>
      </c>
      <c r="AU112" s="1236">
        <f t="shared" si="25"/>
        <v>647.76005815322628</v>
      </c>
      <c r="AV112" s="1187"/>
      <c r="AW112" s="1186">
        <f t="shared" si="26"/>
        <v>-54.590903765250104</v>
      </c>
      <c r="AX112" s="1186">
        <f t="shared" si="27"/>
        <v>110.0909037652501</v>
      </c>
      <c r="AY112" s="1185">
        <f t="shared" si="28"/>
        <v>-212.48961273625207</v>
      </c>
      <c r="AZ112" s="1185">
        <f t="shared" si="29"/>
        <v>90.834025863964911</v>
      </c>
      <c r="BA112" s="1184">
        <f t="shared" si="30"/>
        <v>212.48961273625207</v>
      </c>
      <c r="BB112" s="1184">
        <f t="shared" si="31"/>
        <v>90.834025863964911</v>
      </c>
      <c r="BC112" s="474">
        <f t="shared" si="36"/>
        <v>0</v>
      </c>
      <c r="BD112" s="478"/>
      <c r="BE112" s="478"/>
      <c r="BF112" s="478"/>
      <c r="BG112" s="524"/>
      <c r="BH112" s="524"/>
      <c r="BI112" s="1037">
        <v>5</v>
      </c>
      <c r="BJ112" s="1036">
        <f t="shared" si="41"/>
        <v>-200</v>
      </c>
      <c r="BK112" s="1035">
        <f t="shared" si="42"/>
        <v>-200</v>
      </c>
      <c r="BL112" s="1034">
        <f t="shared" si="37"/>
        <v>-323.93454909830365</v>
      </c>
      <c r="BM112" s="1033">
        <f t="shared" si="38"/>
        <v>323.93454909830365</v>
      </c>
      <c r="BN112" s="1033">
        <f t="shared" si="43"/>
        <v>23.934549098303663</v>
      </c>
      <c r="BO112" s="1033" t="b">
        <f t="shared" si="39"/>
        <v>0</v>
      </c>
      <c r="BP112" s="473"/>
      <c r="CR112" s="524"/>
      <c r="CS112" s="524"/>
      <c r="CT112" s="524"/>
      <c r="CU112" s="524"/>
      <c r="CV112" s="524"/>
      <c r="CW112" s="524"/>
    </row>
    <row r="113" spans="1:127" ht="21" customHeight="1" thickBot="1" x14ac:dyDescent="0.5">
      <c r="B113" s="631">
        <v>7</v>
      </c>
      <c r="C113" s="612"/>
      <c r="D113" s="1907">
        <v>0</v>
      </c>
      <c r="E113" s="632" t="s">
        <v>72</v>
      </c>
      <c r="F113" s="584">
        <f t="shared" si="3"/>
        <v>0</v>
      </c>
      <c r="G113" s="584">
        <f t="shared" si="32"/>
        <v>0</v>
      </c>
      <c r="H113" s="1199">
        <v>190.76</v>
      </c>
      <c r="I113" s="1198">
        <v>79.651040199999997</v>
      </c>
      <c r="J113" s="1197">
        <f t="shared" si="33"/>
        <v>79.651040199999997</v>
      </c>
      <c r="K113" s="1197">
        <f t="shared" si="4"/>
        <v>39.825520099999999</v>
      </c>
      <c r="L113" s="1197">
        <f t="shared" si="5"/>
        <v>0.64045183696587837</v>
      </c>
      <c r="M113" s="1197">
        <f t="shared" si="6"/>
        <v>122.17259241961095</v>
      </c>
      <c r="N113" s="1197">
        <f t="shared" si="7"/>
        <v>244.3451848392219</v>
      </c>
      <c r="O113" s="1197">
        <f>+C107+D108+D109+D110+D111+D112+(D113/2)</f>
        <v>0</v>
      </c>
      <c r="P113" s="1197">
        <f t="shared" si="8"/>
        <v>0</v>
      </c>
      <c r="Q113" s="1197">
        <f t="shared" si="9"/>
        <v>0</v>
      </c>
      <c r="R113" s="1197">
        <f t="shared" si="34"/>
        <v>146.5</v>
      </c>
      <c r="S113" s="1197">
        <f t="shared" si="40"/>
        <v>146.5</v>
      </c>
      <c r="T113" s="1196">
        <f t="shared" si="10"/>
        <v>146.5</v>
      </c>
      <c r="U113" s="471"/>
      <c r="V113" s="1193">
        <f t="shared" si="11"/>
        <v>0</v>
      </c>
      <c r="W113" s="1193"/>
      <c r="X113" s="1193"/>
      <c r="Y113" s="1193"/>
      <c r="Z113" s="1193"/>
      <c r="AA113" s="1193"/>
      <c r="AB113" s="1195" t="str">
        <f t="shared" si="12"/>
        <v xml:space="preserve"> </v>
      </c>
      <c r="AC113" s="1311" t="b">
        <f>IF(AD113=7,AF113)</f>
        <v>0</v>
      </c>
      <c r="AD113" s="1311">
        <f t="shared" si="13"/>
        <v>1</v>
      </c>
      <c r="AE113" s="1311">
        <f>IF(V113=0,0,7)</f>
        <v>0</v>
      </c>
      <c r="AF113" s="1193">
        <f>SUM(V113:V130)/($B$104-B112)</f>
        <v>0</v>
      </c>
      <c r="AG113" s="1193"/>
      <c r="AH113" s="1192">
        <f>SUM(D108:D113)+$C$107</f>
        <v>0</v>
      </c>
      <c r="AI113" s="1294" t="b">
        <f t="shared" si="14"/>
        <v>0</v>
      </c>
      <c r="AJ113" s="568">
        <f t="shared" si="15"/>
        <v>69.344714800000006</v>
      </c>
      <c r="AK113" s="1191">
        <f t="shared" si="16"/>
        <v>0.93571960494171247</v>
      </c>
      <c r="AL113" s="658">
        <f t="shared" si="17"/>
        <v>180.0511663828843</v>
      </c>
      <c r="AM113" s="568">
        <f t="shared" si="18"/>
        <v>50.174479900000001</v>
      </c>
      <c r="AN113" s="1190">
        <f t="shared" si="19"/>
        <v>0.76799833627881664</v>
      </c>
      <c r="AO113" s="658">
        <f t="shared" si="20"/>
        <v>146.50336262854705</v>
      </c>
      <c r="AP113" s="1289">
        <f t="shared" si="21"/>
        <v>927.32488672065665</v>
      </c>
      <c r="AQ113" s="658">
        <f t="shared" si="35"/>
        <v>-127.5</v>
      </c>
      <c r="AR113" s="1237">
        <f t="shared" si="22"/>
        <v>30</v>
      </c>
      <c r="AS113" s="1188">
        <f t="shared" si="23"/>
        <v>326.55452901143133</v>
      </c>
      <c r="AT113" s="1187">
        <f t="shared" si="24"/>
        <v>-146.50336262854705</v>
      </c>
      <c r="AU113" s="1236">
        <f t="shared" si="25"/>
        <v>1073.8282493492038</v>
      </c>
      <c r="AV113" s="1187"/>
      <c r="AW113" s="1186">
        <f t="shared" si="26"/>
        <v>-68.650744725541401</v>
      </c>
      <c r="AX113" s="1186">
        <f t="shared" si="27"/>
        <v>98.650744725541401</v>
      </c>
      <c r="AY113" s="1185">
        <f t="shared" si="28"/>
        <v>-168.97121868634645</v>
      </c>
      <c r="AZ113" s="1185">
        <f t="shared" si="29"/>
        <v>101.36770916247251</v>
      </c>
      <c r="BA113" s="1184">
        <f t="shared" si="30"/>
        <v>168.97121868634645</v>
      </c>
      <c r="BB113" s="1184">
        <f t="shared" si="31"/>
        <v>101.36770916247251</v>
      </c>
      <c r="BC113" s="474">
        <f t="shared" si="36"/>
        <v>0</v>
      </c>
      <c r="BG113" s="524"/>
      <c r="BH113" s="524"/>
      <c r="BI113" s="1037">
        <v>6</v>
      </c>
      <c r="BJ113" s="1036">
        <f t="shared" si="41"/>
        <v>-150</v>
      </c>
      <c r="BK113" s="1035">
        <f t="shared" si="42"/>
        <v>-150</v>
      </c>
      <c r="BL113" s="1034">
        <f t="shared" si="37"/>
        <v>-273.93454909830365</v>
      </c>
      <c r="BM113" s="1033">
        <f t="shared" si="38"/>
        <v>273.93454909830365</v>
      </c>
      <c r="BN113" s="1033">
        <f t="shared" si="43"/>
        <v>23.934549098303663</v>
      </c>
      <c r="BO113" s="1033" t="b">
        <f t="shared" si="39"/>
        <v>0</v>
      </c>
      <c r="BP113" s="473"/>
      <c r="CR113" s="524"/>
      <c r="CS113" s="524"/>
      <c r="CT113" s="524"/>
      <c r="CU113" s="524"/>
      <c r="CV113" s="524"/>
      <c r="CW113" s="524"/>
    </row>
    <row r="114" spans="1:127" ht="21" customHeight="1" thickBot="1" x14ac:dyDescent="0.5">
      <c r="B114" s="631">
        <v>8</v>
      </c>
      <c r="C114" s="612"/>
      <c r="D114" s="1907">
        <v>0</v>
      </c>
      <c r="E114" s="632" t="s">
        <v>72</v>
      </c>
      <c r="F114" s="584">
        <f t="shared" si="3"/>
        <v>0</v>
      </c>
      <c r="G114" s="584">
        <f t="shared" si="32"/>
        <v>0</v>
      </c>
      <c r="H114" s="1199">
        <v>190.76</v>
      </c>
      <c r="I114" s="1198">
        <v>79.651040199999997</v>
      </c>
      <c r="J114" s="1197">
        <f t="shared" si="33"/>
        <v>79.651040199999997</v>
      </c>
      <c r="K114" s="1197">
        <f t="shared" si="4"/>
        <v>39.825520099999999</v>
      </c>
      <c r="L114" s="1197">
        <f t="shared" si="5"/>
        <v>0.64045183696587837</v>
      </c>
      <c r="M114" s="1197">
        <f t="shared" si="6"/>
        <v>122.17259241961095</v>
      </c>
      <c r="N114" s="1197">
        <f t="shared" si="7"/>
        <v>244.3451848392219</v>
      </c>
      <c r="O114" s="1197">
        <f>+C107+D108+D109+D110+D111+D112+D113+(D114/2)</f>
        <v>0</v>
      </c>
      <c r="P114" s="1197">
        <f t="shared" si="8"/>
        <v>0</v>
      </c>
      <c r="Q114" s="1197">
        <f t="shared" si="9"/>
        <v>0</v>
      </c>
      <c r="R114" s="1197">
        <f t="shared" si="34"/>
        <v>146.5</v>
      </c>
      <c r="S114" s="1197">
        <f t="shared" si="40"/>
        <v>146.5</v>
      </c>
      <c r="T114" s="1196">
        <f t="shared" si="10"/>
        <v>146.5</v>
      </c>
      <c r="U114" s="471"/>
      <c r="V114" s="1193">
        <f t="shared" si="11"/>
        <v>0</v>
      </c>
      <c r="W114" s="1193"/>
      <c r="X114" s="1193"/>
      <c r="Y114" s="1193"/>
      <c r="Z114" s="1193"/>
      <c r="AA114" s="1193"/>
      <c r="AB114" s="1195" t="str">
        <f t="shared" si="12"/>
        <v xml:space="preserve"> </v>
      </c>
      <c r="AC114" s="1311" t="b">
        <f>IF(AD114=8,AF114)</f>
        <v>0</v>
      </c>
      <c r="AD114" s="1311">
        <f t="shared" si="13"/>
        <v>1</v>
      </c>
      <c r="AE114" s="1311">
        <f>IF(V114=0,0,8)</f>
        <v>0</v>
      </c>
      <c r="AF114" s="1193">
        <f>SUM(V114:V130)/($B$104-B113)</f>
        <v>0</v>
      </c>
      <c r="AG114" s="1193"/>
      <c r="AH114" s="1192">
        <f>SUM(D108:D114)+$C$107</f>
        <v>0</v>
      </c>
      <c r="AI114" s="1294" t="b">
        <f t="shared" si="14"/>
        <v>0</v>
      </c>
      <c r="AJ114" s="568">
        <f t="shared" si="15"/>
        <v>69.344714800000006</v>
      </c>
      <c r="AK114" s="1191">
        <f t="shared" si="16"/>
        <v>0.93571960494171247</v>
      </c>
      <c r="AL114" s="658">
        <f t="shared" si="17"/>
        <v>180.0511663828843</v>
      </c>
      <c r="AM114" s="568">
        <f t="shared" si="18"/>
        <v>50.174479900000001</v>
      </c>
      <c r="AN114" s="1190">
        <f t="shared" si="19"/>
        <v>0.76799833627881664</v>
      </c>
      <c r="AO114" s="658">
        <f t="shared" si="20"/>
        <v>146.50336262854705</v>
      </c>
      <c r="AP114" s="1289">
        <f t="shared" si="21"/>
        <v>6182.1659114710446</v>
      </c>
      <c r="AQ114" s="658">
        <f t="shared" si="35"/>
        <v>-153</v>
      </c>
      <c r="AR114" s="1237">
        <f t="shared" si="22"/>
        <v>4.5</v>
      </c>
      <c r="AS114" s="1188">
        <f t="shared" si="23"/>
        <v>326.55452901143133</v>
      </c>
      <c r="AT114" s="1187">
        <f t="shared" si="24"/>
        <v>-146.50336262854705</v>
      </c>
      <c r="AU114" s="1236">
        <f t="shared" si="25"/>
        <v>6328.6692740995913</v>
      </c>
      <c r="AV114" s="1187"/>
      <c r="AW114" s="1186">
        <f t="shared" si="26"/>
        <v>-82.710585685832655</v>
      </c>
      <c r="AX114" s="1186">
        <f t="shared" si="27"/>
        <v>87.210585685832655</v>
      </c>
      <c r="AY114" s="1185">
        <f t="shared" si="28"/>
        <v>-140.24806986691357</v>
      </c>
      <c r="AZ114" s="1185">
        <f t="shared" si="29"/>
        <v>114.66497927240154</v>
      </c>
      <c r="BA114" s="1184">
        <f t="shared" si="30"/>
        <v>140.24806986691357</v>
      </c>
      <c r="BB114" s="1184">
        <f t="shared" si="31"/>
        <v>114.66497927240154</v>
      </c>
      <c r="BC114" s="474">
        <f t="shared" si="36"/>
        <v>0</v>
      </c>
      <c r="BG114" s="524"/>
      <c r="BH114" s="524"/>
      <c r="BI114" s="1037">
        <v>7</v>
      </c>
      <c r="BJ114" s="1036">
        <f t="shared" si="41"/>
        <v>-100</v>
      </c>
      <c r="BK114" s="1035">
        <f t="shared" si="42"/>
        <v>-100</v>
      </c>
      <c r="BL114" s="1034">
        <f t="shared" si="37"/>
        <v>-223.93454909830365</v>
      </c>
      <c r="BM114" s="1033">
        <f t="shared" si="38"/>
        <v>223.93454909830365</v>
      </c>
      <c r="BN114" s="1033">
        <f t="shared" si="43"/>
        <v>23.934549098303663</v>
      </c>
      <c r="BO114" s="1033" t="b">
        <f t="shared" si="39"/>
        <v>0</v>
      </c>
      <c r="BP114" s="473"/>
      <c r="CR114" s="524"/>
      <c r="CS114" s="524"/>
      <c r="CT114" s="524"/>
      <c r="CU114" s="524"/>
      <c r="CV114" s="524"/>
      <c r="CW114" s="524"/>
    </row>
    <row r="115" spans="1:127" ht="21" customHeight="1" thickBot="1" x14ac:dyDescent="0.5">
      <c r="B115" s="631">
        <v>9</v>
      </c>
      <c r="C115" s="612"/>
      <c r="D115" s="1907">
        <v>0</v>
      </c>
      <c r="E115" s="632" t="s">
        <v>72</v>
      </c>
      <c r="F115" s="584">
        <f t="shared" si="3"/>
        <v>0</v>
      </c>
      <c r="G115" s="584">
        <f t="shared" si="32"/>
        <v>0</v>
      </c>
      <c r="H115" s="1199">
        <v>190.76</v>
      </c>
      <c r="I115" s="1198">
        <v>79.651040199999997</v>
      </c>
      <c r="J115" s="1197">
        <f t="shared" si="33"/>
        <v>79.651040199999997</v>
      </c>
      <c r="K115" s="1197">
        <f t="shared" si="4"/>
        <v>39.825520099999999</v>
      </c>
      <c r="L115" s="1197">
        <f t="shared" si="5"/>
        <v>0.64045183696587837</v>
      </c>
      <c r="M115" s="1197">
        <f t="shared" si="6"/>
        <v>122.17259241961095</v>
      </c>
      <c r="N115" s="1197">
        <f t="shared" si="7"/>
        <v>244.3451848392219</v>
      </c>
      <c r="O115" s="1197">
        <f>+C107+D108+D109+D110+D111+D112+D113+D114+(D115/2)</f>
        <v>0</v>
      </c>
      <c r="P115" s="1197">
        <f t="shared" si="8"/>
        <v>0</v>
      </c>
      <c r="Q115" s="1197">
        <f t="shared" si="9"/>
        <v>0</v>
      </c>
      <c r="R115" s="1197">
        <f t="shared" si="34"/>
        <v>146.5</v>
      </c>
      <c r="S115" s="1197">
        <f t="shared" si="40"/>
        <v>146.5</v>
      </c>
      <c r="T115" s="1196">
        <f t="shared" si="10"/>
        <v>146.5</v>
      </c>
      <c r="U115" s="471"/>
      <c r="V115" s="1193">
        <f t="shared" si="11"/>
        <v>0</v>
      </c>
      <c r="W115" s="1193"/>
      <c r="X115" s="1193"/>
      <c r="Y115" s="1193"/>
      <c r="Z115" s="1193"/>
      <c r="AA115" s="1193"/>
      <c r="AB115" s="1195" t="str">
        <f t="shared" si="12"/>
        <v xml:space="preserve"> </v>
      </c>
      <c r="AC115" s="1311" t="b">
        <f>IF(AD115=9,AF115)</f>
        <v>0</v>
      </c>
      <c r="AD115" s="1311">
        <f t="shared" si="13"/>
        <v>1</v>
      </c>
      <c r="AE115" s="1311">
        <f>IF(V115=0,0,9)</f>
        <v>0</v>
      </c>
      <c r="AF115" s="1193">
        <f>SUM(V115:V130)/($B$104-B114)</f>
        <v>0</v>
      </c>
      <c r="AG115" s="1193"/>
      <c r="AH115" s="1192">
        <f>SUM(D108:D115)+$C$107</f>
        <v>0</v>
      </c>
      <c r="AI115" s="1294" t="b">
        <f t="shared" si="14"/>
        <v>0</v>
      </c>
      <c r="AJ115" s="568">
        <f t="shared" si="15"/>
        <v>69.344714800000006</v>
      </c>
      <c r="AK115" s="1191">
        <f t="shared" si="16"/>
        <v>0.93571960494171247</v>
      </c>
      <c r="AL115" s="658">
        <f t="shared" si="17"/>
        <v>180.0511663828843</v>
      </c>
      <c r="AM115" s="568">
        <f t="shared" si="18"/>
        <v>50.174479900000001</v>
      </c>
      <c r="AN115" s="1190">
        <f t="shared" si="19"/>
        <v>0.76799833627881664</v>
      </c>
      <c r="AO115" s="658">
        <f t="shared" si="20"/>
        <v>146.50336262854705</v>
      </c>
      <c r="AP115" s="1289">
        <f t="shared" si="21"/>
        <v>-1324.7498381723667</v>
      </c>
      <c r="AQ115" s="658">
        <f t="shared" si="35"/>
        <v>-178.5</v>
      </c>
      <c r="AR115" s="1237">
        <f t="shared" si="22"/>
        <v>-21</v>
      </c>
      <c r="AS115" s="1188">
        <f t="shared" si="23"/>
        <v>326.55452901143133</v>
      </c>
      <c r="AT115" s="1187">
        <f t="shared" si="24"/>
        <v>-146.50336262854705</v>
      </c>
      <c r="AU115" s="1236">
        <f t="shared" si="25"/>
        <v>-1178.2464755438195</v>
      </c>
      <c r="AV115" s="1187"/>
      <c r="AW115" s="1186">
        <f t="shared" si="26"/>
        <v>-96.770426646123951</v>
      </c>
      <c r="AX115" s="1186">
        <f t="shared" si="27"/>
        <v>75.770426646123937</v>
      </c>
      <c r="AY115" s="1185">
        <f t="shared" si="28"/>
        <v>-119.87133261713926</v>
      </c>
      <c r="AZ115" s="1185">
        <f t="shared" si="29"/>
        <v>131.97761240943933</v>
      </c>
      <c r="BA115" s="1184">
        <f t="shared" si="30"/>
        <v>119.87133261713926</v>
      </c>
      <c r="BB115" s="1184">
        <f t="shared" si="31"/>
        <v>131.97761240943933</v>
      </c>
      <c r="BC115" s="474">
        <f t="shared" si="36"/>
        <v>0</v>
      </c>
      <c r="BG115" s="524"/>
      <c r="BH115" s="524"/>
      <c r="BI115" s="1037">
        <v>8</v>
      </c>
      <c r="BJ115" s="1036">
        <f t="shared" si="41"/>
        <v>-50</v>
      </c>
      <c r="BK115" s="1035">
        <f t="shared" si="42"/>
        <v>-50</v>
      </c>
      <c r="BL115" s="1034">
        <f t="shared" si="37"/>
        <v>-173.93454909830365</v>
      </c>
      <c r="BM115" s="1033">
        <f t="shared" si="38"/>
        <v>173.93454909830365</v>
      </c>
      <c r="BN115" s="1033">
        <f t="shared" si="43"/>
        <v>23.934549098303663</v>
      </c>
      <c r="BO115" s="1033" t="b">
        <f t="shared" si="39"/>
        <v>0</v>
      </c>
      <c r="BP115" s="473"/>
      <c r="CR115" s="524"/>
      <c r="CS115" s="524"/>
      <c r="CT115" s="524"/>
      <c r="CU115" s="524"/>
      <c r="CV115" s="524"/>
      <c r="CW115" s="524"/>
    </row>
    <row r="116" spans="1:127" ht="21" customHeight="1" thickBot="1" x14ac:dyDescent="0.5">
      <c r="B116" s="631">
        <v>10</v>
      </c>
      <c r="C116" s="612"/>
      <c r="D116" s="1907">
        <v>0</v>
      </c>
      <c r="E116" s="632" t="s">
        <v>72</v>
      </c>
      <c r="F116" s="584">
        <f t="shared" si="3"/>
        <v>0</v>
      </c>
      <c r="G116" s="584">
        <f t="shared" si="32"/>
        <v>0</v>
      </c>
      <c r="H116" s="1199">
        <v>190.76</v>
      </c>
      <c r="I116" s="1198">
        <v>79.651040199999997</v>
      </c>
      <c r="J116" s="1197">
        <f t="shared" si="33"/>
        <v>79.651040199999997</v>
      </c>
      <c r="K116" s="1197">
        <f t="shared" si="4"/>
        <v>39.825520099999999</v>
      </c>
      <c r="L116" s="1197">
        <f t="shared" si="5"/>
        <v>0.64045183696587837</v>
      </c>
      <c r="M116" s="1197">
        <f t="shared" si="6"/>
        <v>122.17259241961095</v>
      </c>
      <c r="N116" s="1197">
        <f t="shared" si="7"/>
        <v>244.3451848392219</v>
      </c>
      <c r="O116" s="1197">
        <f>+C107+D108+D109+D110+D111+D112+D113+D114+D115+(D116/2)</f>
        <v>0</v>
      </c>
      <c r="P116" s="1197">
        <f t="shared" si="8"/>
        <v>0</v>
      </c>
      <c r="Q116" s="1197">
        <f t="shared" si="9"/>
        <v>0</v>
      </c>
      <c r="R116" s="1197">
        <f t="shared" si="34"/>
        <v>146.5</v>
      </c>
      <c r="S116" s="1197">
        <f t="shared" si="40"/>
        <v>146.5</v>
      </c>
      <c r="T116" s="1196">
        <f t="shared" si="10"/>
        <v>146.5</v>
      </c>
      <c r="U116" s="471"/>
      <c r="V116" s="1193">
        <f t="shared" si="11"/>
        <v>0</v>
      </c>
      <c r="W116" s="1193"/>
      <c r="X116" s="1193"/>
      <c r="Y116" s="1193"/>
      <c r="Z116" s="1193"/>
      <c r="AA116" s="1193"/>
      <c r="AB116" s="1195" t="str">
        <f t="shared" si="12"/>
        <v xml:space="preserve"> </v>
      </c>
      <c r="AC116" s="1311" t="b">
        <f>IF(AD116=10,AF116)</f>
        <v>0</v>
      </c>
      <c r="AD116" s="1311">
        <f t="shared" si="13"/>
        <v>1</v>
      </c>
      <c r="AE116" s="1311">
        <f>IF(V116=0,0,10)</f>
        <v>0</v>
      </c>
      <c r="AF116" s="1193">
        <f>SUM(V116:V130)/($B$104-B115)</f>
        <v>0</v>
      </c>
      <c r="AG116" s="1193"/>
      <c r="AH116" s="1192">
        <f>SUM(D108:D116)+$C$107</f>
        <v>0</v>
      </c>
      <c r="AI116" s="1294" t="b">
        <f t="shared" si="14"/>
        <v>0</v>
      </c>
      <c r="AJ116" s="568">
        <f t="shared" si="15"/>
        <v>69.344714800000006</v>
      </c>
      <c r="AK116" s="1191">
        <f t="shared" si="16"/>
        <v>0.93571960494171247</v>
      </c>
      <c r="AL116" s="658">
        <f t="shared" si="17"/>
        <v>180.0511663828843</v>
      </c>
      <c r="AM116" s="568">
        <f t="shared" si="18"/>
        <v>50.174479900000001</v>
      </c>
      <c r="AN116" s="1190">
        <f t="shared" si="19"/>
        <v>0.76799833627881664</v>
      </c>
      <c r="AO116" s="658">
        <f t="shared" si="20"/>
        <v>146.50336262854705</v>
      </c>
      <c r="AP116" s="1289">
        <f t="shared" si="21"/>
        <v>-598.27412046493976</v>
      </c>
      <c r="AQ116" s="658">
        <f t="shared" si="35"/>
        <v>-204</v>
      </c>
      <c r="AR116" s="1237">
        <f t="shared" si="22"/>
        <v>-46.5</v>
      </c>
      <c r="AS116" s="1188">
        <f t="shared" si="23"/>
        <v>326.55452901143133</v>
      </c>
      <c r="AT116" s="1187">
        <f t="shared" si="24"/>
        <v>-146.50336262854705</v>
      </c>
      <c r="AU116" s="1236">
        <f t="shared" si="25"/>
        <v>-451.7707578363927</v>
      </c>
      <c r="AV116" s="1187"/>
      <c r="AW116" s="1186">
        <f t="shared" si="26"/>
        <v>-110.83026760641522</v>
      </c>
      <c r="AX116" s="1186">
        <f t="shared" si="27"/>
        <v>64.330267606415219</v>
      </c>
      <c r="AY116" s="1185">
        <f t="shared" si="28"/>
        <v>-104.66454922940702</v>
      </c>
      <c r="AZ116" s="1185">
        <f t="shared" si="29"/>
        <v>155.44782218506998</v>
      </c>
      <c r="BA116" s="1184">
        <f t="shared" si="30"/>
        <v>104.66454922940702</v>
      </c>
      <c r="BB116" s="1184">
        <f t="shared" si="31"/>
        <v>155.44782218506998</v>
      </c>
      <c r="BC116" s="474">
        <f t="shared" si="36"/>
        <v>0</v>
      </c>
      <c r="BG116" s="524"/>
      <c r="BH116" s="524"/>
      <c r="BI116" s="1037">
        <v>9</v>
      </c>
      <c r="BJ116" s="1036">
        <f t="shared" si="41"/>
        <v>0</v>
      </c>
      <c r="BK116" s="1035">
        <f t="shared" si="42"/>
        <v>0</v>
      </c>
      <c r="BL116" s="1034">
        <f t="shared" si="37"/>
        <v>-123.93454909830366</v>
      </c>
      <c r="BM116" s="1033">
        <f t="shared" si="38"/>
        <v>123.93454909830366</v>
      </c>
      <c r="BN116" s="1033">
        <f t="shared" si="43"/>
        <v>23.934549098303663</v>
      </c>
      <c r="BO116" s="1033" t="b">
        <f t="shared" si="39"/>
        <v>0</v>
      </c>
      <c r="BP116" s="473"/>
      <c r="CR116" s="524"/>
      <c r="CS116" s="524"/>
      <c r="CT116" s="524"/>
      <c r="CU116" s="524"/>
      <c r="CV116" s="524"/>
      <c r="CW116" s="524"/>
    </row>
    <row r="117" spans="1:127" ht="21" customHeight="1" thickBot="1" x14ac:dyDescent="0.5">
      <c r="A117" s="636"/>
      <c r="B117" s="631">
        <v>11</v>
      </c>
      <c r="C117" s="612"/>
      <c r="D117" s="1907">
        <v>0</v>
      </c>
      <c r="E117" s="632" t="s">
        <v>72</v>
      </c>
      <c r="F117" s="584">
        <f t="shared" si="3"/>
        <v>0</v>
      </c>
      <c r="G117" s="584">
        <f t="shared" si="32"/>
        <v>0</v>
      </c>
      <c r="H117" s="1199">
        <v>190.76</v>
      </c>
      <c r="I117" s="1198">
        <v>79.651040199999997</v>
      </c>
      <c r="J117" s="1197">
        <f t="shared" si="33"/>
        <v>79.651040199999997</v>
      </c>
      <c r="K117" s="1197">
        <f t="shared" si="4"/>
        <v>39.825520099999999</v>
      </c>
      <c r="L117" s="1197">
        <f t="shared" si="5"/>
        <v>0.64045183696587837</v>
      </c>
      <c r="M117" s="1197">
        <f t="shared" si="6"/>
        <v>122.17259241961095</v>
      </c>
      <c r="N117" s="1197">
        <f t="shared" si="7"/>
        <v>244.3451848392219</v>
      </c>
      <c r="O117" s="1197">
        <f>+C107+D108+D109+D110+D111+D112+D113+D114+D115+D116+(D117/2)</f>
        <v>0</v>
      </c>
      <c r="P117" s="1197">
        <f t="shared" si="8"/>
        <v>0</v>
      </c>
      <c r="Q117" s="1197">
        <f t="shared" si="9"/>
        <v>0</v>
      </c>
      <c r="R117" s="1197">
        <f t="shared" si="34"/>
        <v>146.5</v>
      </c>
      <c r="S117" s="1197">
        <f t="shared" si="40"/>
        <v>146.5</v>
      </c>
      <c r="T117" s="1196">
        <f t="shared" si="10"/>
        <v>146.5</v>
      </c>
      <c r="U117" s="471"/>
      <c r="V117" s="1193">
        <f t="shared" si="11"/>
        <v>0</v>
      </c>
      <c r="W117" s="1193"/>
      <c r="X117" s="1193"/>
      <c r="Y117" s="1193"/>
      <c r="Z117" s="1193"/>
      <c r="AA117" s="1193"/>
      <c r="AB117" s="1195" t="str">
        <f t="shared" si="12"/>
        <v xml:space="preserve"> </v>
      </c>
      <c r="AC117" s="1311" t="b">
        <f>IF(AD117=11,AF117)</f>
        <v>0</v>
      </c>
      <c r="AD117" s="1311">
        <f t="shared" si="13"/>
        <v>1</v>
      </c>
      <c r="AE117" s="1311">
        <f>IF(V117=0,0,11)</f>
        <v>0</v>
      </c>
      <c r="AF117" s="1193">
        <f>SUM(V117:V130)/($B$104-B116)</f>
        <v>0</v>
      </c>
      <c r="AG117" s="1193"/>
      <c r="AH117" s="1192">
        <f>SUM(D108:D117)+$C$107</f>
        <v>0</v>
      </c>
      <c r="AI117" s="1294" t="b">
        <f t="shared" si="14"/>
        <v>0</v>
      </c>
      <c r="AJ117" s="568">
        <f t="shared" si="15"/>
        <v>69.344714800000006</v>
      </c>
      <c r="AK117" s="1191">
        <f t="shared" si="16"/>
        <v>0.93571960494171247</v>
      </c>
      <c r="AL117" s="658">
        <f t="shared" si="17"/>
        <v>180.0511663828843</v>
      </c>
      <c r="AM117" s="568">
        <f t="shared" si="18"/>
        <v>50.174479900000001</v>
      </c>
      <c r="AN117" s="1190">
        <f t="shared" si="19"/>
        <v>0.76799833627881664</v>
      </c>
      <c r="AO117" s="658">
        <f t="shared" si="20"/>
        <v>146.50336262854705</v>
      </c>
      <c r="AP117" s="1289">
        <f t="shared" si="21"/>
        <v>-386.38536946694029</v>
      </c>
      <c r="AQ117" s="658">
        <f t="shared" si="35"/>
        <v>-229.5</v>
      </c>
      <c r="AR117" s="1237">
        <f t="shared" si="22"/>
        <v>-72</v>
      </c>
      <c r="AS117" s="1188">
        <f t="shared" si="23"/>
        <v>326.55452901143133</v>
      </c>
      <c r="AT117" s="1187">
        <f t="shared" si="24"/>
        <v>-146.50336262854705</v>
      </c>
      <c r="AU117" s="1236">
        <f t="shared" si="25"/>
        <v>-239.88200683839324</v>
      </c>
      <c r="AV117" s="1187"/>
      <c r="AW117" s="1186">
        <f t="shared" si="26"/>
        <v>-124.89010856670652</v>
      </c>
      <c r="AX117" s="1186">
        <f t="shared" si="27"/>
        <v>52.890108566706509</v>
      </c>
      <c r="AY117" s="1185">
        <f t="shared" si="28"/>
        <v>-92.881655185720234</v>
      </c>
      <c r="AZ117" s="1185">
        <f t="shared" si="29"/>
        <v>189.07127005397834</v>
      </c>
      <c r="BA117" s="1184">
        <f t="shared" si="30"/>
        <v>92.881655185720234</v>
      </c>
      <c r="BB117" s="1184">
        <f t="shared" si="31"/>
        <v>189.07127005397834</v>
      </c>
      <c r="BC117" s="474">
        <f t="shared" si="36"/>
        <v>0</v>
      </c>
      <c r="BG117" s="524"/>
      <c r="BH117" s="524"/>
      <c r="BI117" s="1037">
        <v>10</v>
      </c>
      <c r="BJ117" s="1036">
        <f t="shared" si="41"/>
        <v>50</v>
      </c>
      <c r="BK117" s="1035">
        <f t="shared" si="42"/>
        <v>50</v>
      </c>
      <c r="BL117" s="1034">
        <f t="shared" si="37"/>
        <v>-73.934549098303663</v>
      </c>
      <c r="BM117" s="1033">
        <f t="shared" si="38"/>
        <v>73.934549098303663</v>
      </c>
      <c r="BN117" s="1033">
        <f t="shared" si="43"/>
        <v>23.934549098303663</v>
      </c>
      <c r="BO117" s="1033" t="b">
        <f t="shared" si="39"/>
        <v>0</v>
      </c>
      <c r="BP117" s="473"/>
      <c r="CR117" s="524"/>
      <c r="CS117" s="524"/>
      <c r="CT117" s="524"/>
      <c r="CU117" s="524"/>
      <c r="CV117" s="524"/>
      <c r="CW117" s="524"/>
    </row>
    <row r="118" spans="1:127" ht="21" customHeight="1" thickBot="1" x14ac:dyDescent="0.5">
      <c r="A118" s="636"/>
      <c r="B118" s="631">
        <v>12</v>
      </c>
      <c r="C118" s="612"/>
      <c r="D118" s="1907">
        <v>0</v>
      </c>
      <c r="E118" s="632" t="s">
        <v>72</v>
      </c>
      <c r="F118" s="584">
        <f t="shared" si="3"/>
        <v>0</v>
      </c>
      <c r="G118" s="584">
        <f t="shared" si="32"/>
        <v>0</v>
      </c>
      <c r="H118" s="1199">
        <v>190.76</v>
      </c>
      <c r="I118" s="1198">
        <v>79.651040199999997</v>
      </c>
      <c r="J118" s="1197">
        <f t="shared" si="33"/>
        <v>79.651040199999997</v>
      </c>
      <c r="K118" s="1197">
        <f t="shared" si="4"/>
        <v>39.825520099999999</v>
      </c>
      <c r="L118" s="1197">
        <f t="shared" si="5"/>
        <v>0.64045183696587837</v>
      </c>
      <c r="M118" s="1197">
        <f t="shared" si="6"/>
        <v>122.17259241961095</v>
      </c>
      <c r="N118" s="1197">
        <f t="shared" si="7"/>
        <v>244.3451848392219</v>
      </c>
      <c r="O118" s="1197">
        <f>+C107+D108+D109+D110+D111+D112+D113+D114+D115+D116+D117+(D118/2)</f>
        <v>0</v>
      </c>
      <c r="P118" s="1197">
        <f t="shared" si="8"/>
        <v>0</v>
      </c>
      <c r="Q118" s="1197">
        <f t="shared" si="9"/>
        <v>0</v>
      </c>
      <c r="R118" s="1197">
        <f t="shared" si="34"/>
        <v>146.5</v>
      </c>
      <c r="S118" s="1197">
        <f t="shared" si="40"/>
        <v>146.5</v>
      </c>
      <c r="T118" s="1196">
        <f t="shared" si="10"/>
        <v>146.5</v>
      </c>
      <c r="U118" s="471"/>
      <c r="V118" s="1193">
        <f t="shared" si="11"/>
        <v>0</v>
      </c>
      <c r="W118" s="1193"/>
      <c r="X118" s="1193"/>
      <c r="Y118" s="1193"/>
      <c r="Z118" s="1193"/>
      <c r="AA118" s="1193"/>
      <c r="AB118" s="1195" t="str">
        <f t="shared" si="12"/>
        <v xml:space="preserve"> </v>
      </c>
      <c r="AC118" s="1311" t="b">
        <f>IF(AD118=12,AF118)</f>
        <v>0</v>
      </c>
      <c r="AD118" s="1311">
        <f t="shared" si="13"/>
        <v>1</v>
      </c>
      <c r="AE118" s="1311">
        <f>IF(V118=0,0,12)</f>
        <v>0</v>
      </c>
      <c r="AF118" s="1193">
        <f>SUM(V118:V130)/($B$104-B117)</f>
        <v>0</v>
      </c>
      <c r="AG118" s="1193"/>
      <c r="AH118" s="1192">
        <f>SUM(D108:D118)+$C$107</f>
        <v>0</v>
      </c>
      <c r="AI118" s="1294" t="b">
        <f t="shared" si="14"/>
        <v>0</v>
      </c>
      <c r="AJ118" s="568">
        <f t="shared" si="15"/>
        <v>69.344714800000006</v>
      </c>
      <c r="AK118" s="1191">
        <f t="shared" si="16"/>
        <v>0.93571960494171247</v>
      </c>
      <c r="AL118" s="658">
        <f t="shared" si="17"/>
        <v>180.0511663828843</v>
      </c>
      <c r="AM118" s="568">
        <f t="shared" si="18"/>
        <v>50.174479900000001</v>
      </c>
      <c r="AN118" s="1190">
        <f t="shared" si="19"/>
        <v>0.76799833627881664</v>
      </c>
      <c r="AO118" s="658">
        <f t="shared" si="20"/>
        <v>146.50336262854705</v>
      </c>
      <c r="AP118" s="1289">
        <f t="shared" si="21"/>
        <v>-285.33073437558664</v>
      </c>
      <c r="AQ118" s="658">
        <f t="shared" si="35"/>
        <v>-255</v>
      </c>
      <c r="AR118" s="1237">
        <f t="shared" si="22"/>
        <v>-97.5</v>
      </c>
      <c r="AS118" s="1188">
        <f t="shared" si="23"/>
        <v>326.55452901143133</v>
      </c>
      <c r="AT118" s="1187">
        <f t="shared" si="24"/>
        <v>-146.50336262854705</v>
      </c>
      <c r="AU118" s="1236">
        <f t="shared" si="25"/>
        <v>-138.82737174703959</v>
      </c>
      <c r="AV118" s="1187"/>
      <c r="AW118" s="1186">
        <f t="shared" si="26"/>
        <v>-138.94994952699778</v>
      </c>
      <c r="AX118" s="1186">
        <f t="shared" si="27"/>
        <v>41.449949526997777</v>
      </c>
      <c r="AY118" s="1185">
        <f t="shared" si="28"/>
        <v>-83.483297687316792</v>
      </c>
      <c r="AZ118" s="1185">
        <f t="shared" si="29"/>
        <v>241.25481729444945</v>
      </c>
      <c r="BA118" s="1184">
        <f t="shared" si="30"/>
        <v>83.483297687316792</v>
      </c>
      <c r="BB118" s="1184">
        <f t="shared" si="31"/>
        <v>241.25481729444945</v>
      </c>
      <c r="BC118" s="474">
        <f t="shared" si="36"/>
        <v>0</v>
      </c>
      <c r="BG118" s="524"/>
      <c r="BH118" s="524"/>
      <c r="BI118" s="1037">
        <v>11</v>
      </c>
      <c r="BJ118" s="1036">
        <f t="shared" si="41"/>
        <v>100</v>
      </c>
      <c r="BK118" s="1035">
        <f t="shared" si="42"/>
        <v>100</v>
      </c>
      <c r="BL118" s="1034">
        <f t="shared" si="37"/>
        <v>-23.934549098303663</v>
      </c>
      <c r="BM118" s="1033">
        <f t="shared" si="38"/>
        <v>23.934549098303663</v>
      </c>
      <c r="BN118" s="1033">
        <f t="shared" si="43"/>
        <v>23.934549098303663</v>
      </c>
      <c r="BO118" s="1033">
        <f t="shared" si="39"/>
        <v>11</v>
      </c>
      <c r="BP118" s="473"/>
      <c r="CR118" s="524"/>
      <c r="CS118" s="524"/>
      <c r="CT118" s="524"/>
      <c r="CU118" s="524"/>
      <c r="CV118" s="524"/>
      <c r="CW118" s="524"/>
    </row>
    <row r="119" spans="1:127" ht="21" customHeight="1" thickBot="1" x14ac:dyDescent="0.5">
      <c r="B119" s="631">
        <v>13</v>
      </c>
      <c r="C119" s="612"/>
      <c r="D119" s="1907">
        <v>0</v>
      </c>
      <c r="E119" s="632" t="s">
        <v>72</v>
      </c>
      <c r="F119" s="584">
        <f t="shared" si="3"/>
        <v>0</v>
      </c>
      <c r="G119" s="584">
        <f t="shared" si="32"/>
        <v>0</v>
      </c>
      <c r="H119" s="1199">
        <v>190.76</v>
      </c>
      <c r="I119" s="1198">
        <v>79.651040199999997</v>
      </c>
      <c r="J119" s="1197">
        <f t="shared" si="33"/>
        <v>79.651040199999997</v>
      </c>
      <c r="K119" s="1197">
        <f t="shared" si="4"/>
        <v>39.825520099999999</v>
      </c>
      <c r="L119" s="1197">
        <f t="shared" si="5"/>
        <v>0.64045183696587837</v>
      </c>
      <c r="M119" s="1197">
        <f t="shared" si="6"/>
        <v>122.17259241961095</v>
      </c>
      <c r="N119" s="1197">
        <f t="shared" si="7"/>
        <v>244.3451848392219</v>
      </c>
      <c r="O119" s="1197">
        <f>+C107+D108+D109+D110+D111+D112+D113+D114+D115+D116+D117+D118+(D119/2)</f>
        <v>0</v>
      </c>
      <c r="P119" s="1197">
        <f t="shared" si="8"/>
        <v>0</v>
      </c>
      <c r="Q119" s="1197">
        <f t="shared" si="9"/>
        <v>0</v>
      </c>
      <c r="R119" s="1197">
        <f t="shared" si="34"/>
        <v>146.5</v>
      </c>
      <c r="S119" s="1197">
        <f t="shared" si="40"/>
        <v>146.5</v>
      </c>
      <c r="T119" s="1196">
        <f t="shared" si="10"/>
        <v>146.5</v>
      </c>
      <c r="U119" s="471"/>
      <c r="V119" s="1193">
        <f t="shared" si="11"/>
        <v>0</v>
      </c>
      <c r="W119" s="1193"/>
      <c r="X119" s="1193"/>
      <c r="Y119" s="1193"/>
      <c r="Z119" s="1193"/>
      <c r="AA119" s="1193"/>
      <c r="AB119" s="1195" t="str">
        <f t="shared" si="12"/>
        <v xml:space="preserve"> </v>
      </c>
      <c r="AC119" s="1311" t="b">
        <f>IF(AD119=13,AF119)</f>
        <v>0</v>
      </c>
      <c r="AD119" s="1311">
        <f t="shared" si="13"/>
        <v>1</v>
      </c>
      <c r="AE119" s="1311">
        <f>IF(V119=0,0,13)</f>
        <v>0</v>
      </c>
      <c r="AF119" s="1193">
        <f>SUM(V119:V130)/($B$104-B118)</f>
        <v>0</v>
      </c>
      <c r="AG119" s="1193"/>
      <c r="AH119" s="1192">
        <f>SUM(D108:D119)+$C$107</f>
        <v>0</v>
      </c>
      <c r="AI119" s="1294" t="b">
        <f t="shared" si="14"/>
        <v>0</v>
      </c>
      <c r="AJ119" s="568">
        <f t="shared" si="15"/>
        <v>69.344714800000006</v>
      </c>
      <c r="AK119" s="1191">
        <f t="shared" si="16"/>
        <v>0.93571960494171247</v>
      </c>
      <c r="AL119" s="658">
        <f t="shared" si="17"/>
        <v>180.0511663828843</v>
      </c>
      <c r="AM119" s="568">
        <f t="shared" si="18"/>
        <v>50.174479900000001</v>
      </c>
      <c r="AN119" s="1190">
        <f t="shared" si="19"/>
        <v>0.76799833627881664</v>
      </c>
      <c r="AO119" s="658">
        <f t="shared" si="20"/>
        <v>146.50336262854705</v>
      </c>
      <c r="AP119" s="1289">
        <f t="shared" si="21"/>
        <v>-226.17680163918456</v>
      </c>
      <c r="AQ119" s="658">
        <f t="shared" si="35"/>
        <v>-280.5</v>
      </c>
      <c r="AR119" s="1237">
        <f t="shared" si="22"/>
        <v>-123</v>
      </c>
      <c r="AS119" s="1188">
        <f t="shared" si="23"/>
        <v>326.55452901143133</v>
      </c>
      <c r="AT119" s="1187">
        <f t="shared" si="24"/>
        <v>-146.50336262854705</v>
      </c>
      <c r="AU119" s="1236">
        <f t="shared" si="25"/>
        <v>-79.673439010637509</v>
      </c>
      <c r="AV119" s="1187"/>
      <c r="AW119" s="1186">
        <f t="shared" si="26"/>
        <v>-153.00979048728905</v>
      </c>
      <c r="AX119" s="1186">
        <f t="shared" si="27"/>
        <v>30.009790487289067</v>
      </c>
      <c r="AY119" s="1185">
        <f t="shared" si="28"/>
        <v>-75.812142236503774</v>
      </c>
      <c r="AZ119" s="1185">
        <f t="shared" si="29"/>
        <v>333.22458563099917</v>
      </c>
      <c r="BA119" s="1184">
        <f t="shared" si="30"/>
        <v>75.812142236503774</v>
      </c>
      <c r="BB119" s="1184">
        <f t="shared" si="31"/>
        <v>333.22458563099917</v>
      </c>
      <c r="BC119" s="474">
        <f t="shared" si="36"/>
        <v>0</v>
      </c>
      <c r="BG119" s="524"/>
      <c r="BH119" s="524"/>
      <c r="BI119" s="1037">
        <v>12</v>
      </c>
      <c r="BJ119" s="1036">
        <f t="shared" si="41"/>
        <v>150</v>
      </c>
      <c r="BK119" s="1035">
        <f t="shared" si="42"/>
        <v>150</v>
      </c>
      <c r="BL119" s="1034">
        <f t="shared" si="37"/>
        <v>26.065450901696337</v>
      </c>
      <c r="BM119" s="1033">
        <f t="shared" si="38"/>
        <v>26.065450901696337</v>
      </c>
      <c r="BN119" s="1033">
        <f t="shared" si="43"/>
        <v>23.934549098303663</v>
      </c>
      <c r="BO119" s="1033" t="b">
        <f t="shared" si="39"/>
        <v>0</v>
      </c>
      <c r="BP119" s="473"/>
      <c r="CR119" s="524"/>
      <c r="CS119" s="524"/>
      <c r="CT119" s="524"/>
      <c r="CU119" s="524"/>
      <c r="CV119" s="524"/>
      <c r="CW119" s="524"/>
    </row>
    <row r="120" spans="1:127" ht="21" customHeight="1" thickBot="1" x14ac:dyDescent="0.5">
      <c r="B120" s="631">
        <v>14</v>
      </c>
      <c r="C120" s="612"/>
      <c r="D120" s="1907">
        <v>0</v>
      </c>
      <c r="E120" s="632" t="s">
        <v>72</v>
      </c>
      <c r="F120" s="584">
        <f t="shared" si="3"/>
        <v>0</v>
      </c>
      <c r="G120" s="584">
        <f t="shared" si="32"/>
        <v>0</v>
      </c>
      <c r="H120" s="1199">
        <v>190.76</v>
      </c>
      <c r="I120" s="1198">
        <v>79.651040199999997</v>
      </c>
      <c r="J120" s="1197">
        <f t="shared" si="33"/>
        <v>79.651040199999997</v>
      </c>
      <c r="K120" s="1197">
        <f t="shared" si="4"/>
        <v>39.825520099999999</v>
      </c>
      <c r="L120" s="1197">
        <f t="shared" si="5"/>
        <v>0.64045183696587837</v>
      </c>
      <c r="M120" s="1197">
        <f t="shared" si="6"/>
        <v>122.17259241961095</v>
      </c>
      <c r="N120" s="1197">
        <f t="shared" si="7"/>
        <v>244.3451848392219</v>
      </c>
      <c r="O120" s="1197">
        <f>+C107+D108+D109+D110+D111+D112+D113+D114+D115+D116+D117+D118+D119+(D120/2)</f>
        <v>0</v>
      </c>
      <c r="P120" s="1197">
        <f t="shared" si="8"/>
        <v>0</v>
      </c>
      <c r="Q120" s="1197">
        <f t="shared" si="9"/>
        <v>0</v>
      </c>
      <c r="R120" s="1197">
        <f t="shared" si="34"/>
        <v>146.5</v>
      </c>
      <c r="S120" s="1197">
        <f t="shared" si="40"/>
        <v>146.5</v>
      </c>
      <c r="T120" s="1196">
        <f t="shared" si="10"/>
        <v>146.5</v>
      </c>
      <c r="U120" s="471"/>
      <c r="V120" s="1193">
        <f t="shared" si="11"/>
        <v>0</v>
      </c>
      <c r="W120" s="1193"/>
      <c r="X120" s="1193"/>
      <c r="Y120" s="1193"/>
      <c r="Z120" s="1193"/>
      <c r="AA120" s="1193"/>
      <c r="AB120" s="1195" t="str">
        <f t="shared" si="12"/>
        <v xml:space="preserve"> </v>
      </c>
      <c r="AC120" s="1311" t="b">
        <f>IF(AD120=14,AF120)</f>
        <v>0</v>
      </c>
      <c r="AD120" s="1311">
        <f t="shared" si="13"/>
        <v>1</v>
      </c>
      <c r="AE120" s="1311">
        <f>IF(V120=0,0,14)</f>
        <v>0</v>
      </c>
      <c r="AF120" s="1193">
        <f>SUM(V120:V130)/($B$104-B119)</f>
        <v>0</v>
      </c>
      <c r="AG120" s="1193"/>
      <c r="AH120" s="1192">
        <f>SUM(D108:D120)+$C$107</f>
        <v>0</v>
      </c>
      <c r="AI120" s="1294" t="b">
        <f t="shared" si="14"/>
        <v>0</v>
      </c>
      <c r="AJ120" s="568">
        <f t="shared" si="15"/>
        <v>69.344714800000006</v>
      </c>
      <c r="AK120" s="1191">
        <f t="shared" si="16"/>
        <v>0.93571960494171247</v>
      </c>
      <c r="AL120" s="658">
        <f t="shared" si="17"/>
        <v>180.0511663828843</v>
      </c>
      <c r="AM120" s="568">
        <f t="shared" si="18"/>
        <v>50.174479900000001</v>
      </c>
      <c r="AN120" s="1190">
        <f t="shared" si="19"/>
        <v>0.76799833627881664</v>
      </c>
      <c r="AO120" s="658">
        <f t="shared" si="20"/>
        <v>146.50336262854705</v>
      </c>
      <c r="AP120" s="1289">
        <f t="shared" si="21"/>
        <v>-187.338360953668</v>
      </c>
      <c r="AQ120" s="658">
        <f t="shared" si="35"/>
        <v>-306</v>
      </c>
      <c r="AR120" s="1237">
        <f t="shared" si="22"/>
        <v>-148.5</v>
      </c>
      <c r="AS120" s="1188">
        <f t="shared" si="23"/>
        <v>326.55452901143133</v>
      </c>
      <c r="AT120" s="1187">
        <f t="shared" si="24"/>
        <v>-146.50336262854705</v>
      </c>
      <c r="AU120" s="1236">
        <f t="shared" si="25"/>
        <v>-40.834998325120949</v>
      </c>
      <c r="AV120" s="1187"/>
      <c r="AW120" s="1186">
        <f t="shared" si="26"/>
        <v>-167.06963144758035</v>
      </c>
      <c r="AX120" s="1186">
        <f t="shared" si="27"/>
        <v>18.569631447580338</v>
      </c>
      <c r="AY120" s="1185">
        <f t="shared" si="28"/>
        <v>-69.432127787027582</v>
      </c>
      <c r="AZ120" s="1185">
        <f t="shared" si="29"/>
        <v>538.51364946195633</v>
      </c>
      <c r="BA120" s="1184">
        <f t="shared" si="30"/>
        <v>69.432127787027582</v>
      </c>
      <c r="BB120" s="1184">
        <f t="shared" si="31"/>
        <v>538.51364946195633</v>
      </c>
      <c r="BC120" s="474">
        <f t="shared" si="36"/>
        <v>0</v>
      </c>
      <c r="BG120" s="524"/>
      <c r="BH120" s="524"/>
      <c r="BI120" s="1037">
        <v>13</v>
      </c>
      <c r="BJ120" s="1036">
        <f t="shared" si="41"/>
        <v>200</v>
      </c>
      <c r="BK120" s="1035">
        <f t="shared" si="42"/>
        <v>200</v>
      </c>
      <c r="BL120" s="1034">
        <f t="shared" si="37"/>
        <v>76.065450901696337</v>
      </c>
      <c r="BM120" s="1033">
        <f t="shared" si="38"/>
        <v>76.065450901696337</v>
      </c>
      <c r="BN120" s="1033">
        <f t="shared" si="43"/>
        <v>23.934549098303663</v>
      </c>
      <c r="BO120" s="1033" t="b">
        <f t="shared" si="39"/>
        <v>0</v>
      </c>
      <c r="BP120" s="473"/>
      <c r="CR120" s="524"/>
      <c r="CS120" s="524"/>
      <c r="CT120" s="524"/>
      <c r="CU120" s="524"/>
      <c r="CV120" s="524"/>
      <c r="CW120" s="524"/>
    </row>
    <row r="121" spans="1:127" ht="21" customHeight="1" thickBot="1" x14ac:dyDescent="0.5">
      <c r="B121" s="631">
        <v>15</v>
      </c>
      <c r="C121" s="612"/>
      <c r="D121" s="1907">
        <v>0</v>
      </c>
      <c r="E121" s="632" t="s">
        <v>72</v>
      </c>
      <c r="F121" s="584">
        <f t="shared" si="3"/>
        <v>0</v>
      </c>
      <c r="G121" s="584">
        <f t="shared" si="32"/>
        <v>0</v>
      </c>
      <c r="H121" s="1199">
        <v>190.76</v>
      </c>
      <c r="I121" s="1198">
        <v>79.651040199999997</v>
      </c>
      <c r="J121" s="1197">
        <f t="shared" si="33"/>
        <v>79.651040199999997</v>
      </c>
      <c r="K121" s="1197">
        <f t="shared" si="4"/>
        <v>39.825520099999999</v>
      </c>
      <c r="L121" s="1197">
        <f t="shared" si="5"/>
        <v>0.64045183696587837</v>
      </c>
      <c r="M121" s="1197">
        <f t="shared" si="6"/>
        <v>122.17259241961095</v>
      </c>
      <c r="N121" s="1197">
        <f t="shared" si="7"/>
        <v>244.3451848392219</v>
      </c>
      <c r="O121" s="1197">
        <f>+C107+D108+D109+D110+D111+D112+D113+D114+D115+D116+D117+D118+D119+D120+(D121/2)</f>
        <v>0</v>
      </c>
      <c r="P121" s="1197">
        <f t="shared" si="8"/>
        <v>0</v>
      </c>
      <c r="Q121" s="1197">
        <f t="shared" si="9"/>
        <v>0</v>
      </c>
      <c r="R121" s="1197">
        <f t="shared" si="34"/>
        <v>146.5</v>
      </c>
      <c r="S121" s="1197">
        <f t="shared" si="40"/>
        <v>146.5</v>
      </c>
      <c r="T121" s="1196">
        <f t="shared" si="10"/>
        <v>146.5</v>
      </c>
      <c r="U121" s="471"/>
      <c r="V121" s="1193">
        <f t="shared" si="11"/>
        <v>0</v>
      </c>
      <c r="W121" s="1193"/>
      <c r="X121" s="1193"/>
      <c r="Y121" s="1193"/>
      <c r="Z121" s="1193"/>
      <c r="AA121" s="1193"/>
      <c r="AB121" s="1195" t="str">
        <f t="shared" si="12"/>
        <v xml:space="preserve"> </v>
      </c>
      <c r="AC121" s="1311" t="b">
        <f>IF(AD121=15,AF121)</f>
        <v>0</v>
      </c>
      <c r="AD121" s="1311">
        <f t="shared" si="13"/>
        <v>1</v>
      </c>
      <c r="AE121" s="1311">
        <f>IF(V121=0,0,15)</f>
        <v>0</v>
      </c>
      <c r="AF121" s="1193">
        <f>SUM(V121:V130)/($B$104-B120)</f>
        <v>0</v>
      </c>
      <c r="AG121" s="1193"/>
      <c r="AH121" s="1192">
        <f>SUM(D108:D121)+$C$107</f>
        <v>0</v>
      </c>
      <c r="AI121" s="1294" t="b">
        <f t="shared" si="14"/>
        <v>0</v>
      </c>
      <c r="AJ121" s="568">
        <f t="shared" si="15"/>
        <v>69.344714800000006</v>
      </c>
      <c r="AK121" s="1191">
        <f t="shared" si="16"/>
        <v>0.93571960494171247</v>
      </c>
      <c r="AL121" s="658">
        <f t="shared" si="17"/>
        <v>180.0511663828843</v>
      </c>
      <c r="AM121" s="568">
        <f t="shared" si="18"/>
        <v>50.174479900000001</v>
      </c>
      <c r="AN121" s="1190">
        <f t="shared" si="19"/>
        <v>0.76799833627881664</v>
      </c>
      <c r="AO121" s="658">
        <f t="shared" si="20"/>
        <v>146.50336262854705</v>
      </c>
      <c r="AP121" s="1289">
        <f t="shared" si="21"/>
        <v>-159.88360115873391</v>
      </c>
      <c r="AQ121" s="658">
        <f t="shared" si="35"/>
        <v>-331.5</v>
      </c>
      <c r="AR121" s="1237">
        <f t="shared" si="22"/>
        <v>-174</v>
      </c>
      <c r="AS121" s="1188">
        <f t="shared" si="23"/>
        <v>326.55452901143133</v>
      </c>
      <c r="AT121" s="1187">
        <f t="shared" si="24"/>
        <v>-146.50336262854705</v>
      </c>
      <c r="AU121" s="1236">
        <f t="shared" si="25"/>
        <v>-13.380238530186858</v>
      </c>
      <c r="AV121" s="1187"/>
      <c r="AW121" s="1186">
        <f t="shared" si="26"/>
        <v>-181.12947240787159</v>
      </c>
      <c r="AX121" s="1186">
        <f t="shared" si="27"/>
        <v>7.1294724078716234</v>
      </c>
      <c r="AY121" s="1185">
        <f t="shared" si="28"/>
        <v>-64.042587027907018</v>
      </c>
      <c r="AZ121" s="1185">
        <f t="shared" si="29"/>
        <v>1402.6283331932161</v>
      </c>
      <c r="BA121" s="1184">
        <f t="shared" si="30"/>
        <v>64.042587027907018</v>
      </c>
      <c r="BB121" s="1184">
        <f t="shared" si="31"/>
        <v>1402.6283331932161</v>
      </c>
      <c r="BC121" s="474">
        <f t="shared" si="36"/>
        <v>0</v>
      </c>
      <c r="BG121" s="524"/>
      <c r="BH121" s="524"/>
      <c r="BI121" s="1037">
        <v>14</v>
      </c>
      <c r="BJ121" s="1036">
        <f t="shared" si="41"/>
        <v>250</v>
      </c>
      <c r="BK121" s="1035">
        <f t="shared" si="42"/>
        <v>250</v>
      </c>
      <c r="BL121" s="1034">
        <f t="shared" si="37"/>
        <v>126.06545090169634</v>
      </c>
      <c r="BM121" s="1033">
        <f t="shared" si="38"/>
        <v>126.06545090169634</v>
      </c>
      <c r="BN121" s="1033">
        <f t="shared" si="43"/>
        <v>23.934549098303663</v>
      </c>
      <c r="BO121" s="1033" t="b">
        <f t="shared" si="39"/>
        <v>0</v>
      </c>
      <c r="BP121" s="473"/>
      <c r="CR121" s="524"/>
      <c r="CS121" s="524"/>
      <c r="CT121" s="524"/>
      <c r="CU121" s="524"/>
      <c r="CV121" s="524"/>
    </row>
    <row r="122" spans="1:127" ht="21" customHeight="1" thickBot="1" x14ac:dyDescent="0.5">
      <c r="B122" s="631">
        <v>16</v>
      </c>
      <c r="C122" s="612"/>
      <c r="D122" s="1907">
        <v>0</v>
      </c>
      <c r="E122" s="632" t="s">
        <v>72</v>
      </c>
      <c r="F122" s="584">
        <f t="shared" si="3"/>
        <v>0.3</v>
      </c>
      <c r="G122" s="584">
        <f t="shared" si="32"/>
        <v>0.3</v>
      </c>
      <c r="H122" s="1199">
        <v>190.76</v>
      </c>
      <c r="I122" s="1198">
        <v>79.651040199999997</v>
      </c>
      <c r="J122" s="1197">
        <f t="shared" si="33"/>
        <v>79.651040199999997</v>
      </c>
      <c r="K122" s="1197">
        <f t="shared" si="4"/>
        <v>39.825520099999999</v>
      </c>
      <c r="L122" s="1197">
        <f t="shared" si="5"/>
        <v>0.64045183696587837</v>
      </c>
      <c r="M122" s="1197">
        <f t="shared" si="6"/>
        <v>122.17259241961095</v>
      </c>
      <c r="N122" s="1197">
        <f t="shared" si="7"/>
        <v>244.3451848392219</v>
      </c>
      <c r="O122" s="1197">
        <f>+C107+D108+D109+D110+D111+D112+D113+D114+D115+D116+D117+D118+D119+D120+D121+(D122/2)</f>
        <v>0</v>
      </c>
      <c r="P122" s="1197">
        <f t="shared" si="8"/>
        <v>0</v>
      </c>
      <c r="Q122" s="1197">
        <f t="shared" si="9"/>
        <v>0</v>
      </c>
      <c r="R122" s="1197">
        <f t="shared" si="34"/>
        <v>146.5</v>
      </c>
      <c r="S122" s="1197">
        <f t="shared" si="40"/>
        <v>146.5</v>
      </c>
      <c r="T122" s="1196">
        <f t="shared" si="10"/>
        <v>146.5</v>
      </c>
      <c r="U122" s="471"/>
      <c r="V122" s="1193">
        <f t="shared" si="11"/>
        <v>0</v>
      </c>
      <c r="W122" s="1193"/>
      <c r="X122" s="1193"/>
      <c r="Y122" s="1193"/>
      <c r="Z122" s="1193"/>
      <c r="AA122" s="1193"/>
      <c r="AB122" s="1195" t="str">
        <f t="shared" si="12"/>
        <v>pin in groundstacking hole</v>
      </c>
      <c r="AC122" s="1311" t="b">
        <f>IF(AD122=16,AF122)</f>
        <v>0</v>
      </c>
      <c r="AD122" s="1311">
        <f t="shared" si="13"/>
        <v>1</v>
      </c>
      <c r="AE122" s="1311">
        <f>IF(V122=0,0,16)</f>
        <v>0</v>
      </c>
      <c r="AF122" s="1193">
        <f>SUM(V122:V130)/($B$104-B121)</f>
        <v>0</v>
      </c>
      <c r="AG122" s="1193"/>
      <c r="AH122" s="1192">
        <f>SUM(D108:D122)+$C$107</f>
        <v>0</v>
      </c>
      <c r="AI122" s="1294" t="b">
        <f t="shared" si="14"/>
        <v>0</v>
      </c>
      <c r="AJ122" s="568">
        <f t="shared" si="15"/>
        <v>69.344714800000006</v>
      </c>
      <c r="AK122" s="1191">
        <f t="shared" si="16"/>
        <v>0.93571960494171247</v>
      </c>
      <c r="AL122" s="658">
        <f t="shared" si="17"/>
        <v>180.0511663828843</v>
      </c>
      <c r="AM122" s="568">
        <f t="shared" si="18"/>
        <v>50.174479900000001</v>
      </c>
      <c r="AN122" s="1190">
        <f t="shared" si="19"/>
        <v>0.76799833627881664</v>
      </c>
      <c r="AO122" s="658">
        <f t="shared" si="20"/>
        <v>146.50336262854705</v>
      </c>
      <c r="AP122" s="1289">
        <f t="shared" si="21"/>
        <v>-139.44735138656492</v>
      </c>
      <c r="AQ122" s="658">
        <f t="shared" si="35"/>
        <v>-357</v>
      </c>
      <c r="AR122" s="1237">
        <f t="shared" si="22"/>
        <v>-199.5</v>
      </c>
      <c r="AS122" s="1188">
        <f t="shared" si="23"/>
        <v>326.55452901143133</v>
      </c>
      <c r="AT122" s="1187">
        <f t="shared" si="24"/>
        <v>-146.50336262854705</v>
      </c>
      <c r="AU122" s="1236">
        <f t="shared" si="25"/>
        <v>7.0560112419821337</v>
      </c>
      <c r="AV122" s="1187"/>
      <c r="AW122" s="1186">
        <f t="shared" si="26"/>
        <v>-195.18931336816291</v>
      </c>
      <c r="AX122" s="1186">
        <f t="shared" si="27"/>
        <v>-4.3106866318370942</v>
      </c>
      <c r="AY122" s="1185">
        <f t="shared" si="28"/>
        <v>-59.429483099416764</v>
      </c>
      <c r="AZ122" s="1185">
        <f t="shared" si="29"/>
        <v>-2319.8160418676221</v>
      </c>
      <c r="BA122" s="1184">
        <f t="shared" si="30"/>
        <v>59.429483099416764</v>
      </c>
      <c r="BB122" s="1184">
        <f t="shared" si="31"/>
        <v>2319.8160418676221</v>
      </c>
      <c r="BC122" s="474">
        <f t="shared" si="36"/>
        <v>0.3</v>
      </c>
      <c r="BG122" s="524"/>
      <c r="BH122" s="524"/>
      <c r="BI122" s="1037">
        <v>15</v>
      </c>
      <c r="BJ122" s="1036">
        <f t="shared" si="41"/>
        <v>300</v>
      </c>
      <c r="BK122" s="1035">
        <f t="shared" si="42"/>
        <v>300</v>
      </c>
      <c r="BL122" s="1034">
        <f t="shared" si="37"/>
        <v>176.06545090169635</v>
      </c>
      <c r="BM122" s="1033">
        <f t="shared" si="38"/>
        <v>176.06545090169635</v>
      </c>
      <c r="BN122" s="1033">
        <f t="shared" si="43"/>
        <v>23.934549098303663</v>
      </c>
      <c r="BO122" s="1033" t="b">
        <f t="shared" si="39"/>
        <v>0</v>
      </c>
      <c r="BP122" s="473"/>
      <c r="CR122" s="524"/>
      <c r="CS122" s="524"/>
      <c r="CT122" s="524"/>
      <c r="CU122" s="524"/>
      <c r="CV122" s="524"/>
      <c r="CW122" s="639"/>
    </row>
    <row r="123" spans="1:127" ht="21" customHeight="1" thickBot="1" x14ac:dyDescent="0.5">
      <c r="B123" s="631">
        <v>17</v>
      </c>
      <c r="C123" s="612"/>
      <c r="D123" s="1907">
        <v>0</v>
      </c>
      <c r="E123" s="632" t="s">
        <v>72</v>
      </c>
      <c r="F123" s="584">
        <f t="shared" si="3"/>
        <v>0.3</v>
      </c>
      <c r="G123" s="584">
        <f t="shared" si="32"/>
        <v>0.3</v>
      </c>
      <c r="H123" s="1199">
        <v>190.76</v>
      </c>
      <c r="I123" s="1198">
        <v>79.651040199999997</v>
      </c>
      <c r="J123" s="1197">
        <f t="shared" si="33"/>
        <v>79.651040199999997</v>
      </c>
      <c r="K123" s="1197">
        <f t="shared" si="4"/>
        <v>39.825520099999999</v>
      </c>
      <c r="L123" s="1197">
        <f t="shared" si="5"/>
        <v>0.64045183696587837</v>
      </c>
      <c r="M123" s="1197">
        <f t="shared" si="6"/>
        <v>122.17259241961095</v>
      </c>
      <c r="N123" s="1197">
        <f t="shared" si="7"/>
        <v>244.3451848392219</v>
      </c>
      <c r="O123" s="1197">
        <f>+C107+D108+D109+D110+D111+D112+D113+D114+D115+D116+D117+D118+D119+D120+D121+D122+(D123/2)</f>
        <v>0</v>
      </c>
      <c r="P123" s="1197">
        <f t="shared" si="8"/>
        <v>0</v>
      </c>
      <c r="Q123" s="1197">
        <f t="shared" si="9"/>
        <v>0</v>
      </c>
      <c r="R123" s="1197">
        <f t="shared" si="34"/>
        <v>146.5</v>
      </c>
      <c r="S123" s="1197">
        <f t="shared" si="40"/>
        <v>146.5</v>
      </c>
      <c r="T123" s="1196">
        <f t="shared" si="10"/>
        <v>146.5</v>
      </c>
      <c r="U123" s="471"/>
      <c r="V123" s="1193">
        <f t="shared" si="11"/>
        <v>0</v>
      </c>
      <c r="W123" s="1193"/>
      <c r="X123" s="1193"/>
      <c r="Y123" s="1193"/>
      <c r="Z123" s="1193"/>
      <c r="AA123" s="1193"/>
      <c r="AB123" s="1195" t="str">
        <f t="shared" si="12"/>
        <v>pin in groundstacking hole</v>
      </c>
      <c r="AC123" s="1311" t="b">
        <f>IF(AD123=17,AF123)</f>
        <v>0</v>
      </c>
      <c r="AD123" s="1311">
        <f t="shared" si="13"/>
        <v>1</v>
      </c>
      <c r="AE123" s="1311">
        <f>IF(V123=0,0,17)</f>
        <v>0</v>
      </c>
      <c r="AF123" s="1193">
        <f>SUM(V123:V130)/($B$104-B122)</f>
        <v>0</v>
      </c>
      <c r="AG123" s="1193"/>
      <c r="AH123" s="1192">
        <f>SUM(D108:D123)+$C$107</f>
        <v>0</v>
      </c>
      <c r="AI123" s="1294" t="b">
        <f t="shared" si="14"/>
        <v>0</v>
      </c>
      <c r="AJ123" s="568">
        <f t="shared" si="15"/>
        <v>69.344714800000006</v>
      </c>
      <c r="AK123" s="1191">
        <f t="shared" si="16"/>
        <v>0.93571960494171247</v>
      </c>
      <c r="AL123" s="658">
        <f t="shared" si="17"/>
        <v>180.0511663828843</v>
      </c>
      <c r="AM123" s="568">
        <f t="shared" si="18"/>
        <v>50.174479900000001</v>
      </c>
      <c r="AN123" s="1190">
        <f t="shared" si="19"/>
        <v>0.76799833627881664</v>
      </c>
      <c r="AO123" s="658">
        <f t="shared" si="20"/>
        <v>146.50336262854705</v>
      </c>
      <c r="AP123" s="1289">
        <f t="shared" si="21"/>
        <v>-123.64331822942088</v>
      </c>
      <c r="AQ123" s="658">
        <f t="shared" si="35"/>
        <v>-382.5</v>
      </c>
      <c r="AR123" s="1237">
        <f t="shared" si="22"/>
        <v>-225</v>
      </c>
      <c r="AS123" s="1188">
        <f t="shared" si="23"/>
        <v>326.55452901143133</v>
      </c>
      <c r="AT123" s="1187">
        <f t="shared" si="24"/>
        <v>-146.50336262854705</v>
      </c>
      <c r="AU123" s="1236">
        <f t="shared" si="25"/>
        <v>22.860044399126167</v>
      </c>
      <c r="AV123" s="1187"/>
      <c r="AW123" s="1186">
        <f t="shared" si="26"/>
        <v>-209.24915432845418</v>
      </c>
      <c r="AX123" s="1186">
        <f t="shared" si="27"/>
        <v>-15.750845671545823</v>
      </c>
      <c r="AY123" s="1185">
        <f t="shared" si="28"/>
        <v>-55.436305285094313</v>
      </c>
      <c r="AZ123" s="1185">
        <f t="shared" si="29"/>
        <v>-634.88654568339621</v>
      </c>
      <c r="BA123" s="1184">
        <f t="shared" si="30"/>
        <v>55.436305285094313</v>
      </c>
      <c r="BB123" s="1184">
        <f t="shared" si="31"/>
        <v>634.88654568339621</v>
      </c>
      <c r="BC123" s="474">
        <f t="shared" si="36"/>
        <v>0.3</v>
      </c>
      <c r="BG123" s="524"/>
      <c r="BH123" s="524"/>
      <c r="BI123" s="1037">
        <v>16</v>
      </c>
      <c r="BJ123" s="1036">
        <f t="shared" si="41"/>
        <v>350</v>
      </c>
      <c r="BK123" s="1035">
        <f t="shared" si="42"/>
        <v>350</v>
      </c>
      <c r="BL123" s="1034">
        <f t="shared" si="37"/>
        <v>226.06545090169635</v>
      </c>
      <c r="BM123" s="1033">
        <f t="shared" si="38"/>
        <v>226.06545090169635</v>
      </c>
      <c r="BN123" s="1033">
        <f t="shared" si="43"/>
        <v>23.934549098303663</v>
      </c>
      <c r="BO123" s="1033" t="b">
        <f t="shared" si="39"/>
        <v>0</v>
      </c>
      <c r="BP123" s="473"/>
      <c r="CR123" s="524"/>
      <c r="CS123" s="524"/>
      <c r="CT123" s="524"/>
      <c r="CU123" s="524"/>
      <c r="CV123" s="524"/>
      <c r="CW123" s="524"/>
      <c r="CX123" s="524"/>
      <c r="CY123" s="478"/>
      <c r="CZ123" s="478"/>
      <c r="DA123" s="478"/>
      <c r="DB123" s="478"/>
      <c r="DC123" s="478"/>
      <c r="DD123" s="478"/>
      <c r="DE123" s="519"/>
      <c r="DF123" s="519"/>
      <c r="DG123" s="519"/>
      <c r="DH123" s="519"/>
      <c r="DI123" s="519"/>
      <c r="DJ123" s="519"/>
      <c r="DK123" s="519"/>
      <c r="DL123" s="519"/>
      <c r="DM123" s="519"/>
      <c r="DN123" s="519"/>
      <c r="DO123" s="519"/>
      <c r="DP123" s="519"/>
      <c r="DQ123" s="519"/>
      <c r="DR123" s="519"/>
      <c r="DS123" s="506"/>
    </row>
    <row r="124" spans="1:127" ht="21" customHeight="1" thickBot="1" x14ac:dyDescent="0.5">
      <c r="B124" s="631">
        <v>18</v>
      </c>
      <c r="C124" s="612"/>
      <c r="D124" s="1907">
        <v>0</v>
      </c>
      <c r="E124" s="632" t="s">
        <v>72</v>
      </c>
      <c r="F124" s="584">
        <f t="shared" si="3"/>
        <v>0.3</v>
      </c>
      <c r="G124" s="584">
        <f t="shared" si="32"/>
        <v>0.3</v>
      </c>
      <c r="H124" s="1199">
        <v>190.76</v>
      </c>
      <c r="I124" s="1198">
        <v>79.651040199999997</v>
      </c>
      <c r="J124" s="1197">
        <f t="shared" si="33"/>
        <v>79.651040199999997</v>
      </c>
      <c r="K124" s="1197">
        <f t="shared" si="4"/>
        <v>39.825520099999999</v>
      </c>
      <c r="L124" s="1197">
        <f t="shared" si="5"/>
        <v>0.64045183696587837</v>
      </c>
      <c r="M124" s="1197">
        <f t="shared" si="6"/>
        <v>122.17259241961095</v>
      </c>
      <c r="N124" s="1197">
        <f t="shared" si="7"/>
        <v>244.3451848392219</v>
      </c>
      <c r="O124" s="1197">
        <f>+C107+D108+D109+D110+D111+D112+D113+D114+D115+D116+D117+D118+D119+D120+D121+D122+D123+(D124/2)</f>
        <v>0</v>
      </c>
      <c r="P124" s="1197">
        <f t="shared" si="8"/>
        <v>0</v>
      </c>
      <c r="Q124" s="1197">
        <f t="shared" si="9"/>
        <v>0</v>
      </c>
      <c r="R124" s="1197">
        <f t="shared" si="34"/>
        <v>146.5</v>
      </c>
      <c r="S124" s="1197">
        <f t="shared" si="40"/>
        <v>146.5</v>
      </c>
      <c r="T124" s="1196">
        <f t="shared" si="10"/>
        <v>146.5</v>
      </c>
      <c r="U124" s="471"/>
      <c r="V124" s="1193">
        <f t="shared" si="11"/>
        <v>0</v>
      </c>
      <c r="W124" s="1193"/>
      <c r="X124" s="1193"/>
      <c r="Y124" s="1193"/>
      <c r="Z124" s="1193"/>
      <c r="AA124" s="1193"/>
      <c r="AB124" s="1195" t="str">
        <f t="shared" si="12"/>
        <v>pin in groundstacking hole</v>
      </c>
      <c r="AC124" s="1311" t="b">
        <f>IF(AD124=18,AF124)</f>
        <v>0</v>
      </c>
      <c r="AD124" s="1311">
        <f t="shared" si="13"/>
        <v>1</v>
      </c>
      <c r="AE124" s="1311">
        <f>IF(V124=0,0,18)</f>
        <v>0</v>
      </c>
      <c r="AF124" s="1193">
        <f>SUM(V124:V130)/($B$104-B123)</f>
        <v>0</v>
      </c>
      <c r="AG124" s="1193"/>
      <c r="AH124" s="1192">
        <f>SUM(D108:D124)+$C$107</f>
        <v>0</v>
      </c>
      <c r="AI124" s="1294" t="b">
        <f t="shared" si="14"/>
        <v>0</v>
      </c>
      <c r="AJ124" s="568">
        <f t="shared" si="15"/>
        <v>69.344714800000006</v>
      </c>
      <c r="AK124" s="1191">
        <f t="shared" si="16"/>
        <v>0.93571960494171247</v>
      </c>
      <c r="AL124" s="658">
        <f t="shared" si="17"/>
        <v>180.0511663828843</v>
      </c>
      <c r="AM124" s="568">
        <f t="shared" si="18"/>
        <v>50.174479900000001</v>
      </c>
      <c r="AN124" s="1190">
        <f t="shared" si="19"/>
        <v>0.76799833627881664</v>
      </c>
      <c r="AO124" s="658">
        <f t="shared" si="20"/>
        <v>146.50336262854705</v>
      </c>
      <c r="AP124" s="1289">
        <f t="shared" si="21"/>
        <v>-111.05687266115649</v>
      </c>
      <c r="AQ124" s="658">
        <f t="shared" si="35"/>
        <v>-408</v>
      </c>
      <c r="AR124" s="1237">
        <f t="shared" si="22"/>
        <v>-250.5</v>
      </c>
      <c r="AS124" s="1188">
        <f t="shared" si="23"/>
        <v>326.55452901143133</v>
      </c>
      <c r="AT124" s="1187">
        <f t="shared" si="24"/>
        <v>-146.50336262854705</v>
      </c>
      <c r="AU124" s="1236">
        <f t="shared" si="25"/>
        <v>35.446489967390562</v>
      </c>
      <c r="AV124" s="1187"/>
      <c r="AW124" s="1186">
        <f t="shared" si="26"/>
        <v>-223.30899528874548</v>
      </c>
      <c r="AX124" s="1186">
        <f t="shared" si="27"/>
        <v>-27.191004711254536</v>
      </c>
      <c r="AY124" s="1185">
        <f t="shared" si="28"/>
        <v>-51.945959386906196</v>
      </c>
      <c r="AZ124" s="1185">
        <f t="shared" si="29"/>
        <v>-367.76868329035796</v>
      </c>
      <c r="BA124" s="1184">
        <f t="shared" si="30"/>
        <v>51.945959386906196</v>
      </c>
      <c r="BB124" s="1184">
        <f t="shared" si="31"/>
        <v>367.76868329035796</v>
      </c>
      <c r="BC124" s="474">
        <f t="shared" si="36"/>
        <v>0.3</v>
      </c>
      <c r="BG124" s="524"/>
      <c r="BH124" s="524"/>
      <c r="BI124" s="1037">
        <v>17</v>
      </c>
      <c r="BJ124" s="1036">
        <f t="shared" si="41"/>
        <v>400</v>
      </c>
      <c r="BK124" s="1035">
        <f t="shared" si="42"/>
        <v>400</v>
      </c>
      <c r="BL124" s="1034">
        <f t="shared" si="37"/>
        <v>276.06545090169635</v>
      </c>
      <c r="BM124" s="1033">
        <f t="shared" si="38"/>
        <v>276.06545090169635</v>
      </c>
      <c r="BN124" s="1033">
        <f t="shared" si="43"/>
        <v>23.934549098303663</v>
      </c>
      <c r="BO124" s="1033" t="b">
        <f t="shared" si="39"/>
        <v>0</v>
      </c>
      <c r="BP124" s="473"/>
      <c r="CX124" s="640"/>
      <c r="CY124" s="478"/>
      <c r="CZ124" s="478"/>
      <c r="DA124" s="478"/>
      <c r="DB124" s="478"/>
      <c r="DC124" s="478"/>
      <c r="DD124" s="478"/>
      <c r="DE124" s="519"/>
      <c r="DF124" s="519"/>
      <c r="DG124" s="519"/>
      <c r="DH124" s="519"/>
      <c r="DI124" s="519"/>
      <c r="DJ124" s="519"/>
      <c r="DK124" s="519"/>
      <c r="DL124" s="519"/>
      <c r="DM124" s="519"/>
      <c r="DN124" s="519"/>
      <c r="DO124" s="519"/>
      <c r="DP124" s="519"/>
      <c r="DQ124" s="519"/>
      <c r="DR124" s="519"/>
      <c r="DS124" s="506"/>
    </row>
    <row r="125" spans="1:127" ht="21" customHeight="1" thickBot="1" x14ac:dyDescent="0.5">
      <c r="B125" s="1332">
        <v>19</v>
      </c>
      <c r="C125" s="1331"/>
      <c r="D125" s="1908">
        <v>0</v>
      </c>
      <c r="E125" s="1330" t="s">
        <v>72</v>
      </c>
      <c r="F125" s="1329">
        <f t="shared" si="3"/>
        <v>0.3</v>
      </c>
      <c r="G125" s="1329">
        <f t="shared" si="32"/>
        <v>0.3</v>
      </c>
      <c r="H125" s="1328">
        <v>190.76</v>
      </c>
      <c r="I125" s="1327">
        <v>79.651040199999997</v>
      </c>
      <c r="J125" s="1326">
        <f t="shared" si="33"/>
        <v>79.651040199999997</v>
      </c>
      <c r="K125" s="1326">
        <f t="shared" si="4"/>
        <v>39.825520099999999</v>
      </c>
      <c r="L125" s="1326">
        <f t="shared" si="5"/>
        <v>0.64045183696587837</v>
      </c>
      <c r="M125" s="1326">
        <f t="shared" si="6"/>
        <v>122.17259241961095</v>
      </c>
      <c r="N125" s="1326">
        <f t="shared" si="7"/>
        <v>244.3451848392219</v>
      </c>
      <c r="O125" s="1326">
        <f>+C107+D108+D109+D110+D111+D112+D113+D114+D115+D116+D117+D118+D119+D120+D121+D122+D123+D124+(D125/2)</f>
        <v>0</v>
      </c>
      <c r="P125" s="1326">
        <f t="shared" si="8"/>
        <v>0</v>
      </c>
      <c r="Q125" s="1326">
        <f t="shared" si="9"/>
        <v>0</v>
      </c>
      <c r="R125" s="1326">
        <f t="shared" si="34"/>
        <v>146.5</v>
      </c>
      <c r="S125" s="1326">
        <f t="shared" si="40"/>
        <v>146.5</v>
      </c>
      <c r="T125" s="1325">
        <f t="shared" si="10"/>
        <v>146.5</v>
      </c>
      <c r="U125" s="1324"/>
      <c r="V125" s="1323">
        <f t="shared" si="11"/>
        <v>0</v>
      </c>
      <c r="W125" s="1323"/>
      <c r="X125" s="1323"/>
      <c r="Y125" s="1323"/>
      <c r="Z125" s="1323"/>
      <c r="AA125" s="1323"/>
      <c r="AB125" s="1195" t="str">
        <f t="shared" si="12"/>
        <v>pin in groundstacking hole</v>
      </c>
      <c r="AC125" s="1311" t="b">
        <f>IF(AD125=19,AF125)</f>
        <v>0</v>
      </c>
      <c r="AD125" s="1311">
        <f t="shared" si="13"/>
        <v>1</v>
      </c>
      <c r="AE125" s="1311">
        <f>IF(V125=0,0,19)</f>
        <v>0</v>
      </c>
      <c r="AF125" s="1226">
        <f>SUM(V125:V130)/($B$104-B124)</f>
        <v>0</v>
      </c>
      <c r="AG125" s="1226"/>
      <c r="AH125" s="1969">
        <f>SUM(D107:D125)+$C$107</f>
        <v>0</v>
      </c>
      <c r="AI125" s="1970" t="b">
        <f t="shared" si="14"/>
        <v>0</v>
      </c>
      <c r="AJ125" s="568">
        <f t="shared" si="15"/>
        <v>69.344714800000006</v>
      </c>
      <c r="AK125" s="1310">
        <f t="shared" si="16"/>
        <v>0.93571960494171247</v>
      </c>
      <c r="AL125" s="568">
        <f t="shared" si="17"/>
        <v>180.0511663828843</v>
      </c>
      <c r="AM125" s="568">
        <f t="shared" si="18"/>
        <v>50.174479900000001</v>
      </c>
      <c r="AN125" s="1971">
        <f t="shared" si="19"/>
        <v>0.76799833627881664</v>
      </c>
      <c r="AO125" s="568">
        <f t="shared" si="20"/>
        <v>146.50336262854705</v>
      </c>
      <c r="AP125" s="1972">
        <f t="shared" si="21"/>
        <v>-100.7961833392018</v>
      </c>
      <c r="AQ125" s="568">
        <f t="shared" si="35"/>
        <v>-433.5</v>
      </c>
      <c r="AR125" s="1973">
        <f t="shared" si="22"/>
        <v>-276</v>
      </c>
      <c r="AS125" s="1974">
        <f t="shared" si="23"/>
        <v>326.55452901143133</v>
      </c>
      <c r="AT125" s="1226">
        <f t="shared" si="24"/>
        <v>-146.50336262854705</v>
      </c>
      <c r="AU125" s="1975">
        <f t="shared" si="25"/>
        <v>45.707179289345248</v>
      </c>
      <c r="AV125" s="1226"/>
      <c r="AW125" s="1976">
        <f t="shared" si="26"/>
        <v>-237.36883624903672</v>
      </c>
      <c r="AX125" s="1976">
        <f t="shared" si="27"/>
        <v>-38.631163750963267</v>
      </c>
      <c r="AY125" s="1185">
        <f t="shared" si="28"/>
        <v>-48.869094120804476</v>
      </c>
      <c r="AZ125" s="1185">
        <f t="shared" si="29"/>
        <v>-258.85836793489426</v>
      </c>
      <c r="BA125" s="1184">
        <f t="shared" si="30"/>
        <v>48.869094120804476</v>
      </c>
      <c r="BB125" s="1184">
        <f t="shared" si="31"/>
        <v>258.85836793489426</v>
      </c>
      <c r="BC125" s="474">
        <f t="shared" si="36"/>
        <v>0.3</v>
      </c>
      <c r="BG125" s="524"/>
      <c r="BH125" s="524"/>
      <c r="BI125" s="1037">
        <v>18</v>
      </c>
      <c r="BJ125" s="1036">
        <f t="shared" si="41"/>
        <v>450</v>
      </c>
      <c r="BK125" s="1035">
        <f t="shared" si="42"/>
        <v>450</v>
      </c>
      <c r="BL125" s="1034">
        <f t="shared" si="37"/>
        <v>326.06545090169635</v>
      </c>
      <c r="BM125" s="1033">
        <f t="shared" si="38"/>
        <v>326.06545090169635</v>
      </c>
      <c r="BN125" s="1033">
        <f t="shared" si="43"/>
        <v>23.934549098303663</v>
      </c>
      <c r="BO125" s="1033" t="b">
        <f t="shared" si="39"/>
        <v>0</v>
      </c>
      <c r="BP125" s="473"/>
      <c r="CX125" s="600"/>
      <c r="CY125" s="478"/>
      <c r="CZ125" s="478"/>
      <c r="DA125" s="478"/>
      <c r="DB125" s="478"/>
      <c r="DC125" s="478"/>
      <c r="DD125" s="478"/>
      <c r="DE125" s="519"/>
      <c r="DF125" s="519"/>
      <c r="DG125" s="519"/>
      <c r="DH125" s="519"/>
      <c r="DI125" s="519"/>
      <c r="DJ125" s="519"/>
      <c r="DK125" s="519"/>
      <c r="DL125" s="519"/>
      <c r="DM125" s="519"/>
      <c r="DN125" s="519"/>
      <c r="DO125" s="519"/>
      <c r="DP125" s="519"/>
      <c r="DQ125" s="519"/>
      <c r="DR125" s="519"/>
      <c r="DS125" s="506"/>
    </row>
    <row r="126" spans="1:127" ht="21" customHeight="1" thickBot="1" x14ac:dyDescent="0.5">
      <c r="B126" s="631">
        <v>20</v>
      </c>
      <c r="C126" s="612"/>
      <c r="D126" s="1907">
        <v>0</v>
      </c>
      <c r="E126" s="632" t="s">
        <v>72</v>
      </c>
      <c r="F126" s="584">
        <f t="shared" si="3"/>
        <v>0.3</v>
      </c>
      <c r="G126" s="584">
        <f t="shared" si="32"/>
        <v>0.3</v>
      </c>
      <c r="H126" s="1199">
        <v>190.76</v>
      </c>
      <c r="I126" s="1198">
        <v>79.651040199999997</v>
      </c>
      <c r="J126" s="1197">
        <f t="shared" si="33"/>
        <v>79.651040199999997</v>
      </c>
      <c r="K126" s="1197">
        <f t="shared" si="4"/>
        <v>39.825520099999999</v>
      </c>
      <c r="L126" s="1197">
        <f t="shared" si="5"/>
        <v>0.64045183696587837</v>
      </c>
      <c r="M126" s="1197">
        <f t="shared" si="6"/>
        <v>122.17259241961095</v>
      </c>
      <c r="N126" s="1197">
        <f t="shared" si="7"/>
        <v>244.3451848392219</v>
      </c>
      <c r="O126" s="1197">
        <f>+C107+D108+D109+D110+D111+D112+D113+D114+D115+D116+D117+D118+D119+D120+D121+D122+D123+D124+D125+(D126/2)</f>
        <v>0</v>
      </c>
      <c r="P126" s="1197">
        <f t="shared" si="8"/>
        <v>0</v>
      </c>
      <c r="Q126" s="1197">
        <f t="shared" si="9"/>
        <v>0</v>
      </c>
      <c r="R126" s="1197">
        <f t="shared" si="34"/>
        <v>146.5</v>
      </c>
      <c r="S126" s="1197">
        <f t="shared" si="40"/>
        <v>146.5</v>
      </c>
      <c r="T126" s="1196">
        <f t="shared" si="10"/>
        <v>146.5</v>
      </c>
      <c r="U126" s="471"/>
      <c r="V126" s="1193">
        <f t="shared" si="11"/>
        <v>0</v>
      </c>
      <c r="W126" s="1193"/>
      <c r="X126" s="1193"/>
      <c r="Y126" s="1193"/>
      <c r="Z126" s="1193"/>
      <c r="AA126" s="1193"/>
      <c r="AB126" s="1195" t="str">
        <f t="shared" si="12"/>
        <v>pin in groundstacking hole</v>
      </c>
      <c r="AC126" s="1311" t="b">
        <f>IF(AD126=20,AF126)</f>
        <v>0</v>
      </c>
      <c r="AD126" s="1311">
        <f t="shared" si="13"/>
        <v>1</v>
      </c>
      <c r="AE126" s="1311">
        <f>IF(V126=0,0,20)</f>
        <v>0</v>
      </c>
      <c r="AF126" s="1193">
        <f>SUM(V126:V130)/($B$104-B125)</f>
        <v>0</v>
      </c>
      <c r="AG126" s="1193"/>
      <c r="AH126" s="1192">
        <f>SUM(D108:D126)+$C$107</f>
        <v>0</v>
      </c>
      <c r="AI126" s="1294" t="b">
        <f t="shared" si="14"/>
        <v>0</v>
      </c>
      <c r="AJ126" s="568">
        <f t="shared" si="15"/>
        <v>69.344714800000006</v>
      </c>
      <c r="AK126" s="1191">
        <f t="shared" si="16"/>
        <v>0.93571960494171247</v>
      </c>
      <c r="AL126" s="658">
        <f t="shared" si="17"/>
        <v>180.0511663828843</v>
      </c>
      <c r="AM126" s="568">
        <f t="shared" si="18"/>
        <v>50.174479900000001</v>
      </c>
      <c r="AN126" s="1190">
        <f t="shared" si="19"/>
        <v>0.76799833627881664</v>
      </c>
      <c r="AO126" s="658">
        <f t="shared" si="20"/>
        <v>146.50336262854705</v>
      </c>
      <c r="AP126" s="1289">
        <f t="shared" si="21"/>
        <v>-92.271133007030514</v>
      </c>
      <c r="AQ126" s="658">
        <f t="shared" si="35"/>
        <v>-459</v>
      </c>
      <c r="AR126" s="1237">
        <f t="shared" si="22"/>
        <v>-301.5</v>
      </c>
      <c r="AS126" s="1188">
        <f t="shared" si="23"/>
        <v>326.55452901143133</v>
      </c>
      <c r="AT126" s="1187">
        <f t="shared" si="24"/>
        <v>-146.50336262854705</v>
      </c>
      <c r="AU126" s="1236">
        <f t="shared" si="25"/>
        <v>54.232229621516538</v>
      </c>
      <c r="AV126" s="1187"/>
      <c r="AW126" s="1186">
        <f t="shared" si="26"/>
        <v>-251.42867720932801</v>
      </c>
      <c r="AX126" s="1186">
        <f t="shared" si="27"/>
        <v>-50.071322790671978</v>
      </c>
      <c r="AY126" s="1185">
        <f t="shared" si="28"/>
        <v>-46.136344225930799</v>
      </c>
      <c r="AZ126" s="1185">
        <f t="shared" si="29"/>
        <v>-199.71511521287286</v>
      </c>
      <c r="BA126" s="1184">
        <f t="shared" si="30"/>
        <v>46.136344225930799</v>
      </c>
      <c r="BB126" s="1184">
        <f t="shared" si="31"/>
        <v>199.71511521287286</v>
      </c>
      <c r="BC126" s="474">
        <f t="shared" si="36"/>
        <v>0.3</v>
      </c>
      <c r="BG126" s="524"/>
      <c r="BH126" s="524"/>
      <c r="BI126" s="1037">
        <v>19</v>
      </c>
      <c r="BJ126" s="1036">
        <f t="shared" si="41"/>
        <v>500</v>
      </c>
      <c r="BK126" s="1035">
        <f t="shared" si="42"/>
        <v>500</v>
      </c>
      <c r="BL126" s="1034">
        <f t="shared" si="37"/>
        <v>376.06545090169635</v>
      </c>
      <c r="BM126" s="1033">
        <f t="shared" si="38"/>
        <v>376.06545090169635</v>
      </c>
      <c r="BN126" s="1033">
        <f t="shared" si="43"/>
        <v>23.934549098303663</v>
      </c>
      <c r="BO126" s="1033" t="b">
        <f t="shared" si="39"/>
        <v>0</v>
      </c>
      <c r="BP126" s="473"/>
      <c r="CX126" s="600"/>
      <c r="CY126" s="478"/>
      <c r="CZ126" s="478"/>
      <c r="DA126" s="478"/>
      <c r="DB126" s="478"/>
      <c r="DC126" s="478"/>
      <c r="DD126" s="478"/>
      <c r="DE126" s="519"/>
      <c r="DF126" s="519"/>
      <c r="DG126" s="519"/>
      <c r="DH126" s="519"/>
      <c r="DI126" s="519"/>
      <c r="DJ126" s="519"/>
      <c r="DK126" s="519"/>
      <c r="DL126" s="519"/>
      <c r="DM126" s="519"/>
      <c r="DN126" s="519"/>
      <c r="DO126" s="519"/>
      <c r="DP126" s="519"/>
      <c r="DQ126" s="519"/>
      <c r="DR126" s="519"/>
      <c r="DS126" s="506"/>
    </row>
    <row r="127" spans="1:127" ht="21" customHeight="1" thickBot="1" x14ac:dyDescent="0.5">
      <c r="B127" s="631">
        <v>21</v>
      </c>
      <c r="C127" s="612"/>
      <c r="D127" s="1907">
        <v>0</v>
      </c>
      <c r="E127" s="632" t="s">
        <v>72</v>
      </c>
      <c r="F127" s="584">
        <f t="shared" si="3"/>
        <v>0.3</v>
      </c>
      <c r="G127" s="584">
        <f t="shared" si="32"/>
        <v>0.3</v>
      </c>
      <c r="H127" s="1199">
        <v>190.76</v>
      </c>
      <c r="I127" s="1198">
        <v>79.651040199999997</v>
      </c>
      <c r="J127" s="1197">
        <f t="shared" si="33"/>
        <v>79.651040199999997</v>
      </c>
      <c r="K127" s="1197">
        <f t="shared" si="4"/>
        <v>39.825520099999999</v>
      </c>
      <c r="L127" s="1197">
        <f t="shared" si="5"/>
        <v>0.64045183696587837</v>
      </c>
      <c r="M127" s="1197">
        <f t="shared" si="6"/>
        <v>122.17259241961095</v>
      </c>
      <c r="N127" s="1197">
        <f t="shared" si="7"/>
        <v>244.3451848392219</v>
      </c>
      <c r="O127" s="1197">
        <f>+C107+D108+D109+D110+D111+D112+D113+D114+D115+D116+D117+D118+D119+D120+D121+D122+D123+D124+D125+D126+(D127/2)</f>
        <v>0</v>
      </c>
      <c r="P127" s="1197">
        <f t="shared" si="8"/>
        <v>0</v>
      </c>
      <c r="Q127" s="1197">
        <f t="shared" si="9"/>
        <v>0</v>
      </c>
      <c r="R127" s="1197">
        <f t="shared" si="34"/>
        <v>146.5</v>
      </c>
      <c r="S127" s="1197">
        <f t="shared" si="40"/>
        <v>146.5</v>
      </c>
      <c r="T127" s="1196">
        <f t="shared" si="10"/>
        <v>146.5</v>
      </c>
      <c r="U127" s="471"/>
      <c r="V127" s="1193">
        <f t="shared" si="11"/>
        <v>0</v>
      </c>
      <c r="W127" s="1193"/>
      <c r="X127" s="1193"/>
      <c r="Y127" s="1193"/>
      <c r="Z127" s="1193"/>
      <c r="AA127" s="1193"/>
      <c r="AB127" s="1195" t="str">
        <f t="shared" si="12"/>
        <v>pin in groundstacking hole</v>
      </c>
      <c r="AC127" s="1311" t="b">
        <f>IF(AD127=21,AF127)</f>
        <v>0</v>
      </c>
      <c r="AD127" s="1311">
        <f t="shared" si="13"/>
        <v>1</v>
      </c>
      <c r="AE127" s="1311">
        <f>IF(V127=0,0,21)</f>
        <v>0</v>
      </c>
      <c r="AF127" s="1193">
        <f>SUM(V127:V130)/($B$104-B126)</f>
        <v>0</v>
      </c>
      <c r="AG127" s="1193"/>
      <c r="AH127" s="1192">
        <f>SUM(D108:D127)+$C$107</f>
        <v>0</v>
      </c>
      <c r="AI127" s="1294" t="b">
        <f t="shared" si="14"/>
        <v>0</v>
      </c>
      <c r="AJ127" s="568">
        <f t="shared" si="15"/>
        <v>69.344714800000006</v>
      </c>
      <c r="AK127" s="1191">
        <f t="shared" si="16"/>
        <v>0.93571960494171247</v>
      </c>
      <c r="AL127" s="658">
        <f t="shared" si="17"/>
        <v>180.0511663828843</v>
      </c>
      <c r="AM127" s="568">
        <f t="shared" si="18"/>
        <v>50.174479900000001</v>
      </c>
      <c r="AN127" s="1190">
        <f t="shared" si="19"/>
        <v>0.76799833627881664</v>
      </c>
      <c r="AO127" s="658">
        <f t="shared" si="20"/>
        <v>146.50336262854705</v>
      </c>
      <c r="AP127" s="1289">
        <f t="shared" si="21"/>
        <v>-85.075677680794186</v>
      </c>
      <c r="AQ127" s="658">
        <f t="shared" si="35"/>
        <v>-484.5</v>
      </c>
      <c r="AR127" s="1237">
        <f t="shared" si="22"/>
        <v>-327</v>
      </c>
      <c r="AS127" s="1188">
        <f t="shared" si="23"/>
        <v>326.55452901143133</v>
      </c>
      <c r="AT127" s="1187">
        <f t="shared" si="24"/>
        <v>-146.50336262854705</v>
      </c>
      <c r="AU127" s="1236">
        <f t="shared" si="25"/>
        <v>61.427684947752866</v>
      </c>
      <c r="AV127" s="1187"/>
      <c r="AW127" s="1186">
        <f t="shared" si="26"/>
        <v>-265.48851816961928</v>
      </c>
      <c r="AX127" s="1186">
        <f t="shared" si="27"/>
        <v>-61.51148183038071</v>
      </c>
      <c r="AY127" s="1185">
        <f t="shared" si="28"/>
        <v>-43.693038327890392</v>
      </c>
      <c r="AZ127" s="1185">
        <f t="shared" si="29"/>
        <v>-162.57127453985296</v>
      </c>
      <c r="BA127" s="1184">
        <f t="shared" si="30"/>
        <v>43.693038327890392</v>
      </c>
      <c r="BB127" s="1184">
        <f t="shared" si="31"/>
        <v>162.57127453985296</v>
      </c>
      <c r="BC127" s="474">
        <f t="shared" si="36"/>
        <v>0.3</v>
      </c>
      <c r="BG127" s="524"/>
      <c r="BH127" s="524"/>
      <c r="BI127" s="1037">
        <v>20</v>
      </c>
      <c r="BJ127" s="1036">
        <f t="shared" si="41"/>
        <v>550</v>
      </c>
      <c r="BK127" s="1035">
        <f t="shared" si="42"/>
        <v>550</v>
      </c>
      <c r="BL127" s="1034">
        <f t="shared" si="37"/>
        <v>426.06545090169635</v>
      </c>
      <c r="BM127" s="1033">
        <f t="shared" si="38"/>
        <v>426.06545090169635</v>
      </c>
      <c r="BN127" s="1033">
        <f t="shared" si="43"/>
        <v>23.934549098303663</v>
      </c>
      <c r="BO127" s="1033" t="b">
        <f t="shared" si="39"/>
        <v>0</v>
      </c>
      <c r="BP127" s="473"/>
      <c r="DR127" s="521"/>
      <c r="DS127" s="521"/>
      <c r="DT127" s="521"/>
      <c r="DU127" s="521"/>
      <c r="DV127" s="521"/>
      <c r="DW127" s="521"/>
    </row>
    <row r="128" spans="1:127" ht="21" customHeight="1" thickBot="1" x14ac:dyDescent="0.5">
      <c r="B128" s="631">
        <v>22</v>
      </c>
      <c r="C128" s="612"/>
      <c r="D128" s="1907">
        <v>0</v>
      </c>
      <c r="E128" s="632" t="s">
        <v>72</v>
      </c>
      <c r="F128" s="584">
        <f t="shared" si="3"/>
        <v>0.3</v>
      </c>
      <c r="G128" s="584">
        <f t="shared" si="32"/>
        <v>0.3</v>
      </c>
      <c r="H128" s="1199">
        <v>190.76</v>
      </c>
      <c r="I128" s="1198">
        <v>79.651040199999997</v>
      </c>
      <c r="J128" s="1197">
        <f t="shared" si="33"/>
        <v>79.651040199999997</v>
      </c>
      <c r="K128" s="1197">
        <f t="shared" si="4"/>
        <v>39.825520099999999</v>
      </c>
      <c r="L128" s="1197">
        <f t="shared" si="5"/>
        <v>0.64045183696587837</v>
      </c>
      <c r="M128" s="1197">
        <f t="shared" si="6"/>
        <v>122.17259241961095</v>
      </c>
      <c r="N128" s="1197">
        <f t="shared" si="7"/>
        <v>244.3451848392219</v>
      </c>
      <c r="O128" s="1197">
        <f>+C107+D108+D109+D110+D111+D112+D113+D114+D115+D116+D117+D118+D119+D120+D121+D122+D123+D124+D125+D126+D127+(D128/2)</f>
        <v>0</v>
      </c>
      <c r="P128" s="1197">
        <f t="shared" si="8"/>
        <v>0</v>
      </c>
      <c r="Q128" s="1197">
        <f t="shared" si="9"/>
        <v>0</v>
      </c>
      <c r="R128" s="1197">
        <f t="shared" si="34"/>
        <v>146.5</v>
      </c>
      <c r="S128" s="1197">
        <f t="shared" si="40"/>
        <v>146.5</v>
      </c>
      <c r="T128" s="1196">
        <f t="shared" si="10"/>
        <v>146.5</v>
      </c>
      <c r="U128" s="471"/>
      <c r="V128" s="1193">
        <f t="shared" si="11"/>
        <v>0</v>
      </c>
      <c r="W128" s="1193"/>
      <c r="X128" s="1193"/>
      <c r="Y128" s="1193"/>
      <c r="Z128" s="1193"/>
      <c r="AA128" s="1193"/>
      <c r="AB128" s="1195" t="str">
        <f t="shared" si="12"/>
        <v>pin in groundstacking hole</v>
      </c>
      <c r="AC128" s="1311" t="b">
        <f>IF(AD128=22,AF128)</f>
        <v>0</v>
      </c>
      <c r="AD128" s="1311">
        <f t="shared" si="13"/>
        <v>1</v>
      </c>
      <c r="AE128" s="1311">
        <f>IF(V128=0,0,22)</f>
        <v>0</v>
      </c>
      <c r="AF128" s="1193">
        <f>SUM(V128:V130)/($B$104-B127)</f>
        <v>0</v>
      </c>
      <c r="AG128" s="1193"/>
      <c r="AH128" s="1192">
        <f>SUM(D108:D128)+$C$107</f>
        <v>0</v>
      </c>
      <c r="AI128" s="1294" t="b">
        <f t="shared" si="14"/>
        <v>0</v>
      </c>
      <c r="AJ128" s="568">
        <f t="shared" si="15"/>
        <v>69.344714800000006</v>
      </c>
      <c r="AK128" s="1191">
        <f t="shared" si="16"/>
        <v>0.93571960494171247</v>
      </c>
      <c r="AL128" s="658">
        <f t="shared" si="17"/>
        <v>180.0511663828843</v>
      </c>
      <c r="AM128" s="568">
        <f t="shared" si="18"/>
        <v>50.174479900000001</v>
      </c>
      <c r="AN128" s="1190">
        <f t="shared" si="19"/>
        <v>0.76799833627881664</v>
      </c>
      <c r="AO128" s="658">
        <f t="shared" si="20"/>
        <v>146.50336262854705</v>
      </c>
      <c r="AP128" s="1289">
        <f t="shared" si="21"/>
        <v>-78.921266954949502</v>
      </c>
      <c r="AQ128" s="658">
        <f t="shared" si="35"/>
        <v>-510</v>
      </c>
      <c r="AR128" s="1237">
        <f t="shared" si="22"/>
        <v>-352.5</v>
      </c>
      <c r="AS128" s="1188">
        <f t="shared" si="23"/>
        <v>326.55452901143133</v>
      </c>
      <c r="AT128" s="1187">
        <f t="shared" si="24"/>
        <v>-146.50336262854705</v>
      </c>
      <c r="AU128" s="1236">
        <f t="shared" si="25"/>
        <v>67.58209567359755</v>
      </c>
      <c r="AV128" s="1187"/>
      <c r="AW128" s="1186">
        <f t="shared" si="26"/>
        <v>-279.54835912991052</v>
      </c>
      <c r="AX128" s="1186">
        <f t="shared" si="27"/>
        <v>-72.95164087008942</v>
      </c>
      <c r="AY128" s="1185">
        <f t="shared" si="28"/>
        <v>-41.495503805154861</v>
      </c>
      <c r="AZ128" s="1185">
        <f t="shared" si="29"/>
        <v>-137.07710862607965</v>
      </c>
      <c r="BA128" s="1184">
        <f t="shared" si="30"/>
        <v>41.495503805154861</v>
      </c>
      <c r="BB128" s="1184">
        <f t="shared" si="31"/>
        <v>137.07710862607965</v>
      </c>
      <c r="BC128" s="474">
        <f t="shared" si="36"/>
        <v>0.3</v>
      </c>
      <c r="BG128" s="524"/>
      <c r="BH128" s="524"/>
      <c r="BI128" s="1037">
        <v>21</v>
      </c>
      <c r="BJ128" s="1036">
        <f t="shared" si="41"/>
        <v>600</v>
      </c>
      <c r="BK128" s="1035">
        <f t="shared" si="42"/>
        <v>600</v>
      </c>
      <c r="BL128" s="1034">
        <f t="shared" si="37"/>
        <v>476.06545090169635</v>
      </c>
      <c r="BM128" s="1033">
        <f t="shared" si="38"/>
        <v>476.06545090169635</v>
      </c>
      <c r="BN128" s="1033">
        <f t="shared" si="43"/>
        <v>23.934549098303663</v>
      </c>
      <c r="BO128" s="1033" t="b">
        <f t="shared" si="39"/>
        <v>0</v>
      </c>
      <c r="BP128" s="473"/>
    </row>
    <row r="129" spans="2:135" ht="21" customHeight="1" thickBot="1" x14ac:dyDescent="0.5">
      <c r="B129" s="631">
        <v>23</v>
      </c>
      <c r="C129" s="612"/>
      <c r="D129" s="1907">
        <v>0</v>
      </c>
      <c r="E129" s="632" t="s">
        <v>72</v>
      </c>
      <c r="F129" s="584">
        <f t="shared" si="3"/>
        <v>0.3</v>
      </c>
      <c r="G129" s="584">
        <f t="shared" si="32"/>
        <v>0.3</v>
      </c>
      <c r="H129" s="1199">
        <v>190.76</v>
      </c>
      <c r="I129" s="1198">
        <v>79.651040199999997</v>
      </c>
      <c r="J129" s="1197">
        <f t="shared" si="33"/>
        <v>79.651040199999997</v>
      </c>
      <c r="K129" s="1197">
        <f t="shared" si="4"/>
        <v>39.825520099999999</v>
      </c>
      <c r="L129" s="1197">
        <f t="shared" si="5"/>
        <v>0.64045183696587837</v>
      </c>
      <c r="M129" s="1197">
        <f t="shared" si="6"/>
        <v>122.17259241961095</v>
      </c>
      <c r="N129" s="1197">
        <f t="shared" si="7"/>
        <v>244.3451848392219</v>
      </c>
      <c r="O129" s="1197">
        <f>+C107+D108+D109+D110+D111+D112+D113+D114+D115+D116+D117+D118+D119+D120+D121+D122+D123+D124+D125+D126+D127+D128+(D129/2)</f>
        <v>0</v>
      </c>
      <c r="P129" s="1197">
        <f t="shared" si="8"/>
        <v>0</v>
      </c>
      <c r="Q129" s="1197">
        <f t="shared" si="9"/>
        <v>0</v>
      </c>
      <c r="R129" s="1197">
        <f t="shared" si="34"/>
        <v>146.5</v>
      </c>
      <c r="S129" s="1197">
        <f t="shared" si="40"/>
        <v>146.5</v>
      </c>
      <c r="T129" s="1196">
        <f t="shared" si="10"/>
        <v>146.5</v>
      </c>
      <c r="U129" s="471"/>
      <c r="V129" s="1193">
        <f t="shared" si="11"/>
        <v>0</v>
      </c>
      <c r="W129" s="1193"/>
      <c r="X129" s="1193"/>
      <c r="Y129" s="1193"/>
      <c r="Z129" s="1193"/>
      <c r="AA129" s="1193"/>
      <c r="AB129" s="1195" t="str">
        <f t="shared" si="12"/>
        <v>pin in groundstacking hole</v>
      </c>
      <c r="AC129" s="1311" t="b">
        <f>IF(AD129=23,AF129)</f>
        <v>0</v>
      </c>
      <c r="AD129" s="1311">
        <f t="shared" si="13"/>
        <v>1</v>
      </c>
      <c r="AE129" s="1311">
        <f>IF(V129=0,0,23)</f>
        <v>0</v>
      </c>
      <c r="AF129" s="1193">
        <f>SUM(V129:V130)/($B$104-B128)</f>
        <v>0</v>
      </c>
      <c r="AG129" s="1193"/>
      <c r="AH129" s="1192">
        <f>SUM(D108:D129)+$C$107</f>
        <v>0</v>
      </c>
      <c r="AI129" s="1294" t="b">
        <f t="shared" si="14"/>
        <v>0</v>
      </c>
      <c r="AJ129" s="568">
        <f t="shared" si="15"/>
        <v>69.344714800000006</v>
      </c>
      <c r="AK129" s="1191">
        <f t="shared" si="16"/>
        <v>0.93571960494171247</v>
      </c>
      <c r="AL129" s="658">
        <f t="shared" si="17"/>
        <v>180.0511663828843</v>
      </c>
      <c r="AM129" s="568">
        <f t="shared" si="18"/>
        <v>50.174479900000001</v>
      </c>
      <c r="AN129" s="1190">
        <f t="shared" si="19"/>
        <v>0.76799833627881664</v>
      </c>
      <c r="AO129" s="658">
        <f t="shared" si="20"/>
        <v>146.50336262854705</v>
      </c>
      <c r="AP129" s="1289">
        <f t="shared" si="21"/>
        <v>-73.59721323179815</v>
      </c>
      <c r="AQ129" s="658">
        <f t="shared" si="35"/>
        <v>-535.5</v>
      </c>
      <c r="AR129" s="1237">
        <f t="shared" si="22"/>
        <v>-378</v>
      </c>
      <c r="AS129" s="1188">
        <f t="shared" si="23"/>
        <v>326.55452901143133</v>
      </c>
      <c r="AT129" s="1187">
        <f t="shared" si="24"/>
        <v>-146.50336262854705</v>
      </c>
      <c r="AU129" s="1236">
        <f t="shared" si="25"/>
        <v>72.906149396748901</v>
      </c>
      <c r="AV129" s="1187"/>
      <c r="AW129" s="1186">
        <f t="shared" si="26"/>
        <v>-293.60820009020188</v>
      </c>
      <c r="AX129" s="1186">
        <f t="shared" si="27"/>
        <v>-84.391799909798138</v>
      </c>
      <c r="AY129" s="1185">
        <f t="shared" si="28"/>
        <v>-39.508433335432272</v>
      </c>
      <c r="AZ129" s="1185">
        <f t="shared" si="29"/>
        <v>-118.494924989021</v>
      </c>
      <c r="BA129" s="1184">
        <f t="shared" si="30"/>
        <v>39.508433335432272</v>
      </c>
      <c r="BB129" s="1184">
        <f t="shared" si="31"/>
        <v>118.494924989021</v>
      </c>
      <c r="BC129" s="474">
        <f t="shared" si="36"/>
        <v>0.3</v>
      </c>
      <c r="BG129" s="524"/>
      <c r="BH129" s="524"/>
      <c r="BI129" s="1037">
        <v>22</v>
      </c>
      <c r="BJ129" s="1036">
        <f t="shared" si="41"/>
        <v>650</v>
      </c>
      <c r="BK129" s="1035">
        <f t="shared" si="42"/>
        <v>650</v>
      </c>
      <c r="BL129" s="1034">
        <f t="shared" si="37"/>
        <v>526.06545090169629</v>
      </c>
      <c r="BM129" s="1033">
        <f t="shared" si="38"/>
        <v>526.06545090169629</v>
      </c>
      <c r="BN129" s="1033">
        <f t="shared" si="43"/>
        <v>23.934549098303663</v>
      </c>
      <c r="BO129" s="1033" t="b">
        <f t="shared" si="39"/>
        <v>0</v>
      </c>
      <c r="BP129" s="473"/>
      <c r="CX129" s="647"/>
    </row>
    <row r="130" spans="2:135" ht="21" customHeight="1" thickBot="1" x14ac:dyDescent="0.5">
      <c r="B130" s="631">
        <v>24</v>
      </c>
      <c r="C130" s="612"/>
      <c r="D130" s="1907">
        <v>0</v>
      </c>
      <c r="E130" s="632" t="s">
        <v>72</v>
      </c>
      <c r="F130" s="584">
        <f t="shared" si="3"/>
        <v>0.3</v>
      </c>
      <c r="G130" s="584">
        <f t="shared" si="32"/>
        <v>0.3</v>
      </c>
      <c r="H130" s="1199">
        <v>190.76</v>
      </c>
      <c r="I130" s="1198">
        <v>79.651040199999997</v>
      </c>
      <c r="J130" s="1197">
        <f t="shared" si="33"/>
        <v>79.651040199999997</v>
      </c>
      <c r="K130" s="1197">
        <f t="shared" si="4"/>
        <v>39.825520099999999</v>
      </c>
      <c r="L130" s="1197">
        <f t="shared" si="5"/>
        <v>0.64045183696587837</v>
      </c>
      <c r="M130" s="1197">
        <f t="shared" si="6"/>
        <v>122.17259241961095</v>
      </c>
      <c r="N130" s="1197">
        <f t="shared" si="7"/>
        <v>244.3451848392219</v>
      </c>
      <c r="O130" s="1197">
        <f>+SUM(D108:D129)+(D130/2)+C107</f>
        <v>0</v>
      </c>
      <c r="P130" s="1197">
        <f t="shared" si="8"/>
        <v>0</v>
      </c>
      <c r="Q130" s="1197">
        <f t="shared" si="9"/>
        <v>0</v>
      </c>
      <c r="R130" s="1197">
        <f t="shared" si="34"/>
        <v>146.5</v>
      </c>
      <c r="S130" s="1197">
        <f t="shared" si="40"/>
        <v>146.5</v>
      </c>
      <c r="T130" s="1196">
        <f t="shared" si="10"/>
        <v>146.5</v>
      </c>
      <c r="U130" s="471"/>
      <c r="V130" s="1193">
        <f t="shared" si="11"/>
        <v>0</v>
      </c>
      <c r="W130" s="1193"/>
      <c r="X130" s="1193"/>
      <c r="Y130" s="1193"/>
      <c r="Z130" s="1193"/>
      <c r="AA130" s="1193"/>
      <c r="AB130" s="1195" t="str">
        <f t="shared" si="12"/>
        <v>pin in groundstacking hole</v>
      </c>
      <c r="AC130" s="1311" t="b">
        <f>IF(AD130=24,AF130)</f>
        <v>0</v>
      </c>
      <c r="AD130" s="1311">
        <f t="shared" si="13"/>
        <v>1</v>
      </c>
      <c r="AE130" s="1311">
        <f>IF(V130=0,0,24)</f>
        <v>0</v>
      </c>
      <c r="AF130" s="1193">
        <f>SUM(V130)/($B$104-B129)</f>
        <v>0</v>
      </c>
      <c r="AG130" s="1193"/>
      <c r="AH130" s="1192">
        <f>SUM(D108:D130)+$C$107</f>
        <v>0</v>
      </c>
      <c r="AI130" s="1294" t="b">
        <f t="shared" si="14"/>
        <v>0</v>
      </c>
      <c r="AJ130" s="568">
        <f t="shared" si="15"/>
        <v>69.344714800000006</v>
      </c>
      <c r="AK130" s="1191">
        <f t="shared" si="16"/>
        <v>0.93571960494171247</v>
      </c>
      <c r="AL130" s="658">
        <f t="shared" si="17"/>
        <v>180.0511663828843</v>
      </c>
      <c r="AM130" s="568">
        <f t="shared" si="18"/>
        <v>50.174479900000001</v>
      </c>
      <c r="AN130" s="1190">
        <f t="shared" si="19"/>
        <v>0.76799833627881664</v>
      </c>
      <c r="AO130" s="658">
        <f t="shared" si="20"/>
        <v>146.50336262854705</v>
      </c>
      <c r="AP130" s="1289">
        <f t="shared" si="21"/>
        <v>-68.946088232019079</v>
      </c>
      <c r="AQ130" s="658">
        <f t="shared" si="35"/>
        <v>-561</v>
      </c>
      <c r="AR130" s="1237">
        <f t="shared" si="22"/>
        <v>-403.5</v>
      </c>
      <c r="AS130" s="1188">
        <f t="shared" si="23"/>
        <v>326.55452901143133</v>
      </c>
      <c r="AT130" s="1187">
        <f t="shared" si="24"/>
        <v>-146.50336262854705</v>
      </c>
      <c r="AU130" s="1236">
        <f t="shared" si="25"/>
        <v>77.557274396527973</v>
      </c>
      <c r="AV130" s="1187"/>
      <c r="AW130" s="1186">
        <f t="shared" si="26"/>
        <v>-307.66804105049312</v>
      </c>
      <c r="AX130" s="1186">
        <f t="shared" si="27"/>
        <v>-95.83195894950687</v>
      </c>
      <c r="AY130" s="1185">
        <f t="shared" si="28"/>
        <v>-37.7029735047985</v>
      </c>
      <c r="AZ130" s="1185">
        <f t="shared" si="29"/>
        <v>-104.34932260196125</v>
      </c>
      <c r="BA130" s="1184">
        <f t="shared" si="30"/>
        <v>37.7029735047985</v>
      </c>
      <c r="BB130" s="1184">
        <f t="shared" si="31"/>
        <v>104.34932260196125</v>
      </c>
      <c r="BC130" s="474">
        <f t="shared" si="36"/>
        <v>0.3</v>
      </c>
      <c r="BG130" s="524"/>
      <c r="BH130" s="524"/>
      <c r="BI130" s="1037">
        <v>23</v>
      </c>
      <c r="BJ130" s="1036">
        <f t="shared" si="41"/>
        <v>700</v>
      </c>
      <c r="BK130" s="1035">
        <f t="shared" si="42"/>
        <v>700</v>
      </c>
      <c r="BL130" s="1034">
        <f t="shared" si="37"/>
        <v>576.06545090169629</v>
      </c>
      <c r="BM130" s="1033">
        <f t="shared" si="38"/>
        <v>576.06545090169629</v>
      </c>
      <c r="BN130" s="1033">
        <f t="shared" si="43"/>
        <v>23.934549098303663</v>
      </c>
      <c r="BO130" s="1033" t="b">
        <f t="shared" si="39"/>
        <v>0</v>
      </c>
      <c r="BP130" s="473"/>
      <c r="CX130" s="647"/>
    </row>
    <row r="131" spans="2:135" s="516" customFormat="1" ht="21" customHeight="1" thickBot="1" x14ac:dyDescent="0.5">
      <c r="B131" s="536"/>
      <c r="C131" s="536"/>
      <c r="D131" s="1319"/>
      <c r="E131" s="1319"/>
      <c r="F131" s="1319"/>
      <c r="G131" s="1319"/>
      <c r="H131" s="1214"/>
      <c r="I131" s="1214"/>
      <c r="J131" s="1214"/>
      <c r="K131" s="1214"/>
      <c r="L131" s="1214"/>
      <c r="M131" s="1214"/>
      <c r="N131" s="1214"/>
      <c r="O131" s="1214"/>
      <c r="P131" s="1214"/>
      <c r="Q131" s="1214"/>
      <c r="R131" s="1214"/>
      <c r="S131" s="1214"/>
      <c r="T131" s="1214"/>
      <c r="U131" s="1214"/>
      <c r="V131" s="1320"/>
      <c r="W131" s="1320"/>
      <c r="X131" s="1320"/>
      <c r="Y131" s="1320"/>
      <c r="Z131" s="1320"/>
      <c r="AA131" s="1320"/>
      <c r="AB131" s="1321"/>
      <c r="AC131" s="1321"/>
      <c r="AD131" s="1321"/>
      <c r="AE131" s="1321"/>
      <c r="AF131" s="1320"/>
      <c r="AG131" s="1320"/>
      <c r="AH131" s="1320"/>
      <c r="AI131" s="1320"/>
      <c r="AJ131" s="1319"/>
      <c r="AK131" s="1318"/>
      <c r="AL131" s="1317"/>
      <c r="AM131" s="1319"/>
      <c r="AN131" s="1318"/>
      <c r="AO131" s="1317"/>
      <c r="AP131" s="1308"/>
      <c r="AQ131" s="1317"/>
      <c r="AR131" s="1308"/>
      <c r="AS131" s="1308"/>
      <c r="AT131" s="1308"/>
      <c r="AU131" s="1308"/>
      <c r="AV131" s="1308"/>
      <c r="AW131" s="1308"/>
      <c r="AX131" s="1308"/>
      <c r="AY131" s="1316"/>
      <c r="AZ131" s="1316"/>
      <c r="BA131" s="1316"/>
      <c r="BB131" s="1316"/>
      <c r="BG131" s="1030"/>
      <c r="BH131" s="1030"/>
      <c r="BI131" s="1037">
        <v>24</v>
      </c>
      <c r="BJ131" s="1036">
        <f t="shared" si="41"/>
        <v>750</v>
      </c>
      <c r="BK131" s="1035">
        <f t="shared" si="42"/>
        <v>750</v>
      </c>
      <c r="BL131" s="1034">
        <f t="shared" si="37"/>
        <v>626.06545090169629</v>
      </c>
      <c r="BM131" s="1033">
        <f t="shared" si="38"/>
        <v>626.06545090169629</v>
      </c>
      <c r="BN131" s="1033">
        <f t="shared" si="43"/>
        <v>23.934549098303663</v>
      </c>
      <c r="BO131" s="1033" t="b">
        <f t="shared" si="39"/>
        <v>0</v>
      </c>
      <c r="CX131" s="1032"/>
    </row>
    <row r="132" spans="2:135" s="516" customFormat="1" ht="41.25" customHeight="1" thickBot="1" x14ac:dyDescent="0.5">
      <c r="B132" s="2062" t="s">
        <v>162</v>
      </c>
      <c r="C132" s="536"/>
      <c r="D132" s="1319"/>
      <c r="E132" s="1319"/>
      <c r="F132" s="1319"/>
      <c r="G132" s="1319"/>
      <c r="H132" s="1214"/>
      <c r="I132" s="1214"/>
      <c r="J132" s="1214"/>
      <c r="K132" s="1214"/>
      <c r="L132" s="1214"/>
      <c r="M132" s="1214"/>
      <c r="N132" s="1214"/>
      <c r="O132" s="1214"/>
      <c r="P132" s="1214"/>
      <c r="Q132" s="1214"/>
      <c r="R132" s="1214"/>
      <c r="S132" s="1214"/>
      <c r="T132" s="1214"/>
      <c r="U132" s="1214"/>
      <c r="V132" s="1320"/>
      <c r="W132" s="1320"/>
      <c r="X132" s="1320"/>
      <c r="Y132" s="1320"/>
      <c r="Z132" s="1320"/>
      <c r="AA132" s="1320"/>
      <c r="AB132" s="1321"/>
      <c r="AC132" s="1321"/>
      <c r="AD132" s="1321"/>
      <c r="AE132" s="1321"/>
      <c r="AF132" s="1320"/>
      <c r="AG132" s="1320"/>
      <c r="AH132" s="1322" t="s">
        <v>125</v>
      </c>
      <c r="AI132" s="1303">
        <f>MAX(AI107:AI130)</f>
        <v>0</v>
      </c>
      <c r="AJ132" s="1319"/>
      <c r="AK132" s="1318"/>
      <c r="AL132" s="1317"/>
      <c r="AM132" s="1319"/>
      <c r="AN132" s="1318"/>
      <c r="AO132" s="1317"/>
      <c r="AP132" s="1308"/>
      <c r="AQ132" s="1317"/>
      <c r="AR132" s="1308"/>
      <c r="AS132" s="1308"/>
      <c r="AT132" s="1308"/>
      <c r="AU132" s="1308"/>
      <c r="AV132" s="1308"/>
      <c r="AW132" s="1308"/>
      <c r="AX132" s="1308"/>
      <c r="AY132" s="1316"/>
      <c r="AZ132" s="1316"/>
      <c r="BA132" s="1316"/>
      <c r="BB132" s="1316"/>
      <c r="BG132" s="1030"/>
      <c r="BH132" s="1030"/>
      <c r="BI132" s="1037">
        <v>25</v>
      </c>
      <c r="BJ132" s="1036">
        <f t="shared" si="41"/>
        <v>800</v>
      </c>
      <c r="BK132" s="1035">
        <f t="shared" si="42"/>
        <v>800</v>
      </c>
      <c r="BL132" s="1034">
        <f t="shared" si="37"/>
        <v>676.06545090169629</v>
      </c>
      <c r="BM132" s="1033">
        <f t="shared" si="38"/>
        <v>676.06545090169629</v>
      </c>
      <c r="BN132" s="1033">
        <f t="shared" si="43"/>
        <v>23.934549098303663</v>
      </c>
      <c r="BO132" s="1033" t="b">
        <f t="shared" si="39"/>
        <v>0</v>
      </c>
      <c r="CX132" s="1032"/>
    </row>
    <row r="133" spans="2:135" s="516" customFormat="1" ht="37.5" customHeight="1" thickBot="1" x14ac:dyDescent="0.5">
      <c r="B133" s="2063"/>
      <c r="D133" s="1319"/>
      <c r="E133" s="1319"/>
      <c r="F133" s="1319"/>
      <c r="G133" s="1319"/>
      <c r="H133" s="1214"/>
      <c r="I133" s="1214"/>
      <c r="J133" s="1214"/>
      <c r="K133" s="1214"/>
      <c r="L133" s="1214"/>
      <c r="M133" s="1214"/>
      <c r="N133" s="1214"/>
      <c r="O133" s="1214"/>
      <c r="P133" s="1214"/>
      <c r="Q133" s="1214"/>
      <c r="R133" s="1214"/>
      <c r="S133" s="1214"/>
      <c r="T133" s="1214"/>
      <c r="U133" s="1214"/>
      <c r="V133" s="1320"/>
      <c r="W133" s="1320"/>
      <c r="X133" s="1320"/>
      <c r="Y133" s="1320"/>
      <c r="Z133" s="1320"/>
      <c r="AA133" s="1320"/>
      <c r="AB133" s="1321"/>
      <c r="AC133" s="1321"/>
      <c r="AD133" s="1321"/>
      <c r="AE133" s="1321"/>
      <c r="AF133" s="1320"/>
      <c r="AG133" s="1320"/>
      <c r="AH133" s="1320"/>
      <c r="AI133" s="1320"/>
      <c r="AJ133" s="1319"/>
      <c r="AK133" s="1318"/>
      <c r="AL133" s="1317"/>
      <c r="AM133" s="1319"/>
      <c r="AN133" s="1318"/>
      <c r="AO133" s="1317"/>
      <c r="AP133" s="1308"/>
      <c r="AQ133" s="1317"/>
      <c r="AR133" s="1308"/>
      <c r="AS133" s="1308"/>
      <c r="AT133" s="1308"/>
      <c r="AU133" s="1308"/>
      <c r="AV133" s="1308"/>
      <c r="AW133" s="1308"/>
      <c r="AX133" s="1308"/>
      <c r="AY133" s="1316"/>
      <c r="AZ133" s="1316"/>
      <c r="BA133" s="1316"/>
      <c r="BB133" s="1316"/>
      <c r="BG133" s="1030"/>
      <c r="BH133" s="1030"/>
      <c r="BI133" s="1037">
        <v>26</v>
      </c>
      <c r="BJ133" s="1036">
        <f t="shared" si="41"/>
        <v>850</v>
      </c>
      <c r="BK133" s="1035">
        <f t="shared" si="42"/>
        <v>850</v>
      </c>
      <c r="BL133" s="1034">
        <f t="shared" si="37"/>
        <v>726.06545090169629</v>
      </c>
      <c r="BM133" s="1033">
        <f t="shared" si="38"/>
        <v>726.06545090169629</v>
      </c>
      <c r="BN133" s="1033">
        <f t="shared" si="43"/>
        <v>23.934549098303663</v>
      </c>
      <c r="BO133" s="1033" t="b">
        <f t="shared" si="39"/>
        <v>0</v>
      </c>
      <c r="CX133" s="1032"/>
    </row>
    <row r="134" spans="2:135" s="516" customFormat="1" ht="37.5" customHeight="1" thickBot="1" x14ac:dyDescent="0.5">
      <c r="B134" s="1259">
        <v>0</v>
      </c>
      <c r="C134" s="536"/>
      <c r="D134" s="1319"/>
      <c r="E134" s="1319"/>
      <c r="F134" s="1319"/>
      <c r="G134" s="1319"/>
      <c r="H134" s="1214"/>
      <c r="I134" s="1214"/>
      <c r="J134" s="1214"/>
      <c r="K134" s="1214"/>
      <c r="L134" s="1214"/>
      <c r="M134" s="1214"/>
      <c r="N134" s="1214"/>
      <c r="O134" s="1214"/>
      <c r="P134" s="1214"/>
      <c r="Q134" s="1214"/>
      <c r="R134" s="1214"/>
      <c r="S134" s="1214"/>
      <c r="T134" s="1214"/>
      <c r="U134" s="1214"/>
      <c r="V134" s="1320"/>
      <c r="W134" s="1320"/>
      <c r="X134" s="1320"/>
      <c r="Y134" s="1320"/>
      <c r="Z134" s="1320"/>
      <c r="AA134" s="1320"/>
      <c r="AB134" s="1321"/>
      <c r="AC134" s="1321"/>
      <c r="AD134" s="1321"/>
      <c r="AE134" s="1321"/>
      <c r="AF134" s="1320"/>
      <c r="AG134" s="1320"/>
      <c r="AH134" s="1320"/>
      <c r="AI134" s="1320"/>
      <c r="AJ134" s="1319"/>
      <c r="AK134" s="1318"/>
      <c r="AL134" s="1317"/>
      <c r="AM134" s="1319"/>
      <c r="AN134" s="1318"/>
      <c r="AO134" s="1317"/>
      <c r="AP134" s="1308"/>
      <c r="AQ134" s="1317"/>
      <c r="AR134" s="1308"/>
      <c r="AS134" s="1308"/>
      <c r="AT134" s="1308"/>
      <c r="AU134" s="1308"/>
      <c r="AV134" s="1308"/>
      <c r="AW134" s="1308"/>
      <c r="AX134" s="1308"/>
      <c r="AY134" s="1316"/>
      <c r="AZ134" s="1316"/>
      <c r="BA134" s="1316"/>
      <c r="BB134" s="1316"/>
      <c r="BG134" s="1030"/>
      <c r="BH134" s="1030"/>
      <c r="BI134" s="1037">
        <v>27</v>
      </c>
      <c r="BJ134" s="1036">
        <f t="shared" si="41"/>
        <v>900</v>
      </c>
      <c r="BK134" s="1035">
        <f t="shared" si="42"/>
        <v>900</v>
      </c>
      <c r="BL134" s="1034">
        <f t="shared" si="37"/>
        <v>776.06545090169629</v>
      </c>
      <c r="BM134" s="1033">
        <f t="shared" si="38"/>
        <v>776.06545090169629</v>
      </c>
      <c r="BN134" s="1033">
        <f t="shared" si="43"/>
        <v>23.934549098303663</v>
      </c>
      <c r="BO134" s="1033" t="b">
        <f t="shared" si="39"/>
        <v>0</v>
      </c>
      <c r="CX134" s="1032"/>
    </row>
    <row r="135" spans="2:135" s="516" customFormat="1" ht="21" customHeight="1" thickBot="1" x14ac:dyDescent="0.5">
      <c r="B135" s="536"/>
      <c r="C135" s="536"/>
      <c r="D135" s="1319"/>
      <c r="E135" s="1319"/>
      <c r="F135" s="1319"/>
      <c r="G135" s="1319"/>
      <c r="H135" s="1214"/>
      <c r="I135" s="1214"/>
      <c r="J135" s="1214"/>
      <c r="K135" s="1214"/>
      <c r="L135" s="1214"/>
      <c r="M135" s="1214"/>
      <c r="N135" s="1214"/>
      <c r="O135" s="1214"/>
      <c r="P135" s="1214"/>
      <c r="Q135" s="1214"/>
      <c r="R135" s="1214"/>
      <c r="S135" s="1214"/>
      <c r="T135" s="1214"/>
      <c r="U135" s="1214"/>
      <c r="V135" s="1320"/>
      <c r="W135" s="1320"/>
      <c r="X135" s="1320"/>
      <c r="Y135" s="1320"/>
      <c r="Z135" s="1320"/>
      <c r="AA135" s="1320"/>
      <c r="AB135" s="1321"/>
      <c r="AC135" s="1321"/>
      <c r="AD135" s="1321"/>
      <c r="AE135" s="1321"/>
      <c r="AF135" s="1320"/>
      <c r="AG135" s="1320"/>
      <c r="AH135" s="1320"/>
      <c r="AI135" s="1320"/>
      <c r="AJ135" s="1319"/>
      <c r="AK135" s="1318"/>
      <c r="AL135" s="1317"/>
      <c r="AM135" s="1319"/>
      <c r="AN135" s="1318"/>
      <c r="AO135" s="1317"/>
      <c r="AP135" s="1308"/>
      <c r="AQ135" s="1317"/>
      <c r="AR135" s="1308"/>
      <c r="AS135" s="1308"/>
      <c r="AT135" s="1308"/>
      <c r="AU135" s="1308"/>
      <c r="AV135" s="1308"/>
      <c r="AW135" s="1308"/>
      <c r="AX135" s="1308"/>
      <c r="AY135" s="1316"/>
      <c r="AZ135" s="1316"/>
      <c r="BA135" s="1316"/>
      <c r="BB135" s="1316"/>
      <c r="BG135" s="1030"/>
      <c r="BH135" s="1030"/>
      <c r="BI135" s="1037">
        <v>28</v>
      </c>
      <c r="BJ135" s="1036">
        <f t="shared" si="41"/>
        <v>950</v>
      </c>
      <c r="BK135" s="1035">
        <f t="shared" si="42"/>
        <v>950</v>
      </c>
      <c r="BL135" s="1034">
        <f t="shared" si="37"/>
        <v>826.06545090169629</v>
      </c>
      <c r="BM135" s="1033">
        <f t="shared" si="38"/>
        <v>826.06545090169629</v>
      </c>
      <c r="BN135" s="1033">
        <f t="shared" si="43"/>
        <v>23.934549098303663</v>
      </c>
      <c r="BO135" s="1033" t="b">
        <f t="shared" si="39"/>
        <v>0</v>
      </c>
      <c r="CX135" s="1032"/>
    </row>
    <row r="136" spans="2:135" ht="78.75" customHeight="1" thickBot="1" x14ac:dyDescent="0.5">
      <c r="B136" s="1903" t="s">
        <v>253</v>
      </c>
      <c r="C136" s="1257"/>
      <c r="D136" s="533"/>
      <c r="E136" s="533"/>
      <c r="F136" s="533"/>
      <c r="G136" s="533"/>
      <c r="T136" s="1232"/>
      <c r="U136" s="471"/>
      <c r="V136" s="471"/>
      <c r="W136" s="471"/>
      <c r="X136" s="471"/>
      <c r="Y136" s="471"/>
      <c r="Z136" s="471"/>
      <c r="AA136" s="471"/>
      <c r="AB136" s="471"/>
      <c r="AC136" s="471"/>
      <c r="AD136" s="471"/>
      <c r="AE136" s="471"/>
      <c r="AF136" s="471"/>
      <c r="AG136" s="471"/>
      <c r="AH136" s="471"/>
      <c r="AI136" s="471"/>
      <c r="AJ136" s="471"/>
      <c r="AK136" s="471"/>
      <c r="AL136" s="471"/>
      <c r="AM136" s="471"/>
      <c r="AN136" s="471"/>
      <c r="AO136" s="471"/>
      <c r="AP136" s="471"/>
      <c r="AQ136" s="471"/>
      <c r="AR136" s="471"/>
      <c r="AS136" s="471"/>
      <c r="AT136" s="471"/>
      <c r="AU136" s="471"/>
      <c r="AV136" s="471"/>
      <c r="AW136" s="471"/>
      <c r="AX136" s="471"/>
      <c r="AY136" s="471"/>
      <c r="AZ136" s="471"/>
      <c r="BA136" s="471"/>
      <c r="BB136" s="471"/>
      <c r="BC136" s="506"/>
      <c r="BD136" s="506"/>
      <c r="BI136" s="1037">
        <v>29</v>
      </c>
      <c r="BJ136" s="1036">
        <f t="shared" si="41"/>
        <v>1000</v>
      </c>
      <c r="BK136" s="1035">
        <f t="shared" si="42"/>
        <v>1000</v>
      </c>
      <c r="BL136" s="1034">
        <f t="shared" si="37"/>
        <v>876.06545090169629</v>
      </c>
      <c r="BM136" s="1033">
        <f t="shared" si="38"/>
        <v>876.06545090169629</v>
      </c>
      <c r="BN136" s="1033">
        <f t="shared" si="43"/>
        <v>23.934549098303663</v>
      </c>
      <c r="BO136" s="1033" t="b">
        <f t="shared" si="39"/>
        <v>0</v>
      </c>
      <c r="CR136" s="524"/>
      <c r="CS136" s="524"/>
      <c r="CT136" s="524"/>
      <c r="CU136" s="524"/>
      <c r="CV136" s="524"/>
      <c r="CW136" s="524"/>
      <c r="CX136" s="524"/>
      <c r="ED136" s="1093"/>
      <c r="EE136" s="1093"/>
    </row>
    <row r="137" spans="2:135" ht="27" customHeight="1" thickTop="1" thickBot="1" x14ac:dyDescent="0.5">
      <c r="B137" s="1904">
        <v>1</v>
      </c>
      <c r="C137" s="773"/>
      <c r="D137" s="531" t="s">
        <v>212</v>
      </c>
      <c r="E137" s="772"/>
      <c r="F137" s="772"/>
      <c r="G137" s="772"/>
      <c r="H137" s="1048" t="s">
        <v>172</v>
      </c>
      <c r="I137" s="1048" t="s">
        <v>173</v>
      </c>
      <c r="J137" s="1048" t="s">
        <v>174</v>
      </c>
      <c r="K137" s="474"/>
      <c r="L137" s="474"/>
      <c r="M137" s="474"/>
      <c r="N137" s="474"/>
      <c r="O137" s="474"/>
      <c r="P137" s="1048" t="s">
        <v>175</v>
      </c>
      <c r="Q137" s="1048" t="s">
        <v>176</v>
      </c>
      <c r="R137" s="772"/>
      <c r="S137" s="1048" t="s">
        <v>177</v>
      </c>
      <c r="T137" s="1254"/>
      <c r="W137" s="2098" t="s">
        <v>178</v>
      </c>
      <c r="X137" s="2098"/>
      <c r="Y137" s="2098"/>
      <c r="Z137" s="2098"/>
      <c r="AA137" s="2098"/>
      <c r="AF137" s="471"/>
      <c r="AG137" s="471"/>
      <c r="AH137" s="471"/>
      <c r="AI137" s="471"/>
      <c r="AJ137" s="471"/>
      <c r="AK137" s="471"/>
      <c r="AL137" s="471"/>
      <c r="AM137" s="471"/>
      <c r="AN137" s="471"/>
      <c r="AO137" s="471"/>
      <c r="AP137" s="471"/>
      <c r="AQ137" s="471"/>
      <c r="AR137" s="471"/>
      <c r="AS137" s="471"/>
      <c r="AT137" s="471"/>
      <c r="AU137" s="471"/>
      <c r="AV137" s="471"/>
      <c r="AW137" s="471"/>
      <c r="AX137" s="471"/>
      <c r="AY137" s="471"/>
      <c r="AZ137" s="1222"/>
      <c r="BA137" s="2096" t="s">
        <v>68</v>
      </c>
      <c r="BB137" s="2097"/>
      <c r="BC137" s="506"/>
      <c r="BD137" s="506"/>
      <c r="BG137" s="524"/>
      <c r="BI137" s="1037">
        <v>30</v>
      </c>
      <c r="BJ137" s="1036">
        <f t="shared" si="41"/>
        <v>1050</v>
      </c>
      <c r="BK137" s="1035">
        <f t="shared" si="42"/>
        <v>1050</v>
      </c>
      <c r="BL137" s="1034">
        <f t="shared" si="37"/>
        <v>926.06545090169629</v>
      </c>
      <c r="BM137" s="1033">
        <f t="shared" si="38"/>
        <v>926.06545090169629</v>
      </c>
      <c r="BN137" s="1033">
        <f t="shared" si="43"/>
        <v>23.934549098303663</v>
      </c>
      <c r="BO137" s="1033" t="b">
        <f t="shared" si="39"/>
        <v>0</v>
      </c>
      <c r="CR137" s="524"/>
      <c r="CS137" s="524"/>
      <c r="CT137" s="524"/>
      <c r="CU137" s="524"/>
      <c r="CV137" s="524"/>
      <c r="CW137" s="524"/>
      <c r="CX137" s="524"/>
      <c r="ED137" s="1093"/>
      <c r="EE137" s="1093"/>
    </row>
    <row r="138" spans="2:135" ht="21.6" hidden="1" thickTop="1" thickBot="1" x14ac:dyDescent="0.4">
      <c r="B138" s="536"/>
      <c r="C138" s="537"/>
      <c r="D138" s="1315" t="s">
        <v>13</v>
      </c>
      <c r="E138" s="516"/>
      <c r="F138" s="516"/>
      <c r="G138" s="516"/>
      <c r="H138" s="1022" t="s">
        <v>4</v>
      </c>
      <c r="I138" s="1022" t="s">
        <v>1</v>
      </c>
      <c r="J138" s="1252" t="s">
        <v>119</v>
      </c>
      <c r="K138" s="1025" t="s">
        <v>2</v>
      </c>
      <c r="L138" s="1025" t="s">
        <v>3</v>
      </c>
      <c r="M138" s="1025" t="s">
        <v>8</v>
      </c>
      <c r="N138" s="1025" t="s">
        <v>5</v>
      </c>
      <c r="O138" s="1025" t="s">
        <v>6</v>
      </c>
      <c r="P138" s="1025" t="s">
        <v>7</v>
      </c>
      <c r="Q138" s="1025" t="s">
        <v>9</v>
      </c>
      <c r="R138" s="1022" t="s">
        <v>10</v>
      </c>
      <c r="S138" s="1025" t="s">
        <v>11</v>
      </c>
      <c r="T138" s="1251" t="s">
        <v>12</v>
      </c>
      <c r="W138" s="1022" t="s">
        <v>216</v>
      </c>
      <c r="X138" s="1023" t="s">
        <v>179</v>
      </c>
      <c r="Y138" s="1022" t="s">
        <v>215</v>
      </c>
      <c r="Z138" s="1024" t="s">
        <v>180</v>
      </c>
      <c r="AA138" s="1024" t="s">
        <v>181</v>
      </c>
      <c r="AC138" s="1025" t="s">
        <v>184</v>
      </c>
      <c r="AD138" s="1025"/>
      <c r="AE138" s="1025"/>
      <c r="AF138" s="1213"/>
      <c r="AG138" s="1213"/>
      <c r="AH138" s="1213"/>
      <c r="AI138" s="1213"/>
      <c r="AJ138" s="1213"/>
      <c r="AK138" s="1213"/>
      <c r="AL138" s="1213"/>
      <c r="AM138" s="1213"/>
      <c r="AN138" s="1213"/>
      <c r="AO138" s="1213"/>
      <c r="AP138" s="1213" t="s">
        <v>220</v>
      </c>
      <c r="AQ138" s="1213"/>
      <c r="AR138" s="1213" t="s">
        <v>220</v>
      </c>
      <c r="AS138" s="1213"/>
      <c r="AT138" s="1213"/>
      <c r="AU138" s="1213" t="s">
        <v>220</v>
      </c>
      <c r="AV138" s="1213"/>
      <c r="AW138" s="1213"/>
      <c r="AX138" s="1213"/>
      <c r="AY138" s="1222"/>
      <c r="AZ138" s="1222"/>
      <c r="BA138" s="1213"/>
      <c r="BB138" s="1213"/>
      <c r="BC138" s="541"/>
      <c r="CR138" s="524"/>
      <c r="CS138" s="524"/>
      <c r="CT138" s="524"/>
      <c r="CU138" s="524"/>
      <c r="CV138" s="524"/>
      <c r="CW138" s="524"/>
      <c r="CX138" s="524"/>
      <c r="ED138" s="1093"/>
      <c r="EE138" s="1093"/>
    </row>
    <row r="139" spans="2:135" ht="42" customHeight="1" thickBot="1" x14ac:dyDescent="0.45">
      <c r="B139" s="1221"/>
      <c r="C139" s="1220"/>
      <c r="D139" s="1902" t="s">
        <v>24</v>
      </c>
      <c r="E139" s="1880"/>
      <c r="F139" s="772"/>
      <c r="G139" s="1067"/>
      <c r="H139" s="1022"/>
      <c r="I139" s="1022"/>
      <c r="J139" s="1252"/>
      <c r="K139" s="1025"/>
      <c r="L139" s="1025"/>
      <c r="M139" s="1025"/>
      <c r="N139" s="1025"/>
      <c r="O139" s="1025"/>
      <c r="P139" s="1025"/>
      <c r="Q139" s="1025"/>
      <c r="R139" s="1022"/>
      <c r="S139" s="1025"/>
      <c r="T139" s="1251"/>
      <c r="U139" s="1214"/>
      <c r="V139" s="1213"/>
      <c r="W139" s="1213"/>
      <c r="X139" s="1213"/>
      <c r="Y139" s="1213"/>
      <c r="Z139" s="1213"/>
      <c r="AA139" s="1213"/>
      <c r="AB139" s="1213"/>
      <c r="AC139" s="1250">
        <f>SUM(AC140:AC151)</f>
        <v>334.49993130661176</v>
      </c>
      <c r="AD139" s="1027"/>
      <c r="AE139" s="1027"/>
      <c r="AF139" s="1213" t="s">
        <v>51</v>
      </c>
      <c r="AG139" s="1028" t="s">
        <v>188</v>
      </c>
      <c r="AH139" s="1212" t="s">
        <v>44</v>
      </c>
      <c r="AI139" s="1212"/>
      <c r="AJ139" s="1062" t="s">
        <v>211</v>
      </c>
      <c r="AK139" s="1211" t="s">
        <v>45</v>
      </c>
      <c r="AL139" s="1060" t="s">
        <v>46</v>
      </c>
      <c r="AM139" s="1059" t="s">
        <v>210</v>
      </c>
      <c r="AN139" s="1209" t="s">
        <v>47</v>
      </c>
      <c r="AO139" s="1060" t="s">
        <v>48</v>
      </c>
      <c r="AP139" s="1249" t="s">
        <v>61</v>
      </c>
      <c r="AQ139" s="1060" t="s">
        <v>60</v>
      </c>
      <c r="AR139" s="1249" t="s">
        <v>62</v>
      </c>
      <c r="AS139" s="1207" t="s">
        <v>59</v>
      </c>
      <c r="AT139" s="1207" t="s">
        <v>118</v>
      </c>
      <c r="AU139" s="1249" t="s">
        <v>116</v>
      </c>
      <c r="AV139" s="1314"/>
      <c r="AW139" s="1206" t="s">
        <v>54</v>
      </c>
      <c r="AX139" s="1206" t="s">
        <v>55</v>
      </c>
      <c r="AY139" s="1205" t="s">
        <v>25</v>
      </c>
      <c r="AZ139" s="1205" t="s">
        <v>26</v>
      </c>
      <c r="BA139" s="1204" t="s">
        <v>25</v>
      </c>
      <c r="BB139" s="1204" t="s">
        <v>26</v>
      </c>
      <c r="BC139" s="506"/>
      <c r="BD139" s="558"/>
      <c r="CR139" s="524"/>
      <c r="CS139" s="524"/>
      <c r="CT139" s="524"/>
      <c r="CU139" s="524"/>
      <c r="CV139" s="524"/>
      <c r="CW139" s="524"/>
      <c r="CX139" s="524"/>
      <c r="ED139" s="1093"/>
      <c r="EE139" s="1093"/>
    </row>
    <row r="140" spans="2:135" ht="21" customHeight="1" thickBot="1" x14ac:dyDescent="0.4">
      <c r="B140" s="1312">
        <v>1</v>
      </c>
      <c r="C140" s="612">
        <f>+B134+AI132+D140</f>
        <v>0</v>
      </c>
      <c r="D140" s="1907">
        <v>0</v>
      </c>
      <c r="E140" s="584" t="s">
        <v>126</v>
      </c>
      <c r="F140" s="584"/>
      <c r="G140" s="584"/>
      <c r="H140" s="1442">
        <v>414.62658399999998</v>
      </c>
      <c r="I140" s="1442">
        <v>36.220413100000002</v>
      </c>
      <c r="J140" s="1442">
        <f>+I140-C140</f>
        <v>36.220413100000002</v>
      </c>
      <c r="K140" s="635"/>
      <c r="L140" s="635"/>
      <c r="M140" s="635"/>
      <c r="N140" s="635"/>
      <c r="O140" s="635"/>
      <c r="P140" s="1442">
        <f>COS(J140*3.14159265358979/180)</f>
        <v>0.80674984242354264</v>
      </c>
      <c r="Q140" s="1442">
        <f>+P140*H140</f>
        <v>334.49993130661176</v>
      </c>
      <c r="R140" s="1241">
        <v>334.5</v>
      </c>
      <c r="S140" s="1442">
        <f>+Q140</f>
        <v>334.49993130661176</v>
      </c>
      <c r="T140" s="584">
        <f t="shared" ref="T140:T151" si="44">+S140</f>
        <v>334.49993130661176</v>
      </c>
      <c r="U140" s="584"/>
      <c r="V140" s="584">
        <f t="shared" ref="V140:V151" si="45">IF(B140&lt;($B$137+1),T140,0)</f>
        <v>334.49993130661176</v>
      </c>
      <c r="W140" s="1246">
        <v>36.220415500000001</v>
      </c>
      <c r="X140" s="1024">
        <f>+W140+AI152</f>
        <v>36.220415500000001</v>
      </c>
      <c r="Y140" s="1246">
        <v>414.6266</v>
      </c>
      <c r="Z140" s="1024">
        <f>+COS(X140*3.14159265358979/180)*Y140</f>
        <v>334.49993395207258</v>
      </c>
      <c r="AA140" s="1313">
        <f>+AC139-Z140</f>
        <v>-2.6454608246240241E-6</v>
      </c>
      <c r="AB140" s="584"/>
      <c r="AC140" s="1311">
        <f>IF(AD140=1,AF140)</f>
        <v>334.49993130661176</v>
      </c>
      <c r="AD140" s="1311">
        <f t="shared" ref="AD140:AD151" si="46">MAX(AE$140:AE$151)</f>
        <v>1</v>
      </c>
      <c r="AE140" s="1311">
        <f>IF(V140=0,0,1)</f>
        <v>1</v>
      </c>
      <c r="AF140" s="1193">
        <f>SUM(V140:V151)/($B$137)</f>
        <v>334.49993130661176</v>
      </c>
      <c r="AG140" s="1193">
        <f>+AF140+$AA$107</f>
        <v>334.49994787074411</v>
      </c>
      <c r="AH140" s="1192">
        <f>+D140+C140</f>
        <v>0</v>
      </c>
      <c r="AI140" s="567">
        <f t="shared" ref="AI140:AI151" si="47">IF(B140&lt;($B$137+1),AH140)</f>
        <v>0</v>
      </c>
      <c r="AJ140" s="1238">
        <f>53.779595+AI140</f>
        <v>53.779595</v>
      </c>
      <c r="AK140" s="1310">
        <f t="shared" ref="AK140:AK151" si="48">SIN(AJ140*3.14159265358979/180)</f>
        <v>0.8067499259590819</v>
      </c>
      <c r="AL140" s="1238">
        <f>+AK140*414.6266</f>
        <v>334.49997885066585</v>
      </c>
      <c r="AM140" s="1238">
        <f>59.2910885-AI140</f>
        <v>59.291088500000001</v>
      </c>
      <c r="AN140" s="1190">
        <f t="shared" ref="AN140:AN151" si="49">SIN(AM140*3.14159265358979/180)</f>
        <v>0.85977285389573432</v>
      </c>
      <c r="AO140" s="1238">
        <f>+AN140*479.7721</f>
        <v>412.49502763654965</v>
      </c>
      <c r="AP140" s="1237">
        <f t="shared" ref="AP140:AP151" si="50">+((AF140*AQ140)+($AQ$161*($AF$161+$AA$140)))/AR140</f>
        <v>218.19407832640624</v>
      </c>
      <c r="AQ140" s="1309">
        <f>72*B137</f>
        <v>72</v>
      </c>
      <c r="AR140" s="1237">
        <f t="shared" ref="AR140:AR151" si="51">+AQ140+$AQ$161+30</f>
        <v>127.5</v>
      </c>
      <c r="AS140" s="1188">
        <f t="shared" ref="AS140:AS151" si="52">+AO140+AL140</f>
        <v>746.99500648721551</v>
      </c>
      <c r="AT140" s="1308">
        <f t="shared" ref="AT140:AT151" si="53">+V140-AL140</f>
        <v>-4.7544054098125343E-5</v>
      </c>
      <c r="AU140" s="1236">
        <f t="shared" ref="AU140:AU151" si="54">+AP140-AT140</f>
        <v>218.19412587046034</v>
      </c>
      <c r="AV140" s="1307"/>
      <c r="AW140" s="1186">
        <f t="shared" ref="AW140:AW151" si="55">+((AS140-AU140)/AS140)*AR140</f>
        <v>90.257781769777054</v>
      </c>
      <c r="AX140" s="1186">
        <f t="shared" ref="AX140:AX151" si="56">+(AU140/AS140)*AR140</f>
        <v>37.242218230222953</v>
      </c>
      <c r="AY140" s="1185">
        <f t="shared" ref="AY140:AY151" si="57">2*$C$18/AW140</f>
        <v>128.52077430385373</v>
      </c>
      <c r="AZ140" s="1185">
        <f t="shared" ref="AZ140:AZ151" si="58">2*$D$18/AX140</f>
        <v>537.02493971665524</v>
      </c>
      <c r="BA140" s="1184">
        <f t="shared" ref="BA140:BA151" si="59">ABS(AY140)</f>
        <v>128.52077430385373</v>
      </c>
      <c r="BB140" s="1184">
        <f t="shared" ref="BB140:BB151" si="60">ABS(AZ140)</f>
        <v>537.02493971665524</v>
      </c>
      <c r="BC140" s="586"/>
      <c r="BD140" s="558"/>
      <c r="CS140" s="524"/>
      <c r="CT140" s="524"/>
      <c r="CU140" s="524"/>
      <c r="CV140" s="524"/>
      <c r="CW140" s="524"/>
      <c r="CX140" s="524"/>
      <c r="ED140" s="1093"/>
      <c r="EE140" s="1093"/>
    </row>
    <row r="141" spans="2:135" ht="21" customHeight="1" thickBot="1" x14ac:dyDescent="0.4">
      <c r="B141" s="1312">
        <v>2</v>
      </c>
      <c r="C141" s="612"/>
      <c r="D141" s="1907">
        <v>0</v>
      </c>
      <c r="E141" s="632" t="s">
        <v>126</v>
      </c>
      <c r="F141" s="584"/>
      <c r="G141" s="584"/>
      <c r="H141" s="1241">
        <v>479.77208100000001</v>
      </c>
      <c r="I141" s="1241">
        <v>61.416098300000002</v>
      </c>
      <c r="J141" s="584">
        <f t="shared" ref="J141:J151" si="61">+I141+D141</f>
        <v>61.416098300000002</v>
      </c>
      <c r="K141" s="584">
        <f t="shared" ref="K141:K151" si="62">+J141/2</f>
        <v>30.708049150000001</v>
      </c>
      <c r="L141" s="584">
        <f t="shared" ref="L141:L151" si="63">SIN(K141*3.14159265358979/180)</f>
        <v>0.51066370850547771</v>
      </c>
      <c r="M141" s="584">
        <f t="shared" ref="M141:M151" si="64">+L141*H141</f>
        <v>245.00219012085046</v>
      </c>
      <c r="N141" s="584">
        <f t="shared" ref="N141:N151" si="65">+M141*2</f>
        <v>490.00438024170091</v>
      </c>
      <c r="O141" s="584">
        <f>+C140+(D141/2)</f>
        <v>0</v>
      </c>
      <c r="P141" s="584">
        <f t="shared" ref="P141:P151" si="66">SIN(O141*3.14159265358979/180)</f>
        <v>0</v>
      </c>
      <c r="Q141" s="584">
        <f t="shared" ref="Q141:Q151" si="67">+P141*N141</f>
        <v>0</v>
      </c>
      <c r="R141" s="584">
        <f t="shared" ref="R141:R151" si="68">+T140</f>
        <v>334.49993130661176</v>
      </c>
      <c r="S141" s="584">
        <f>+R141+Q141</f>
        <v>334.49993130661176</v>
      </c>
      <c r="T141" s="584">
        <f t="shared" si="44"/>
        <v>334.49993130661176</v>
      </c>
      <c r="U141" s="584"/>
      <c r="V141" s="584">
        <f t="shared" si="45"/>
        <v>0</v>
      </c>
      <c r="W141" s="584"/>
      <c r="X141" s="584"/>
      <c r="Y141" s="584"/>
      <c r="Z141" s="584"/>
      <c r="AA141" s="584"/>
      <c r="AB141" s="584"/>
      <c r="AC141" s="1311" t="b">
        <f>IF(AD141=2,AF141)</f>
        <v>0</v>
      </c>
      <c r="AD141" s="1311">
        <f t="shared" si="46"/>
        <v>1</v>
      </c>
      <c r="AE141" s="1311">
        <f>IF(V141=0,0,2)</f>
        <v>0</v>
      </c>
      <c r="AF141" s="1193" t="e">
        <f>SUM(V141:V151)/($B$137-B140)</f>
        <v>#DIV/0!</v>
      </c>
      <c r="AG141" s="1193"/>
      <c r="AH141" s="1192">
        <f>SUM(D141)+$C$140</f>
        <v>0</v>
      </c>
      <c r="AI141" s="567" t="b">
        <f t="shared" si="47"/>
        <v>0</v>
      </c>
      <c r="AJ141" s="1238">
        <f t="shared" ref="AJ141:AJ151" si="69">53.779595+AI141</f>
        <v>53.779595</v>
      </c>
      <c r="AK141" s="1310">
        <f t="shared" si="48"/>
        <v>0.8067499259590819</v>
      </c>
      <c r="AL141" s="1238">
        <f t="shared" ref="AL141:AL151" si="70">+AK141*414.6266</f>
        <v>334.49997885066585</v>
      </c>
      <c r="AM141" s="1238">
        <f t="shared" ref="AM141:AM151" si="71">59.2910885-AI141</f>
        <v>59.291088500000001</v>
      </c>
      <c r="AN141" s="1190">
        <f t="shared" si="49"/>
        <v>0.85977285389573432</v>
      </c>
      <c r="AO141" s="1238">
        <f t="shared" ref="AO141:AO151" si="72">+AN141*479.7721</f>
        <v>412.49502763654965</v>
      </c>
      <c r="AP141" s="1237" t="e">
        <f t="shared" si="50"/>
        <v>#DIV/0!</v>
      </c>
      <c r="AQ141" s="1309">
        <f t="shared" ref="AQ141:AQ151" si="73">72*($B$137-B140)</f>
        <v>0</v>
      </c>
      <c r="AR141" s="1237">
        <f t="shared" si="51"/>
        <v>55.5</v>
      </c>
      <c r="AS141" s="1188">
        <f t="shared" si="52"/>
        <v>746.99500648721551</v>
      </c>
      <c r="AT141" s="1308">
        <f t="shared" si="53"/>
        <v>-334.49997885066585</v>
      </c>
      <c r="AU141" s="1236" t="e">
        <f t="shared" si="54"/>
        <v>#DIV/0!</v>
      </c>
      <c r="AV141" s="1307"/>
      <c r="AW141" s="1186" t="e">
        <f t="shared" si="55"/>
        <v>#DIV/0!</v>
      </c>
      <c r="AX141" s="1186" t="e">
        <f t="shared" si="56"/>
        <v>#DIV/0!</v>
      </c>
      <c r="AY141" s="1185" t="e">
        <f t="shared" si="57"/>
        <v>#DIV/0!</v>
      </c>
      <c r="AZ141" s="1185" t="e">
        <f t="shared" si="58"/>
        <v>#DIV/0!</v>
      </c>
      <c r="BA141" s="1184" t="e">
        <f t="shared" si="59"/>
        <v>#DIV/0!</v>
      </c>
      <c r="BB141" s="1184" t="e">
        <f t="shared" si="60"/>
        <v>#DIV/0!</v>
      </c>
      <c r="BD141" s="558"/>
      <c r="CR141" s="524"/>
      <c r="CS141" s="524"/>
      <c r="CT141" s="524"/>
      <c r="CU141" s="524"/>
      <c r="CV141" s="524"/>
      <c r="CW141" s="524"/>
      <c r="CX141" s="524"/>
      <c r="ED141" s="1093"/>
      <c r="EE141" s="1093"/>
    </row>
    <row r="142" spans="2:135" ht="21" customHeight="1" thickBot="1" x14ac:dyDescent="0.4">
      <c r="B142" s="1312">
        <v>3</v>
      </c>
      <c r="C142" s="612"/>
      <c r="D142" s="1907">
        <v>0</v>
      </c>
      <c r="E142" s="632" t="s">
        <v>126</v>
      </c>
      <c r="F142" s="584"/>
      <c r="G142" s="584"/>
      <c r="H142" s="1241">
        <v>479.77208100000001</v>
      </c>
      <c r="I142" s="1241">
        <v>61.416098300000002</v>
      </c>
      <c r="J142" s="584">
        <f t="shared" si="61"/>
        <v>61.416098300000002</v>
      </c>
      <c r="K142" s="584">
        <f t="shared" si="62"/>
        <v>30.708049150000001</v>
      </c>
      <c r="L142" s="584">
        <f t="shared" si="63"/>
        <v>0.51066370850547771</v>
      </c>
      <c r="M142" s="584">
        <f t="shared" si="64"/>
        <v>245.00219012085046</v>
      </c>
      <c r="N142" s="584">
        <f t="shared" si="65"/>
        <v>490.00438024170091</v>
      </c>
      <c r="O142" s="584">
        <f>+C140+D141+(D142/2)</f>
        <v>0</v>
      </c>
      <c r="P142" s="584">
        <f t="shared" si="66"/>
        <v>0</v>
      </c>
      <c r="Q142" s="584">
        <f t="shared" si="67"/>
        <v>0</v>
      </c>
      <c r="R142" s="584">
        <f t="shared" si="68"/>
        <v>334.49993130661176</v>
      </c>
      <c r="S142" s="584">
        <f t="shared" ref="S142:S151" si="74">+S141+Q142</f>
        <v>334.49993130661176</v>
      </c>
      <c r="T142" s="584">
        <f t="shared" si="44"/>
        <v>334.49993130661176</v>
      </c>
      <c r="U142" s="584"/>
      <c r="V142" s="584">
        <f t="shared" si="45"/>
        <v>0</v>
      </c>
      <c r="W142" s="584"/>
      <c r="X142" s="584"/>
      <c r="Y142" s="584"/>
      <c r="Z142" s="584"/>
      <c r="AA142" s="584"/>
      <c r="AB142" s="584"/>
      <c r="AC142" s="1311" t="b">
        <f>IF(AD142=3,AF142)</f>
        <v>0</v>
      </c>
      <c r="AD142" s="1311">
        <f t="shared" si="46"/>
        <v>1</v>
      </c>
      <c r="AE142" s="1311">
        <f>IF(V142=0,0,3)</f>
        <v>0</v>
      </c>
      <c r="AF142" s="1193">
        <f>SUM(V142:V151)/($B$137-B141)</f>
        <v>0</v>
      </c>
      <c r="AG142" s="1193"/>
      <c r="AH142" s="1192">
        <f>SUM(D141:D142)+$C$140</f>
        <v>0</v>
      </c>
      <c r="AI142" s="567" t="b">
        <f t="shared" si="47"/>
        <v>0</v>
      </c>
      <c r="AJ142" s="1238">
        <f t="shared" si="69"/>
        <v>53.779595</v>
      </c>
      <c r="AK142" s="1310">
        <f t="shared" si="48"/>
        <v>0.8067499259590819</v>
      </c>
      <c r="AL142" s="1238">
        <f t="shared" si="70"/>
        <v>334.49997885066585</v>
      </c>
      <c r="AM142" s="1238">
        <f t="shared" si="71"/>
        <v>59.291088500000001</v>
      </c>
      <c r="AN142" s="1190">
        <f t="shared" si="49"/>
        <v>0.85977285389573432</v>
      </c>
      <c r="AO142" s="1238">
        <f t="shared" si="72"/>
        <v>412.49502763654965</v>
      </c>
      <c r="AP142" s="1237">
        <f t="shared" si="50"/>
        <v>-226.40908682065145</v>
      </c>
      <c r="AQ142" s="1309">
        <f t="shared" si="73"/>
        <v>-72</v>
      </c>
      <c r="AR142" s="1237">
        <f t="shared" si="51"/>
        <v>-16.5</v>
      </c>
      <c r="AS142" s="1188">
        <f t="shared" si="52"/>
        <v>746.99500648721551</v>
      </c>
      <c r="AT142" s="1308">
        <f t="shared" si="53"/>
        <v>-334.49997885066585</v>
      </c>
      <c r="AU142" s="1236">
        <f t="shared" si="54"/>
        <v>108.0908920300144</v>
      </c>
      <c r="AV142" s="1307"/>
      <c r="AW142" s="1186">
        <f t="shared" si="55"/>
        <v>-14.112434215748989</v>
      </c>
      <c r="AX142" s="1186">
        <f t="shared" si="56"/>
        <v>-2.3875657842510107</v>
      </c>
      <c r="AY142" s="1185">
        <f t="shared" si="57"/>
        <v>-821.97017344143228</v>
      </c>
      <c r="AZ142" s="1185">
        <f t="shared" si="58"/>
        <v>-8376.7325415387804</v>
      </c>
      <c r="BA142" s="1184">
        <f t="shared" si="59"/>
        <v>821.97017344143228</v>
      </c>
      <c r="BB142" s="1184">
        <f t="shared" si="60"/>
        <v>8376.7325415387804</v>
      </c>
      <c r="BD142" s="558"/>
      <c r="CS142" s="524"/>
      <c r="CT142" s="524"/>
      <c r="CU142" s="524"/>
      <c r="CV142" s="524"/>
      <c r="CW142" s="524"/>
      <c r="CX142" s="524"/>
      <c r="ED142" s="1093"/>
      <c r="EE142" s="1093"/>
    </row>
    <row r="143" spans="2:135" ht="21" customHeight="1" thickBot="1" x14ac:dyDescent="0.4">
      <c r="B143" s="1312">
        <v>4</v>
      </c>
      <c r="C143" s="612"/>
      <c r="D143" s="1907">
        <v>0</v>
      </c>
      <c r="E143" s="632" t="s">
        <v>126</v>
      </c>
      <c r="F143" s="584"/>
      <c r="G143" s="584"/>
      <c r="H143" s="1241">
        <v>479.77208100000001</v>
      </c>
      <c r="I143" s="1241">
        <v>61.416098300000002</v>
      </c>
      <c r="J143" s="584">
        <f t="shared" si="61"/>
        <v>61.416098300000002</v>
      </c>
      <c r="K143" s="584">
        <f t="shared" si="62"/>
        <v>30.708049150000001</v>
      </c>
      <c r="L143" s="584">
        <f t="shared" si="63"/>
        <v>0.51066370850547771</v>
      </c>
      <c r="M143" s="584">
        <f t="shared" si="64"/>
        <v>245.00219012085046</v>
      </c>
      <c r="N143" s="584">
        <f t="shared" si="65"/>
        <v>490.00438024170091</v>
      </c>
      <c r="O143" s="584">
        <f>+C140+D141+D142+(D143/2)</f>
        <v>0</v>
      </c>
      <c r="P143" s="584">
        <f t="shared" si="66"/>
        <v>0</v>
      </c>
      <c r="Q143" s="584">
        <f t="shared" si="67"/>
        <v>0</v>
      </c>
      <c r="R143" s="584">
        <f t="shared" si="68"/>
        <v>334.49993130661176</v>
      </c>
      <c r="S143" s="584">
        <f t="shared" si="74"/>
        <v>334.49993130661176</v>
      </c>
      <c r="T143" s="584">
        <f t="shared" si="44"/>
        <v>334.49993130661176</v>
      </c>
      <c r="U143" s="584"/>
      <c r="V143" s="584">
        <f t="shared" si="45"/>
        <v>0</v>
      </c>
      <c r="W143" s="584"/>
      <c r="X143" s="584"/>
      <c r="Y143" s="584"/>
      <c r="Z143" s="584"/>
      <c r="AA143" s="584"/>
      <c r="AB143" s="584"/>
      <c r="AC143" s="1311" t="b">
        <f>IF(AD143=4,AF143)</f>
        <v>0</v>
      </c>
      <c r="AD143" s="1311">
        <f t="shared" si="46"/>
        <v>1</v>
      </c>
      <c r="AE143" s="1311">
        <f>IF(V143=0,0,4)</f>
        <v>0</v>
      </c>
      <c r="AF143" s="1193">
        <f>SUM(V143:V151)/($B$137-B142)</f>
        <v>0</v>
      </c>
      <c r="AG143" s="1193"/>
      <c r="AH143" s="1192">
        <f>SUM(D141:D143)+$C$140</f>
        <v>0</v>
      </c>
      <c r="AI143" s="567" t="b">
        <f t="shared" si="47"/>
        <v>0</v>
      </c>
      <c r="AJ143" s="1238">
        <f t="shared" si="69"/>
        <v>53.779595</v>
      </c>
      <c r="AK143" s="1310">
        <f t="shared" si="48"/>
        <v>0.8067499259590819</v>
      </c>
      <c r="AL143" s="1238">
        <f t="shared" si="70"/>
        <v>334.49997885066585</v>
      </c>
      <c r="AM143" s="1238">
        <f t="shared" si="71"/>
        <v>59.291088500000001</v>
      </c>
      <c r="AN143" s="1190">
        <f t="shared" si="49"/>
        <v>0.85977285389573432</v>
      </c>
      <c r="AO143" s="1238">
        <f t="shared" si="72"/>
        <v>412.49502763654965</v>
      </c>
      <c r="AP143" s="1237">
        <f t="shared" si="50"/>
        <v>-42.211863644528236</v>
      </c>
      <c r="AQ143" s="1309">
        <f t="shared" si="73"/>
        <v>-144</v>
      </c>
      <c r="AR143" s="1237">
        <f t="shared" si="51"/>
        <v>-88.5</v>
      </c>
      <c r="AS143" s="1188">
        <f t="shared" si="52"/>
        <v>746.99500648721551</v>
      </c>
      <c r="AT143" s="1308">
        <f t="shared" si="53"/>
        <v>-334.49997885066585</v>
      </c>
      <c r="AU143" s="1236">
        <f t="shared" si="54"/>
        <v>292.2881152061376</v>
      </c>
      <c r="AV143" s="1307"/>
      <c r="AW143" s="1186">
        <f t="shared" si="55"/>
        <v>-53.871256874411401</v>
      </c>
      <c r="AX143" s="1186">
        <f t="shared" si="56"/>
        <v>-34.628743125588606</v>
      </c>
      <c r="AY143" s="1185">
        <f t="shared" si="57"/>
        <v>-215.32818562304504</v>
      </c>
      <c r="AZ143" s="1185">
        <f t="shared" si="58"/>
        <v>-577.55489211565339</v>
      </c>
      <c r="BA143" s="1184">
        <f t="shared" si="59"/>
        <v>215.32818562304504</v>
      </c>
      <c r="BB143" s="1184">
        <f t="shared" si="60"/>
        <v>577.55489211565339</v>
      </c>
      <c r="BD143" s="558"/>
      <c r="CS143" s="524"/>
      <c r="CT143" s="524"/>
      <c r="CU143" s="524"/>
      <c r="CV143" s="524"/>
      <c r="CW143" s="524"/>
      <c r="CX143" s="524"/>
      <c r="ED143" s="1093"/>
      <c r="EE143" s="1093"/>
    </row>
    <row r="144" spans="2:135" ht="21" customHeight="1" thickBot="1" x14ac:dyDescent="0.4">
      <c r="B144" s="1312">
        <v>5</v>
      </c>
      <c r="C144" s="612"/>
      <c r="D144" s="1907">
        <v>0</v>
      </c>
      <c r="E144" s="632" t="s">
        <v>126</v>
      </c>
      <c r="F144" s="584"/>
      <c r="G144" s="584"/>
      <c r="H144" s="1241">
        <v>479.77208100000001</v>
      </c>
      <c r="I144" s="1241">
        <v>61.416098300000002</v>
      </c>
      <c r="J144" s="584">
        <f t="shared" si="61"/>
        <v>61.416098300000002</v>
      </c>
      <c r="K144" s="584">
        <f t="shared" si="62"/>
        <v>30.708049150000001</v>
      </c>
      <c r="L144" s="584">
        <f t="shared" si="63"/>
        <v>0.51066370850547771</v>
      </c>
      <c r="M144" s="584">
        <f t="shared" si="64"/>
        <v>245.00219012085046</v>
      </c>
      <c r="N144" s="584">
        <f t="shared" si="65"/>
        <v>490.00438024170091</v>
      </c>
      <c r="O144" s="584">
        <f>+C140+D141+D142+D143+(D144/2)</f>
        <v>0</v>
      </c>
      <c r="P144" s="584">
        <f t="shared" si="66"/>
        <v>0</v>
      </c>
      <c r="Q144" s="584">
        <f t="shared" si="67"/>
        <v>0</v>
      </c>
      <c r="R144" s="584">
        <f t="shared" si="68"/>
        <v>334.49993130661176</v>
      </c>
      <c r="S144" s="584">
        <f t="shared" si="74"/>
        <v>334.49993130661176</v>
      </c>
      <c r="T144" s="584">
        <f t="shared" si="44"/>
        <v>334.49993130661176</v>
      </c>
      <c r="U144" s="584"/>
      <c r="V144" s="584">
        <f t="shared" si="45"/>
        <v>0</v>
      </c>
      <c r="W144" s="584"/>
      <c r="X144" s="584"/>
      <c r="Y144" s="584"/>
      <c r="Z144" s="584"/>
      <c r="AA144" s="584"/>
      <c r="AB144" s="584"/>
      <c r="AC144" s="1311" t="b">
        <f>IF(AD144=5,AF144)</f>
        <v>0</v>
      </c>
      <c r="AD144" s="1311">
        <f t="shared" si="46"/>
        <v>1</v>
      </c>
      <c r="AE144" s="1311">
        <f>IF(V144=0,0,5)</f>
        <v>0</v>
      </c>
      <c r="AF144" s="1193">
        <f>SUM(V144:V151)/($B$137-B143)</f>
        <v>0</v>
      </c>
      <c r="AG144" s="1193"/>
      <c r="AH144" s="1192">
        <f>SUM(D141:D144)+$C$140</f>
        <v>0</v>
      </c>
      <c r="AI144" s="567" t="b">
        <f t="shared" si="47"/>
        <v>0</v>
      </c>
      <c r="AJ144" s="1238">
        <f t="shared" si="69"/>
        <v>53.779595</v>
      </c>
      <c r="AK144" s="1310">
        <f t="shared" si="48"/>
        <v>0.8067499259590819</v>
      </c>
      <c r="AL144" s="1238">
        <f t="shared" si="70"/>
        <v>334.49997885066585</v>
      </c>
      <c r="AM144" s="1238">
        <f t="shared" si="71"/>
        <v>59.291088500000001</v>
      </c>
      <c r="AN144" s="1190">
        <f t="shared" si="49"/>
        <v>0.85977285389573432</v>
      </c>
      <c r="AO144" s="1238">
        <f t="shared" si="72"/>
        <v>412.49502763654965</v>
      </c>
      <c r="AP144" s="1237">
        <f t="shared" si="50"/>
        <v>-23.275700514272579</v>
      </c>
      <c r="AQ144" s="1309">
        <f t="shared" si="73"/>
        <v>-216</v>
      </c>
      <c r="AR144" s="1237">
        <f t="shared" si="51"/>
        <v>-160.5</v>
      </c>
      <c r="AS144" s="1188">
        <f t="shared" si="52"/>
        <v>746.99500648721551</v>
      </c>
      <c r="AT144" s="1308">
        <f t="shared" si="53"/>
        <v>-334.49997885066585</v>
      </c>
      <c r="AU144" s="1236">
        <f t="shared" si="54"/>
        <v>311.2242783363933</v>
      </c>
      <c r="AV144" s="1307"/>
      <c r="AW144" s="1186">
        <f t="shared" si="55"/>
        <v>-93.630079533073797</v>
      </c>
      <c r="AX144" s="1186">
        <f t="shared" si="56"/>
        <v>-66.869920466926203</v>
      </c>
      <c r="AY144" s="1185">
        <f t="shared" si="57"/>
        <v>-123.8918097458459</v>
      </c>
      <c r="AZ144" s="1185">
        <f t="shared" si="58"/>
        <v>-299.08813799011443</v>
      </c>
      <c r="BA144" s="1184">
        <f t="shared" si="59"/>
        <v>123.8918097458459</v>
      </c>
      <c r="BB144" s="1184">
        <f t="shared" si="60"/>
        <v>299.08813799011443</v>
      </c>
      <c r="BD144" s="558"/>
      <c r="CR144" s="524"/>
      <c r="CS144" s="524"/>
      <c r="CT144" s="524"/>
      <c r="CU144" s="524"/>
      <c r="CV144" s="524"/>
      <c r="CW144" s="524"/>
      <c r="CX144" s="524"/>
      <c r="ED144" s="1093"/>
      <c r="EE144" s="1093"/>
    </row>
    <row r="145" spans="2:135" ht="21" customHeight="1" thickBot="1" x14ac:dyDescent="0.4">
      <c r="B145" s="1312">
        <v>6</v>
      </c>
      <c r="C145" s="612"/>
      <c r="D145" s="1907">
        <v>0</v>
      </c>
      <c r="E145" s="632" t="s">
        <v>126</v>
      </c>
      <c r="F145" s="584"/>
      <c r="G145" s="584"/>
      <c r="H145" s="1241">
        <v>479.77208100000001</v>
      </c>
      <c r="I145" s="1241">
        <v>61.416098300000002</v>
      </c>
      <c r="J145" s="584">
        <f t="shared" si="61"/>
        <v>61.416098300000002</v>
      </c>
      <c r="K145" s="584">
        <f t="shared" si="62"/>
        <v>30.708049150000001</v>
      </c>
      <c r="L145" s="584">
        <f t="shared" si="63"/>
        <v>0.51066370850547771</v>
      </c>
      <c r="M145" s="584">
        <f t="shared" si="64"/>
        <v>245.00219012085046</v>
      </c>
      <c r="N145" s="584">
        <f t="shared" si="65"/>
        <v>490.00438024170091</v>
      </c>
      <c r="O145" s="584">
        <f>+C140+D141+D142+D143+D144+(D145/2)</f>
        <v>0</v>
      </c>
      <c r="P145" s="584">
        <f t="shared" si="66"/>
        <v>0</v>
      </c>
      <c r="Q145" s="584">
        <f t="shared" si="67"/>
        <v>0</v>
      </c>
      <c r="R145" s="584">
        <f t="shared" si="68"/>
        <v>334.49993130661176</v>
      </c>
      <c r="S145" s="584">
        <f t="shared" si="74"/>
        <v>334.49993130661176</v>
      </c>
      <c r="T145" s="584">
        <f t="shared" si="44"/>
        <v>334.49993130661176</v>
      </c>
      <c r="U145" s="584"/>
      <c r="V145" s="584">
        <f t="shared" si="45"/>
        <v>0</v>
      </c>
      <c r="W145" s="584"/>
      <c r="X145" s="584"/>
      <c r="Y145" s="584"/>
      <c r="Z145" s="584"/>
      <c r="AA145" s="584"/>
      <c r="AB145" s="584"/>
      <c r="AC145" s="1311" t="b">
        <f>IF(AD145=6,AF145)</f>
        <v>0</v>
      </c>
      <c r="AD145" s="1311">
        <f t="shared" si="46"/>
        <v>1</v>
      </c>
      <c r="AE145" s="1311">
        <f>IF(V145=0,0,6)</f>
        <v>0</v>
      </c>
      <c r="AF145" s="1193">
        <f>SUM(V145:V151)/($B$137-B144)</f>
        <v>0</v>
      </c>
      <c r="AG145" s="1193"/>
      <c r="AH145" s="1192">
        <f>SUM(D141:D145)+$C$140</f>
        <v>0</v>
      </c>
      <c r="AI145" s="567" t="b">
        <f t="shared" si="47"/>
        <v>0</v>
      </c>
      <c r="AJ145" s="1238">
        <f t="shared" si="69"/>
        <v>53.779595</v>
      </c>
      <c r="AK145" s="1310">
        <f t="shared" si="48"/>
        <v>0.8067499259590819</v>
      </c>
      <c r="AL145" s="1238">
        <f t="shared" si="70"/>
        <v>334.49997885066585</v>
      </c>
      <c r="AM145" s="1238">
        <f t="shared" si="71"/>
        <v>59.291088500000001</v>
      </c>
      <c r="AN145" s="1190">
        <f t="shared" si="49"/>
        <v>0.85977285389573432</v>
      </c>
      <c r="AO145" s="1238">
        <f t="shared" si="72"/>
        <v>412.49502763654965</v>
      </c>
      <c r="AP145" s="1237">
        <f t="shared" si="50"/>
        <v>-16.067741645336554</v>
      </c>
      <c r="AQ145" s="1309">
        <f t="shared" si="73"/>
        <v>-288</v>
      </c>
      <c r="AR145" s="1237">
        <f t="shared" si="51"/>
        <v>-232.5</v>
      </c>
      <c r="AS145" s="1188">
        <f t="shared" si="52"/>
        <v>746.99500648721551</v>
      </c>
      <c r="AT145" s="1308">
        <f t="shared" si="53"/>
        <v>-334.49997885066585</v>
      </c>
      <c r="AU145" s="1236">
        <f t="shared" si="54"/>
        <v>318.43223720532933</v>
      </c>
      <c r="AV145" s="1307"/>
      <c r="AW145" s="1186">
        <f t="shared" si="55"/>
        <v>-133.38890219173618</v>
      </c>
      <c r="AX145" s="1186">
        <f t="shared" si="56"/>
        <v>-99.111097808263793</v>
      </c>
      <c r="AY145" s="1185">
        <f t="shared" si="57"/>
        <v>-86.963756424997797</v>
      </c>
      <c r="AZ145" s="1185">
        <f t="shared" si="58"/>
        <v>-201.79374905816468</v>
      </c>
      <c r="BA145" s="1184">
        <f t="shared" si="59"/>
        <v>86.963756424997797</v>
      </c>
      <c r="BB145" s="1184">
        <f t="shared" si="60"/>
        <v>201.79374905816468</v>
      </c>
      <c r="BD145" s="558"/>
      <c r="CS145" s="524"/>
      <c r="CT145" s="524"/>
      <c r="CU145" s="524"/>
      <c r="CV145" s="524"/>
      <c r="CW145" s="524"/>
      <c r="CX145" s="524"/>
      <c r="ED145" s="1093"/>
      <c r="EE145" s="1093"/>
    </row>
    <row r="146" spans="2:135" ht="21" customHeight="1" thickBot="1" x14ac:dyDescent="0.4">
      <c r="B146" s="1312">
        <v>7</v>
      </c>
      <c r="C146" s="612"/>
      <c r="D146" s="1907">
        <v>0</v>
      </c>
      <c r="E146" s="632" t="s">
        <v>126</v>
      </c>
      <c r="F146" s="584"/>
      <c r="G146" s="584"/>
      <c r="H146" s="1241">
        <v>479.77208100000001</v>
      </c>
      <c r="I146" s="1241">
        <v>61.416098300000002</v>
      </c>
      <c r="J146" s="584">
        <f t="shared" si="61"/>
        <v>61.416098300000002</v>
      </c>
      <c r="K146" s="584">
        <f t="shared" si="62"/>
        <v>30.708049150000001</v>
      </c>
      <c r="L146" s="584">
        <f t="shared" si="63"/>
        <v>0.51066370850547771</v>
      </c>
      <c r="M146" s="584">
        <f t="shared" si="64"/>
        <v>245.00219012085046</v>
      </c>
      <c r="N146" s="584">
        <f t="shared" si="65"/>
        <v>490.00438024170091</v>
      </c>
      <c r="O146" s="584">
        <f>+C140+D141+D142+D143+D144+D145+(D146/2)</f>
        <v>0</v>
      </c>
      <c r="P146" s="584">
        <f t="shared" si="66"/>
        <v>0</v>
      </c>
      <c r="Q146" s="584">
        <f t="shared" si="67"/>
        <v>0</v>
      </c>
      <c r="R146" s="584">
        <f t="shared" si="68"/>
        <v>334.49993130661176</v>
      </c>
      <c r="S146" s="584">
        <f t="shared" si="74"/>
        <v>334.49993130661176</v>
      </c>
      <c r="T146" s="584">
        <f t="shared" si="44"/>
        <v>334.49993130661176</v>
      </c>
      <c r="U146" s="584"/>
      <c r="V146" s="584">
        <f t="shared" si="45"/>
        <v>0</v>
      </c>
      <c r="W146" s="584"/>
      <c r="X146" s="584"/>
      <c r="Y146" s="584"/>
      <c r="Z146" s="584"/>
      <c r="AA146" s="584"/>
      <c r="AB146" s="584"/>
      <c r="AC146" s="1311" t="b">
        <f>IF(AD146=7,AF146)</f>
        <v>0</v>
      </c>
      <c r="AD146" s="1311">
        <f t="shared" si="46"/>
        <v>1</v>
      </c>
      <c r="AE146" s="1311">
        <f>IF(V146=0,0,7)</f>
        <v>0</v>
      </c>
      <c r="AF146" s="1193">
        <f>SUM(V146:V151)/($B$137-B145)</f>
        <v>0</v>
      </c>
      <c r="AG146" s="1193"/>
      <c r="AH146" s="1192">
        <f>SUM(D141:D146)+$C$140</f>
        <v>0</v>
      </c>
      <c r="AI146" s="567" t="b">
        <f t="shared" si="47"/>
        <v>0</v>
      </c>
      <c r="AJ146" s="1238">
        <f t="shared" si="69"/>
        <v>53.779595</v>
      </c>
      <c r="AK146" s="1310">
        <f t="shared" si="48"/>
        <v>0.8067499259590819</v>
      </c>
      <c r="AL146" s="1238">
        <f t="shared" si="70"/>
        <v>334.49997885066585</v>
      </c>
      <c r="AM146" s="1238">
        <f t="shared" si="71"/>
        <v>59.291088500000001</v>
      </c>
      <c r="AN146" s="1190">
        <f t="shared" si="49"/>
        <v>0.85977285389573432</v>
      </c>
      <c r="AO146" s="1238">
        <f t="shared" si="72"/>
        <v>412.49502763654965</v>
      </c>
      <c r="AP146" s="1237">
        <f t="shared" si="50"/>
        <v>-12.268472684862886</v>
      </c>
      <c r="AQ146" s="1309">
        <f t="shared" si="73"/>
        <v>-360</v>
      </c>
      <c r="AR146" s="1237">
        <f t="shared" si="51"/>
        <v>-304.5</v>
      </c>
      <c r="AS146" s="1188">
        <f t="shared" si="52"/>
        <v>746.99500648721551</v>
      </c>
      <c r="AT146" s="1308">
        <f t="shared" si="53"/>
        <v>-334.49997885066585</v>
      </c>
      <c r="AU146" s="1236">
        <f t="shared" si="54"/>
        <v>322.23150616580295</v>
      </c>
      <c r="AV146" s="1307"/>
      <c r="AW146" s="1186">
        <f t="shared" si="55"/>
        <v>-173.14772485039859</v>
      </c>
      <c r="AX146" s="1186">
        <f t="shared" si="56"/>
        <v>-131.35227514960138</v>
      </c>
      <c r="AY146" s="1185">
        <f t="shared" si="57"/>
        <v>-66.994816189600641</v>
      </c>
      <c r="AZ146" s="1185">
        <f t="shared" si="58"/>
        <v>-152.26230361995138</v>
      </c>
      <c r="BA146" s="1184">
        <f t="shared" si="59"/>
        <v>66.994816189600641</v>
      </c>
      <c r="BB146" s="1184">
        <f t="shared" si="60"/>
        <v>152.26230361995138</v>
      </c>
      <c r="BD146" s="558"/>
      <c r="CR146" s="524"/>
      <c r="CS146" s="524"/>
      <c r="CT146" s="524"/>
      <c r="CU146" s="524"/>
      <c r="CV146" s="524"/>
      <c r="CW146" s="524"/>
      <c r="CX146" s="524"/>
      <c r="ED146" s="1093"/>
      <c r="EE146" s="1093"/>
    </row>
    <row r="147" spans="2:135" ht="21" customHeight="1" thickBot="1" x14ac:dyDescent="0.4">
      <c r="B147" s="1312">
        <v>8</v>
      </c>
      <c r="C147" s="612"/>
      <c r="D147" s="1907">
        <v>0</v>
      </c>
      <c r="E147" s="632" t="s">
        <v>126</v>
      </c>
      <c r="F147" s="584"/>
      <c r="G147" s="584"/>
      <c r="H147" s="1241">
        <v>479.77208100000001</v>
      </c>
      <c r="I147" s="1241">
        <v>61.416098300000002</v>
      </c>
      <c r="J147" s="584">
        <f t="shared" si="61"/>
        <v>61.416098300000002</v>
      </c>
      <c r="K147" s="584">
        <f t="shared" si="62"/>
        <v>30.708049150000001</v>
      </c>
      <c r="L147" s="584">
        <f t="shared" si="63"/>
        <v>0.51066370850547771</v>
      </c>
      <c r="M147" s="584">
        <f t="shared" si="64"/>
        <v>245.00219012085046</v>
      </c>
      <c r="N147" s="584">
        <f t="shared" si="65"/>
        <v>490.00438024170091</v>
      </c>
      <c r="O147" s="584">
        <f>+C140+D141+D142+D143+D144+D145+D146+(D147/2)</f>
        <v>0</v>
      </c>
      <c r="P147" s="584">
        <f t="shared" si="66"/>
        <v>0</v>
      </c>
      <c r="Q147" s="584">
        <f t="shared" si="67"/>
        <v>0</v>
      </c>
      <c r="R147" s="584">
        <f t="shared" si="68"/>
        <v>334.49993130661176</v>
      </c>
      <c r="S147" s="584">
        <f t="shared" si="74"/>
        <v>334.49993130661176</v>
      </c>
      <c r="T147" s="584">
        <f t="shared" si="44"/>
        <v>334.49993130661176</v>
      </c>
      <c r="U147" s="584"/>
      <c r="V147" s="584">
        <f t="shared" si="45"/>
        <v>0</v>
      </c>
      <c r="W147" s="584"/>
      <c r="X147" s="584"/>
      <c r="Y147" s="584"/>
      <c r="Z147" s="584"/>
      <c r="AA147" s="584"/>
      <c r="AB147" s="584"/>
      <c r="AC147" s="1311" t="b">
        <f>IF(AD147=8,AF147)</f>
        <v>0</v>
      </c>
      <c r="AD147" s="1311">
        <f t="shared" si="46"/>
        <v>1</v>
      </c>
      <c r="AE147" s="1311">
        <f>IF(V147=0,0,8)</f>
        <v>0</v>
      </c>
      <c r="AF147" s="1193">
        <f>SUM(V147:V151)/($B$137-B146)</f>
        <v>0</v>
      </c>
      <c r="AG147" s="1193"/>
      <c r="AH147" s="1192">
        <f>SUM(D141:D147)+$C$140</f>
        <v>0</v>
      </c>
      <c r="AI147" s="567" t="b">
        <f t="shared" si="47"/>
        <v>0</v>
      </c>
      <c r="AJ147" s="1238">
        <f t="shared" si="69"/>
        <v>53.779595</v>
      </c>
      <c r="AK147" s="1310">
        <f t="shared" si="48"/>
        <v>0.8067499259590819</v>
      </c>
      <c r="AL147" s="1238">
        <f t="shared" si="70"/>
        <v>334.49997885066585</v>
      </c>
      <c r="AM147" s="1238">
        <f t="shared" si="71"/>
        <v>59.291088500000001</v>
      </c>
      <c r="AN147" s="1190">
        <f t="shared" si="49"/>
        <v>0.85977285389573432</v>
      </c>
      <c r="AO147" s="1238">
        <f t="shared" si="72"/>
        <v>412.49502763654965</v>
      </c>
      <c r="AP147" s="1237">
        <f t="shared" si="50"/>
        <v>-9.9223105777974734</v>
      </c>
      <c r="AQ147" s="1309">
        <f t="shared" si="73"/>
        <v>-432</v>
      </c>
      <c r="AR147" s="1237">
        <f t="shared" si="51"/>
        <v>-376.5</v>
      </c>
      <c r="AS147" s="1188">
        <f t="shared" si="52"/>
        <v>746.99500648721551</v>
      </c>
      <c r="AT147" s="1308">
        <f t="shared" si="53"/>
        <v>-334.49997885066585</v>
      </c>
      <c r="AU147" s="1236">
        <f t="shared" si="54"/>
        <v>324.57766827286838</v>
      </c>
      <c r="AV147" s="1307"/>
      <c r="AW147" s="1186">
        <f t="shared" si="55"/>
        <v>-212.906547509061</v>
      </c>
      <c r="AX147" s="1186">
        <f t="shared" si="56"/>
        <v>-163.59345249093897</v>
      </c>
      <c r="AY147" s="1185">
        <f t="shared" si="57"/>
        <v>-54.483998428964803</v>
      </c>
      <c r="AZ147" s="1185">
        <f t="shared" si="58"/>
        <v>-122.25428154655364</v>
      </c>
      <c r="BA147" s="1184">
        <f t="shared" si="59"/>
        <v>54.483998428964803</v>
      </c>
      <c r="BB147" s="1184">
        <f t="shared" si="60"/>
        <v>122.25428154655364</v>
      </c>
      <c r="BD147" s="558"/>
      <c r="CR147" s="524"/>
      <c r="CS147" s="524"/>
      <c r="CT147" s="524"/>
      <c r="CU147" s="524"/>
      <c r="CV147" s="524"/>
      <c r="CW147" s="524"/>
      <c r="CX147" s="524"/>
      <c r="ED147" s="1093"/>
      <c r="EE147" s="1093"/>
    </row>
    <row r="148" spans="2:135" ht="21" customHeight="1" thickBot="1" x14ac:dyDescent="0.4">
      <c r="B148" s="1312">
        <v>9</v>
      </c>
      <c r="C148" s="612"/>
      <c r="D148" s="1907">
        <v>0</v>
      </c>
      <c r="E148" s="632" t="s">
        <v>126</v>
      </c>
      <c r="F148" s="584"/>
      <c r="G148" s="584"/>
      <c r="H148" s="1241">
        <v>479.77208100000001</v>
      </c>
      <c r="I148" s="1241">
        <v>61.416098300000002</v>
      </c>
      <c r="J148" s="584">
        <f t="shared" si="61"/>
        <v>61.416098300000002</v>
      </c>
      <c r="K148" s="584">
        <f t="shared" si="62"/>
        <v>30.708049150000001</v>
      </c>
      <c r="L148" s="584">
        <f t="shared" si="63"/>
        <v>0.51066370850547771</v>
      </c>
      <c r="M148" s="584">
        <f t="shared" si="64"/>
        <v>245.00219012085046</v>
      </c>
      <c r="N148" s="584">
        <f t="shared" si="65"/>
        <v>490.00438024170091</v>
      </c>
      <c r="O148" s="584">
        <f>+C140+D141+D142+D143+D144+D145+D146+D147+(D148/2)</f>
        <v>0</v>
      </c>
      <c r="P148" s="584">
        <f t="shared" si="66"/>
        <v>0</v>
      </c>
      <c r="Q148" s="584">
        <f t="shared" si="67"/>
        <v>0</v>
      </c>
      <c r="R148" s="584">
        <f t="shared" si="68"/>
        <v>334.49993130661176</v>
      </c>
      <c r="S148" s="584">
        <f t="shared" si="74"/>
        <v>334.49993130661176</v>
      </c>
      <c r="T148" s="584">
        <f t="shared" si="44"/>
        <v>334.49993130661176</v>
      </c>
      <c r="U148" s="584"/>
      <c r="V148" s="584">
        <f t="shared" si="45"/>
        <v>0</v>
      </c>
      <c r="W148" s="584"/>
      <c r="X148" s="584"/>
      <c r="Y148" s="584"/>
      <c r="Z148" s="584"/>
      <c r="AA148" s="584"/>
      <c r="AB148" s="584"/>
      <c r="AC148" s="1311" t="b">
        <f>IF(AD148=9,AF148)</f>
        <v>0</v>
      </c>
      <c r="AD148" s="1311">
        <f t="shared" si="46"/>
        <v>1</v>
      </c>
      <c r="AE148" s="1311">
        <f>IF(V148=0,0,9)</f>
        <v>0</v>
      </c>
      <c r="AF148" s="1193">
        <f>SUM(V148:V151)/($B$137-B147)</f>
        <v>0</v>
      </c>
      <c r="AG148" s="1193"/>
      <c r="AH148" s="1192">
        <f>SUM(D141:D148)+$C$140</f>
        <v>0</v>
      </c>
      <c r="AI148" s="567" t="b">
        <f t="shared" si="47"/>
        <v>0</v>
      </c>
      <c r="AJ148" s="1238">
        <f t="shared" si="69"/>
        <v>53.779595</v>
      </c>
      <c r="AK148" s="1310">
        <f t="shared" si="48"/>
        <v>0.8067499259590819</v>
      </c>
      <c r="AL148" s="1238">
        <f t="shared" si="70"/>
        <v>334.49997885066585</v>
      </c>
      <c r="AM148" s="1238">
        <f t="shared" si="71"/>
        <v>59.291088500000001</v>
      </c>
      <c r="AN148" s="1190">
        <f t="shared" si="49"/>
        <v>0.85977285389573432</v>
      </c>
      <c r="AO148" s="1238">
        <f t="shared" si="72"/>
        <v>412.49502763654965</v>
      </c>
      <c r="AP148" s="1237">
        <f t="shared" si="50"/>
        <v>-8.3294312877162735</v>
      </c>
      <c r="AQ148" s="1309">
        <f t="shared" si="73"/>
        <v>-504</v>
      </c>
      <c r="AR148" s="1237">
        <f t="shared" si="51"/>
        <v>-448.5</v>
      </c>
      <c r="AS148" s="1188">
        <f t="shared" si="52"/>
        <v>746.99500648721551</v>
      </c>
      <c r="AT148" s="1308">
        <f t="shared" si="53"/>
        <v>-334.49997885066585</v>
      </c>
      <c r="AU148" s="1236">
        <f t="shared" si="54"/>
        <v>326.17054756294959</v>
      </c>
      <c r="AV148" s="1307"/>
      <c r="AW148" s="1186">
        <f t="shared" si="55"/>
        <v>-252.66537016772341</v>
      </c>
      <c r="AX148" s="1186">
        <f t="shared" si="56"/>
        <v>-195.83462983227659</v>
      </c>
      <c r="AY148" s="1185">
        <f t="shared" si="57"/>
        <v>-45.910525816417696</v>
      </c>
      <c r="AZ148" s="1185">
        <f t="shared" si="58"/>
        <v>-102.12698345093044</v>
      </c>
      <c r="BA148" s="1184">
        <f t="shared" si="59"/>
        <v>45.910525816417696</v>
      </c>
      <c r="BB148" s="1184">
        <f t="shared" si="60"/>
        <v>102.12698345093044</v>
      </c>
      <c r="BD148" s="558"/>
      <c r="CR148" s="524"/>
      <c r="CS148" s="524"/>
      <c r="CT148" s="524"/>
      <c r="CU148" s="524"/>
      <c r="CV148" s="524"/>
      <c r="CW148" s="524"/>
      <c r="CX148" s="524"/>
      <c r="ED148" s="1093"/>
      <c r="EE148" s="1093"/>
    </row>
    <row r="149" spans="2:135" ht="21" customHeight="1" thickBot="1" x14ac:dyDescent="0.4">
      <c r="B149" s="1312">
        <v>10</v>
      </c>
      <c r="C149" s="612"/>
      <c r="D149" s="1907">
        <v>0</v>
      </c>
      <c r="E149" s="632" t="s">
        <v>126</v>
      </c>
      <c r="F149" s="584"/>
      <c r="G149" s="584"/>
      <c r="H149" s="1241">
        <v>479.77208100000001</v>
      </c>
      <c r="I149" s="1241">
        <v>61.416098300000002</v>
      </c>
      <c r="J149" s="584">
        <f t="shared" si="61"/>
        <v>61.416098300000002</v>
      </c>
      <c r="K149" s="584">
        <f t="shared" si="62"/>
        <v>30.708049150000001</v>
      </c>
      <c r="L149" s="584">
        <f t="shared" si="63"/>
        <v>0.51066370850547771</v>
      </c>
      <c r="M149" s="584">
        <f t="shared" si="64"/>
        <v>245.00219012085046</v>
      </c>
      <c r="N149" s="584">
        <f t="shared" si="65"/>
        <v>490.00438024170091</v>
      </c>
      <c r="O149" s="584">
        <f>+C140+D141+D142+D143+D144+D145+D146+D147+D148+(D149/2)</f>
        <v>0</v>
      </c>
      <c r="P149" s="584">
        <f t="shared" si="66"/>
        <v>0</v>
      </c>
      <c r="Q149" s="584">
        <f t="shared" si="67"/>
        <v>0</v>
      </c>
      <c r="R149" s="584">
        <f t="shared" si="68"/>
        <v>334.49993130661176</v>
      </c>
      <c r="S149" s="584">
        <f t="shared" si="74"/>
        <v>334.49993130661176</v>
      </c>
      <c r="T149" s="584">
        <f t="shared" si="44"/>
        <v>334.49993130661176</v>
      </c>
      <c r="U149" s="584"/>
      <c r="V149" s="584">
        <f t="shared" si="45"/>
        <v>0</v>
      </c>
      <c r="W149" s="584"/>
      <c r="X149" s="584"/>
      <c r="Y149" s="584"/>
      <c r="Z149" s="584"/>
      <c r="AA149" s="584"/>
      <c r="AB149" s="584"/>
      <c r="AC149" s="1311" t="b">
        <f>IF(AD149=10,AF149)</f>
        <v>0</v>
      </c>
      <c r="AD149" s="1311">
        <f t="shared" si="46"/>
        <v>1</v>
      </c>
      <c r="AE149" s="1311">
        <f>IF(V149=0,0,10)</f>
        <v>0</v>
      </c>
      <c r="AF149" s="1193">
        <f>SUM(V149:V151)/($B$137-B148)</f>
        <v>0</v>
      </c>
      <c r="AG149" s="1193"/>
      <c r="AH149" s="1192">
        <f>SUM(D141:D149)+$C$140</f>
        <v>0</v>
      </c>
      <c r="AI149" s="567" t="b">
        <f t="shared" si="47"/>
        <v>0</v>
      </c>
      <c r="AJ149" s="1238">
        <f t="shared" si="69"/>
        <v>53.779595</v>
      </c>
      <c r="AK149" s="1310">
        <f t="shared" si="48"/>
        <v>0.8067499259590819</v>
      </c>
      <c r="AL149" s="1238">
        <f t="shared" si="70"/>
        <v>334.49997885066585</v>
      </c>
      <c r="AM149" s="1238">
        <f t="shared" si="71"/>
        <v>59.291088500000001</v>
      </c>
      <c r="AN149" s="1190">
        <f t="shared" si="49"/>
        <v>0.85977285389573432</v>
      </c>
      <c r="AO149" s="1238">
        <f t="shared" si="72"/>
        <v>412.49502763654965</v>
      </c>
      <c r="AP149" s="1237">
        <f t="shared" si="50"/>
        <v>-7.1772332997901032</v>
      </c>
      <c r="AQ149" s="1309">
        <f t="shared" si="73"/>
        <v>-576</v>
      </c>
      <c r="AR149" s="1237">
        <f t="shared" si="51"/>
        <v>-520.5</v>
      </c>
      <c r="AS149" s="1188">
        <f t="shared" si="52"/>
        <v>746.99500648721551</v>
      </c>
      <c r="AT149" s="1308">
        <f t="shared" si="53"/>
        <v>-334.49997885066585</v>
      </c>
      <c r="AU149" s="1236">
        <f t="shared" si="54"/>
        <v>327.32274555087577</v>
      </c>
      <c r="AV149" s="1307"/>
      <c r="AW149" s="1186">
        <f t="shared" si="55"/>
        <v>-292.42419282638582</v>
      </c>
      <c r="AX149" s="1186">
        <f t="shared" si="56"/>
        <v>-228.07580717361418</v>
      </c>
      <c r="AY149" s="1185">
        <f t="shared" si="57"/>
        <v>-39.668400510511098</v>
      </c>
      <c r="AZ149" s="1185">
        <f t="shared" si="58"/>
        <v>-87.690142360323861</v>
      </c>
      <c r="BA149" s="1184">
        <f t="shared" si="59"/>
        <v>39.668400510511098</v>
      </c>
      <c r="BB149" s="1184">
        <f t="shared" si="60"/>
        <v>87.690142360323861</v>
      </c>
      <c r="BD149" s="558"/>
      <c r="CR149" s="524"/>
      <c r="CS149" s="524"/>
      <c r="CT149" s="524"/>
      <c r="CU149" s="524"/>
      <c r="CV149" s="524"/>
      <c r="CW149" s="524"/>
      <c r="CX149" s="524"/>
      <c r="ED149" s="1093"/>
      <c r="EE149" s="1093"/>
    </row>
    <row r="150" spans="2:135" ht="21" hidden="1" customHeight="1" thickBot="1" x14ac:dyDescent="0.4">
      <c r="B150" s="1312">
        <v>11</v>
      </c>
      <c r="C150" s="612"/>
      <c r="D150" s="1907">
        <v>0</v>
      </c>
      <c r="E150" s="632" t="s">
        <v>126</v>
      </c>
      <c r="F150" s="584"/>
      <c r="G150" s="584"/>
      <c r="H150" s="1241">
        <v>479.77208100000001</v>
      </c>
      <c r="I150" s="1241">
        <v>61.416098300000002</v>
      </c>
      <c r="J150" s="584">
        <f t="shared" si="61"/>
        <v>61.416098300000002</v>
      </c>
      <c r="K150" s="584">
        <f t="shared" si="62"/>
        <v>30.708049150000001</v>
      </c>
      <c r="L150" s="584">
        <f t="shared" si="63"/>
        <v>0.51066370850547771</v>
      </c>
      <c r="M150" s="584">
        <f t="shared" si="64"/>
        <v>245.00219012085046</v>
      </c>
      <c r="N150" s="584">
        <f t="shared" si="65"/>
        <v>490.00438024170091</v>
      </c>
      <c r="O150" s="584">
        <f>+C140+D141+D142+D143+D144+D145+D146+D147+D148+D149+(D150/2)</f>
        <v>0</v>
      </c>
      <c r="P150" s="584">
        <f t="shared" si="66"/>
        <v>0</v>
      </c>
      <c r="Q150" s="584">
        <f t="shared" si="67"/>
        <v>0</v>
      </c>
      <c r="R150" s="584">
        <f t="shared" si="68"/>
        <v>334.49993130661176</v>
      </c>
      <c r="S150" s="584">
        <f t="shared" si="74"/>
        <v>334.49993130661176</v>
      </c>
      <c r="T150" s="584">
        <f t="shared" si="44"/>
        <v>334.49993130661176</v>
      </c>
      <c r="U150" s="584"/>
      <c r="V150" s="584">
        <f t="shared" si="45"/>
        <v>0</v>
      </c>
      <c r="W150" s="584"/>
      <c r="X150" s="584"/>
      <c r="Y150" s="584"/>
      <c r="Z150" s="584"/>
      <c r="AA150" s="584"/>
      <c r="AB150" s="584"/>
      <c r="AC150" s="1311" t="b">
        <f>IF(AD150=11,AF150)</f>
        <v>0</v>
      </c>
      <c r="AD150" s="1311">
        <f t="shared" si="46"/>
        <v>1</v>
      </c>
      <c r="AE150" s="1311">
        <f>IF(V150=0,0,11)</f>
        <v>0</v>
      </c>
      <c r="AF150" s="1193">
        <f>SUM(V150:V151)/($B$137-B149)</f>
        <v>0</v>
      </c>
      <c r="AG150" s="1193"/>
      <c r="AH150" s="1192">
        <f>SUM(D141:D150)+$C$140</f>
        <v>0</v>
      </c>
      <c r="AI150" s="567" t="b">
        <f t="shared" si="47"/>
        <v>0</v>
      </c>
      <c r="AJ150" s="1238">
        <f t="shared" si="69"/>
        <v>53.779595</v>
      </c>
      <c r="AK150" s="1310">
        <f t="shared" si="48"/>
        <v>0.8067499259590819</v>
      </c>
      <c r="AL150" s="1238">
        <f t="shared" si="70"/>
        <v>334.49997885066585</v>
      </c>
      <c r="AM150" s="1238">
        <f t="shared" si="71"/>
        <v>59.291088500000001</v>
      </c>
      <c r="AN150" s="1190">
        <f t="shared" si="49"/>
        <v>0.85977285389573432</v>
      </c>
      <c r="AO150" s="1238">
        <f t="shared" si="72"/>
        <v>412.49502763654965</v>
      </c>
      <c r="AP150" s="1237">
        <f t="shared" si="50"/>
        <v>-6.305063177283964</v>
      </c>
      <c r="AQ150" s="1309">
        <f t="shared" si="73"/>
        <v>-648</v>
      </c>
      <c r="AR150" s="1237">
        <f t="shared" si="51"/>
        <v>-592.5</v>
      </c>
      <c r="AS150" s="1188">
        <f t="shared" si="52"/>
        <v>746.99500648721551</v>
      </c>
      <c r="AT150" s="1308">
        <f t="shared" si="53"/>
        <v>-334.49997885066585</v>
      </c>
      <c r="AU150" s="1236">
        <f t="shared" si="54"/>
        <v>328.1949156733819</v>
      </c>
      <c r="AV150" s="1307"/>
      <c r="AW150" s="1186">
        <f t="shared" si="55"/>
        <v>-332.1830154850482</v>
      </c>
      <c r="AX150" s="1186">
        <f t="shared" si="56"/>
        <v>-260.31698451495174</v>
      </c>
      <c r="AY150" s="1185">
        <f t="shared" si="57"/>
        <v>-34.920509054509814</v>
      </c>
      <c r="AZ150" s="1185">
        <f t="shared" si="58"/>
        <v>-76.829408719780503</v>
      </c>
      <c r="BA150" s="1184">
        <f t="shared" si="59"/>
        <v>34.920509054509814</v>
      </c>
      <c r="BB150" s="1184">
        <f t="shared" si="60"/>
        <v>76.829408719780503</v>
      </c>
      <c r="BD150" s="558"/>
      <c r="CR150" s="524"/>
      <c r="CS150" s="524"/>
      <c r="CT150" s="524"/>
      <c r="CU150" s="524"/>
      <c r="CV150" s="524"/>
      <c r="CW150" s="524"/>
      <c r="CX150" s="524"/>
      <c r="ED150" s="1093"/>
      <c r="EE150" s="1093"/>
    </row>
    <row r="151" spans="2:135" ht="21" hidden="1" customHeight="1" thickBot="1" x14ac:dyDescent="0.4">
      <c r="B151" s="1312">
        <v>12</v>
      </c>
      <c r="C151" s="612"/>
      <c r="D151" s="1907">
        <v>0</v>
      </c>
      <c r="E151" s="632" t="s">
        <v>126</v>
      </c>
      <c r="F151" s="584"/>
      <c r="G151" s="584"/>
      <c r="H151" s="1241">
        <v>479.77208100000001</v>
      </c>
      <c r="I151" s="1241">
        <v>61.416098300000002</v>
      </c>
      <c r="J151" s="584">
        <f t="shared" si="61"/>
        <v>61.416098300000002</v>
      </c>
      <c r="K151" s="584">
        <f t="shared" si="62"/>
        <v>30.708049150000001</v>
      </c>
      <c r="L151" s="584">
        <f t="shared" si="63"/>
        <v>0.51066370850547771</v>
      </c>
      <c r="M151" s="584">
        <f t="shared" si="64"/>
        <v>245.00219012085046</v>
      </c>
      <c r="N151" s="584">
        <f t="shared" si="65"/>
        <v>490.00438024170091</v>
      </c>
      <c r="O151" s="584">
        <f>+C140+D141+D142+D143+D144+D145+D146+D147+D148+D149+D150+(D151/2)</f>
        <v>0</v>
      </c>
      <c r="P151" s="584">
        <f t="shared" si="66"/>
        <v>0</v>
      </c>
      <c r="Q151" s="584">
        <f t="shared" si="67"/>
        <v>0</v>
      </c>
      <c r="R151" s="584">
        <f t="shared" si="68"/>
        <v>334.49993130661176</v>
      </c>
      <c r="S151" s="584">
        <f t="shared" si="74"/>
        <v>334.49993130661176</v>
      </c>
      <c r="T151" s="584">
        <f t="shared" si="44"/>
        <v>334.49993130661176</v>
      </c>
      <c r="U151" s="584"/>
      <c r="V151" s="584">
        <f t="shared" si="45"/>
        <v>0</v>
      </c>
      <c r="W151" s="584"/>
      <c r="X151" s="584"/>
      <c r="Y151" s="584"/>
      <c r="Z151" s="584"/>
      <c r="AA151" s="584"/>
      <c r="AB151" s="584"/>
      <c r="AC151" s="1311" t="b">
        <f>IF(AD151=12,AF151)</f>
        <v>0</v>
      </c>
      <c r="AD151" s="1311">
        <f t="shared" si="46"/>
        <v>1</v>
      </c>
      <c r="AE151" s="1311">
        <f>IF(V151=0,0,12)</f>
        <v>0</v>
      </c>
      <c r="AF151" s="1193">
        <f>SUM(V151)/($B$137-B150)</f>
        <v>0</v>
      </c>
      <c r="AG151" s="1193"/>
      <c r="AH151" s="1192">
        <f>SUM(D141:D151)+$C$140</f>
        <v>0</v>
      </c>
      <c r="AI151" s="567" t="b">
        <f t="shared" si="47"/>
        <v>0</v>
      </c>
      <c r="AJ151" s="1238">
        <f t="shared" si="69"/>
        <v>53.779595</v>
      </c>
      <c r="AK151" s="1310">
        <f t="shared" si="48"/>
        <v>0.8067499259590819</v>
      </c>
      <c r="AL151" s="1238">
        <f t="shared" si="70"/>
        <v>334.49997885066585</v>
      </c>
      <c r="AM151" s="1238">
        <f t="shared" si="71"/>
        <v>59.291088500000001</v>
      </c>
      <c r="AN151" s="1190">
        <f t="shared" si="49"/>
        <v>0.85977285389573432</v>
      </c>
      <c r="AO151" s="1238">
        <f t="shared" si="72"/>
        <v>412.49502763654965</v>
      </c>
      <c r="AP151" s="1237">
        <f t="shared" si="50"/>
        <v>-5.6218960610094042</v>
      </c>
      <c r="AQ151" s="1309">
        <f t="shared" si="73"/>
        <v>-720</v>
      </c>
      <c r="AR151" s="1237">
        <f t="shared" si="51"/>
        <v>-664.5</v>
      </c>
      <c r="AS151" s="1188">
        <f t="shared" si="52"/>
        <v>746.99500648721551</v>
      </c>
      <c r="AT151" s="1308">
        <f t="shared" si="53"/>
        <v>-334.49997885066585</v>
      </c>
      <c r="AU151" s="1236">
        <f t="shared" si="54"/>
        <v>328.87808278965645</v>
      </c>
      <c r="AV151" s="1307"/>
      <c r="AW151" s="1186">
        <f t="shared" si="55"/>
        <v>-371.94183814371064</v>
      </c>
      <c r="AX151" s="1186">
        <f t="shared" si="56"/>
        <v>-292.55816185628936</v>
      </c>
      <c r="AY151" s="1185">
        <f t="shared" si="57"/>
        <v>-31.187671862604496</v>
      </c>
      <c r="AZ151" s="1185">
        <f t="shared" si="58"/>
        <v>-68.362474911311537</v>
      </c>
      <c r="BA151" s="1184">
        <f t="shared" si="59"/>
        <v>31.187671862604496</v>
      </c>
      <c r="BB151" s="1184">
        <f t="shared" si="60"/>
        <v>68.362474911311537</v>
      </c>
      <c r="BD151" s="558"/>
      <c r="CR151" s="524"/>
      <c r="CS151" s="524"/>
      <c r="CT151" s="524"/>
      <c r="CU151" s="524"/>
      <c r="CV151" s="524"/>
      <c r="CW151" s="524"/>
      <c r="CX151" s="524"/>
      <c r="ED151" s="1093"/>
      <c r="EE151" s="1093"/>
    </row>
    <row r="152" spans="2:135" ht="21" x14ac:dyDescent="0.4">
      <c r="B152" s="515"/>
      <c r="C152" s="515"/>
      <c r="D152" s="516"/>
      <c r="E152" s="516"/>
      <c r="F152" s="516"/>
      <c r="G152" s="516"/>
      <c r="H152" s="471"/>
      <c r="I152" s="471"/>
      <c r="J152" s="471"/>
      <c r="K152" s="471"/>
      <c r="L152" s="471"/>
      <c r="M152" s="471"/>
      <c r="N152" s="471"/>
      <c r="O152" s="471"/>
      <c r="P152" s="471"/>
      <c r="Q152" s="471"/>
      <c r="R152" s="471"/>
      <c r="S152" s="471"/>
      <c r="T152" s="471"/>
      <c r="U152" s="558"/>
      <c r="V152" s="471"/>
      <c r="W152" s="471"/>
      <c r="X152" s="471"/>
      <c r="Y152" s="471"/>
      <c r="Z152" s="471"/>
      <c r="AA152" s="471"/>
      <c r="AB152" s="471"/>
      <c r="AC152" s="471"/>
      <c r="AD152" s="471"/>
      <c r="AE152" s="471"/>
      <c r="AF152" s="471"/>
      <c r="AG152" s="471"/>
      <c r="AH152" s="1306" t="s">
        <v>125</v>
      </c>
      <c r="AI152" s="1305">
        <f>MAX(AI140:AI151)</f>
        <v>0</v>
      </c>
      <c r="AJ152" s="471"/>
      <c r="AK152" s="471"/>
      <c r="AL152" s="471"/>
      <c r="AM152" s="471"/>
      <c r="AN152" s="471"/>
      <c r="AO152" s="471"/>
      <c r="AP152" s="471"/>
      <c r="AQ152" s="471"/>
      <c r="AR152" s="471"/>
      <c r="AS152" s="471"/>
      <c r="AT152" s="471"/>
      <c r="AU152" s="471"/>
      <c r="AV152" s="471"/>
      <c r="AW152" s="471"/>
      <c r="AX152" s="471"/>
      <c r="AY152" s="471"/>
      <c r="AZ152" s="471"/>
      <c r="BA152" s="471"/>
      <c r="BB152" s="471"/>
      <c r="BC152" s="506"/>
      <c r="BD152" s="558"/>
      <c r="CR152" s="524"/>
      <c r="CS152" s="524"/>
      <c r="CT152" s="524"/>
      <c r="CU152" s="524"/>
      <c r="CV152" s="524"/>
      <c r="CW152" s="524"/>
      <c r="CX152" s="524"/>
      <c r="ED152" s="1093"/>
      <c r="EE152" s="1093"/>
    </row>
    <row r="153" spans="2:135" ht="18" hidden="1" x14ac:dyDescent="0.35">
      <c r="B153" s="535"/>
      <c r="C153" s="515"/>
      <c r="D153" s="516"/>
      <c r="E153" s="516"/>
      <c r="F153" s="516"/>
      <c r="G153" s="516"/>
      <c r="H153" s="471"/>
      <c r="I153" s="471"/>
      <c r="J153" s="471"/>
      <c r="K153" s="471"/>
      <c r="L153" s="471"/>
      <c r="M153" s="471"/>
      <c r="N153" s="471"/>
      <c r="O153" s="471"/>
      <c r="P153" s="471"/>
      <c r="Q153" s="471"/>
      <c r="R153" s="471"/>
      <c r="S153" s="471"/>
      <c r="T153" s="471"/>
      <c r="U153" s="558"/>
      <c r="V153" s="471"/>
      <c r="W153" s="471"/>
      <c r="X153" s="471"/>
      <c r="Y153" s="471"/>
      <c r="Z153" s="471"/>
      <c r="AA153" s="471"/>
      <c r="AB153" s="471"/>
      <c r="AC153" s="471"/>
      <c r="AD153" s="471"/>
      <c r="AE153" s="471"/>
      <c r="AF153" s="471"/>
      <c r="AG153" s="471"/>
      <c r="AH153" s="471"/>
      <c r="AI153" s="471"/>
      <c r="AJ153" s="471"/>
      <c r="AK153" s="471"/>
      <c r="AL153" s="471"/>
      <c r="AM153" s="471"/>
      <c r="AN153" s="471"/>
      <c r="AO153" s="471"/>
      <c r="AP153" s="471"/>
      <c r="AQ153" s="471"/>
      <c r="AR153" s="471"/>
      <c r="AS153" s="471"/>
      <c r="AT153" s="471"/>
      <c r="AU153" s="471"/>
      <c r="AV153" s="471"/>
      <c r="AW153" s="471"/>
      <c r="AX153" s="471"/>
      <c r="AY153" s="471"/>
      <c r="AZ153" s="471"/>
      <c r="BA153" s="471"/>
      <c r="BB153" s="471"/>
      <c r="BC153" s="506"/>
      <c r="BD153" s="558"/>
      <c r="CR153" s="524"/>
      <c r="CS153" s="524"/>
      <c r="CT153" s="524"/>
      <c r="CU153" s="524"/>
      <c r="CV153" s="524"/>
      <c r="CW153" s="524"/>
    </row>
    <row r="154" spans="2:135" ht="21.6" hidden="1" thickBot="1" x14ac:dyDescent="0.45">
      <c r="B154" s="535"/>
      <c r="AB154" s="1222"/>
      <c r="AC154" s="1222"/>
      <c r="AD154" s="1222"/>
      <c r="AE154" s="1222"/>
      <c r="AH154" s="1304" t="s">
        <v>125</v>
      </c>
      <c r="AI154" s="1303">
        <f>MAX(AI140:AI152)</f>
        <v>0</v>
      </c>
      <c r="BG154" s="524"/>
      <c r="CR154" s="524"/>
      <c r="CS154" s="524"/>
      <c r="CT154" s="524"/>
      <c r="CU154" s="524"/>
      <c r="CV154" s="524"/>
      <c r="CW154" s="524"/>
    </row>
    <row r="155" spans="2:135" hidden="1" x14ac:dyDescent="0.3">
      <c r="V155" s="1232"/>
      <c r="W155" s="1232"/>
      <c r="X155" s="1232"/>
      <c r="Y155" s="1232"/>
      <c r="Z155" s="1232"/>
      <c r="AA155" s="1232"/>
      <c r="AB155" s="1232"/>
      <c r="AC155" s="1232"/>
      <c r="AD155" s="1232"/>
      <c r="AE155" s="1232"/>
      <c r="AF155" s="1232"/>
      <c r="AG155" s="1232"/>
      <c r="AH155" s="1232"/>
      <c r="AI155" s="1232"/>
      <c r="AJ155" s="1232"/>
      <c r="AK155" s="1232"/>
      <c r="AL155" s="1232"/>
      <c r="AM155" s="1232"/>
      <c r="AN155" s="1232"/>
      <c r="AO155" s="1232"/>
      <c r="AP155" s="1232"/>
      <c r="AQ155" s="1232"/>
      <c r="AR155" s="1232"/>
      <c r="AS155" s="1232"/>
      <c r="AT155" s="1232">
        <f>+AS140-AP140</f>
        <v>528.80092816080924</v>
      </c>
      <c r="AU155" s="1232"/>
      <c r="AV155" s="1232"/>
      <c r="AW155" s="1232"/>
      <c r="AX155" s="1232"/>
      <c r="AY155" s="1232"/>
      <c r="AZ155" s="1232"/>
      <c r="BA155" s="1232"/>
      <c r="BB155" s="1232"/>
      <c r="BC155" s="489"/>
      <c r="CR155" s="524"/>
      <c r="CS155" s="524"/>
      <c r="CT155" s="524"/>
      <c r="CU155" s="524"/>
      <c r="CV155" s="524"/>
      <c r="CW155" s="524"/>
    </row>
    <row r="156" spans="2:135" ht="18" thickBot="1" x14ac:dyDescent="0.35">
      <c r="U156" s="465"/>
      <c r="V156" s="1232"/>
      <c r="W156" s="1232"/>
      <c r="X156" s="1232"/>
      <c r="Y156" s="1232"/>
      <c r="Z156" s="1232"/>
      <c r="AA156" s="1232"/>
      <c r="AB156" s="1232"/>
      <c r="AC156" s="1232"/>
      <c r="AD156" s="1232"/>
      <c r="AE156" s="1232"/>
      <c r="AF156" s="1232"/>
      <c r="AG156" s="1232"/>
      <c r="AH156" s="1232"/>
      <c r="AI156" s="1232"/>
      <c r="AJ156" s="1232"/>
      <c r="AK156" s="1232"/>
      <c r="AL156" s="1232"/>
      <c r="AM156" s="1232"/>
      <c r="AN156" s="1232"/>
      <c r="AO156" s="1232"/>
      <c r="AP156" s="1232"/>
      <c r="AQ156" s="1232"/>
      <c r="AR156" s="1232"/>
      <c r="AS156" s="1232"/>
      <c r="AT156" s="1232"/>
      <c r="AU156" s="1232"/>
      <c r="AV156" s="1232"/>
      <c r="AW156" s="1232"/>
      <c r="AX156" s="1232"/>
      <c r="AY156" s="1232"/>
      <c r="AZ156" s="1232"/>
      <c r="BA156" s="1232"/>
      <c r="BB156" s="1232"/>
      <c r="BC156" s="489"/>
      <c r="BD156" s="473"/>
      <c r="BG156" s="524"/>
      <c r="CR156" s="524"/>
      <c r="CS156" s="524"/>
      <c r="CT156" s="524"/>
      <c r="CU156" s="524"/>
      <c r="CV156" s="524"/>
      <c r="CW156" s="524"/>
    </row>
    <row r="157" spans="2:135" ht="78.75" customHeight="1" thickBot="1" x14ac:dyDescent="0.45">
      <c r="B157" s="1903" t="s">
        <v>42</v>
      </c>
      <c r="C157" s="592"/>
      <c r="D157" s="643"/>
      <c r="E157" s="593"/>
      <c r="F157" s="593"/>
      <c r="G157" s="593"/>
      <c r="H157" s="1224"/>
      <c r="I157" s="1224"/>
      <c r="J157" s="1224"/>
      <c r="K157" s="1224"/>
      <c r="L157" s="1224"/>
      <c r="M157" s="1224"/>
      <c r="N157" s="1224"/>
      <c r="O157" s="1224"/>
      <c r="P157" s="1224"/>
      <c r="Q157" s="1224"/>
      <c r="R157" s="1224"/>
      <c r="S157" s="1234" t="s">
        <v>105</v>
      </c>
      <c r="T157" s="1234">
        <f>SUM(V161:V184)/B158</f>
        <v>146.5</v>
      </c>
      <c r="U157" s="1233"/>
      <c r="V157" s="1232"/>
      <c r="W157" s="1232"/>
      <c r="X157" s="1232"/>
      <c r="Y157" s="1232"/>
      <c r="Z157" s="1232"/>
      <c r="AA157" s="1232"/>
      <c r="AB157" s="1232"/>
      <c r="AC157" s="1232"/>
      <c r="AD157" s="1232"/>
      <c r="AE157" s="1232"/>
      <c r="AF157" s="1232"/>
      <c r="AG157" s="1232"/>
      <c r="AH157" s="1232"/>
      <c r="AI157" s="1232"/>
      <c r="AJ157" s="1232"/>
      <c r="AK157" s="1232"/>
      <c r="AL157" s="1232"/>
      <c r="AM157" s="1232"/>
      <c r="AN157" s="1232"/>
      <c r="AO157" s="1232"/>
      <c r="AP157" s="1232"/>
      <c r="AQ157" s="1232"/>
      <c r="AR157" s="1232"/>
      <c r="AS157" s="1232"/>
      <c r="AT157" s="1232"/>
      <c r="AU157" s="1232"/>
      <c r="AV157" s="1232"/>
      <c r="AW157" s="1232"/>
      <c r="AX157" s="1232"/>
      <c r="AY157" s="1232"/>
      <c r="AZ157" s="1232"/>
      <c r="BA157" s="1232"/>
      <c r="BB157" s="1232"/>
      <c r="BC157" s="489"/>
      <c r="BD157" s="598"/>
      <c r="BE157" s="598"/>
      <c r="BF157" s="598"/>
      <c r="BG157" s="524"/>
      <c r="BO157" s="524"/>
      <c r="CR157" s="524"/>
      <c r="CS157" s="524"/>
      <c r="CT157" s="524"/>
      <c r="CU157" s="524"/>
      <c r="CV157" s="524"/>
      <c r="CW157" s="524"/>
    </row>
    <row r="158" spans="2:135" ht="27" customHeight="1" thickBot="1" x14ac:dyDescent="0.45">
      <c r="B158" s="1904">
        <v>1</v>
      </c>
      <c r="C158" s="773"/>
      <c r="D158" s="547" t="s">
        <v>71</v>
      </c>
      <c r="E158" s="772"/>
      <c r="F158" s="772"/>
      <c r="G158" s="772"/>
      <c r="H158" s="1231"/>
      <c r="I158" s="1230"/>
      <c r="J158" s="1230"/>
      <c r="K158" s="1230"/>
      <c r="L158" s="1230"/>
      <c r="M158" s="1230"/>
      <c r="N158" s="1230"/>
      <c r="O158" s="1230"/>
      <c r="P158" s="1230"/>
      <c r="Q158" s="1230"/>
      <c r="R158" s="1230"/>
      <c r="S158" s="1229"/>
      <c r="T158" s="1228"/>
      <c r="U158" s="1227"/>
      <c r="V158" s="1226"/>
      <c r="W158" s="1226"/>
      <c r="X158" s="1226"/>
      <c r="Y158" s="1226"/>
      <c r="Z158" s="1226"/>
      <c r="AA158" s="1226"/>
      <c r="AB158" s="1226"/>
      <c r="AC158" s="1226"/>
      <c r="AD158" s="1226"/>
      <c r="AE158" s="1226"/>
      <c r="AF158" s="1226"/>
      <c r="AG158" s="1226"/>
      <c r="AH158" s="1226"/>
      <c r="AI158" s="1226"/>
      <c r="AJ158" s="1226"/>
      <c r="AK158" s="1226"/>
      <c r="AL158" s="1226"/>
      <c r="AM158" s="1226"/>
      <c r="AN158" s="1226"/>
      <c r="AO158" s="1226"/>
      <c r="AP158" s="1226"/>
      <c r="AQ158" s="1226"/>
      <c r="AR158" s="1226"/>
      <c r="AS158" s="1226"/>
      <c r="AT158" s="1226"/>
      <c r="AU158" s="1226"/>
      <c r="AV158" s="1226"/>
      <c r="AW158" s="1226"/>
      <c r="AX158" s="1226"/>
      <c r="AY158" s="1226"/>
      <c r="AZ158" s="1226"/>
      <c r="BA158" s="2096" t="s">
        <v>68</v>
      </c>
      <c r="BB158" s="2097"/>
      <c r="BC158" s="599"/>
      <c r="BD158" s="600"/>
      <c r="BE158" s="600"/>
      <c r="BF158" s="600"/>
      <c r="BG158" s="524"/>
      <c r="BH158" s="524"/>
      <c r="BI158" s="524"/>
      <c r="BJ158" s="524"/>
      <c r="BK158" s="524"/>
      <c r="BL158" s="524"/>
      <c r="BM158" s="524"/>
      <c r="BN158" s="524"/>
      <c r="BO158" s="524"/>
      <c r="CR158" s="524"/>
      <c r="CS158" s="524"/>
      <c r="CT158" s="524"/>
      <c r="CU158" s="524"/>
      <c r="CV158" s="524"/>
      <c r="CW158" s="524"/>
    </row>
    <row r="159" spans="2:135" ht="3" hidden="1" customHeight="1" thickTop="1" thickBot="1" x14ac:dyDescent="0.35">
      <c r="B159" s="536"/>
      <c r="C159" s="537"/>
      <c r="D159" s="1071" t="s">
        <v>13</v>
      </c>
      <c r="E159" s="516"/>
      <c r="F159" s="516"/>
      <c r="G159" s="516"/>
      <c r="H159" s="1225" t="s">
        <v>4</v>
      </c>
      <c r="I159" s="1225" t="s">
        <v>1</v>
      </c>
      <c r="J159" s="1224" t="s">
        <v>0</v>
      </c>
      <c r="K159" s="1224" t="s">
        <v>2</v>
      </c>
      <c r="L159" s="1224" t="s">
        <v>3</v>
      </c>
      <c r="M159" s="1224" t="s">
        <v>8</v>
      </c>
      <c r="N159" s="1224" t="s">
        <v>5</v>
      </c>
      <c r="O159" s="1224" t="s">
        <v>6</v>
      </c>
      <c r="P159" s="1224" t="s">
        <v>7</v>
      </c>
      <c r="Q159" s="1224" t="s">
        <v>9</v>
      </c>
      <c r="R159" s="1216" t="s">
        <v>10</v>
      </c>
      <c r="S159" s="1224" t="s">
        <v>11</v>
      </c>
      <c r="T159" s="1223" t="s">
        <v>12</v>
      </c>
      <c r="U159" s="1214"/>
      <c r="V159" s="1213"/>
      <c r="W159" s="1213"/>
      <c r="X159" s="1213"/>
      <c r="Y159" s="1213"/>
      <c r="Z159" s="1213"/>
      <c r="AA159" s="1213"/>
      <c r="AB159" s="1213"/>
      <c r="AC159" s="1213"/>
      <c r="AD159" s="1213"/>
      <c r="AE159" s="1213"/>
      <c r="AF159" s="1213"/>
      <c r="AG159" s="1213"/>
      <c r="AH159" s="1213"/>
      <c r="AI159" s="1213"/>
      <c r="AJ159" s="1213"/>
      <c r="AK159" s="1213"/>
      <c r="AL159" s="1213"/>
      <c r="AM159" s="1213"/>
      <c r="AN159" s="1213"/>
      <c r="AO159" s="1213"/>
      <c r="AP159" s="1213"/>
      <c r="AQ159" s="1213"/>
      <c r="AR159" s="1213"/>
      <c r="AS159" s="1213"/>
      <c r="AT159" s="1213"/>
      <c r="AU159" s="1213"/>
      <c r="AV159" s="1213"/>
      <c r="AW159" s="1213"/>
      <c r="AX159" s="1213"/>
      <c r="AY159" s="1222"/>
      <c r="AZ159" s="1213"/>
      <c r="BA159" s="1213"/>
      <c r="BB159" s="1213"/>
      <c r="BC159" s="541"/>
      <c r="BD159" s="540"/>
      <c r="BE159" s="506"/>
      <c r="BF159" s="506"/>
      <c r="BG159" s="524"/>
      <c r="BH159" s="524"/>
      <c r="BI159" s="524"/>
      <c r="BJ159" s="524"/>
      <c r="BK159" s="524"/>
      <c r="BL159" s="524"/>
      <c r="BM159" s="524"/>
      <c r="BN159" s="524"/>
      <c r="BO159" s="524"/>
      <c r="CR159" s="524"/>
      <c r="CS159" s="524"/>
      <c r="CT159" s="524"/>
      <c r="CU159" s="524"/>
      <c r="CV159" s="524"/>
      <c r="CW159" s="524"/>
    </row>
    <row r="160" spans="2:135" ht="42" customHeight="1" thickBot="1" x14ac:dyDescent="0.45">
      <c r="B160" s="1221"/>
      <c r="C160" s="1220"/>
      <c r="D160" s="1901" t="s">
        <v>24</v>
      </c>
      <c r="E160" s="772"/>
      <c r="F160" s="1219" t="s">
        <v>58</v>
      </c>
      <c r="G160" s="1067"/>
      <c r="H160" s="1218"/>
      <c r="I160" s="1217"/>
      <c r="J160" s="471"/>
      <c r="K160" s="471"/>
      <c r="L160" s="471"/>
      <c r="M160" s="471"/>
      <c r="N160" s="471"/>
      <c r="O160" s="471"/>
      <c r="P160" s="471"/>
      <c r="Q160" s="471"/>
      <c r="R160" s="1216"/>
      <c r="S160" s="471"/>
      <c r="T160" s="1215"/>
      <c r="U160" s="1214"/>
      <c r="V160" s="1213"/>
      <c r="W160" s="1213"/>
      <c r="X160" s="1213"/>
      <c r="Y160" s="1213"/>
      <c r="Z160" s="1213"/>
      <c r="AA160" s="1213"/>
      <c r="AB160" s="1213"/>
      <c r="AC160" s="1213"/>
      <c r="AD160" s="1213"/>
      <c r="AE160" s="1213"/>
      <c r="AF160" s="1213" t="s">
        <v>51</v>
      </c>
      <c r="AG160" s="1028" t="s">
        <v>189</v>
      </c>
      <c r="AH160" s="1212" t="s">
        <v>44</v>
      </c>
      <c r="AI160" s="1212"/>
      <c r="AJ160" s="1059" t="s">
        <v>96</v>
      </c>
      <c r="AK160" s="1211" t="s">
        <v>45</v>
      </c>
      <c r="AL160" s="1210" t="s">
        <v>46</v>
      </c>
      <c r="AM160" s="1059" t="s">
        <v>97</v>
      </c>
      <c r="AN160" s="1209" t="s">
        <v>47</v>
      </c>
      <c r="AO160" s="1210" t="s">
        <v>48</v>
      </c>
      <c r="AP160" s="1209"/>
      <c r="AQ160" s="1208" t="s">
        <v>49</v>
      </c>
      <c r="AR160" s="1207"/>
      <c r="AS160" s="1207" t="s">
        <v>50</v>
      </c>
      <c r="AT160" s="1207" t="s">
        <v>52</v>
      </c>
      <c r="AU160" s="1207"/>
      <c r="AV160" s="1207" t="s">
        <v>53</v>
      </c>
      <c r="AW160" s="1206" t="s">
        <v>54</v>
      </c>
      <c r="AX160" s="1206" t="s">
        <v>55</v>
      </c>
      <c r="AY160" s="1205" t="s">
        <v>25</v>
      </c>
      <c r="AZ160" s="1205" t="s">
        <v>26</v>
      </c>
      <c r="BA160" s="1204" t="s">
        <v>25</v>
      </c>
      <c r="BB160" s="1204" t="s">
        <v>26</v>
      </c>
      <c r="BC160" s="506"/>
      <c r="BD160" s="540"/>
      <c r="BE160" s="506"/>
      <c r="BF160" s="506"/>
      <c r="BG160" s="524"/>
      <c r="BH160" s="524"/>
      <c r="BI160" s="524"/>
      <c r="BJ160" s="524"/>
      <c r="BK160" s="524"/>
      <c r="BL160" s="524"/>
      <c r="BM160" s="524"/>
      <c r="BN160" s="524"/>
      <c r="BO160" s="524"/>
      <c r="BP160" s="473"/>
      <c r="CR160" s="524"/>
      <c r="CS160" s="524"/>
      <c r="CT160" s="524"/>
      <c r="CU160" s="524"/>
      <c r="CV160" s="524"/>
      <c r="CW160" s="524"/>
    </row>
    <row r="161" spans="1:101" ht="21" customHeight="1" thickBot="1" x14ac:dyDescent="0.35">
      <c r="B161" s="1203">
        <v>1</v>
      </c>
      <c r="C161" s="1202">
        <f>+AI154+D161</f>
        <v>0</v>
      </c>
      <c r="D161" s="1907">
        <v>0</v>
      </c>
      <c r="E161" s="632" t="s">
        <v>73</v>
      </c>
      <c r="F161" s="584">
        <f t="shared" ref="F161:F184" si="75">+G161</f>
        <v>0</v>
      </c>
      <c r="G161" s="584">
        <f>+D161</f>
        <v>0</v>
      </c>
      <c r="H161" s="1302">
        <v>190.76</v>
      </c>
      <c r="I161" s="1301">
        <v>79.651040199999997</v>
      </c>
      <c r="J161" s="1299">
        <f>+I161-C161</f>
        <v>79.651040199999997</v>
      </c>
      <c r="K161" s="1299">
        <f t="shared" ref="K161:K184" si="76">+J161/2</f>
        <v>39.825520099999999</v>
      </c>
      <c r="L161" s="1299">
        <f t="shared" ref="L161:L184" si="77">SIN(K161*3.14159265358979/180)</f>
        <v>0.64045183696587837</v>
      </c>
      <c r="M161" s="1299">
        <f t="shared" ref="M161:M184" si="78">+L161*H161</f>
        <v>122.17259241961095</v>
      </c>
      <c r="N161" s="1299">
        <f t="shared" ref="N161:N184" si="79">+M161*2</f>
        <v>244.3451848392219</v>
      </c>
      <c r="O161" s="1299">
        <f>+C161/2</f>
        <v>0</v>
      </c>
      <c r="P161" s="1299">
        <f t="shared" ref="P161:P184" si="80">SIN(O161*3.14159265358979/180)</f>
        <v>0</v>
      </c>
      <c r="Q161" s="1299">
        <f t="shared" ref="Q161:Q184" si="81">+P161*N161</f>
        <v>0</v>
      </c>
      <c r="R161" s="1300">
        <v>146.5</v>
      </c>
      <c r="S161" s="1299">
        <f>+R161+Q161</f>
        <v>146.5</v>
      </c>
      <c r="T161" s="1298">
        <f t="shared" ref="T161:T184" si="82">+S161</f>
        <v>146.5</v>
      </c>
      <c r="U161" s="1224"/>
      <c r="V161" s="1296">
        <f t="shared" ref="V161:V184" si="83">IF(B161&lt;($B$158+1),T161,0)</f>
        <v>146.5</v>
      </c>
      <c r="W161" s="1296"/>
      <c r="X161" s="1296"/>
      <c r="Y161" s="1296"/>
      <c r="Z161" s="1296"/>
      <c r="AA161" s="1296"/>
      <c r="AB161" s="1195" t="str">
        <f t="shared" ref="AB161:AB184" si="84">IF(AZ161&lt;0,"pin in groundstacking hole"," ")</f>
        <v xml:space="preserve"> </v>
      </c>
      <c r="AC161" s="1297"/>
      <c r="AD161" s="1297"/>
      <c r="AE161" s="1297"/>
      <c r="AF161" s="1296">
        <f>SUM(V161:V184)/($B$158)</f>
        <v>146.5</v>
      </c>
      <c r="AG161" s="1296">
        <f>+AF161+AA140+AA107</f>
        <v>146.50001391867153</v>
      </c>
      <c r="AH161" s="1295">
        <f>C161</f>
        <v>0</v>
      </c>
      <c r="AI161" s="1294"/>
      <c r="AJ161" s="1292">
        <f t="shared" ref="AJ161:AJ184" si="85">69.3447148-AH161</f>
        <v>69.344714800000006</v>
      </c>
      <c r="AK161" s="1293">
        <f t="shared" ref="AK161:AK184" si="86">SIN(AJ161*3.14159265358979/180)</f>
        <v>0.93571960494171247</v>
      </c>
      <c r="AL161" s="1290">
        <f t="shared" ref="AL161:AL184" si="87">+AK161*192.42</f>
        <v>180.0511663828843</v>
      </c>
      <c r="AM161" s="1292">
        <f t="shared" ref="AM161:AM184" si="88">50.1744799+AH161</f>
        <v>50.174479900000001</v>
      </c>
      <c r="AN161" s="1291">
        <f t="shared" ref="AN161:AN184" si="89">SIN(AM161*3.14159265358979/180)</f>
        <v>0.76799833627881664</v>
      </c>
      <c r="AO161" s="1290">
        <f t="shared" ref="AO161:AO184" si="90">+AN161*190.76</f>
        <v>146.50336262854705</v>
      </c>
      <c r="AP161" s="1289"/>
      <c r="AQ161" s="1290">
        <f>25.5*B158</f>
        <v>25.5</v>
      </c>
      <c r="AR161" s="1289"/>
      <c r="AS161" s="1288">
        <f t="shared" ref="AS161:AS184" si="91">+AO161+AL161</f>
        <v>326.55452901143133</v>
      </c>
      <c r="AT161" s="1286">
        <f t="shared" ref="AT161:AT184" si="92">+V161-AO161</f>
        <v>-3.3626285470518269E-3</v>
      </c>
      <c r="AU161" s="1287"/>
      <c r="AV161" s="1286">
        <f t="shared" ref="AV161:AV184" si="93">+AF161-AT161</f>
        <v>146.50336262854705</v>
      </c>
      <c r="AW161" s="1285">
        <f t="shared" ref="AW161:AW184" si="94">+((AS161-AV161)/AS161)*AQ161</f>
        <v>14.059840960291279</v>
      </c>
      <c r="AX161" s="1285">
        <f t="shared" ref="AX161:AX184" si="95">+(AV161/AS161)*AQ161</f>
        <v>11.440159039708721</v>
      </c>
      <c r="AY161" s="1185">
        <f t="shared" ref="AY161:AY184" si="96">2*$C$18/AW161</f>
        <v>825.04489437408847</v>
      </c>
      <c r="AZ161" s="1185">
        <f t="shared" ref="AZ161:AZ184" si="97">$D$18/AX161</f>
        <v>874.11372213358766</v>
      </c>
      <c r="BA161" s="1184">
        <f t="shared" ref="BA161:BA184" si="98">ABS(AY161)</f>
        <v>825.04489437408847</v>
      </c>
      <c r="BB161" s="1184">
        <f t="shared" ref="BB161:BB184" si="99">ABS(AZ161)</f>
        <v>874.11372213358766</v>
      </c>
      <c r="BC161" s="586" t="s">
        <v>56</v>
      </c>
      <c r="BD161" s="630"/>
      <c r="BG161" s="524"/>
      <c r="BO161" s="524"/>
      <c r="BP161" s="473"/>
      <c r="CR161" s="524"/>
      <c r="CS161" s="524"/>
      <c r="CT161" s="524"/>
      <c r="CU161" s="524"/>
      <c r="CV161" s="524"/>
      <c r="CW161" s="524"/>
    </row>
    <row r="162" spans="1:101" ht="21" customHeight="1" thickBot="1" x14ac:dyDescent="0.35">
      <c r="B162" s="631">
        <v>2</v>
      </c>
      <c r="C162" s="612"/>
      <c r="D162" s="1907">
        <v>0</v>
      </c>
      <c r="E162" s="632" t="s">
        <v>72</v>
      </c>
      <c r="F162" s="584" t="e">
        <f t="shared" si="75"/>
        <v>#DIV/0!</v>
      </c>
      <c r="G162" s="584" t="e">
        <f t="shared" ref="G162:G184" si="100">+D162+BC162</f>
        <v>#DIV/0!</v>
      </c>
      <c r="H162" s="1199">
        <v>190.76</v>
      </c>
      <c r="I162" s="1198">
        <v>79.651040199999997</v>
      </c>
      <c r="J162" s="1197">
        <f t="shared" ref="J162:J184" si="101">+I162-D162</f>
        <v>79.651040199999997</v>
      </c>
      <c r="K162" s="1197">
        <f t="shared" si="76"/>
        <v>39.825520099999999</v>
      </c>
      <c r="L162" s="1197">
        <f t="shared" si="77"/>
        <v>0.64045183696587837</v>
      </c>
      <c r="M162" s="1197">
        <f t="shared" si="78"/>
        <v>122.17259241961095</v>
      </c>
      <c r="N162" s="1197">
        <f t="shared" si="79"/>
        <v>244.3451848392219</v>
      </c>
      <c r="O162" s="1197">
        <f>+C161+(D162/2)</f>
        <v>0</v>
      </c>
      <c r="P162" s="1197">
        <f t="shared" si="80"/>
        <v>0</v>
      </c>
      <c r="Q162" s="1197">
        <f t="shared" si="81"/>
        <v>0</v>
      </c>
      <c r="R162" s="1197">
        <f t="shared" ref="R162:R184" si="102">+T161</f>
        <v>146.5</v>
      </c>
      <c r="S162" s="1197">
        <f>+R162+Q162</f>
        <v>146.5</v>
      </c>
      <c r="T162" s="1196">
        <f t="shared" si="82"/>
        <v>146.5</v>
      </c>
      <c r="U162" s="471"/>
      <c r="V162" s="1193">
        <f t="shared" si="83"/>
        <v>0</v>
      </c>
      <c r="W162" s="1193"/>
      <c r="X162" s="1193"/>
      <c r="Y162" s="1193"/>
      <c r="Z162" s="1193"/>
      <c r="AA162" s="1193"/>
      <c r="AB162" s="1195" t="e">
        <f t="shared" si="84"/>
        <v>#DIV/0!</v>
      </c>
      <c r="AC162" s="1194"/>
      <c r="AD162" s="1194"/>
      <c r="AE162" s="1194"/>
      <c r="AF162" s="1193" t="e">
        <f>SUM(V162:V185)/($B$158-B161)</f>
        <v>#DIV/0!</v>
      </c>
      <c r="AG162" s="1193"/>
      <c r="AH162" s="1192">
        <f>SUM(D162)+$C$161</f>
        <v>0</v>
      </c>
      <c r="AI162" s="567"/>
      <c r="AJ162" s="568">
        <f t="shared" si="85"/>
        <v>69.344714800000006</v>
      </c>
      <c r="AK162" s="1191">
        <f t="shared" si="86"/>
        <v>0.93571960494171247</v>
      </c>
      <c r="AL162" s="658">
        <f t="shared" si="87"/>
        <v>180.0511663828843</v>
      </c>
      <c r="AM162" s="568">
        <f t="shared" si="88"/>
        <v>50.174479900000001</v>
      </c>
      <c r="AN162" s="1190">
        <f t="shared" si="89"/>
        <v>0.76799833627881664</v>
      </c>
      <c r="AO162" s="658">
        <f t="shared" si="90"/>
        <v>146.50336262854705</v>
      </c>
      <c r="AP162" s="1237"/>
      <c r="AQ162" s="658">
        <f t="shared" ref="AQ162:AQ184" si="103">25.5*($B$158-B161)</f>
        <v>0</v>
      </c>
      <c r="AR162" s="1237"/>
      <c r="AS162" s="1188">
        <f t="shared" si="91"/>
        <v>326.55452901143133</v>
      </c>
      <c r="AT162" s="1187">
        <f t="shared" si="92"/>
        <v>-146.50336262854705</v>
      </c>
      <c r="AU162" s="1236"/>
      <c r="AV162" s="1187" t="e">
        <f t="shared" si="93"/>
        <v>#DIV/0!</v>
      </c>
      <c r="AW162" s="1186" t="e">
        <f t="shared" si="94"/>
        <v>#DIV/0!</v>
      </c>
      <c r="AX162" s="1186" t="e">
        <f t="shared" si="95"/>
        <v>#DIV/0!</v>
      </c>
      <c r="AY162" s="1185" t="e">
        <f t="shared" si="96"/>
        <v>#DIV/0!</v>
      </c>
      <c r="AZ162" s="1185" t="e">
        <f t="shared" si="97"/>
        <v>#DIV/0!</v>
      </c>
      <c r="BA162" s="1184" t="e">
        <f t="shared" si="98"/>
        <v>#DIV/0!</v>
      </c>
      <c r="BB162" s="1184" t="e">
        <f t="shared" si="99"/>
        <v>#DIV/0!</v>
      </c>
      <c r="BC162" s="474" t="e">
        <f t="shared" ref="BC162:BC184" si="104">IF(AZ162&lt;0,0.3,0)</f>
        <v>#DIV/0!</v>
      </c>
      <c r="BG162" s="524"/>
      <c r="BO162" s="524"/>
      <c r="BP162" s="473"/>
      <c r="CR162" s="524"/>
      <c r="CS162" s="524"/>
      <c r="CT162" s="524"/>
      <c r="CU162" s="524"/>
      <c r="CV162" s="524"/>
      <c r="CW162" s="524"/>
    </row>
    <row r="163" spans="1:101" ht="21" customHeight="1" thickBot="1" x14ac:dyDescent="0.35">
      <c r="B163" s="631">
        <v>3</v>
      </c>
      <c r="C163" s="612"/>
      <c r="D163" s="1907">
        <v>5</v>
      </c>
      <c r="E163" s="632" t="s">
        <v>72</v>
      </c>
      <c r="F163" s="584">
        <f t="shared" si="75"/>
        <v>5.3</v>
      </c>
      <c r="G163" s="584">
        <f t="shared" si="100"/>
        <v>5.3</v>
      </c>
      <c r="H163" s="1199">
        <v>190.76</v>
      </c>
      <c r="I163" s="1198">
        <v>79.651040199999997</v>
      </c>
      <c r="J163" s="1197">
        <f t="shared" si="101"/>
        <v>74.651040199999997</v>
      </c>
      <c r="K163" s="1197">
        <f t="shared" si="76"/>
        <v>37.325520099999999</v>
      </c>
      <c r="L163" s="1197">
        <f t="shared" si="77"/>
        <v>0.60634265180351543</v>
      </c>
      <c r="M163" s="1197">
        <f t="shared" si="78"/>
        <v>115.6659242580386</v>
      </c>
      <c r="N163" s="1197">
        <f t="shared" si="79"/>
        <v>231.3318485160772</v>
      </c>
      <c r="O163" s="1197">
        <f>+C161+D162+(D163/2)</f>
        <v>2.5</v>
      </c>
      <c r="P163" s="1197">
        <f t="shared" si="80"/>
        <v>4.3619387365335958E-2</v>
      </c>
      <c r="Q163" s="1197">
        <f t="shared" si="81"/>
        <v>10.090553510361989</v>
      </c>
      <c r="R163" s="1197">
        <f t="shared" si="102"/>
        <v>146.5</v>
      </c>
      <c r="S163" s="1197">
        <f t="shared" ref="S163:S184" si="105">+S162+Q163</f>
        <v>156.59055351036199</v>
      </c>
      <c r="T163" s="1196">
        <f t="shared" si="82"/>
        <v>156.59055351036199</v>
      </c>
      <c r="U163" s="471"/>
      <c r="V163" s="1193">
        <f t="shared" si="83"/>
        <v>0</v>
      </c>
      <c r="W163" s="1193"/>
      <c r="X163" s="1193"/>
      <c r="Y163" s="1193"/>
      <c r="Z163" s="1193"/>
      <c r="AA163" s="1193"/>
      <c r="AB163" s="1195" t="str">
        <f t="shared" si="84"/>
        <v>pin in groundstacking hole</v>
      </c>
      <c r="AC163" s="1194"/>
      <c r="AD163" s="1194"/>
      <c r="AE163" s="1194"/>
      <c r="AF163" s="1193">
        <f>SUM(V163:V184)/($B$158-B162)</f>
        <v>0</v>
      </c>
      <c r="AG163" s="1193"/>
      <c r="AH163" s="1192">
        <f>SUM(D162:D163)+$C$161</f>
        <v>5</v>
      </c>
      <c r="AI163" s="567"/>
      <c r="AJ163" s="568">
        <f t="shared" si="85"/>
        <v>64.344714800000006</v>
      </c>
      <c r="AK163" s="1191">
        <f t="shared" si="86"/>
        <v>0.90141518331735337</v>
      </c>
      <c r="AL163" s="658">
        <f t="shared" si="87"/>
        <v>173.45030957392513</v>
      </c>
      <c r="AM163" s="568">
        <f t="shared" si="88"/>
        <v>55.174479900000001</v>
      </c>
      <c r="AN163" s="1190">
        <f t="shared" si="89"/>
        <v>0.82089492628910188</v>
      </c>
      <c r="AO163" s="658">
        <f t="shared" si="90"/>
        <v>156.59391613890907</v>
      </c>
      <c r="AP163" s="1237"/>
      <c r="AQ163" s="658">
        <f t="shared" si="103"/>
        <v>-25.5</v>
      </c>
      <c r="AR163" s="1237"/>
      <c r="AS163" s="1188">
        <f t="shared" si="91"/>
        <v>330.04422571283419</v>
      </c>
      <c r="AT163" s="1187">
        <f t="shared" si="92"/>
        <v>-156.59391613890907</v>
      </c>
      <c r="AU163" s="1236"/>
      <c r="AV163" s="1187">
        <f t="shared" si="93"/>
        <v>156.59391613890907</v>
      </c>
      <c r="AW163" s="1186">
        <f t="shared" si="94"/>
        <v>-13.401182476628003</v>
      </c>
      <c r="AX163" s="1186">
        <f t="shared" si="95"/>
        <v>-12.098817523371997</v>
      </c>
      <c r="AY163" s="1185">
        <f t="shared" si="96"/>
        <v>-865.59525774913448</v>
      </c>
      <c r="AZ163" s="1185">
        <f t="shared" si="97"/>
        <v>-826.52705363002724</v>
      </c>
      <c r="BA163" s="1184">
        <f t="shared" si="98"/>
        <v>865.59525774913448</v>
      </c>
      <c r="BB163" s="1184">
        <f t="shared" si="99"/>
        <v>826.52705363002724</v>
      </c>
      <c r="BC163" s="474">
        <f t="shared" si="104"/>
        <v>0.3</v>
      </c>
      <c r="BG163" s="524"/>
      <c r="BO163" s="524"/>
      <c r="BP163" s="473"/>
      <c r="CR163" s="524"/>
      <c r="CS163" s="524"/>
      <c r="CT163" s="524"/>
      <c r="CU163" s="524"/>
      <c r="CV163" s="524"/>
      <c r="CW163" s="524"/>
    </row>
    <row r="164" spans="1:101" ht="21" customHeight="1" thickBot="1" x14ac:dyDescent="0.35">
      <c r="B164" s="631">
        <v>4</v>
      </c>
      <c r="C164" s="612"/>
      <c r="D164" s="1907">
        <v>0</v>
      </c>
      <c r="E164" s="632" t="s">
        <v>72</v>
      </c>
      <c r="F164" s="584">
        <f t="shared" si="75"/>
        <v>0.3</v>
      </c>
      <c r="G164" s="584">
        <f t="shared" si="100"/>
        <v>0.3</v>
      </c>
      <c r="H164" s="1199">
        <v>190.76</v>
      </c>
      <c r="I164" s="1198">
        <v>79.651040199999997</v>
      </c>
      <c r="J164" s="1197">
        <f t="shared" si="101"/>
        <v>79.651040199999997</v>
      </c>
      <c r="K164" s="1197">
        <f t="shared" si="76"/>
        <v>39.825520099999999</v>
      </c>
      <c r="L164" s="1197">
        <f t="shared" si="77"/>
        <v>0.64045183696587837</v>
      </c>
      <c r="M164" s="1197">
        <f t="shared" si="78"/>
        <v>122.17259241961095</v>
      </c>
      <c r="N164" s="1197">
        <f t="shared" si="79"/>
        <v>244.3451848392219</v>
      </c>
      <c r="O164" s="1197">
        <f>+C161+D162+D163+(D164/2)</f>
        <v>5</v>
      </c>
      <c r="P164" s="1197">
        <f t="shared" si="80"/>
        <v>8.7155742747658083E-2</v>
      </c>
      <c r="Q164" s="1197">
        <f t="shared" si="81"/>
        <v>21.296086071476189</v>
      </c>
      <c r="R164" s="1197">
        <f t="shared" si="102"/>
        <v>156.59055351036199</v>
      </c>
      <c r="S164" s="1197">
        <f t="shared" si="105"/>
        <v>177.88663958183818</v>
      </c>
      <c r="T164" s="1196">
        <f t="shared" si="82"/>
        <v>177.88663958183818</v>
      </c>
      <c r="U164" s="471"/>
      <c r="V164" s="1193">
        <f t="shared" si="83"/>
        <v>0</v>
      </c>
      <c r="W164" s="1193"/>
      <c r="X164" s="1193"/>
      <c r="Y164" s="1193"/>
      <c r="Z164" s="1193"/>
      <c r="AA164" s="1193"/>
      <c r="AB164" s="1195" t="str">
        <f t="shared" si="84"/>
        <v>pin in groundstacking hole</v>
      </c>
      <c r="AC164" s="1194"/>
      <c r="AD164" s="1194"/>
      <c r="AE164" s="1194"/>
      <c r="AF164" s="1193">
        <f>SUM(V164:V184)/($B$158-B163)</f>
        <v>0</v>
      </c>
      <c r="AG164" s="1193"/>
      <c r="AH164" s="1192">
        <f>SUM(D162:D164)+$C$161</f>
        <v>5</v>
      </c>
      <c r="AI164" s="567"/>
      <c r="AJ164" s="568">
        <f t="shared" si="85"/>
        <v>64.344714800000006</v>
      </c>
      <c r="AK164" s="1191">
        <f t="shared" si="86"/>
        <v>0.90141518331735337</v>
      </c>
      <c r="AL164" s="658">
        <f t="shared" si="87"/>
        <v>173.45030957392513</v>
      </c>
      <c r="AM164" s="568">
        <f t="shared" si="88"/>
        <v>55.174479900000001</v>
      </c>
      <c r="AN164" s="1190">
        <f t="shared" si="89"/>
        <v>0.82089492628910188</v>
      </c>
      <c r="AO164" s="658">
        <f t="shared" si="90"/>
        <v>156.59391613890907</v>
      </c>
      <c r="AP164" s="1237"/>
      <c r="AQ164" s="658">
        <f t="shared" si="103"/>
        <v>-51</v>
      </c>
      <c r="AR164" s="1237"/>
      <c r="AS164" s="1188">
        <f t="shared" si="91"/>
        <v>330.04422571283419</v>
      </c>
      <c r="AT164" s="1187">
        <f t="shared" si="92"/>
        <v>-156.59391613890907</v>
      </c>
      <c r="AU164" s="1236"/>
      <c r="AV164" s="1187">
        <f t="shared" si="93"/>
        <v>156.59391613890907</v>
      </c>
      <c r="AW164" s="1186">
        <f t="shared" si="94"/>
        <v>-26.802364953256006</v>
      </c>
      <c r="AX164" s="1186">
        <f t="shared" si="95"/>
        <v>-24.197635046743994</v>
      </c>
      <c r="AY164" s="1185">
        <f t="shared" si="96"/>
        <v>-432.79762887456724</v>
      </c>
      <c r="AZ164" s="1185">
        <f t="shared" si="97"/>
        <v>-413.26352681501362</v>
      </c>
      <c r="BA164" s="1184">
        <f t="shared" si="98"/>
        <v>432.79762887456724</v>
      </c>
      <c r="BB164" s="1184">
        <f t="shared" si="99"/>
        <v>413.26352681501362</v>
      </c>
      <c r="BC164" s="474">
        <f t="shared" si="104"/>
        <v>0.3</v>
      </c>
      <c r="BG164" s="524"/>
      <c r="BO164" s="524"/>
      <c r="BP164" s="473"/>
      <c r="CR164" s="524"/>
      <c r="CS164" s="524"/>
      <c r="CT164" s="524"/>
      <c r="CU164" s="524"/>
      <c r="CV164" s="524"/>
      <c r="CW164" s="524"/>
    </row>
    <row r="165" spans="1:101" ht="21" customHeight="1" thickBot="1" x14ac:dyDescent="0.35">
      <c r="B165" s="631">
        <v>5</v>
      </c>
      <c r="C165" s="612"/>
      <c r="D165" s="1907">
        <v>0</v>
      </c>
      <c r="E165" s="632" t="s">
        <v>72</v>
      </c>
      <c r="F165" s="584">
        <f t="shared" si="75"/>
        <v>0.3</v>
      </c>
      <c r="G165" s="584">
        <f t="shared" si="100"/>
        <v>0.3</v>
      </c>
      <c r="H165" s="1199">
        <v>190.76</v>
      </c>
      <c r="I165" s="1198">
        <v>79.651040199999997</v>
      </c>
      <c r="J165" s="1197">
        <f t="shared" si="101"/>
        <v>79.651040199999997</v>
      </c>
      <c r="K165" s="1197">
        <f t="shared" si="76"/>
        <v>39.825520099999999</v>
      </c>
      <c r="L165" s="1197">
        <f t="shared" si="77"/>
        <v>0.64045183696587837</v>
      </c>
      <c r="M165" s="1197">
        <f t="shared" si="78"/>
        <v>122.17259241961095</v>
      </c>
      <c r="N165" s="1197">
        <f t="shared" si="79"/>
        <v>244.3451848392219</v>
      </c>
      <c r="O165" s="1197">
        <f>+C161+D162+D163+D164+(D165/2)</f>
        <v>5</v>
      </c>
      <c r="P165" s="1197">
        <f t="shared" si="80"/>
        <v>8.7155742747658083E-2</v>
      </c>
      <c r="Q165" s="1197">
        <f t="shared" si="81"/>
        <v>21.296086071476189</v>
      </c>
      <c r="R165" s="1197">
        <f t="shared" si="102"/>
        <v>177.88663958183818</v>
      </c>
      <c r="S165" s="1197">
        <f t="shared" si="105"/>
        <v>199.18272565331438</v>
      </c>
      <c r="T165" s="1196">
        <f t="shared" si="82"/>
        <v>199.18272565331438</v>
      </c>
      <c r="U165" s="471"/>
      <c r="V165" s="1193">
        <f t="shared" si="83"/>
        <v>0</v>
      </c>
      <c r="W165" s="1193"/>
      <c r="X165" s="1193"/>
      <c r="Y165" s="1193"/>
      <c r="Z165" s="1193"/>
      <c r="AA165" s="1193"/>
      <c r="AB165" s="1195" t="str">
        <f t="shared" si="84"/>
        <v>pin in groundstacking hole</v>
      </c>
      <c r="AC165" s="1194"/>
      <c r="AD165" s="1194"/>
      <c r="AE165" s="1194"/>
      <c r="AF165" s="1193">
        <f>SUM(V165:V184)/($B$158-B164)</f>
        <v>0</v>
      </c>
      <c r="AG165" s="1193"/>
      <c r="AH165" s="1192">
        <f>SUM(D162:D165)+$C$161</f>
        <v>5</v>
      </c>
      <c r="AI165" s="567"/>
      <c r="AJ165" s="568">
        <f t="shared" si="85"/>
        <v>64.344714800000006</v>
      </c>
      <c r="AK165" s="1191">
        <f t="shared" si="86"/>
        <v>0.90141518331735337</v>
      </c>
      <c r="AL165" s="658">
        <f t="shared" si="87"/>
        <v>173.45030957392513</v>
      </c>
      <c r="AM165" s="568">
        <f t="shared" si="88"/>
        <v>55.174479900000001</v>
      </c>
      <c r="AN165" s="1190">
        <f t="shared" si="89"/>
        <v>0.82089492628910188</v>
      </c>
      <c r="AO165" s="658">
        <f t="shared" si="90"/>
        <v>156.59391613890907</v>
      </c>
      <c r="AP165" s="1237"/>
      <c r="AQ165" s="658">
        <f t="shared" si="103"/>
        <v>-76.5</v>
      </c>
      <c r="AR165" s="1237"/>
      <c r="AS165" s="1188">
        <f t="shared" si="91"/>
        <v>330.04422571283419</v>
      </c>
      <c r="AT165" s="1187">
        <f t="shared" si="92"/>
        <v>-156.59391613890907</v>
      </c>
      <c r="AU165" s="1236"/>
      <c r="AV165" s="1187">
        <f t="shared" si="93"/>
        <v>156.59391613890907</v>
      </c>
      <c r="AW165" s="1186">
        <f t="shared" si="94"/>
        <v>-40.203547429884011</v>
      </c>
      <c r="AX165" s="1186">
        <f t="shared" si="95"/>
        <v>-36.296452570115989</v>
      </c>
      <c r="AY165" s="1185">
        <f t="shared" si="96"/>
        <v>-288.53175258304481</v>
      </c>
      <c r="AZ165" s="1185">
        <f t="shared" si="97"/>
        <v>-275.50901787667578</v>
      </c>
      <c r="BA165" s="1184">
        <f t="shared" si="98"/>
        <v>288.53175258304481</v>
      </c>
      <c r="BB165" s="1184">
        <f t="shared" si="99"/>
        <v>275.50901787667578</v>
      </c>
      <c r="BC165" s="474">
        <f t="shared" si="104"/>
        <v>0.3</v>
      </c>
      <c r="BD165" s="478"/>
      <c r="BE165" s="478"/>
      <c r="BF165" s="478"/>
      <c r="BG165" s="524"/>
      <c r="BO165" s="524"/>
      <c r="BP165" s="473"/>
      <c r="CR165" s="524"/>
      <c r="CS165" s="524"/>
      <c r="CT165" s="524"/>
      <c r="CU165" s="524"/>
      <c r="CV165" s="524"/>
      <c r="CW165" s="524"/>
    </row>
    <row r="166" spans="1:101" ht="21" customHeight="1" thickBot="1" x14ac:dyDescent="0.35">
      <c r="B166" s="631">
        <v>6</v>
      </c>
      <c r="C166" s="612"/>
      <c r="D166" s="1907">
        <v>0</v>
      </c>
      <c r="E166" s="632" t="s">
        <v>72</v>
      </c>
      <c r="F166" s="584">
        <f t="shared" si="75"/>
        <v>0.3</v>
      </c>
      <c r="G166" s="584">
        <f t="shared" si="100"/>
        <v>0.3</v>
      </c>
      <c r="H166" s="1199">
        <v>190.76</v>
      </c>
      <c r="I166" s="1198">
        <v>79.651040199999997</v>
      </c>
      <c r="J166" s="1197">
        <f t="shared" si="101"/>
        <v>79.651040199999997</v>
      </c>
      <c r="K166" s="1197">
        <f t="shared" si="76"/>
        <v>39.825520099999999</v>
      </c>
      <c r="L166" s="1197">
        <f t="shared" si="77"/>
        <v>0.64045183696587837</v>
      </c>
      <c r="M166" s="1197">
        <f t="shared" si="78"/>
        <v>122.17259241961095</v>
      </c>
      <c r="N166" s="1197">
        <f t="shared" si="79"/>
        <v>244.3451848392219</v>
      </c>
      <c r="O166" s="1197">
        <f>+C161+D162+D163+D164+D165+(D166/2)</f>
        <v>5</v>
      </c>
      <c r="P166" s="1197">
        <f t="shared" si="80"/>
        <v>8.7155742747658083E-2</v>
      </c>
      <c r="Q166" s="1197">
        <f t="shared" si="81"/>
        <v>21.296086071476189</v>
      </c>
      <c r="R166" s="1197">
        <f t="shared" si="102"/>
        <v>199.18272565331438</v>
      </c>
      <c r="S166" s="1197">
        <f t="shared" si="105"/>
        <v>220.47881172479057</v>
      </c>
      <c r="T166" s="1196">
        <f t="shared" si="82"/>
        <v>220.47881172479057</v>
      </c>
      <c r="U166" s="471"/>
      <c r="V166" s="1193">
        <f t="shared" si="83"/>
        <v>0</v>
      </c>
      <c r="W166" s="1193"/>
      <c r="X166" s="1193"/>
      <c r="Y166" s="1193"/>
      <c r="Z166" s="1193"/>
      <c r="AA166" s="1193"/>
      <c r="AB166" s="1195" t="str">
        <f t="shared" si="84"/>
        <v>pin in groundstacking hole</v>
      </c>
      <c r="AC166" s="1194"/>
      <c r="AD166" s="1194"/>
      <c r="AE166" s="1194"/>
      <c r="AF166" s="1193">
        <f>SUM(V166:V184)/($B$158-B165)</f>
        <v>0</v>
      </c>
      <c r="AG166" s="1193"/>
      <c r="AH166" s="1192">
        <f>SUM(D162:D166)+$C$161</f>
        <v>5</v>
      </c>
      <c r="AI166" s="567"/>
      <c r="AJ166" s="568">
        <f t="shared" si="85"/>
        <v>64.344714800000006</v>
      </c>
      <c r="AK166" s="1191">
        <f t="shared" si="86"/>
        <v>0.90141518331735337</v>
      </c>
      <c r="AL166" s="658">
        <f t="shared" si="87"/>
        <v>173.45030957392513</v>
      </c>
      <c r="AM166" s="568">
        <f t="shared" si="88"/>
        <v>55.174479900000001</v>
      </c>
      <c r="AN166" s="1190">
        <f t="shared" si="89"/>
        <v>0.82089492628910188</v>
      </c>
      <c r="AO166" s="658">
        <f t="shared" si="90"/>
        <v>156.59391613890907</v>
      </c>
      <c r="AP166" s="1237"/>
      <c r="AQ166" s="658">
        <f t="shared" si="103"/>
        <v>-102</v>
      </c>
      <c r="AR166" s="1237"/>
      <c r="AS166" s="1188">
        <f t="shared" si="91"/>
        <v>330.04422571283419</v>
      </c>
      <c r="AT166" s="1187">
        <f t="shared" si="92"/>
        <v>-156.59391613890907</v>
      </c>
      <c r="AU166" s="1236"/>
      <c r="AV166" s="1187">
        <f t="shared" si="93"/>
        <v>156.59391613890907</v>
      </c>
      <c r="AW166" s="1186">
        <f t="shared" si="94"/>
        <v>-53.604729906512013</v>
      </c>
      <c r="AX166" s="1186">
        <f t="shared" si="95"/>
        <v>-48.395270093487987</v>
      </c>
      <c r="AY166" s="1185">
        <f t="shared" si="96"/>
        <v>-216.39881443728362</v>
      </c>
      <c r="AZ166" s="1185">
        <f t="shared" si="97"/>
        <v>-206.63176340750681</v>
      </c>
      <c r="BA166" s="1184">
        <f t="shared" si="98"/>
        <v>216.39881443728362</v>
      </c>
      <c r="BB166" s="1184">
        <f t="shared" si="99"/>
        <v>206.63176340750681</v>
      </c>
      <c r="BC166" s="474">
        <f t="shared" si="104"/>
        <v>0.3</v>
      </c>
      <c r="BD166" s="478"/>
      <c r="BE166" s="478"/>
      <c r="BF166" s="478"/>
      <c r="BG166" s="524"/>
      <c r="BO166" s="524"/>
      <c r="BP166" s="473"/>
      <c r="CR166" s="524"/>
      <c r="CS166" s="524"/>
      <c r="CT166" s="524"/>
      <c r="CU166" s="524"/>
      <c r="CV166" s="524"/>
      <c r="CW166" s="524"/>
    </row>
    <row r="167" spans="1:101" ht="21" customHeight="1" thickBot="1" x14ac:dyDescent="0.35">
      <c r="B167" s="631">
        <v>7</v>
      </c>
      <c r="C167" s="612"/>
      <c r="D167" s="1907">
        <v>0</v>
      </c>
      <c r="E167" s="632" t="s">
        <v>72</v>
      </c>
      <c r="F167" s="584">
        <f t="shared" si="75"/>
        <v>0.3</v>
      </c>
      <c r="G167" s="584">
        <f t="shared" si="100"/>
        <v>0.3</v>
      </c>
      <c r="H167" s="1199">
        <v>190.76</v>
      </c>
      <c r="I167" s="1198">
        <v>79.651040199999997</v>
      </c>
      <c r="J167" s="1197">
        <f t="shared" si="101"/>
        <v>79.651040199999997</v>
      </c>
      <c r="K167" s="1197">
        <f t="shared" si="76"/>
        <v>39.825520099999999</v>
      </c>
      <c r="L167" s="1197">
        <f t="shared" si="77"/>
        <v>0.64045183696587837</v>
      </c>
      <c r="M167" s="1197">
        <f t="shared" si="78"/>
        <v>122.17259241961095</v>
      </c>
      <c r="N167" s="1197">
        <f t="shared" si="79"/>
        <v>244.3451848392219</v>
      </c>
      <c r="O167" s="1197">
        <f>+C161+D162+D163+D164+D165+D166+(D167/2)</f>
        <v>5</v>
      </c>
      <c r="P167" s="1197">
        <f t="shared" si="80"/>
        <v>8.7155742747658083E-2</v>
      </c>
      <c r="Q167" s="1197">
        <f t="shared" si="81"/>
        <v>21.296086071476189</v>
      </c>
      <c r="R167" s="1197">
        <f t="shared" si="102"/>
        <v>220.47881172479057</v>
      </c>
      <c r="S167" s="1197">
        <f t="shared" si="105"/>
        <v>241.77489779626677</v>
      </c>
      <c r="T167" s="1196">
        <f t="shared" si="82"/>
        <v>241.77489779626677</v>
      </c>
      <c r="U167" s="471"/>
      <c r="V167" s="1193">
        <f t="shared" si="83"/>
        <v>0</v>
      </c>
      <c r="W167" s="1193"/>
      <c r="X167" s="1193"/>
      <c r="Y167" s="1193"/>
      <c r="Z167" s="1193"/>
      <c r="AA167" s="1193"/>
      <c r="AB167" s="1195" t="str">
        <f t="shared" si="84"/>
        <v>pin in groundstacking hole</v>
      </c>
      <c r="AC167" s="1194"/>
      <c r="AD167" s="1194"/>
      <c r="AE167" s="1194"/>
      <c r="AF167" s="1193">
        <f>SUM(V167:V184)/($B$158-B166)</f>
        <v>0</v>
      </c>
      <c r="AG167" s="1193"/>
      <c r="AH167" s="1192">
        <f>SUM(D162:D167)+$C$161</f>
        <v>5</v>
      </c>
      <c r="AI167" s="567"/>
      <c r="AJ167" s="568">
        <f t="shared" si="85"/>
        <v>64.344714800000006</v>
      </c>
      <c r="AK167" s="1191">
        <f t="shared" si="86"/>
        <v>0.90141518331735337</v>
      </c>
      <c r="AL167" s="658">
        <f t="shared" si="87"/>
        <v>173.45030957392513</v>
      </c>
      <c r="AM167" s="568">
        <f t="shared" si="88"/>
        <v>55.174479900000001</v>
      </c>
      <c r="AN167" s="1190">
        <f t="shared" si="89"/>
        <v>0.82089492628910188</v>
      </c>
      <c r="AO167" s="658">
        <f t="shared" si="90"/>
        <v>156.59391613890907</v>
      </c>
      <c r="AP167" s="1237"/>
      <c r="AQ167" s="658">
        <f t="shared" si="103"/>
        <v>-127.5</v>
      </c>
      <c r="AR167" s="1237"/>
      <c r="AS167" s="1188">
        <f t="shared" si="91"/>
        <v>330.04422571283419</v>
      </c>
      <c r="AT167" s="1187">
        <f t="shared" si="92"/>
        <v>-156.59391613890907</v>
      </c>
      <c r="AU167" s="1236"/>
      <c r="AV167" s="1187">
        <f t="shared" si="93"/>
        <v>156.59391613890907</v>
      </c>
      <c r="AW167" s="1186">
        <f t="shared" si="94"/>
        <v>-67.005912383140014</v>
      </c>
      <c r="AX167" s="1186">
        <f t="shared" si="95"/>
        <v>-60.494087616859986</v>
      </c>
      <c r="AY167" s="1185">
        <f t="shared" si="96"/>
        <v>-173.11905154982688</v>
      </c>
      <c r="AZ167" s="1185">
        <f t="shared" si="97"/>
        <v>-165.30541072600545</v>
      </c>
      <c r="BA167" s="1184">
        <f t="shared" si="98"/>
        <v>173.11905154982688</v>
      </c>
      <c r="BB167" s="1184">
        <f t="shared" si="99"/>
        <v>165.30541072600545</v>
      </c>
      <c r="BC167" s="474">
        <f t="shared" si="104"/>
        <v>0.3</v>
      </c>
      <c r="BG167" s="524"/>
      <c r="BO167" s="524"/>
      <c r="BP167" s="473"/>
      <c r="CR167" s="524"/>
      <c r="CS167" s="524"/>
      <c r="CT167" s="524"/>
      <c r="CU167" s="524"/>
      <c r="CV167" s="524"/>
      <c r="CW167" s="524"/>
    </row>
    <row r="168" spans="1:101" ht="21" customHeight="1" thickBot="1" x14ac:dyDescent="0.35">
      <c r="B168" s="631">
        <v>8</v>
      </c>
      <c r="C168" s="612"/>
      <c r="D168" s="1907">
        <v>0</v>
      </c>
      <c r="E168" s="632" t="s">
        <v>72</v>
      </c>
      <c r="F168" s="584">
        <f t="shared" si="75"/>
        <v>0.3</v>
      </c>
      <c r="G168" s="584">
        <f t="shared" si="100"/>
        <v>0.3</v>
      </c>
      <c r="H168" s="1199">
        <v>190.76</v>
      </c>
      <c r="I168" s="1198">
        <v>79.651040199999997</v>
      </c>
      <c r="J168" s="1197">
        <f t="shared" si="101"/>
        <v>79.651040199999997</v>
      </c>
      <c r="K168" s="1197">
        <f t="shared" si="76"/>
        <v>39.825520099999999</v>
      </c>
      <c r="L168" s="1197">
        <f t="shared" si="77"/>
        <v>0.64045183696587837</v>
      </c>
      <c r="M168" s="1197">
        <f t="shared" si="78"/>
        <v>122.17259241961095</v>
      </c>
      <c r="N168" s="1197">
        <f t="shared" si="79"/>
        <v>244.3451848392219</v>
      </c>
      <c r="O168" s="1197">
        <f>+C161+D162+D163+D164+D165+D166+D167+(D168/2)</f>
        <v>5</v>
      </c>
      <c r="P168" s="1197">
        <f t="shared" si="80"/>
        <v>8.7155742747658083E-2</v>
      </c>
      <c r="Q168" s="1197">
        <f t="shared" si="81"/>
        <v>21.296086071476189</v>
      </c>
      <c r="R168" s="1197">
        <f t="shared" si="102"/>
        <v>241.77489779626677</v>
      </c>
      <c r="S168" s="1197">
        <f t="shared" si="105"/>
        <v>263.07098386774294</v>
      </c>
      <c r="T168" s="1196">
        <f t="shared" si="82"/>
        <v>263.07098386774294</v>
      </c>
      <c r="U168" s="471"/>
      <c r="V168" s="1193">
        <f t="shared" si="83"/>
        <v>0</v>
      </c>
      <c r="W168" s="1193"/>
      <c r="X168" s="1193"/>
      <c r="Y168" s="1193"/>
      <c r="Z168" s="1193"/>
      <c r="AA168" s="1193"/>
      <c r="AB168" s="1195" t="str">
        <f t="shared" si="84"/>
        <v>pin in groundstacking hole</v>
      </c>
      <c r="AC168" s="1194"/>
      <c r="AD168" s="1194"/>
      <c r="AE168" s="1194"/>
      <c r="AF168" s="1193">
        <f>SUM(V168:V184)/($B$158-B167)</f>
        <v>0</v>
      </c>
      <c r="AG168" s="1193"/>
      <c r="AH168" s="1192">
        <f>SUM(D162:D168)+$C$161</f>
        <v>5</v>
      </c>
      <c r="AI168" s="567"/>
      <c r="AJ168" s="568">
        <f t="shared" si="85"/>
        <v>64.344714800000006</v>
      </c>
      <c r="AK168" s="1191">
        <f t="shared" si="86"/>
        <v>0.90141518331735337</v>
      </c>
      <c r="AL168" s="658">
        <f t="shared" si="87"/>
        <v>173.45030957392513</v>
      </c>
      <c r="AM168" s="568">
        <f t="shared" si="88"/>
        <v>55.174479900000001</v>
      </c>
      <c r="AN168" s="1190">
        <f t="shared" si="89"/>
        <v>0.82089492628910188</v>
      </c>
      <c r="AO168" s="658">
        <f t="shared" si="90"/>
        <v>156.59391613890907</v>
      </c>
      <c r="AP168" s="1237"/>
      <c r="AQ168" s="658">
        <f t="shared" si="103"/>
        <v>-153</v>
      </c>
      <c r="AR168" s="1237"/>
      <c r="AS168" s="1188">
        <f t="shared" si="91"/>
        <v>330.04422571283419</v>
      </c>
      <c r="AT168" s="1187">
        <f t="shared" si="92"/>
        <v>-156.59391613890907</v>
      </c>
      <c r="AU168" s="1236"/>
      <c r="AV168" s="1187">
        <f t="shared" si="93"/>
        <v>156.59391613890907</v>
      </c>
      <c r="AW168" s="1186">
        <f t="shared" si="94"/>
        <v>-80.407094859768023</v>
      </c>
      <c r="AX168" s="1186">
        <f t="shared" si="95"/>
        <v>-72.592905140231977</v>
      </c>
      <c r="AY168" s="1185">
        <f t="shared" si="96"/>
        <v>-144.2658762915224</v>
      </c>
      <c r="AZ168" s="1185">
        <f t="shared" si="97"/>
        <v>-137.75450893833789</v>
      </c>
      <c r="BA168" s="1184">
        <f t="shared" si="98"/>
        <v>144.2658762915224</v>
      </c>
      <c r="BB168" s="1184">
        <f t="shared" si="99"/>
        <v>137.75450893833789</v>
      </c>
      <c r="BC168" s="474">
        <f t="shared" si="104"/>
        <v>0.3</v>
      </c>
      <c r="BG168" s="524"/>
      <c r="BO168" s="524"/>
      <c r="BP168" s="473"/>
      <c r="CR168" s="524"/>
      <c r="CS168" s="524"/>
      <c r="CT168" s="524"/>
      <c r="CU168" s="524"/>
      <c r="CV168" s="524"/>
      <c r="CW168" s="524"/>
    </row>
    <row r="169" spans="1:101" ht="21" customHeight="1" thickBot="1" x14ac:dyDescent="0.35">
      <c r="B169" s="631">
        <v>9</v>
      </c>
      <c r="C169" s="612"/>
      <c r="D169" s="1907">
        <v>0</v>
      </c>
      <c r="E169" s="632" t="s">
        <v>72</v>
      </c>
      <c r="F169" s="584">
        <f t="shared" si="75"/>
        <v>0.3</v>
      </c>
      <c r="G169" s="584">
        <f t="shared" si="100"/>
        <v>0.3</v>
      </c>
      <c r="H169" s="1199">
        <v>190.76</v>
      </c>
      <c r="I169" s="1198">
        <v>79.651040199999997</v>
      </c>
      <c r="J169" s="1197">
        <f t="shared" si="101"/>
        <v>79.651040199999997</v>
      </c>
      <c r="K169" s="1197">
        <f t="shared" si="76"/>
        <v>39.825520099999999</v>
      </c>
      <c r="L169" s="1197">
        <f t="shared" si="77"/>
        <v>0.64045183696587837</v>
      </c>
      <c r="M169" s="1197">
        <f t="shared" si="78"/>
        <v>122.17259241961095</v>
      </c>
      <c r="N169" s="1197">
        <f t="shared" si="79"/>
        <v>244.3451848392219</v>
      </c>
      <c r="O169" s="1197">
        <f>+C161+D162+D163+D164+D165+D166+D167+D168+(D169/2)</f>
        <v>5</v>
      </c>
      <c r="P169" s="1197">
        <f t="shared" si="80"/>
        <v>8.7155742747658083E-2</v>
      </c>
      <c r="Q169" s="1197">
        <f t="shared" si="81"/>
        <v>21.296086071476189</v>
      </c>
      <c r="R169" s="1197">
        <f t="shared" si="102"/>
        <v>263.07098386774294</v>
      </c>
      <c r="S169" s="1197">
        <f t="shared" si="105"/>
        <v>284.36706993921911</v>
      </c>
      <c r="T169" s="1196">
        <f t="shared" si="82"/>
        <v>284.36706993921911</v>
      </c>
      <c r="U169" s="471"/>
      <c r="V169" s="1193">
        <f t="shared" si="83"/>
        <v>0</v>
      </c>
      <c r="W169" s="1193"/>
      <c r="X169" s="1193"/>
      <c r="Y169" s="1193"/>
      <c r="Z169" s="1193"/>
      <c r="AA169" s="1193"/>
      <c r="AB169" s="1195" t="str">
        <f t="shared" si="84"/>
        <v>pin in groundstacking hole</v>
      </c>
      <c r="AC169" s="1194"/>
      <c r="AD169" s="1194"/>
      <c r="AE169" s="1194"/>
      <c r="AF169" s="1193">
        <f>SUM(V169:V184)/($B$158-B168)</f>
        <v>0</v>
      </c>
      <c r="AG169" s="1193"/>
      <c r="AH169" s="1192">
        <f>SUM(D162:D169)+$C$161</f>
        <v>5</v>
      </c>
      <c r="AI169" s="567"/>
      <c r="AJ169" s="568">
        <f t="shared" si="85"/>
        <v>64.344714800000006</v>
      </c>
      <c r="AK169" s="1191">
        <f t="shared" si="86"/>
        <v>0.90141518331735337</v>
      </c>
      <c r="AL169" s="658">
        <f t="shared" si="87"/>
        <v>173.45030957392513</v>
      </c>
      <c r="AM169" s="568">
        <f t="shared" si="88"/>
        <v>55.174479900000001</v>
      </c>
      <c r="AN169" s="1190">
        <f t="shared" si="89"/>
        <v>0.82089492628910188</v>
      </c>
      <c r="AO169" s="658">
        <f t="shared" si="90"/>
        <v>156.59391613890907</v>
      </c>
      <c r="AP169" s="1237"/>
      <c r="AQ169" s="658">
        <f t="shared" si="103"/>
        <v>-178.5</v>
      </c>
      <c r="AR169" s="1237"/>
      <c r="AS169" s="1188">
        <f t="shared" si="91"/>
        <v>330.04422571283419</v>
      </c>
      <c r="AT169" s="1187">
        <f t="shared" si="92"/>
        <v>-156.59391613890907</v>
      </c>
      <c r="AU169" s="1236"/>
      <c r="AV169" s="1187">
        <f t="shared" si="93"/>
        <v>156.59391613890907</v>
      </c>
      <c r="AW169" s="1186">
        <f t="shared" si="94"/>
        <v>-93.808277336396017</v>
      </c>
      <c r="AX169" s="1186">
        <f t="shared" si="95"/>
        <v>-84.691722663603983</v>
      </c>
      <c r="AY169" s="1185">
        <f t="shared" si="96"/>
        <v>-123.65646539273349</v>
      </c>
      <c r="AZ169" s="1185">
        <f t="shared" si="97"/>
        <v>-118.07529337571818</v>
      </c>
      <c r="BA169" s="1184">
        <f t="shared" si="98"/>
        <v>123.65646539273349</v>
      </c>
      <c r="BB169" s="1184">
        <f t="shared" si="99"/>
        <v>118.07529337571818</v>
      </c>
      <c r="BC169" s="474">
        <f t="shared" si="104"/>
        <v>0.3</v>
      </c>
      <c r="BG169" s="524"/>
      <c r="BO169" s="524"/>
      <c r="BP169" s="473"/>
      <c r="CR169" s="524"/>
      <c r="CS169" s="524"/>
      <c r="CT169" s="524"/>
      <c r="CU169" s="524"/>
      <c r="CV169" s="524"/>
      <c r="CW169" s="524"/>
    </row>
    <row r="170" spans="1:101" ht="21" customHeight="1" thickBot="1" x14ac:dyDescent="0.35">
      <c r="B170" s="631">
        <v>10</v>
      </c>
      <c r="C170" s="612"/>
      <c r="D170" s="1907">
        <v>0</v>
      </c>
      <c r="E170" s="632" t="s">
        <v>72</v>
      </c>
      <c r="F170" s="584">
        <f t="shared" si="75"/>
        <v>0.3</v>
      </c>
      <c r="G170" s="584">
        <f t="shared" si="100"/>
        <v>0.3</v>
      </c>
      <c r="H170" s="1199">
        <v>190.76</v>
      </c>
      <c r="I170" s="1198">
        <v>79.651040199999997</v>
      </c>
      <c r="J170" s="1197">
        <f t="shared" si="101"/>
        <v>79.651040199999997</v>
      </c>
      <c r="K170" s="1197">
        <f t="shared" si="76"/>
        <v>39.825520099999999</v>
      </c>
      <c r="L170" s="1197">
        <f t="shared" si="77"/>
        <v>0.64045183696587837</v>
      </c>
      <c r="M170" s="1197">
        <f t="shared" si="78"/>
        <v>122.17259241961095</v>
      </c>
      <c r="N170" s="1197">
        <f t="shared" si="79"/>
        <v>244.3451848392219</v>
      </c>
      <c r="O170" s="1197">
        <f>+C161+D162+D163+D164+D165+D166+D167+D168+D169+(D170/2)</f>
        <v>5</v>
      </c>
      <c r="P170" s="1197">
        <f t="shared" si="80"/>
        <v>8.7155742747658083E-2</v>
      </c>
      <c r="Q170" s="1197">
        <f t="shared" si="81"/>
        <v>21.296086071476189</v>
      </c>
      <c r="R170" s="1197">
        <f t="shared" si="102"/>
        <v>284.36706993921911</v>
      </c>
      <c r="S170" s="1197">
        <f t="shared" si="105"/>
        <v>305.66315601069527</v>
      </c>
      <c r="T170" s="1196">
        <f t="shared" si="82"/>
        <v>305.66315601069527</v>
      </c>
      <c r="U170" s="471"/>
      <c r="V170" s="1193">
        <f t="shared" si="83"/>
        <v>0</v>
      </c>
      <c r="W170" s="1193"/>
      <c r="X170" s="1193"/>
      <c r="Y170" s="1193"/>
      <c r="Z170" s="1193"/>
      <c r="AA170" s="1193"/>
      <c r="AB170" s="1195" t="str">
        <f t="shared" si="84"/>
        <v>pin in groundstacking hole</v>
      </c>
      <c r="AC170" s="1194"/>
      <c r="AD170" s="1194"/>
      <c r="AE170" s="1194"/>
      <c r="AF170" s="1193">
        <f>SUM(V170:V184)/($B$158-B169)</f>
        <v>0</v>
      </c>
      <c r="AG170" s="1193"/>
      <c r="AH170" s="1192">
        <f>SUM(D162:D170)+$C$161</f>
        <v>5</v>
      </c>
      <c r="AI170" s="567"/>
      <c r="AJ170" s="568">
        <f t="shared" si="85"/>
        <v>64.344714800000006</v>
      </c>
      <c r="AK170" s="1191">
        <f t="shared" si="86"/>
        <v>0.90141518331735337</v>
      </c>
      <c r="AL170" s="658">
        <f t="shared" si="87"/>
        <v>173.45030957392513</v>
      </c>
      <c r="AM170" s="568">
        <f t="shared" si="88"/>
        <v>55.174479900000001</v>
      </c>
      <c r="AN170" s="1190">
        <f t="shared" si="89"/>
        <v>0.82089492628910188</v>
      </c>
      <c r="AO170" s="658">
        <f t="shared" si="90"/>
        <v>156.59391613890907</v>
      </c>
      <c r="AP170" s="1237"/>
      <c r="AQ170" s="658">
        <f t="shared" si="103"/>
        <v>-204</v>
      </c>
      <c r="AR170" s="1237"/>
      <c r="AS170" s="1188">
        <f t="shared" si="91"/>
        <v>330.04422571283419</v>
      </c>
      <c r="AT170" s="1187">
        <f t="shared" si="92"/>
        <v>-156.59391613890907</v>
      </c>
      <c r="AU170" s="1236"/>
      <c r="AV170" s="1187">
        <f t="shared" si="93"/>
        <v>156.59391613890907</v>
      </c>
      <c r="AW170" s="1186">
        <f t="shared" si="94"/>
        <v>-107.20945981302403</v>
      </c>
      <c r="AX170" s="1186">
        <f t="shared" si="95"/>
        <v>-96.790540186975974</v>
      </c>
      <c r="AY170" s="1185">
        <f t="shared" si="96"/>
        <v>-108.19940721864181</v>
      </c>
      <c r="AZ170" s="1185">
        <f t="shared" si="97"/>
        <v>-103.3158817037534</v>
      </c>
      <c r="BA170" s="1184">
        <f t="shared" si="98"/>
        <v>108.19940721864181</v>
      </c>
      <c r="BB170" s="1184">
        <f t="shared" si="99"/>
        <v>103.3158817037534</v>
      </c>
      <c r="BC170" s="474">
        <f t="shared" si="104"/>
        <v>0.3</v>
      </c>
      <c r="BG170" s="524"/>
      <c r="BO170" s="524"/>
      <c r="BP170" s="473"/>
      <c r="CR170" s="524"/>
      <c r="CS170" s="524"/>
      <c r="CT170" s="524"/>
      <c r="CU170" s="524"/>
      <c r="CV170" s="524"/>
      <c r="CW170" s="524"/>
    </row>
    <row r="171" spans="1:101" ht="21" customHeight="1" thickBot="1" x14ac:dyDescent="0.35">
      <c r="A171" s="636"/>
      <c r="B171" s="631">
        <v>11</v>
      </c>
      <c r="C171" s="612"/>
      <c r="D171" s="1907">
        <v>0</v>
      </c>
      <c r="E171" s="632" t="s">
        <v>72</v>
      </c>
      <c r="F171" s="584">
        <f t="shared" si="75"/>
        <v>0.3</v>
      </c>
      <c r="G171" s="584">
        <f t="shared" si="100"/>
        <v>0.3</v>
      </c>
      <c r="H171" s="1199">
        <v>190.76</v>
      </c>
      <c r="I171" s="1198">
        <v>79.651040199999997</v>
      </c>
      <c r="J171" s="1197">
        <f t="shared" si="101"/>
        <v>79.651040199999997</v>
      </c>
      <c r="K171" s="1197">
        <f t="shared" si="76"/>
        <v>39.825520099999999</v>
      </c>
      <c r="L171" s="1197">
        <f t="shared" si="77"/>
        <v>0.64045183696587837</v>
      </c>
      <c r="M171" s="1197">
        <f t="shared" si="78"/>
        <v>122.17259241961095</v>
      </c>
      <c r="N171" s="1197">
        <f t="shared" si="79"/>
        <v>244.3451848392219</v>
      </c>
      <c r="O171" s="1197">
        <f>+C161+D162+D163+D164+D165+D166+D167+D168+D169+D170+(D171/2)</f>
        <v>5</v>
      </c>
      <c r="P171" s="1197">
        <f t="shared" si="80"/>
        <v>8.7155742747658083E-2</v>
      </c>
      <c r="Q171" s="1197">
        <f t="shared" si="81"/>
        <v>21.296086071476189</v>
      </c>
      <c r="R171" s="1197">
        <f t="shared" si="102"/>
        <v>305.66315601069527</v>
      </c>
      <c r="S171" s="1197">
        <f t="shared" si="105"/>
        <v>326.95924208217144</v>
      </c>
      <c r="T171" s="1196">
        <f t="shared" si="82"/>
        <v>326.95924208217144</v>
      </c>
      <c r="U171" s="471"/>
      <c r="V171" s="1193">
        <f t="shared" si="83"/>
        <v>0</v>
      </c>
      <c r="W171" s="1193"/>
      <c r="X171" s="1193"/>
      <c r="Y171" s="1193"/>
      <c r="Z171" s="1193"/>
      <c r="AA171" s="1193"/>
      <c r="AB171" s="1195" t="str">
        <f t="shared" si="84"/>
        <v>pin in groundstacking hole</v>
      </c>
      <c r="AC171" s="1194"/>
      <c r="AD171" s="1194"/>
      <c r="AE171" s="1194"/>
      <c r="AF171" s="1193">
        <f>SUM(V171:V184)/($B$158-B170)</f>
        <v>0</v>
      </c>
      <c r="AG171" s="1193"/>
      <c r="AH171" s="1192">
        <f>SUM(D162:D171)+$C$161</f>
        <v>5</v>
      </c>
      <c r="AI171" s="567"/>
      <c r="AJ171" s="568">
        <f t="shared" si="85"/>
        <v>64.344714800000006</v>
      </c>
      <c r="AK171" s="1191">
        <f t="shared" si="86"/>
        <v>0.90141518331735337</v>
      </c>
      <c r="AL171" s="658">
        <f t="shared" si="87"/>
        <v>173.45030957392513</v>
      </c>
      <c r="AM171" s="568">
        <f t="shared" si="88"/>
        <v>55.174479900000001</v>
      </c>
      <c r="AN171" s="1190">
        <f t="shared" si="89"/>
        <v>0.82089492628910188</v>
      </c>
      <c r="AO171" s="658">
        <f t="shared" si="90"/>
        <v>156.59391613890907</v>
      </c>
      <c r="AP171" s="1237"/>
      <c r="AQ171" s="658">
        <f t="shared" si="103"/>
        <v>-229.5</v>
      </c>
      <c r="AR171" s="1237"/>
      <c r="AS171" s="1188">
        <f t="shared" si="91"/>
        <v>330.04422571283419</v>
      </c>
      <c r="AT171" s="1187">
        <f t="shared" si="92"/>
        <v>-156.59391613890907</v>
      </c>
      <c r="AU171" s="1236"/>
      <c r="AV171" s="1187">
        <f t="shared" si="93"/>
        <v>156.59391613890907</v>
      </c>
      <c r="AW171" s="1186">
        <f t="shared" si="94"/>
        <v>-120.61064228965202</v>
      </c>
      <c r="AX171" s="1186">
        <f t="shared" si="95"/>
        <v>-108.88935771034798</v>
      </c>
      <c r="AY171" s="1185">
        <f t="shared" si="96"/>
        <v>-96.17725086101494</v>
      </c>
      <c r="AZ171" s="1185">
        <f t="shared" si="97"/>
        <v>-91.836339292225247</v>
      </c>
      <c r="BA171" s="1184">
        <f t="shared" si="98"/>
        <v>96.17725086101494</v>
      </c>
      <c r="BB171" s="1184">
        <f t="shared" si="99"/>
        <v>91.836339292225247</v>
      </c>
      <c r="BC171" s="474">
        <f t="shared" si="104"/>
        <v>0.3</v>
      </c>
      <c r="BG171" s="524"/>
      <c r="BO171" s="524"/>
      <c r="BP171" s="473"/>
      <c r="CR171" s="524"/>
      <c r="CS171" s="524"/>
      <c r="CT171" s="524"/>
      <c r="CU171" s="524"/>
      <c r="CV171" s="524"/>
      <c r="CW171" s="524"/>
    </row>
    <row r="172" spans="1:101" ht="21" customHeight="1" thickBot="1" x14ac:dyDescent="0.35">
      <c r="A172" s="636"/>
      <c r="B172" s="631">
        <v>12</v>
      </c>
      <c r="C172" s="612"/>
      <c r="D172" s="1907">
        <v>0</v>
      </c>
      <c r="E172" s="632" t="s">
        <v>72</v>
      </c>
      <c r="F172" s="584">
        <f t="shared" si="75"/>
        <v>0.3</v>
      </c>
      <c r="G172" s="584">
        <f t="shared" si="100"/>
        <v>0.3</v>
      </c>
      <c r="H172" s="1199">
        <v>190.76</v>
      </c>
      <c r="I172" s="1198">
        <v>79.651040199999997</v>
      </c>
      <c r="J172" s="1197">
        <f t="shared" si="101"/>
        <v>79.651040199999997</v>
      </c>
      <c r="K172" s="1197">
        <f t="shared" si="76"/>
        <v>39.825520099999999</v>
      </c>
      <c r="L172" s="1197">
        <f t="shared" si="77"/>
        <v>0.64045183696587837</v>
      </c>
      <c r="M172" s="1197">
        <f t="shared" si="78"/>
        <v>122.17259241961095</v>
      </c>
      <c r="N172" s="1197">
        <f t="shared" si="79"/>
        <v>244.3451848392219</v>
      </c>
      <c r="O172" s="1197">
        <f>+C161+D162+D163+D164+D165+D166+D167+D168+D169+D170+D171+(D172/2)</f>
        <v>5</v>
      </c>
      <c r="P172" s="1197">
        <f t="shared" si="80"/>
        <v>8.7155742747658083E-2</v>
      </c>
      <c r="Q172" s="1197">
        <f t="shared" si="81"/>
        <v>21.296086071476189</v>
      </c>
      <c r="R172" s="1197">
        <f t="shared" si="102"/>
        <v>326.95924208217144</v>
      </c>
      <c r="S172" s="1197">
        <f t="shared" si="105"/>
        <v>348.25532815364761</v>
      </c>
      <c r="T172" s="1196">
        <f t="shared" si="82"/>
        <v>348.25532815364761</v>
      </c>
      <c r="U172" s="471"/>
      <c r="V172" s="1193">
        <f t="shared" si="83"/>
        <v>0</v>
      </c>
      <c r="W172" s="1193"/>
      <c r="X172" s="1193"/>
      <c r="Y172" s="1193"/>
      <c r="Z172" s="1193"/>
      <c r="AA172" s="1193"/>
      <c r="AB172" s="1195" t="str">
        <f t="shared" si="84"/>
        <v>pin in groundstacking hole</v>
      </c>
      <c r="AC172" s="1194"/>
      <c r="AD172" s="1194"/>
      <c r="AE172" s="1194"/>
      <c r="AF172" s="1193">
        <f>SUM(V172:V184)/($B$158-B171)</f>
        <v>0</v>
      </c>
      <c r="AG172" s="1193"/>
      <c r="AH172" s="1192">
        <f>SUM(D162:D172)+$C$161</f>
        <v>5</v>
      </c>
      <c r="AI172" s="567"/>
      <c r="AJ172" s="568">
        <f t="shared" si="85"/>
        <v>64.344714800000006</v>
      </c>
      <c r="AK172" s="1191">
        <f t="shared" si="86"/>
        <v>0.90141518331735337</v>
      </c>
      <c r="AL172" s="658">
        <f t="shared" si="87"/>
        <v>173.45030957392513</v>
      </c>
      <c r="AM172" s="568">
        <f t="shared" si="88"/>
        <v>55.174479900000001</v>
      </c>
      <c r="AN172" s="1190">
        <f t="shared" si="89"/>
        <v>0.82089492628910188</v>
      </c>
      <c r="AO172" s="658">
        <f t="shared" si="90"/>
        <v>156.59391613890907</v>
      </c>
      <c r="AP172" s="1237"/>
      <c r="AQ172" s="658">
        <f t="shared" si="103"/>
        <v>-255</v>
      </c>
      <c r="AR172" s="1237"/>
      <c r="AS172" s="1188">
        <f t="shared" si="91"/>
        <v>330.04422571283419</v>
      </c>
      <c r="AT172" s="1187">
        <f t="shared" si="92"/>
        <v>-156.59391613890907</v>
      </c>
      <c r="AU172" s="1236"/>
      <c r="AV172" s="1187">
        <f t="shared" si="93"/>
        <v>156.59391613890907</v>
      </c>
      <c r="AW172" s="1186">
        <f t="shared" si="94"/>
        <v>-134.01182476628003</v>
      </c>
      <c r="AX172" s="1186">
        <f t="shared" si="95"/>
        <v>-120.98817523371997</v>
      </c>
      <c r="AY172" s="1185">
        <f t="shared" si="96"/>
        <v>-86.559525774913439</v>
      </c>
      <c r="AZ172" s="1185">
        <f t="shared" si="97"/>
        <v>-82.652705363002724</v>
      </c>
      <c r="BA172" s="1184">
        <f t="shared" si="98"/>
        <v>86.559525774913439</v>
      </c>
      <c r="BB172" s="1184">
        <f t="shared" si="99"/>
        <v>82.652705363002724</v>
      </c>
      <c r="BC172" s="474">
        <f t="shared" si="104"/>
        <v>0.3</v>
      </c>
      <c r="BG172" s="524"/>
      <c r="BO172" s="524"/>
      <c r="BP172" s="473"/>
      <c r="CR172" s="524"/>
      <c r="CS172" s="524"/>
      <c r="CT172" s="524"/>
      <c r="CU172" s="524"/>
      <c r="CV172" s="524"/>
      <c r="CW172" s="524"/>
    </row>
    <row r="173" spans="1:101" ht="21" customHeight="1" thickBot="1" x14ac:dyDescent="0.35">
      <c r="B173" s="631">
        <v>13</v>
      </c>
      <c r="C173" s="612"/>
      <c r="D173" s="1907">
        <v>0</v>
      </c>
      <c r="E173" s="632" t="s">
        <v>72</v>
      </c>
      <c r="F173" s="584">
        <f t="shared" si="75"/>
        <v>0.3</v>
      </c>
      <c r="G173" s="584">
        <f t="shared" si="100"/>
        <v>0.3</v>
      </c>
      <c r="H173" s="1199">
        <v>190.76</v>
      </c>
      <c r="I173" s="1198">
        <v>79.651040199999997</v>
      </c>
      <c r="J173" s="1197">
        <f t="shared" si="101"/>
        <v>79.651040199999997</v>
      </c>
      <c r="K173" s="1197">
        <f t="shared" si="76"/>
        <v>39.825520099999999</v>
      </c>
      <c r="L173" s="1197">
        <f t="shared" si="77"/>
        <v>0.64045183696587837</v>
      </c>
      <c r="M173" s="1197">
        <f t="shared" si="78"/>
        <v>122.17259241961095</v>
      </c>
      <c r="N173" s="1197">
        <f t="shared" si="79"/>
        <v>244.3451848392219</v>
      </c>
      <c r="O173" s="1197">
        <f>+C161+D162+D163+D164+D165+D166+D167+D168+D169+D170+D171+D172+(D173/2)</f>
        <v>5</v>
      </c>
      <c r="P173" s="1197">
        <f t="shared" si="80"/>
        <v>8.7155742747658083E-2</v>
      </c>
      <c r="Q173" s="1197">
        <f t="shared" si="81"/>
        <v>21.296086071476189</v>
      </c>
      <c r="R173" s="1197">
        <f t="shared" si="102"/>
        <v>348.25532815364761</v>
      </c>
      <c r="S173" s="1197">
        <f t="shared" si="105"/>
        <v>369.55141422512378</v>
      </c>
      <c r="T173" s="1196">
        <f t="shared" si="82"/>
        <v>369.55141422512378</v>
      </c>
      <c r="U173" s="471"/>
      <c r="V173" s="1193">
        <f t="shared" si="83"/>
        <v>0</v>
      </c>
      <c r="W173" s="1193"/>
      <c r="X173" s="1193"/>
      <c r="Y173" s="1193"/>
      <c r="Z173" s="1193"/>
      <c r="AA173" s="1193"/>
      <c r="AB173" s="1195" t="str">
        <f t="shared" si="84"/>
        <v>pin in groundstacking hole</v>
      </c>
      <c r="AC173" s="1194"/>
      <c r="AD173" s="1194"/>
      <c r="AE173" s="1194"/>
      <c r="AF173" s="1193">
        <f>SUM(V173:V184)/($B$158-B172)</f>
        <v>0</v>
      </c>
      <c r="AG173" s="1193"/>
      <c r="AH173" s="1192">
        <f>SUM(D162:D173)+$C$161</f>
        <v>5</v>
      </c>
      <c r="AI173" s="567"/>
      <c r="AJ173" s="568">
        <f t="shared" si="85"/>
        <v>64.344714800000006</v>
      </c>
      <c r="AK173" s="1191">
        <f t="shared" si="86"/>
        <v>0.90141518331735337</v>
      </c>
      <c r="AL173" s="658">
        <f t="shared" si="87"/>
        <v>173.45030957392513</v>
      </c>
      <c r="AM173" s="568">
        <f t="shared" si="88"/>
        <v>55.174479900000001</v>
      </c>
      <c r="AN173" s="1190">
        <f t="shared" si="89"/>
        <v>0.82089492628910188</v>
      </c>
      <c r="AO173" s="658">
        <f t="shared" si="90"/>
        <v>156.59391613890907</v>
      </c>
      <c r="AP173" s="1237"/>
      <c r="AQ173" s="658">
        <f t="shared" si="103"/>
        <v>-280.5</v>
      </c>
      <c r="AR173" s="1237"/>
      <c r="AS173" s="1188">
        <f t="shared" si="91"/>
        <v>330.04422571283419</v>
      </c>
      <c r="AT173" s="1187">
        <f t="shared" si="92"/>
        <v>-156.59391613890907</v>
      </c>
      <c r="AU173" s="1236"/>
      <c r="AV173" s="1187">
        <f t="shared" si="93"/>
        <v>156.59391613890907</v>
      </c>
      <c r="AW173" s="1186">
        <f t="shared" si="94"/>
        <v>-147.41300724290804</v>
      </c>
      <c r="AX173" s="1186">
        <f t="shared" si="95"/>
        <v>-133.08699275709196</v>
      </c>
      <c r="AY173" s="1185">
        <f t="shared" si="96"/>
        <v>-78.690477977194035</v>
      </c>
      <c r="AZ173" s="1185">
        <f t="shared" si="97"/>
        <v>-75.138823057275204</v>
      </c>
      <c r="BA173" s="1184">
        <f t="shared" si="98"/>
        <v>78.690477977194035</v>
      </c>
      <c r="BB173" s="1184">
        <f t="shared" si="99"/>
        <v>75.138823057275204</v>
      </c>
      <c r="BC173" s="474">
        <f t="shared" si="104"/>
        <v>0.3</v>
      </c>
      <c r="BG173" s="524"/>
      <c r="BO173" s="524"/>
      <c r="BP173" s="473"/>
      <c r="CR173" s="524"/>
      <c r="CS173" s="524"/>
      <c r="CT173" s="524"/>
      <c r="CU173" s="524"/>
      <c r="CV173" s="524"/>
      <c r="CW173" s="524"/>
    </row>
    <row r="174" spans="1:101" ht="21" customHeight="1" thickBot="1" x14ac:dyDescent="0.35">
      <c r="B174" s="631">
        <v>14</v>
      </c>
      <c r="C174" s="612"/>
      <c r="D174" s="1907">
        <v>0</v>
      </c>
      <c r="E174" s="632" t="s">
        <v>72</v>
      </c>
      <c r="F174" s="584">
        <f t="shared" si="75"/>
        <v>0.3</v>
      </c>
      <c r="G174" s="584">
        <f t="shared" si="100"/>
        <v>0.3</v>
      </c>
      <c r="H174" s="1199">
        <v>190.76</v>
      </c>
      <c r="I174" s="1198">
        <v>79.651040199999997</v>
      </c>
      <c r="J174" s="1197">
        <f t="shared" si="101"/>
        <v>79.651040199999997</v>
      </c>
      <c r="K174" s="1197">
        <f t="shared" si="76"/>
        <v>39.825520099999999</v>
      </c>
      <c r="L174" s="1197">
        <f t="shared" si="77"/>
        <v>0.64045183696587837</v>
      </c>
      <c r="M174" s="1197">
        <f t="shared" si="78"/>
        <v>122.17259241961095</v>
      </c>
      <c r="N174" s="1197">
        <f t="shared" si="79"/>
        <v>244.3451848392219</v>
      </c>
      <c r="O174" s="1197">
        <f>+C161+D162+D163+D164+D165+D166+D167+D168+D169+D170+D171+D172+D173+(D174/2)</f>
        <v>5</v>
      </c>
      <c r="P174" s="1197">
        <f t="shared" si="80"/>
        <v>8.7155742747658083E-2</v>
      </c>
      <c r="Q174" s="1197">
        <f t="shared" si="81"/>
        <v>21.296086071476189</v>
      </c>
      <c r="R174" s="1197">
        <f t="shared" si="102"/>
        <v>369.55141422512378</v>
      </c>
      <c r="S174" s="1197">
        <f t="shared" si="105"/>
        <v>390.84750029659995</v>
      </c>
      <c r="T174" s="1196">
        <f t="shared" si="82"/>
        <v>390.84750029659995</v>
      </c>
      <c r="U174" s="471"/>
      <c r="V174" s="1193">
        <f t="shared" si="83"/>
        <v>0</v>
      </c>
      <c r="W174" s="1193"/>
      <c r="X174" s="1193"/>
      <c r="Y174" s="1193"/>
      <c r="Z174" s="1193"/>
      <c r="AA174" s="1193"/>
      <c r="AB174" s="1195" t="str">
        <f t="shared" si="84"/>
        <v>pin in groundstacking hole</v>
      </c>
      <c r="AC174" s="1194"/>
      <c r="AD174" s="1194"/>
      <c r="AE174" s="1194"/>
      <c r="AF174" s="1193">
        <f>SUM(V174:V184)/($B$158-B173)</f>
        <v>0</v>
      </c>
      <c r="AG174" s="1193"/>
      <c r="AH174" s="1192">
        <f>SUM(D162:D174)+$C$161</f>
        <v>5</v>
      </c>
      <c r="AI174" s="567"/>
      <c r="AJ174" s="568">
        <f t="shared" si="85"/>
        <v>64.344714800000006</v>
      </c>
      <c r="AK174" s="1191">
        <f t="shared" si="86"/>
        <v>0.90141518331735337</v>
      </c>
      <c r="AL174" s="658">
        <f t="shared" si="87"/>
        <v>173.45030957392513</v>
      </c>
      <c r="AM174" s="568">
        <f t="shared" si="88"/>
        <v>55.174479900000001</v>
      </c>
      <c r="AN174" s="1190">
        <f t="shared" si="89"/>
        <v>0.82089492628910188</v>
      </c>
      <c r="AO174" s="658">
        <f t="shared" si="90"/>
        <v>156.59391613890907</v>
      </c>
      <c r="AP174" s="1237"/>
      <c r="AQ174" s="658">
        <f t="shared" si="103"/>
        <v>-306</v>
      </c>
      <c r="AR174" s="1237"/>
      <c r="AS174" s="1188">
        <f t="shared" si="91"/>
        <v>330.04422571283419</v>
      </c>
      <c r="AT174" s="1187">
        <f t="shared" si="92"/>
        <v>-156.59391613890907</v>
      </c>
      <c r="AU174" s="1236"/>
      <c r="AV174" s="1187">
        <f t="shared" si="93"/>
        <v>156.59391613890907</v>
      </c>
      <c r="AW174" s="1186">
        <f t="shared" si="94"/>
        <v>-160.81418971953605</v>
      </c>
      <c r="AX174" s="1186">
        <f t="shared" si="95"/>
        <v>-145.18581028046395</v>
      </c>
      <c r="AY174" s="1185">
        <f t="shared" si="96"/>
        <v>-72.132938145761202</v>
      </c>
      <c r="AZ174" s="1185">
        <f t="shared" si="97"/>
        <v>-68.877254469168946</v>
      </c>
      <c r="BA174" s="1184">
        <f t="shared" si="98"/>
        <v>72.132938145761202</v>
      </c>
      <c r="BB174" s="1184">
        <f t="shared" si="99"/>
        <v>68.877254469168946</v>
      </c>
      <c r="BC174" s="474">
        <f t="shared" si="104"/>
        <v>0.3</v>
      </c>
      <c r="BG174" s="524"/>
      <c r="BO174" s="524"/>
      <c r="BP174" s="473"/>
      <c r="CR174" s="524"/>
      <c r="CS174" s="524"/>
      <c r="CT174" s="524"/>
      <c r="CU174" s="524"/>
      <c r="CV174" s="524"/>
      <c r="CW174" s="524"/>
    </row>
    <row r="175" spans="1:101" ht="21" customHeight="1" thickBot="1" x14ac:dyDescent="0.35">
      <c r="B175" s="631">
        <v>15</v>
      </c>
      <c r="C175" s="612"/>
      <c r="D175" s="1907">
        <v>0</v>
      </c>
      <c r="E175" s="632" t="s">
        <v>72</v>
      </c>
      <c r="F175" s="584">
        <f t="shared" si="75"/>
        <v>0.3</v>
      </c>
      <c r="G175" s="584">
        <f t="shared" si="100"/>
        <v>0.3</v>
      </c>
      <c r="H175" s="1199">
        <v>190.76</v>
      </c>
      <c r="I175" s="1198">
        <v>79.651040199999997</v>
      </c>
      <c r="J175" s="1197">
        <f t="shared" si="101"/>
        <v>79.651040199999997</v>
      </c>
      <c r="K175" s="1197">
        <f t="shared" si="76"/>
        <v>39.825520099999999</v>
      </c>
      <c r="L175" s="1197">
        <f t="shared" si="77"/>
        <v>0.64045183696587837</v>
      </c>
      <c r="M175" s="1197">
        <f t="shared" si="78"/>
        <v>122.17259241961095</v>
      </c>
      <c r="N175" s="1197">
        <f t="shared" si="79"/>
        <v>244.3451848392219</v>
      </c>
      <c r="O175" s="1197">
        <f>+C161+D162+D163+D164+D165+D166+D167+D168+D169+D170+D171+D172+D173+D174+(D175/2)</f>
        <v>5</v>
      </c>
      <c r="P175" s="1197">
        <f t="shared" si="80"/>
        <v>8.7155742747658083E-2</v>
      </c>
      <c r="Q175" s="1197">
        <f t="shared" si="81"/>
        <v>21.296086071476189</v>
      </c>
      <c r="R175" s="1197">
        <f t="shared" si="102"/>
        <v>390.84750029659995</v>
      </c>
      <c r="S175" s="1197">
        <f t="shared" si="105"/>
        <v>412.14358636807611</v>
      </c>
      <c r="T175" s="1196">
        <f t="shared" si="82"/>
        <v>412.14358636807611</v>
      </c>
      <c r="U175" s="471"/>
      <c r="V175" s="1193">
        <f t="shared" si="83"/>
        <v>0</v>
      </c>
      <c r="W175" s="1193"/>
      <c r="X175" s="1193"/>
      <c r="Y175" s="1193"/>
      <c r="Z175" s="1193"/>
      <c r="AA175" s="1193"/>
      <c r="AB175" s="1195" t="str">
        <f t="shared" si="84"/>
        <v>pin in groundstacking hole</v>
      </c>
      <c r="AC175" s="1194"/>
      <c r="AD175" s="1194"/>
      <c r="AE175" s="1194"/>
      <c r="AF175" s="1193">
        <f>SUM(V175:V184)/($B$158-B174)</f>
        <v>0</v>
      </c>
      <c r="AG175" s="1193"/>
      <c r="AH175" s="1192">
        <f>SUM(D162:D175)+$C$161</f>
        <v>5</v>
      </c>
      <c r="AI175" s="567"/>
      <c r="AJ175" s="568">
        <f t="shared" si="85"/>
        <v>64.344714800000006</v>
      </c>
      <c r="AK175" s="1191">
        <f t="shared" si="86"/>
        <v>0.90141518331735337</v>
      </c>
      <c r="AL175" s="658">
        <f t="shared" si="87"/>
        <v>173.45030957392513</v>
      </c>
      <c r="AM175" s="568">
        <f t="shared" si="88"/>
        <v>55.174479900000001</v>
      </c>
      <c r="AN175" s="1190">
        <f t="shared" si="89"/>
        <v>0.82089492628910188</v>
      </c>
      <c r="AO175" s="658">
        <f t="shared" si="90"/>
        <v>156.59391613890907</v>
      </c>
      <c r="AP175" s="1237"/>
      <c r="AQ175" s="658">
        <f t="shared" si="103"/>
        <v>-331.5</v>
      </c>
      <c r="AR175" s="1237"/>
      <c r="AS175" s="1188">
        <f t="shared" si="91"/>
        <v>330.04422571283419</v>
      </c>
      <c r="AT175" s="1187">
        <f t="shared" si="92"/>
        <v>-156.59391613890907</v>
      </c>
      <c r="AU175" s="1236"/>
      <c r="AV175" s="1187">
        <f t="shared" si="93"/>
        <v>156.59391613890907</v>
      </c>
      <c r="AW175" s="1186">
        <f t="shared" si="94"/>
        <v>-174.21537219616403</v>
      </c>
      <c r="AX175" s="1186">
        <f t="shared" si="95"/>
        <v>-157.28462780383597</v>
      </c>
      <c r="AY175" s="1185">
        <f t="shared" si="96"/>
        <v>-66.584250596087273</v>
      </c>
      <c r="AZ175" s="1185">
        <f t="shared" si="97"/>
        <v>-63.579004125386703</v>
      </c>
      <c r="BA175" s="1184">
        <f t="shared" si="98"/>
        <v>66.584250596087273</v>
      </c>
      <c r="BB175" s="1184">
        <f t="shared" si="99"/>
        <v>63.579004125386703</v>
      </c>
      <c r="BC175" s="474">
        <f t="shared" si="104"/>
        <v>0.3</v>
      </c>
      <c r="BG175" s="524"/>
      <c r="BO175" s="524"/>
      <c r="BP175" s="473"/>
      <c r="CR175" s="524"/>
      <c r="CS175" s="524"/>
      <c r="CT175" s="524"/>
      <c r="CU175" s="524"/>
      <c r="CV175" s="524"/>
    </row>
    <row r="176" spans="1:101" ht="21" customHeight="1" thickBot="1" x14ac:dyDescent="0.35">
      <c r="B176" s="631">
        <v>16</v>
      </c>
      <c r="C176" s="612"/>
      <c r="D176" s="1907">
        <v>0</v>
      </c>
      <c r="E176" s="632" t="s">
        <v>72</v>
      </c>
      <c r="F176" s="584">
        <f t="shared" si="75"/>
        <v>0.3</v>
      </c>
      <c r="G176" s="584">
        <f t="shared" si="100"/>
        <v>0.3</v>
      </c>
      <c r="H176" s="1199">
        <v>190.76</v>
      </c>
      <c r="I176" s="1198">
        <v>79.651040199999997</v>
      </c>
      <c r="J176" s="1197">
        <f t="shared" si="101"/>
        <v>79.651040199999997</v>
      </c>
      <c r="K176" s="1197">
        <f t="shared" si="76"/>
        <v>39.825520099999999</v>
      </c>
      <c r="L176" s="1197">
        <f t="shared" si="77"/>
        <v>0.64045183696587837</v>
      </c>
      <c r="M176" s="1197">
        <f t="shared" si="78"/>
        <v>122.17259241961095</v>
      </c>
      <c r="N176" s="1197">
        <f t="shared" si="79"/>
        <v>244.3451848392219</v>
      </c>
      <c r="O176" s="1197">
        <f>+C161+D162+D163+D164+D165+D166+D167+D168+D169+D170+D171+D172+D173+D174+D175+(D176/2)</f>
        <v>5</v>
      </c>
      <c r="P176" s="1197">
        <f t="shared" si="80"/>
        <v>8.7155742747658083E-2</v>
      </c>
      <c r="Q176" s="1197">
        <f t="shared" si="81"/>
        <v>21.296086071476189</v>
      </c>
      <c r="R176" s="1197">
        <f t="shared" si="102"/>
        <v>412.14358636807611</v>
      </c>
      <c r="S176" s="1197">
        <f t="shared" si="105"/>
        <v>433.43967243955228</v>
      </c>
      <c r="T176" s="1196">
        <f t="shared" si="82"/>
        <v>433.43967243955228</v>
      </c>
      <c r="U176" s="471"/>
      <c r="V176" s="1193">
        <f t="shared" si="83"/>
        <v>0</v>
      </c>
      <c r="W176" s="1193"/>
      <c r="X176" s="1193"/>
      <c r="Y176" s="1193"/>
      <c r="Z176" s="1193"/>
      <c r="AA176" s="1193"/>
      <c r="AB176" s="1195" t="str">
        <f t="shared" si="84"/>
        <v>pin in groundstacking hole</v>
      </c>
      <c r="AC176" s="1194"/>
      <c r="AD176" s="1194"/>
      <c r="AE176" s="1194"/>
      <c r="AF176" s="1193">
        <f>SUM(V176:V184)/($B$158-B175)</f>
        <v>0</v>
      </c>
      <c r="AG176" s="1193"/>
      <c r="AH176" s="1192">
        <f>SUM(D162:D176)+$C$161</f>
        <v>5</v>
      </c>
      <c r="AI176" s="567"/>
      <c r="AJ176" s="568">
        <f t="shared" si="85"/>
        <v>64.344714800000006</v>
      </c>
      <c r="AK176" s="1191">
        <f t="shared" si="86"/>
        <v>0.90141518331735337</v>
      </c>
      <c r="AL176" s="658">
        <f t="shared" si="87"/>
        <v>173.45030957392513</v>
      </c>
      <c r="AM176" s="568">
        <f t="shared" si="88"/>
        <v>55.174479900000001</v>
      </c>
      <c r="AN176" s="1190">
        <f t="shared" si="89"/>
        <v>0.82089492628910188</v>
      </c>
      <c r="AO176" s="658">
        <f t="shared" si="90"/>
        <v>156.59391613890907</v>
      </c>
      <c r="AP176" s="1237"/>
      <c r="AQ176" s="658">
        <f t="shared" si="103"/>
        <v>-357</v>
      </c>
      <c r="AR176" s="1237"/>
      <c r="AS176" s="1188">
        <f t="shared" si="91"/>
        <v>330.04422571283419</v>
      </c>
      <c r="AT176" s="1187">
        <f t="shared" si="92"/>
        <v>-156.59391613890907</v>
      </c>
      <c r="AU176" s="1236"/>
      <c r="AV176" s="1187">
        <f t="shared" si="93"/>
        <v>156.59391613890907</v>
      </c>
      <c r="AW176" s="1186">
        <f t="shared" si="94"/>
        <v>-187.61655467279203</v>
      </c>
      <c r="AX176" s="1186">
        <f t="shared" si="95"/>
        <v>-169.38344532720797</v>
      </c>
      <c r="AY176" s="1185">
        <f t="shared" si="96"/>
        <v>-61.828232696366747</v>
      </c>
      <c r="AZ176" s="1185">
        <f t="shared" si="97"/>
        <v>-59.037646687859088</v>
      </c>
      <c r="BA176" s="1184">
        <f t="shared" si="98"/>
        <v>61.828232696366747</v>
      </c>
      <c r="BB176" s="1184">
        <f t="shared" si="99"/>
        <v>59.037646687859088</v>
      </c>
      <c r="BC176" s="474">
        <f t="shared" si="104"/>
        <v>0.3</v>
      </c>
      <c r="BG176" s="524"/>
      <c r="BO176" s="524"/>
      <c r="BP176" s="473"/>
      <c r="CR176" s="524"/>
      <c r="CS176" s="524"/>
      <c r="CT176" s="524"/>
      <c r="CU176" s="524"/>
      <c r="CV176" s="524"/>
      <c r="CW176" s="639"/>
    </row>
    <row r="177" spans="2:127" ht="21" customHeight="1" thickBot="1" x14ac:dyDescent="0.35">
      <c r="B177" s="631">
        <v>17</v>
      </c>
      <c r="C177" s="612"/>
      <c r="D177" s="1907">
        <v>0</v>
      </c>
      <c r="E177" s="632" t="s">
        <v>72</v>
      </c>
      <c r="F177" s="584">
        <f t="shared" si="75"/>
        <v>0.3</v>
      </c>
      <c r="G177" s="584">
        <f t="shared" si="100"/>
        <v>0.3</v>
      </c>
      <c r="H177" s="1199">
        <v>190.76</v>
      </c>
      <c r="I177" s="1198">
        <v>79.651040199999997</v>
      </c>
      <c r="J177" s="1197">
        <f t="shared" si="101"/>
        <v>79.651040199999997</v>
      </c>
      <c r="K177" s="1197">
        <f t="shared" si="76"/>
        <v>39.825520099999999</v>
      </c>
      <c r="L177" s="1197">
        <f t="shared" si="77"/>
        <v>0.64045183696587837</v>
      </c>
      <c r="M177" s="1197">
        <f t="shared" si="78"/>
        <v>122.17259241961095</v>
      </c>
      <c r="N177" s="1197">
        <f t="shared" si="79"/>
        <v>244.3451848392219</v>
      </c>
      <c r="O177" s="1197">
        <f>+C161+D162+D163+D164+D165+D166+D167+D168+D169+D170+D171+D172+D173+D174+D175+D176+(D177/2)</f>
        <v>5</v>
      </c>
      <c r="P177" s="1197">
        <f t="shared" si="80"/>
        <v>8.7155742747658083E-2</v>
      </c>
      <c r="Q177" s="1197">
        <f t="shared" si="81"/>
        <v>21.296086071476189</v>
      </c>
      <c r="R177" s="1197">
        <f t="shared" si="102"/>
        <v>433.43967243955228</v>
      </c>
      <c r="S177" s="1197">
        <f t="shared" si="105"/>
        <v>454.73575851102845</v>
      </c>
      <c r="T177" s="1196">
        <f t="shared" si="82"/>
        <v>454.73575851102845</v>
      </c>
      <c r="U177" s="471"/>
      <c r="V177" s="1193">
        <f t="shared" si="83"/>
        <v>0</v>
      </c>
      <c r="W177" s="1193"/>
      <c r="X177" s="1193"/>
      <c r="Y177" s="1193"/>
      <c r="Z177" s="1193"/>
      <c r="AA177" s="1193"/>
      <c r="AB177" s="1195" t="str">
        <f t="shared" si="84"/>
        <v>pin in groundstacking hole</v>
      </c>
      <c r="AC177" s="1194"/>
      <c r="AD177" s="1194"/>
      <c r="AE177" s="1194"/>
      <c r="AF177" s="1193">
        <f>SUM(V177:V184)/($B$158-B176)</f>
        <v>0</v>
      </c>
      <c r="AG177" s="1193"/>
      <c r="AH177" s="1192">
        <f>SUM(D162:D177)+$C$161</f>
        <v>5</v>
      </c>
      <c r="AI177" s="567"/>
      <c r="AJ177" s="568">
        <f t="shared" si="85"/>
        <v>64.344714800000006</v>
      </c>
      <c r="AK177" s="1191">
        <f t="shared" si="86"/>
        <v>0.90141518331735337</v>
      </c>
      <c r="AL177" s="658">
        <f t="shared" si="87"/>
        <v>173.45030957392513</v>
      </c>
      <c r="AM177" s="568">
        <f t="shared" si="88"/>
        <v>55.174479900000001</v>
      </c>
      <c r="AN177" s="1190">
        <f t="shared" si="89"/>
        <v>0.82089492628910188</v>
      </c>
      <c r="AO177" s="658">
        <f t="shared" si="90"/>
        <v>156.59391613890907</v>
      </c>
      <c r="AP177" s="1237"/>
      <c r="AQ177" s="658">
        <f t="shared" si="103"/>
        <v>-382.5</v>
      </c>
      <c r="AR177" s="1237"/>
      <c r="AS177" s="1188">
        <f t="shared" si="91"/>
        <v>330.04422571283419</v>
      </c>
      <c r="AT177" s="1187">
        <f t="shared" si="92"/>
        <v>-156.59391613890907</v>
      </c>
      <c r="AU177" s="1236"/>
      <c r="AV177" s="1187">
        <f t="shared" si="93"/>
        <v>156.59391613890907</v>
      </c>
      <c r="AW177" s="1186">
        <f t="shared" si="94"/>
        <v>-201.01773714942004</v>
      </c>
      <c r="AX177" s="1186">
        <f t="shared" si="95"/>
        <v>-181.48226285057996</v>
      </c>
      <c r="AY177" s="1185">
        <f t="shared" si="96"/>
        <v>-57.706350516608964</v>
      </c>
      <c r="AZ177" s="1185">
        <f t="shared" si="97"/>
        <v>-55.101803575335147</v>
      </c>
      <c r="BA177" s="1184">
        <f t="shared" si="98"/>
        <v>57.706350516608964</v>
      </c>
      <c r="BB177" s="1184">
        <f t="shared" si="99"/>
        <v>55.101803575335147</v>
      </c>
      <c r="BC177" s="474">
        <f t="shared" si="104"/>
        <v>0.3</v>
      </c>
      <c r="BG177" s="524"/>
      <c r="BO177" s="524"/>
      <c r="BP177" s="473"/>
      <c r="CR177" s="524"/>
      <c r="CS177" s="524"/>
      <c r="CT177" s="524"/>
      <c r="CU177" s="524"/>
      <c r="CV177" s="524"/>
      <c r="CW177" s="524"/>
      <c r="CX177" s="524"/>
      <c r="CY177" s="478"/>
      <c r="CZ177" s="478"/>
      <c r="DA177" s="478"/>
      <c r="DB177" s="478"/>
      <c r="DC177" s="478"/>
      <c r="DD177" s="478"/>
      <c r="DE177" s="519"/>
      <c r="DF177" s="519"/>
      <c r="DG177" s="519"/>
      <c r="DH177" s="519"/>
      <c r="DI177" s="519"/>
      <c r="DJ177" s="519"/>
      <c r="DK177" s="519"/>
      <c r="DL177" s="519"/>
      <c r="DM177" s="519"/>
      <c r="DN177" s="519"/>
      <c r="DO177" s="519"/>
      <c r="DP177" s="519"/>
      <c r="DQ177" s="519"/>
      <c r="DR177" s="519"/>
      <c r="DS177" s="506"/>
    </row>
    <row r="178" spans="2:127" ht="21" customHeight="1" thickBot="1" x14ac:dyDescent="0.35">
      <c r="B178" s="631">
        <v>18</v>
      </c>
      <c r="C178" s="612"/>
      <c r="D178" s="1907">
        <v>0</v>
      </c>
      <c r="E178" s="632" t="s">
        <v>72</v>
      </c>
      <c r="F178" s="584">
        <f t="shared" si="75"/>
        <v>0.3</v>
      </c>
      <c r="G178" s="584">
        <f t="shared" si="100"/>
        <v>0.3</v>
      </c>
      <c r="H178" s="1199">
        <v>190.76</v>
      </c>
      <c r="I178" s="1198">
        <v>79.651040199999997</v>
      </c>
      <c r="J178" s="1197">
        <f t="shared" si="101"/>
        <v>79.651040199999997</v>
      </c>
      <c r="K178" s="1197">
        <f t="shared" si="76"/>
        <v>39.825520099999999</v>
      </c>
      <c r="L178" s="1197">
        <f t="shared" si="77"/>
        <v>0.64045183696587837</v>
      </c>
      <c r="M178" s="1197">
        <f t="shared" si="78"/>
        <v>122.17259241961095</v>
      </c>
      <c r="N178" s="1197">
        <f t="shared" si="79"/>
        <v>244.3451848392219</v>
      </c>
      <c r="O178" s="1197">
        <f>+C161+D162+D163+D164+D165+D166+D167+D168+D169+D170+D171+D172+D173+D174+D175+D176+D177+(D178/2)</f>
        <v>5</v>
      </c>
      <c r="P178" s="1197">
        <f t="shared" si="80"/>
        <v>8.7155742747658083E-2</v>
      </c>
      <c r="Q178" s="1197">
        <f t="shared" si="81"/>
        <v>21.296086071476189</v>
      </c>
      <c r="R178" s="1197">
        <f t="shared" si="102"/>
        <v>454.73575851102845</v>
      </c>
      <c r="S178" s="1197">
        <f t="shared" si="105"/>
        <v>476.03184458250462</v>
      </c>
      <c r="T178" s="1196">
        <f t="shared" si="82"/>
        <v>476.03184458250462</v>
      </c>
      <c r="U178" s="471"/>
      <c r="V178" s="1193">
        <f t="shared" si="83"/>
        <v>0</v>
      </c>
      <c r="W178" s="1193"/>
      <c r="X178" s="1193"/>
      <c r="Y178" s="1193"/>
      <c r="Z178" s="1193"/>
      <c r="AA178" s="1193"/>
      <c r="AB178" s="1195" t="str">
        <f t="shared" si="84"/>
        <v>pin in groundstacking hole</v>
      </c>
      <c r="AC178" s="1194"/>
      <c r="AD178" s="1194"/>
      <c r="AE178" s="1194"/>
      <c r="AF178" s="1193">
        <f>SUM(V178:V184)/($B$158-B177)</f>
        <v>0</v>
      </c>
      <c r="AG178" s="1193"/>
      <c r="AH178" s="1192">
        <f>SUM(D162:D178)+$C$161</f>
        <v>5</v>
      </c>
      <c r="AI178" s="567"/>
      <c r="AJ178" s="568">
        <f t="shared" si="85"/>
        <v>64.344714800000006</v>
      </c>
      <c r="AK178" s="1191">
        <f t="shared" si="86"/>
        <v>0.90141518331735337</v>
      </c>
      <c r="AL178" s="658">
        <f t="shared" si="87"/>
        <v>173.45030957392513</v>
      </c>
      <c r="AM178" s="568">
        <f t="shared" si="88"/>
        <v>55.174479900000001</v>
      </c>
      <c r="AN178" s="1190">
        <f t="shared" si="89"/>
        <v>0.82089492628910188</v>
      </c>
      <c r="AO178" s="658">
        <f t="shared" si="90"/>
        <v>156.59391613890907</v>
      </c>
      <c r="AP178" s="1237"/>
      <c r="AQ178" s="658">
        <f t="shared" si="103"/>
        <v>-408</v>
      </c>
      <c r="AR178" s="1237"/>
      <c r="AS178" s="1188">
        <f t="shared" si="91"/>
        <v>330.04422571283419</v>
      </c>
      <c r="AT178" s="1187">
        <f t="shared" si="92"/>
        <v>-156.59391613890907</v>
      </c>
      <c r="AU178" s="1236"/>
      <c r="AV178" s="1187">
        <f t="shared" si="93"/>
        <v>156.59391613890907</v>
      </c>
      <c r="AW178" s="1186">
        <f t="shared" si="94"/>
        <v>-214.41891962604805</v>
      </c>
      <c r="AX178" s="1186">
        <f t="shared" si="95"/>
        <v>-193.58108037395195</v>
      </c>
      <c r="AY178" s="1185">
        <f t="shared" si="96"/>
        <v>-54.099703609320905</v>
      </c>
      <c r="AZ178" s="1185">
        <f t="shared" si="97"/>
        <v>-51.657940851876702</v>
      </c>
      <c r="BA178" s="1184">
        <f t="shared" si="98"/>
        <v>54.099703609320905</v>
      </c>
      <c r="BB178" s="1184">
        <f t="shared" si="99"/>
        <v>51.657940851876702</v>
      </c>
      <c r="BC178" s="474">
        <f t="shared" si="104"/>
        <v>0.3</v>
      </c>
      <c r="BG178" s="524"/>
      <c r="BO178" s="524"/>
      <c r="BP178" s="473"/>
      <c r="CX178" s="640"/>
      <c r="CY178" s="478"/>
      <c r="CZ178" s="478"/>
      <c r="DA178" s="478"/>
      <c r="DB178" s="478"/>
      <c r="DC178" s="478"/>
      <c r="DD178" s="478"/>
      <c r="DE178" s="519"/>
      <c r="DF178" s="519"/>
      <c r="DG178" s="519"/>
      <c r="DH178" s="519"/>
      <c r="DI178" s="519"/>
      <c r="DJ178" s="519"/>
      <c r="DK178" s="519"/>
      <c r="DL178" s="519"/>
      <c r="DM178" s="519"/>
      <c r="DN178" s="519"/>
      <c r="DO178" s="519"/>
      <c r="DP178" s="519"/>
      <c r="DQ178" s="519"/>
      <c r="DR178" s="519"/>
      <c r="DS178" s="506"/>
    </row>
    <row r="179" spans="2:127" ht="21" customHeight="1" thickBot="1" x14ac:dyDescent="0.35">
      <c r="B179" s="631">
        <v>19</v>
      </c>
      <c r="C179" s="612"/>
      <c r="D179" s="1907">
        <v>0</v>
      </c>
      <c r="E179" s="632" t="s">
        <v>72</v>
      </c>
      <c r="F179" s="584">
        <f t="shared" si="75"/>
        <v>0.3</v>
      </c>
      <c r="G179" s="584">
        <f t="shared" si="100"/>
        <v>0.3</v>
      </c>
      <c r="H179" s="1199">
        <v>190.76</v>
      </c>
      <c r="I179" s="1198">
        <v>79.651040199999997</v>
      </c>
      <c r="J179" s="1197">
        <f t="shared" si="101"/>
        <v>79.651040199999997</v>
      </c>
      <c r="K179" s="1197">
        <f t="shared" si="76"/>
        <v>39.825520099999999</v>
      </c>
      <c r="L179" s="1197">
        <f t="shared" si="77"/>
        <v>0.64045183696587837</v>
      </c>
      <c r="M179" s="1197">
        <f t="shared" si="78"/>
        <v>122.17259241961095</v>
      </c>
      <c r="N179" s="1197">
        <f t="shared" si="79"/>
        <v>244.3451848392219</v>
      </c>
      <c r="O179" s="1197">
        <f>+C161+D162+D163+D164+D165+D166+D167+D168+D169+D170+D171+D172+D173+D174+D175+D176+D177+D178+(D179/2)</f>
        <v>5</v>
      </c>
      <c r="P179" s="1197">
        <f t="shared" si="80"/>
        <v>8.7155742747658083E-2</v>
      </c>
      <c r="Q179" s="1197">
        <f t="shared" si="81"/>
        <v>21.296086071476189</v>
      </c>
      <c r="R179" s="1197">
        <f t="shared" si="102"/>
        <v>476.03184458250462</v>
      </c>
      <c r="S179" s="1197">
        <f t="shared" si="105"/>
        <v>497.32793065398079</v>
      </c>
      <c r="T179" s="1196">
        <f t="shared" si="82"/>
        <v>497.32793065398079</v>
      </c>
      <c r="U179" s="471"/>
      <c r="V179" s="1193">
        <f t="shared" si="83"/>
        <v>0</v>
      </c>
      <c r="W179" s="1193"/>
      <c r="X179" s="1193"/>
      <c r="Y179" s="1193"/>
      <c r="Z179" s="1193"/>
      <c r="AA179" s="1193"/>
      <c r="AB179" s="1195" t="str">
        <f t="shared" si="84"/>
        <v>pin in groundstacking hole</v>
      </c>
      <c r="AC179" s="1194"/>
      <c r="AD179" s="1194"/>
      <c r="AE179" s="1194"/>
      <c r="AF179" s="1193">
        <f>SUM(V179:V184)/($B$158-B178)</f>
        <v>0</v>
      </c>
      <c r="AG179" s="1193"/>
      <c r="AH179" s="1192">
        <f>SUM(D161:D179)+$C$161</f>
        <v>5</v>
      </c>
      <c r="AI179" s="567"/>
      <c r="AJ179" s="568">
        <f t="shared" si="85"/>
        <v>64.344714800000006</v>
      </c>
      <c r="AK179" s="1191">
        <f t="shared" si="86"/>
        <v>0.90141518331735337</v>
      </c>
      <c r="AL179" s="658">
        <f t="shared" si="87"/>
        <v>173.45030957392513</v>
      </c>
      <c r="AM179" s="568">
        <f t="shared" si="88"/>
        <v>55.174479900000001</v>
      </c>
      <c r="AN179" s="1190">
        <f t="shared" si="89"/>
        <v>0.82089492628910188</v>
      </c>
      <c r="AO179" s="658">
        <f t="shared" si="90"/>
        <v>156.59391613890907</v>
      </c>
      <c r="AP179" s="1237"/>
      <c r="AQ179" s="658">
        <f t="shared" si="103"/>
        <v>-433.5</v>
      </c>
      <c r="AR179" s="1237"/>
      <c r="AS179" s="1188">
        <f t="shared" si="91"/>
        <v>330.04422571283419</v>
      </c>
      <c r="AT179" s="1187">
        <f t="shared" si="92"/>
        <v>-156.59391613890907</v>
      </c>
      <c r="AU179" s="1236"/>
      <c r="AV179" s="1187">
        <f t="shared" si="93"/>
        <v>156.59391613890907</v>
      </c>
      <c r="AW179" s="1186">
        <f t="shared" si="94"/>
        <v>-227.82010210267606</v>
      </c>
      <c r="AX179" s="1186">
        <f t="shared" si="95"/>
        <v>-205.67989789732394</v>
      </c>
      <c r="AY179" s="1185">
        <f t="shared" si="96"/>
        <v>-50.917368102890258</v>
      </c>
      <c r="AZ179" s="1185">
        <f t="shared" si="97"/>
        <v>-48.619238448825136</v>
      </c>
      <c r="BA179" s="1184">
        <f t="shared" si="98"/>
        <v>50.917368102890258</v>
      </c>
      <c r="BB179" s="1184">
        <f t="shared" si="99"/>
        <v>48.619238448825136</v>
      </c>
      <c r="BC179" s="474">
        <f t="shared" si="104"/>
        <v>0.3</v>
      </c>
      <c r="BG179" s="524"/>
      <c r="BO179" s="524"/>
      <c r="BP179" s="473"/>
      <c r="CX179" s="600"/>
      <c r="CY179" s="478"/>
      <c r="CZ179" s="478"/>
      <c r="DA179" s="478"/>
      <c r="DB179" s="478"/>
      <c r="DC179" s="478"/>
      <c r="DD179" s="478"/>
      <c r="DE179" s="519"/>
      <c r="DF179" s="519"/>
      <c r="DG179" s="519"/>
      <c r="DH179" s="519"/>
      <c r="DI179" s="519"/>
      <c r="DJ179" s="519"/>
      <c r="DK179" s="519"/>
      <c r="DL179" s="519"/>
      <c r="DM179" s="519"/>
      <c r="DN179" s="519"/>
      <c r="DO179" s="519"/>
      <c r="DP179" s="519"/>
      <c r="DQ179" s="519"/>
      <c r="DR179" s="519"/>
      <c r="DS179" s="506"/>
    </row>
    <row r="180" spans="2:127" ht="21" customHeight="1" thickBot="1" x14ac:dyDescent="0.35">
      <c r="B180" s="631">
        <v>20</v>
      </c>
      <c r="C180" s="612"/>
      <c r="D180" s="1907">
        <v>0</v>
      </c>
      <c r="E180" s="632" t="s">
        <v>72</v>
      </c>
      <c r="F180" s="584">
        <f t="shared" si="75"/>
        <v>0.3</v>
      </c>
      <c r="G180" s="584">
        <f t="shared" si="100"/>
        <v>0.3</v>
      </c>
      <c r="H180" s="1199">
        <v>190.76</v>
      </c>
      <c r="I180" s="1198">
        <v>79.651040199999997</v>
      </c>
      <c r="J180" s="1197">
        <f t="shared" si="101"/>
        <v>79.651040199999997</v>
      </c>
      <c r="K180" s="1197">
        <f t="shared" si="76"/>
        <v>39.825520099999999</v>
      </c>
      <c r="L180" s="1197">
        <f t="shared" si="77"/>
        <v>0.64045183696587837</v>
      </c>
      <c r="M180" s="1197">
        <f t="shared" si="78"/>
        <v>122.17259241961095</v>
      </c>
      <c r="N180" s="1197">
        <f t="shared" si="79"/>
        <v>244.3451848392219</v>
      </c>
      <c r="O180" s="1197">
        <f>+C161+D162+D163+D164+D165+D166+D167+D168+D169+D170+D171+D172+D173+D174+D175+D176+D177+D178+D179+(D180/2)</f>
        <v>5</v>
      </c>
      <c r="P180" s="1197">
        <f t="shared" si="80"/>
        <v>8.7155742747658083E-2</v>
      </c>
      <c r="Q180" s="1197">
        <f t="shared" si="81"/>
        <v>21.296086071476189</v>
      </c>
      <c r="R180" s="1197">
        <f t="shared" si="102"/>
        <v>497.32793065398079</v>
      </c>
      <c r="S180" s="1197">
        <f t="shared" si="105"/>
        <v>518.62401672545695</v>
      </c>
      <c r="T180" s="1196">
        <f t="shared" si="82"/>
        <v>518.62401672545695</v>
      </c>
      <c r="U180" s="471"/>
      <c r="V180" s="1193">
        <f t="shared" si="83"/>
        <v>0</v>
      </c>
      <c r="W180" s="1193"/>
      <c r="X180" s="1193"/>
      <c r="Y180" s="1193"/>
      <c r="Z180" s="1193"/>
      <c r="AA180" s="1193"/>
      <c r="AB180" s="1195" t="str">
        <f t="shared" si="84"/>
        <v>pin in groundstacking hole</v>
      </c>
      <c r="AC180" s="1194"/>
      <c r="AD180" s="1194"/>
      <c r="AE180" s="1194"/>
      <c r="AF180" s="1193">
        <f>SUM(V180:V184)/($B$158-B179)</f>
        <v>0</v>
      </c>
      <c r="AG180" s="1193"/>
      <c r="AH180" s="1192">
        <f>SUM(D162:D180)+$C$161</f>
        <v>5</v>
      </c>
      <c r="AI180" s="567"/>
      <c r="AJ180" s="568">
        <f t="shared" si="85"/>
        <v>64.344714800000006</v>
      </c>
      <c r="AK180" s="1191">
        <f t="shared" si="86"/>
        <v>0.90141518331735337</v>
      </c>
      <c r="AL180" s="658">
        <f t="shared" si="87"/>
        <v>173.45030957392513</v>
      </c>
      <c r="AM180" s="568">
        <f t="shared" si="88"/>
        <v>55.174479900000001</v>
      </c>
      <c r="AN180" s="1190">
        <f t="shared" si="89"/>
        <v>0.82089492628910188</v>
      </c>
      <c r="AO180" s="658">
        <f t="shared" si="90"/>
        <v>156.59391613890907</v>
      </c>
      <c r="AP180" s="1237"/>
      <c r="AQ180" s="658">
        <f t="shared" si="103"/>
        <v>-459</v>
      </c>
      <c r="AR180" s="1237"/>
      <c r="AS180" s="1188">
        <f t="shared" si="91"/>
        <v>330.04422571283419</v>
      </c>
      <c r="AT180" s="1187">
        <f t="shared" si="92"/>
        <v>-156.59391613890907</v>
      </c>
      <c r="AU180" s="1236"/>
      <c r="AV180" s="1187">
        <f t="shared" si="93"/>
        <v>156.59391613890907</v>
      </c>
      <c r="AW180" s="1186">
        <f t="shared" si="94"/>
        <v>-241.22128457930404</v>
      </c>
      <c r="AX180" s="1186">
        <f t="shared" si="95"/>
        <v>-217.77871542069596</v>
      </c>
      <c r="AY180" s="1185">
        <f t="shared" si="96"/>
        <v>-48.08862543050747</v>
      </c>
      <c r="AZ180" s="1185">
        <f t="shared" si="97"/>
        <v>-45.918169646112624</v>
      </c>
      <c r="BA180" s="1184">
        <f t="shared" si="98"/>
        <v>48.08862543050747</v>
      </c>
      <c r="BB180" s="1184">
        <f t="shared" si="99"/>
        <v>45.918169646112624</v>
      </c>
      <c r="BC180" s="474">
        <f t="shared" si="104"/>
        <v>0.3</v>
      </c>
      <c r="BG180" s="524"/>
      <c r="BO180" s="524"/>
      <c r="BP180" s="473"/>
      <c r="CX180" s="600"/>
      <c r="CY180" s="478"/>
      <c r="CZ180" s="478"/>
      <c r="DA180" s="478"/>
      <c r="DB180" s="478"/>
      <c r="DC180" s="478"/>
      <c r="DD180" s="478"/>
      <c r="DE180" s="519"/>
      <c r="DF180" s="519"/>
      <c r="DG180" s="519"/>
      <c r="DH180" s="519"/>
      <c r="DI180" s="519"/>
      <c r="DJ180" s="519"/>
      <c r="DK180" s="519"/>
      <c r="DL180" s="519"/>
      <c r="DM180" s="519"/>
      <c r="DN180" s="519"/>
      <c r="DO180" s="519"/>
      <c r="DP180" s="519"/>
      <c r="DQ180" s="519"/>
      <c r="DR180" s="519"/>
      <c r="DS180" s="506"/>
    </row>
    <row r="181" spans="2:127" ht="21" customHeight="1" thickBot="1" x14ac:dyDescent="0.35">
      <c r="B181" s="631">
        <v>21</v>
      </c>
      <c r="C181" s="612"/>
      <c r="D181" s="1907">
        <v>0</v>
      </c>
      <c r="E181" s="632" t="s">
        <v>72</v>
      </c>
      <c r="F181" s="584">
        <f t="shared" si="75"/>
        <v>0.3</v>
      </c>
      <c r="G181" s="584">
        <f t="shared" si="100"/>
        <v>0.3</v>
      </c>
      <c r="H181" s="1199">
        <v>190.76</v>
      </c>
      <c r="I181" s="1198">
        <v>79.651040199999997</v>
      </c>
      <c r="J181" s="1197">
        <f t="shared" si="101"/>
        <v>79.651040199999997</v>
      </c>
      <c r="K181" s="1197">
        <f t="shared" si="76"/>
        <v>39.825520099999999</v>
      </c>
      <c r="L181" s="1197">
        <f t="shared" si="77"/>
        <v>0.64045183696587837</v>
      </c>
      <c r="M181" s="1197">
        <f t="shared" si="78"/>
        <v>122.17259241961095</v>
      </c>
      <c r="N181" s="1197">
        <f t="shared" si="79"/>
        <v>244.3451848392219</v>
      </c>
      <c r="O181" s="1197">
        <f>+C161+D162+D163+D164+D165+D166+D167+D168+D169+D170+D171+D172+D173+D174+D175+D176+D177+D178+D179+D180+(D181/2)</f>
        <v>5</v>
      </c>
      <c r="P181" s="1197">
        <f t="shared" si="80"/>
        <v>8.7155742747658083E-2</v>
      </c>
      <c r="Q181" s="1197">
        <f t="shared" si="81"/>
        <v>21.296086071476189</v>
      </c>
      <c r="R181" s="1197">
        <f t="shared" si="102"/>
        <v>518.62401672545695</v>
      </c>
      <c r="S181" s="1197">
        <f t="shared" si="105"/>
        <v>539.92010279693318</v>
      </c>
      <c r="T181" s="1196">
        <f t="shared" si="82"/>
        <v>539.92010279693318</v>
      </c>
      <c r="U181" s="471"/>
      <c r="V181" s="1193">
        <f t="shared" si="83"/>
        <v>0</v>
      </c>
      <c r="W181" s="1193"/>
      <c r="X181" s="1193"/>
      <c r="Y181" s="1193"/>
      <c r="Z181" s="1193"/>
      <c r="AA181" s="1193"/>
      <c r="AB181" s="1195" t="str">
        <f t="shared" si="84"/>
        <v>pin in groundstacking hole</v>
      </c>
      <c r="AC181" s="1194"/>
      <c r="AD181" s="1194"/>
      <c r="AE181" s="1194"/>
      <c r="AF181" s="1193">
        <f>SUM(V181:V184)/($B$158-B180)</f>
        <v>0</v>
      </c>
      <c r="AG181" s="1193"/>
      <c r="AH181" s="1192">
        <f>SUM(D162:D181)+$C$161</f>
        <v>5</v>
      </c>
      <c r="AI181" s="567"/>
      <c r="AJ181" s="568">
        <f t="shared" si="85"/>
        <v>64.344714800000006</v>
      </c>
      <c r="AK181" s="1191">
        <f t="shared" si="86"/>
        <v>0.90141518331735337</v>
      </c>
      <c r="AL181" s="658">
        <f t="shared" si="87"/>
        <v>173.45030957392513</v>
      </c>
      <c r="AM181" s="568">
        <f t="shared" si="88"/>
        <v>55.174479900000001</v>
      </c>
      <c r="AN181" s="1190">
        <f t="shared" si="89"/>
        <v>0.82089492628910188</v>
      </c>
      <c r="AO181" s="658">
        <f t="shared" si="90"/>
        <v>156.59391613890907</v>
      </c>
      <c r="AP181" s="1237"/>
      <c r="AQ181" s="658">
        <f t="shared" si="103"/>
        <v>-484.5</v>
      </c>
      <c r="AR181" s="1237"/>
      <c r="AS181" s="1188">
        <f t="shared" si="91"/>
        <v>330.04422571283419</v>
      </c>
      <c r="AT181" s="1187">
        <f t="shared" si="92"/>
        <v>-156.59391613890907</v>
      </c>
      <c r="AU181" s="1236"/>
      <c r="AV181" s="1187">
        <f t="shared" si="93"/>
        <v>156.59391613890907</v>
      </c>
      <c r="AW181" s="1186">
        <f t="shared" si="94"/>
        <v>-254.62246705593205</v>
      </c>
      <c r="AX181" s="1186">
        <f t="shared" si="95"/>
        <v>-229.87753294406795</v>
      </c>
      <c r="AY181" s="1185">
        <f t="shared" si="96"/>
        <v>-45.557645144691286</v>
      </c>
      <c r="AZ181" s="1185">
        <f t="shared" si="97"/>
        <v>-43.501423875264592</v>
      </c>
      <c r="BA181" s="1184">
        <f t="shared" si="98"/>
        <v>45.557645144691286</v>
      </c>
      <c r="BB181" s="1184">
        <f t="shared" si="99"/>
        <v>43.501423875264592</v>
      </c>
      <c r="BC181" s="474">
        <f t="shared" si="104"/>
        <v>0.3</v>
      </c>
      <c r="BG181" s="524"/>
      <c r="BO181" s="524"/>
      <c r="BP181" s="473"/>
      <c r="DR181" s="521"/>
      <c r="DS181" s="521"/>
      <c r="DT181" s="521"/>
      <c r="DU181" s="521"/>
      <c r="DV181" s="521"/>
      <c r="DW181" s="521"/>
    </row>
    <row r="182" spans="2:127" ht="21" customHeight="1" thickBot="1" x14ac:dyDescent="0.35">
      <c r="B182" s="631">
        <v>22</v>
      </c>
      <c r="C182" s="612"/>
      <c r="D182" s="1907">
        <v>0</v>
      </c>
      <c r="E182" s="632" t="s">
        <v>72</v>
      </c>
      <c r="F182" s="584">
        <f t="shared" si="75"/>
        <v>0.3</v>
      </c>
      <c r="G182" s="584">
        <f t="shared" si="100"/>
        <v>0.3</v>
      </c>
      <c r="H182" s="1199">
        <v>190.76</v>
      </c>
      <c r="I182" s="1198">
        <v>79.651040199999997</v>
      </c>
      <c r="J182" s="1197">
        <f t="shared" si="101"/>
        <v>79.651040199999997</v>
      </c>
      <c r="K182" s="1197">
        <f t="shared" si="76"/>
        <v>39.825520099999999</v>
      </c>
      <c r="L182" s="1197">
        <f t="shared" si="77"/>
        <v>0.64045183696587837</v>
      </c>
      <c r="M182" s="1197">
        <f t="shared" si="78"/>
        <v>122.17259241961095</v>
      </c>
      <c r="N182" s="1197">
        <f t="shared" si="79"/>
        <v>244.3451848392219</v>
      </c>
      <c r="O182" s="1197">
        <f>+C161+D162+D163+D164+D165+D166+D167+D168+D169+D170+D171+D172+D173+D174+D175+D176+D177+D178+D179+D180+D181+(D182/2)</f>
        <v>5</v>
      </c>
      <c r="P182" s="1197">
        <f t="shared" si="80"/>
        <v>8.7155742747658083E-2</v>
      </c>
      <c r="Q182" s="1197">
        <f t="shared" si="81"/>
        <v>21.296086071476189</v>
      </c>
      <c r="R182" s="1197">
        <f t="shared" si="102"/>
        <v>539.92010279693318</v>
      </c>
      <c r="S182" s="1197">
        <f t="shared" si="105"/>
        <v>561.2161888684094</v>
      </c>
      <c r="T182" s="1196">
        <f t="shared" si="82"/>
        <v>561.2161888684094</v>
      </c>
      <c r="U182" s="471"/>
      <c r="V182" s="1193">
        <f t="shared" si="83"/>
        <v>0</v>
      </c>
      <c r="W182" s="1193"/>
      <c r="X182" s="1193"/>
      <c r="Y182" s="1193"/>
      <c r="Z182" s="1193"/>
      <c r="AA182" s="1193"/>
      <c r="AB182" s="1195" t="str">
        <f t="shared" si="84"/>
        <v>pin in groundstacking hole</v>
      </c>
      <c r="AC182" s="1194"/>
      <c r="AD182" s="1194"/>
      <c r="AE182" s="1194"/>
      <c r="AF182" s="1193">
        <f>SUM(V182:V184)/($B$158-B181)</f>
        <v>0</v>
      </c>
      <c r="AG182" s="1193"/>
      <c r="AH182" s="1192">
        <f>SUM(D162:D182)+$C$161</f>
        <v>5</v>
      </c>
      <c r="AI182" s="567"/>
      <c r="AJ182" s="568">
        <f t="shared" si="85"/>
        <v>64.344714800000006</v>
      </c>
      <c r="AK182" s="1191">
        <f t="shared" si="86"/>
        <v>0.90141518331735337</v>
      </c>
      <c r="AL182" s="658">
        <f t="shared" si="87"/>
        <v>173.45030957392513</v>
      </c>
      <c r="AM182" s="568">
        <f t="shared" si="88"/>
        <v>55.174479900000001</v>
      </c>
      <c r="AN182" s="1190">
        <f t="shared" si="89"/>
        <v>0.82089492628910188</v>
      </c>
      <c r="AO182" s="658">
        <f t="shared" si="90"/>
        <v>156.59391613890907</v>
      </c>
      <c r="AP182" s="1237"/>
      <c r="AQ182" s="658">
        <f t="shared" si="103"/>
        <v>-510</v>
      </c>
      <c r="AR182" s="1237"/>
      <c r="AS182" s="1188">
        <f t="shared" si="91"/>
        <v>330.04422571283419</v>
      </c>
      <c r="AT182" s="1187">
        <f t="shared" si="92"/>
        <v>-156.59391613890907</v>
      </c>
      <c r="AU182" s="1236"/>
      <c r="AV182" s="1187">
        <f t="shared" si="93"/>
        <v>156.59391613890907</v>
      </c>
      <c r="AW182" s="1186">
        <f t="shared" si="94"/>
        <v>-268.02364953256006</v>
      </c>
      <c r="AX182" s="1186">
        <f t="shared" si="95"/>
        <v>-241.97635046743994</v>
      </c>
      <c r="AY182" s="1185">
        <f t="shared" si="96"/>
        <v>-43.27976288745672</v>
      </c>
      <c r="AZ182" s="1185">
        <f t="shared" si="97"/>
        <v>-41.326352681501362</v>
      </c>
      <c r="BA182" s="1184">
        <f t="shared" si="98"/>
        <v>43.27976288745672</v>
      </c>
      <c r="BB182" s="1184">
        <f t="shared" si="99"/>
        <v>41.326352681501362</v>
      </c>
      <c r="BC182" s="474">
        <f t="shared" si="104"/>
        <v>0.3</v>
      </c>
      <c r="BG182" s="524"/>
      <c r="BO182" s="524"/>
      <c r="BP182" s="473"/>
    </row>
    <row r="183" spans="2:127" ht="21" customHeight="1" thickBot="1" x14ac:dyDescent="0.35">
      <c r="B183" s="631">
        <v>23</v>
      </c>
      <c r="C183" s="612"/>
      <c r="D183" s="1907">
        <v>0</v>
      </c>
      <c r="E183" s="632" t="s">
        <v>72</v>
      </c>
      <c r="F183" s="584">
        <f t="shared" si="75"/>
        <v>0.3</v>
      </c>
      <c r="G183" s="584">
        <f t="shared" si="100"/>
        <v>0.3</v>
      </c>
      <c r="H183" s="1199">
        <v>190.76</v>
      </c>
      <c r="I183" s="1198">
        <v>79.651040199999997</v>
      </c>
      <c r="J183" s="1197">
        <f t="shared" si="101"/>
        <v>79.651040199999997</v>
      </c>
      <c r="K183" s="1197">
        <f t="shared" si="76"/>
        <v>39.825520099999999</v>
      </c>
      <c r="L183" s="1197">
        <f t="shared" si="77"/>
        <v>0.64045183696587837</v>
      </c>
      <c r="M183" s="1197">
        <f t="shared" si="78"/>
        <v>122.17259241961095</v>
      </c>
      <c r="N183" s="1197">
        <f t="shared" si="79"/>
        <v>244.3451848392219</v>
      </c>
      <c r="O183" s="1197">
        <f>+C161+D162+D163+D164+D165+D166+D167+D168+D169+D170+D171+D172+D173+D174+D175+D176+D177+D178+D179+D180+D181+D182+(D183/2)</f>
        <v>5</v>
      </c>
      <c r="P183" s="1197">
        <f t="shared" si="80"/>
        <v>8.7155742747658083E-2</v>
      </c>
      <c r="Q183" s="1197">
        <f t="shared" si="81"/>
        <v>21.296086071476189</v>
      </c>
      <c r="R183" s="1197">
        <f t="shared" si="102"/>
        <v>561.2161888684094</v>
      </c>
      <c r="S183" s="1197">
        <f t="shared" si="105"/>
        <v>582.51227493988563</v>
      </c>
      <c r="T183" s="1196">
        <f t="shared" si="82"/>
        <v>582.51227493988563</v>
      </c>
      <c r="U183" s="471"/>
      <c r="V183" s="1193">
        <f t="shared" si="83"/>
        <v>0</v>
      </c>
      <c r="W183" s="1193"/>
      <c r="X183" s="1193"/>
      <c r="Y183" s="1193"/>
      <c r="Z183" s="1193"/>
      <c r="AA183" s="1193"/>
      <c r="AB183" s="1195" t="str">
        <f t="shared" si="84"/>
        <v>pin in groundstacking hole</v>
      </c>
      <c r="AC183" s="1194"/>
      <c r="AD183" s="1194"/>
      <c r="AE183" s="1194"/>
      <c r="AF183" s="1193">
        <f>SUM(V183:V184)/($B$158-B182)</f>
        <v>0</v>
      </c>
      <c r="AG183" s="1193"/>
      <c r="AH183" s="1192">
        <f>SUM(D162:D183)+$C$161</f>
        <v>5</v>
      </c>
      <c r="AI183" s="567"/>
      <c r="AJ183" s="568">
        <f t="shared" si="85"/>
        <v>64.344714800000006</v>
      </c>
      <c r="AK183" s="1191">
        <f t="shared" si="86"/>
        <v>0.90141518331735337</v>
      </c>
      <c r="AL183" s="658">
        <f t="shared" si="87"/>
        <v>173.45030957392513</v>
      </c>
      <c r="AM183" s="568">
        <f t="shared" si="88"/>
        <v>55.174479900000001</v>
      </c>
      <c r="AN183" s="1190">
        <f t="shared" si="89"/>
        <v>0.82089492628910188</v>
      </c>
      <c r="AO183" s="658">
        <f t="shared" si="90"/>
        <v>156.59391613890907</v>
      </c>
      <c r="AP183" s="1237"/>
      <c r="AQ183" s="658">
        <f t="shared" si="103"/>
        <v>-535.5</v>
      </c>
      <c r="AR183" s="1237"/>
      <c r="AS183" s="1188">
        <f t="shared" si="91"/>
        <v>330.04422571283419</v>
      </c>
      <c r="AT183" s="1187">
        <f t="shared" si="92"/>
        <v>-156.59391613890907</v>
      </c>
      <c r="AU183" s="1236"/>
      <c r="AV183" s="1187">
        <f t="shared" si="93"/>
        <v>156.59391613890907</v>
      </c>
      <c r="AW183" s="1186">
        <f t="shared" si="94"/>
        <v>-281.42483200918804</v>
      </c>
      <c r="AX183" s="1186">
        <f t="shared" si="95"/>
        <v>-254.07516799081193</v>
      </c>
      <c r="AY183" s="1185">
        <f t="shared" si="96"/>
        <v>-41.218821797577831</v>
      </c>
      <c r="AZ183" s="1185">
        <f t="shared" si="97"/>
        <v>-39.358431125239392</v>
      </c>
      <c r="BA183" s="1184">
        <f t="shared" si="98"/>
        <v>41.218821797577831</v>
      </c>
      <c r="BB183" s="1184">
        <f t="shared" si="99"/>
        <v>39.358431125239392</v>
      </c>
      <c r="BC183" s="474">
        <f t="shared" si="104"/>
        <v>0.3</v>
      </c>
      <c r="BG183" s="524"/>
      <c r="BO183" s="524"/>
      <c r="BP183" s="473"/>
      <c r="CX183" s="647"/>
    </row>
    <row r="184" spans="2:127" ht="21" customHeight="1" thickBot="1" x14ac:dyDescent="0.35">
      <c r="B184" s="631">
        <v>24</v>
      </c>
      <c r="C184" s="612"/>
      <c r="D184" s="1907">
        <v>0</v>
      </c>
      <c r="E184" s="632" t="s">
        <v>72</v>
      </c>
      <c r="F184" s="584">
        <f t="shared" si="75"/>
        <v>0.3</v>
      </c>
      <c r="G184" s="584">
        <f t="shared" si="100"/>
        <v>0.3</v>
      </c>
      <c r="H184" s="1199">
        <v>190.76</v>
      </c>
      <c r="I184" s="1198">
        <v>79.651040199999997</v>
      </c>
      <c r="J184" s="1197">
        <f t="shared" si="101"/>
        <v>79.651040199999997</v>
      </c>
      <c r="K184" s="1197">
        <f t="shared" si="76"/>
        <v>39.825520099999999</v>
      </c>
      <c r="L184" s="1197">
        <f t="shared" si="77"/>
        <v>0.64045183696587837</v>
      </c>
      <c r="M184" s="1197">
        <f t="shared" si="78"/>
        <v>122.17259241961095</v>
      </c>
      <c r="N184" s="1197">
        <f t="shared" si="79"/>
        <v>244.3451848392219</v>
      </c>
      <c r="O184" s="1197">
        <f>+SUM(D162:D183)+(D184/2)+C161</f>
        <v>5</v>
      </c>
      <c r="P184" s="1197">
        <f t="shared" si="80"/>
        <v>8.7155742747658083E-2</v>
      </c>
      <c r="Q184" s="1197">
        <f t="shared" si="81"/>
        <v>21.296086071476189</v>
      </c>
      <c r="R184" s="1197">
        <f t="shared" si="102"/>
        <v>582.51227493988563</v>
      </c>
      <c r="S184" s="1197">
        <f t="shared" si="105"/>
        <v>603.80836101136185</v>
      </c>
      <c r="T184" s="1196">
        <f t="shared" si="82"/>
        <v>603.80836101136185</v>
      </c>
      <c r="U184" s="471"/>
      <c r="V184" s="1193">
        <f t="shared" si="83"/>
        <v>0</v>
      </c>
      <c r="W184" s="1193"/>
      <c r="X184" s="1193"/>
      <c r="Y184" s="1193"/>
      <c r="Z184" s="1193"/>
      <c r="AA184" s="1193"/>
      <c r="AB184" s="1195" t="str">
        <f t="shared" si="84"/>
        <v>pin in groundstacking hole</v>
      </c>
      <c r="AC184" s="1194"/>
      <c r="AD184" s="1194"/>
      <c r="AE184" s="1194"/>
      <c r="AF184" s="1193">
        <f>SUM(V184)/($B$158-B183)</f>
        <v>0</v>
      </c>
      <c r="AG184" s="1193"/>
      <c r="AH184" s="1192">
        <f>SUM(D162:D184)+$C$161</f>
        <v>5</v>
      </c>
      <c r="AI184" s="567"/>
      <c r="AJ184" s="568">
        <f t="shared" si="85"/>
        <v>64.344714800000006</v>
      </c>
      <c r="AK184" s="1191">
        <f t="shared" si="86"/>
        <v>0.90141518331735337</v>
      </c>
      <c r="AL184" s="658">
        <f t="shared" si="87"/>
        <v>173.45030957392513</v>
      </c>
      <c r="AM184" s="568">
        <f t="shared" si="88"/>
        <v>55.174479900000001</v>
      </c>
      <c r="AN184" s="1190">
        <f t="shared" si="89"/>
        <v>0.82089492628910188</v>
      </c>
      <c r="AO184" s="658">
        <f t="shared" si="90"/>
        <v>156.59391613890907</v>
      </c>
      <c r="AP184" s="1237"/>
      <c r="AQ184" s="658">
        <f t="shared" si="103"/>
        <v>-561</v>
      </c>
      <c r="AR184" s="1237"/>
      <c r="AS184" s="1188">
        <f t="shared" si="91"/>
        <v>330.04422571283419</v>
      </c>
      <c r="AT184" s="1187">
        <f t="shared" si="92"/>
        <v>-156.59391613890907</v>
      </c>
      <c r="AU184" s="1236"/>
      <c r="AV184" s="1187">
        <f t="shared" si="93"/>
        <v>156.59391613890907</v>
      </c>
      <c r="AW184" s="1186">
        <f t="shared" si="94"/>
        <v>-294.82601448581607</v>
      </c>
      <c r="AX184" s="1186">
        <f t="shared" si="95"/>
        <v>-266.17398551418393</v>
      </c>
      <c r="AY184" s="1185">
        <f t="shared" si="96"/>
        <v>-39.345238988597018</v>
      </c>
      <c r="AZ184" s="1185">
        <f t="shared" si="97"/>
        <v>-37.569411528637602</v>
      </c>
      <c r="BA184" s="1184">
        <f t="shared" si="98"/>
        <v>39.345238988597018</v>
      </c>
      <c r="BB184" s="1184">
        <f t="shared" si="99"/>
        <v>37.569411528637602</v>
      </c>
      <c r="BC184" s="474">
        <f t="shared" si="104"/>
        <v>0.3</v>
      </c>
      <c r="BG184" s="524"/>
      <c r="BO184" s="524"/>
      <c r="BP184" s="473"/>
      <c r="CX184" s="647"/>
    </row>
    <row r="185" spans="2:127" x14ac:dyDescent="0.3">
      <c r="BG185" s="524"/>
      <c r="BP185" s="473"/>
      <c r="CQ185" s="466"/>
      <c r="CX185" s="647"/>
      <c r="CY185" s="473"/>
    </row>
    <row r="186" spans="2:127" x14ac:dyDescent="0.3">
      <c r="BG186" s="524"/>
      <c r="BP186" s="473"/>
      <c r="CQ186" s="466"/>
      <c r="CX186" s="647"/>
      <c r="CY186" s="473"/>
    </row>
    <row r="187" spans="2:127" x14ac:dyDescent="0.3">
      <c r="BG187" s="524"/>
      <c r="BO187" s="524"/>
      <c r="BP187" s="473"/>
      <c r="CX187" s="647"/>
      <c r="CY187" s="473"/>
    </row>
    <row r="188" spans="2:127" x14ac:dyDescent="0.3">
      <c r="BG188" s="640"/>
      <c r="BO188" s="640"/>
      <c r="BP188" s="473"/>
      <c r="CX188" s="647"/>
      <c r="CY188" s="473"/>
    </row>
    <row r="189" spans="2:127" x14ac:dyDescent="0.3">
      <c r="BG189" s="600"/>
      <c r="BO189" s="600"/>
      <c r="BP189" s="473"/>
      <c r="CX189" s="647"/>
      <c r="CY189" s="473"/>
    </row>
    <row r="190" spans="2:127" x14ac:dyDescent="0.3">
      <c r="BG190" s="600"/>
      <c r="BO190" s="600"/>
      <c r="BP190" s="473"/>
      <c r="CX190" s="647"/>
      <c r="CY190" s="473"/>
    </row>
    <row r="191" spans="2:127" x14ac:dyDescent="0.3">
      <c r="BP191" s="473"/>
      <c r="CX191" s="647"/>
      <c r="CY191" s="473"/>
    </row>
    <row r="192" spans="2:127" x14ac:dyDescent="0.3">
      <c r="BG192" s="644"/>
      <c r="BP192" s="473"/>
      <c r="CX192" s="647"/>
    </row>
    <row r="193" spans="67:102" x14ac:dyDescent="0.3">
      <c r="BO193" s="647"/>
      <c r="BP193" s="473"/>
      <c r="CX193" s="647"/>
    </row>
    <row r="194" spans="67:102" x14ac:dyDescent="0.3">
      <c r="BO194" s="647"/>
      <c r="BP194" s="473"/>
    </row>
    <row r="195" spans="67:102" x14ac:dyDescent="0.3">
      <c r="BO195" s="647"/>
      <c r="BP195" s="473"/>
    </row>
    <row r="196" spans="67:102" x14ac:dyDescent="0.3">
      <c r="BO196" s="647"/>
      <c r="BP196" s="473"/>
    </row>
    <row r="197" spans="67:102" x14ac:dyDescent="0.3">
      <c r="BO197" s="647"/>
      <c r="BP197" s="473"/>
    </row>
    <row r="198" spans="67:102" x14ac:dyDescent="0.3">
      <c r="BO198" s="647"/>
      <c r="BP198" s="473"/>
    </row>
    <row r="199" spans="67:102" x14ac:dyDescent="0.3">
      <c r="BO199" s="647"/>
      <c r="BP199" s="473"/>
    </row>
    <row r="200" spans="67:102" x14ac:dyDescent="0.3">
      <c r="BO200" s="647"/>
      <c r="BP200" s="473"/>
    </row>
    <row r="201" spans="67:102" x14ac:dyDescent="0.3">
      <c r="BO201" s="647"/>
      <c r="BP201" s="473"/>
    </row>
    <row r="202" spans="67:102" x14ac:dyDescent="0.3">
      <c r="BO202" s="647"/>
      <c r="BP202" s="473"/>
    </row>
    <row r="203" spans="67:102" x14ac:dyDescent="0.3">
      <c r="BO203" s="647"/>
      <c r="BP203" s="473"/>
    </row>
    <row r="204" spans="67:102" x14ac:dyDescent="0.3">
      <c r="BP204" s="473"/>
    </row>
    <row r="205" spans="67:102" x14ac:dyDescent="0.3">
      <c r="BP205" s="473"/>
    </row>
    <row r="206" spans="67:102" x14ac:dyDescent="0.3">
      <c r="BP206" s="473"/>
    </row>
    <row r="209" spans="68:68" x14ac:dyDescent="0.3">
      <c r="BP209" s="474">
        <f>+BJ129-BJ116</f>
        <v>650</v>
      </c>
    </row>
    <row r="227" spans="68:128" x14ac:dyDescent="0.3">
      <c r="CY227" s="661"/>
      <c r="CZ227" s="661"/>
      <c r="DA227" s="661"/>
      <c r="DB227" s="661"/>
      <c r="DC227" s="661"/>
      <c r="DD227" s="661"/>
      <c r="DE227" s="2065"/>
      <c r="DF227" s="2065"/>
      <c r="DG227" s="2065"/>
      <c r="DH227" s="478"/>
      <c r="DI227" s="506"/>
      <c r="DJ227" s="506"/>
      <c r="DK227" s="506"/>
      <c r="DL227" s="506"/>
      <c r="DM227" s="506"/>
      <c r="DN227" s="506"/>
      <c r="DO227" s="506"/>
      <c r="DP227" s="506"/>
      <c r="DQ227" s="506"/>
      <c r="DR227" s="506"/>
      <c r="DS227" s="506"/>
      <c r="DT227" s="506"/>
      <c r="DU227" s="506"/>
      <c r="DV227" s="506"/>
      <c r="DW227" s="506"/>
      <c r="DX227" s="506"/>
    </row>
    <row r="228" spans="68:128" x14ac:dyDescent="0.3">
      <c r="CY228" s="506"/>
      <c r="CZ228" s="506"/>
      <c r="DA228" s="506"/>
      <c r="DB228" s="506"/>
      <c r="DC228" s="506"/>
      <c r="DD228" s="506"/>
      <c r="DE228" s="662"/>
      <c r="DF228" s="506"/>
      <c r="DG228" s="506"/>
      <c r="DH228" s="506"/>
      <c r="DI228" s="506"/>
      <c r="DJ228" s="506"/>
      <c r="DK228" s="506"/>
      <c r="DL228" s="506"/>
      <c r="DM228" s="506"/>
      <c r="DN228" s="506"/>
      <c r="DO228" s="506"/>
      <c r="DP228" s="506"/>
      <c r="DQ228" s="506"/>
      <c r="DR228" s="662"/>
      <c r="DS228" s="506"/>
      <c r="DT228" s="506"/>
      <c r="DU228" s="506"/>
      <c r="DV228" s="506"/>
      <c r="DW228" s="506"/>
      <c r="DX228" s="506"/>
    </row>
    <row r="229" spans="68:128" x14ac:dyDescent="0.3">
      <c r="CY229" s="663"/>
      <c r="CZ229" s="663"/>
      <c r="DA229" s="663"/>
      <c r="DB229" s="663"/>
      <c r="DC229" s="663"/>
      <c r="DD229" s="663"/>
      <c r="DE229" s="2066"/>
      <c r="DF229" s="2066"/>
      <c r="DG229" s="506"/>
      <c r="DH229" s="506"/>
      <c r="DI229" s="506"/>
      <c r="DJ229" s="506"/>
      <c r="DK229" s="506"/>
      <c r="DL229" s="506"/>
      <c r="DM229" s="506"/>
      <c r="DN229" s="506"/>
      <c r="DO229" s="506"/>
      <c r="DP229" s="506"/>
      <c r="DQ229" s="2061"/>
      <c r="DR229" s="2061"/>
      <c r="DS229" s="506"/>
      <c r="DT229" s="506"/>
      <c r="DU229" s="506"/>
      <c r="DV229" s="506"/>
      <c r="DW229" s="506"/>
      <c r="DX229" s="506"/>
    </row>
    <row r="230" spans="68:128" x14ac:dyDescent="0.3">
      <c r="CY230" s="506"/>
      <c r="CZ230" s="506"/>
      <c r="DA230" s="506"/>
      <c r="DB230" s="506"/>
      <c r="DC230" s="506"/>
      <c r="DD230" s="506"/>
      <c r="DE230" s="506"/>
      <c r="DF230" s="506"/>
      <c r="DG230" s="506"/>
      <c r="DH230" s="506"/>
      <c r="DI230" s="506"/>
      <c r="DJ230" s="506"/>
      <c r="DK230" s="506"/>
      <c r="DL230" s="506"/>
      <c r="DM230" s="506"/>
      <c r="DN230" s="506"/>
      <c r="DO230" s="506"/>
      <c r="DP230" s="506"/>
      <c r="DQ230" s="506"/>
      <c r="DR230" s="506"/>
      <c r="DS230" s="506"/>
      <c r="DT230" s="506"/>
      <c r="DU230" s="506"/>
      <c r="DV230" s="506"/>
      <c r="DW230" s="506"/>
      <c r="DX230" s="506"/>
    </row>
    <row r="231" spans="68:128" x14ac:dyDescent="0.3">
      <c r="CY231" s="506"/>
      <c r="CZ231" s="506"/>
      <c r="DA231" s="506"/>
      <c r="DB231" s="506"/>
      <c r="DC231" s="506"/>
      <c r="DD231" s="506"/>
      <c r="DE231" s="506"/>
      <c r="DF231" s="506"/>
      <c r="DG231" s="506"/>
      <c r="DH231" s="506"/>
      <c r="DI231" s="506"/>
      <c r="DJ231" s="506"/>
      <c r="DK231" s="506"/>
      <c r="DL231" s="506"/>
      <c r="DM231" s="506"/>
      <c r="DN231" s="506"/>
      <c r="DO231" s="506"/>
      <c r="DP231" s="506"/>
      <c r="DQ231" s="506"/>
      <c r="DR231" s="506"/>
      <c r="DS231" s="506"/>
      <c r="DT231" s="506"/>
      <c r="DU231" s="506"/>
      <c r="DV231" s="506"/>
      <c r="DW231" s="506"/>
      <c r="DX231" s="506"/>
    </row>
    <row r="232" spans="68:128" x14ac:dyDescent="0.3">
      <c r="CY232" s="506"/>
      <c r="CZ232" s="506"/>
      <c r="DA232" s="506"/>
      <c r="DB232" s="506"/>
      <c r="DC232" s="506"/>
      <c r="DD232" s="506"/>
      <c r="DE232" s="506"/>
      <c r="DF232" s="506"/>
      <c r="DG232" s="506"/>
      <c r="DH232" s="506"/>
      <c r="DI232" s="506"/>
      <c r="DJ232" s="506"/>
      <c r="DK232" s="506"/>
      <c r="DL232" s="506"/>
      <c r="DM232" s="506"/>
      <c r="DN232" s="506"/>
      <c r="DO232" s="506"/>
      <c r="DP232" s="506"/>
      <c r="DQ232" s="506"/>
      <c r="DR232" s="506"/>
      <c r="DS232" s="506"/>
      <c r="DT232" s="506"/>
      <c r="DU232" s="506"/>
      <c r="DV232" s="506"/>
      <c r="DW232" s="506"/>
      <c r="DX232" s="506"/>
    </row>
    <row r="233" spans="68:128" x14ac:dyDescent="0.3">
      <c r="CY233" s="506"/>
      <c r="CZ233" s="506"/>
      <c r="DA233" s="506"/>
      <c r="DB233" s="506"/>
      <c r="DC233" s="506"/>
      <c r="DD233" s="506"/>
      <c r="DE233" s="506"/>
      <c r="DF233" s="506"/>
      <c r="DG233" s="506"/>
      <c r="DH233" s="506"/>
      <c r="DI233" s="506"/>
      <c r="DJ233" s="506"/>
      <c r="DK233" s="506"/>
      <c r="DL233" s="506"/>
      <c r="DM233" s="506"/>
      <c r="DN233" s="506"/>
      <c r="DO233" s="506"/>
      <c r="DP233" s="506"/>
      <c r="DQ233" s="506"/>
      <c r="DR233" s="506"/>
      <c r="DS233" s="506"/>
      <c r="DT233" s="506"/>
      <c r="DU233" s="506"/>
      <c r="DV233" s="506"/>
      <c r="DW233" s="506"/>
      <c r="DX233" s="506"/>
    </row>
    <row r="234" spans="68:128" x14ac:dyDescent="0.3">
      <c r="CY234" s="506"/>
      <c r="CZ234" s="506"/>
      <c r="DA234" s="506"/>
      <c r="DB234" s="506"/>
      <c r="DC234" s="506"/>
      <c r="DD234" s="506"/>
      <c r="DE234" s="506"/>
      <c r="DF234" s="506"/>
      <c r="DG234" s="506"/>
      <c r="DH234" s="506"/>
      <c r="DI234" s="506"/>
      <c r="DJ234" s="506"/>
      <c r="DK234" s="506"/>
      <c r="DL234" s="506"/>
      <c r="DM234" s="506"/>
      <c r="DN234" s="506"/>
      <c r="DO234" s="506"/>
      <c r="DP234" s="506"/>
      <c r="DQ234" s="506"/>
      <c r="DR234" s="506"/>
      <c r="DS234" s="506"/>
      <c r="DT234" s="506"/>
      <c r="DU234" s="506"/>
      <c r="DV234" s="506"/>
      <c r="DW234" s="506"/>
      <c r="DX234" s="506"/>
    </row>
    <row r="235" spans="68:128" x14ac:dyDescent="0.3">
      <c r="CY235" s="506"/>
      <c r="CZ235" s="506"/>
      <c r="DA235" s="506"/>
      <c r="DB235" s="506"/>
      <c r="DC235" s="506"/>
      <c r="DD235" s="506"/>
      <c r="DE235" s="506"/>
      <c r="DF235" s="506"/>
      <c r="DG235" s="506"/>
      <c r="DH235" s="506"/>
      <c r="DI235" s="506"/>
      <c r="DJ235" s="506"/>
      <c r="DK235" s="506"/>
      <c r="DL235" s="506"/>
      <c r="DM235" s="506"/>
      <c r="DN235" s="506"/>
      <c r="DO235" s="506"/>
      <c r="DP235" s="506"/>
      <c r="DQ235" s="506"/>
      <c r="DR235" s="506"/>
      <c r="DS235" s="506"/>
      <c r="DT235" s="506"/>
      <c r="DU235" s="506"/>
      <c r="DV235" s="506"/>
      <c r="DW235" s="506"/>
      <c r="DX235" s="506"/>
    </row>
    <row r="236" spans="68:128" x14ac:dyDescent="0.3">
      <c r="CY236" s="506"/>
      <c r="CZ236" s="506"/>
      <c r="DA236" s="506"/>
      <c r="DB236" s="506"/>
      <c r="DC236" s="506"/>
      <c r="DD236" s="506"/>
      <c r="DE236" s="506"/>
      <c r="DF236" s="506"/>
      <c r="DG236" s="506"/>
      <c r="DH236" s="506"/>
      <c r="DI236" s="506"/>
      <c r="DJ236" s="506"/>
      <c r="DK236" s="506"/>
      <c r="DL236" s="506"/>
      <c r="DM236" s="506"/>
      <c r="DN236" s="506"/>
      <c r="DO236" s="506"/>
      <c r="DP236" s="506"/>
      <c r="DQ236" s="506"/>
      <c r="DR236" s="506"/>
      <c r="DS236" s="506"/>
      <c r="DT236" s="506"/>
      <c r="DU236" s="506"/>
      <c r="DV236" s="506"/>
      <c r="DW236" s="506"/>
      <c r="DX236" s="506"/>
    </row>
    <row r="237" spans="68:128" x14ac:dyDescent="0.3">
      <c r="BP237" s="661"/>
      <c r="BQ237" s="661"/>
      <c r="BR237" s="661"/>
      <c r="BS237" s="661"/>
      <c r="BT237" s="661"/>
      <c r="BU237" s="661"/>
      <c r="BV237" s="2065"/>
      <c r="BW237" s="2065"/>
      <c r="BX237" s="2065"/>
      <c r="BY237" s="478"/>
      <c r="BZ237" s="506"/>
      <c r="CA237" s="506"/>
      <c r="CB237" s="506"/>
      <c r="CC237" s="506"/>
      <c r="CD237" s="506"/>
      <c r="CE237" s="506"/>
      <c r="CF237" s="506"/>
      <c r="CG237" s="506"/>
      <c r="CH237" s="506"/>
      <c r="CI237" s="506"/>
      <c r="CJ237" s="506"/>
      <c r="CK237" s="506"/>
      <c r="CL237" s="506"/>
      <c r="CM237" s="506"/>
      <c r="CN237" s="506"/>
      <c r="CO237" s="506"/>
      <c r="CY237" s="506"/>
      <c r="CZ237" s="506"/>
      <c r="DA237" s="506"/>
      <c r="DB237" s="506"/>
      <c r="DC237" s="506"/>
      <c r="DD237" s="506"/>
      <c r="DE237" s="506"/>
      <c r="DF237" s="506"/>
      <c r="DG237" s="506"/>
      <c r="DH237" s="506"/>
      <c r="DI237" s="506"/>
      <c r="DJ237" s="506"/>
      <c r="DK237" s="506"/>
      <c r="DL237" s="506"/>
      <c r="DM237" s="506"/>
      <c r="DN237" s="506"/>
      <c r="DO237" s="506"/>
      <c r="DP237" s="506"/>
      <c r="DQ237" s="506"/>
      <c r="DR237" s="506"/>
      <c r="DS237" s="506"/>
      <c r="DT237" s="506"/>
      <c r="DU237" s="506"/>
      <c r="DV237" s="506"/>
      <c r="DW237" s="506"/>
      <c r="DX237" s="506"/>
    </row>
    <row r="238" spans="68:128" x14ac:dyDescent="0.3">
      <c r="BP238" s="506"/>
      <c r="BQ238" s="506"/>
      <c r="BR238" s="506"/>
      <c r="BS238" s="506"/>
      <c r="BT238" s="506"/>
      <c r="BU238" s="506"/>
      <c r="BV238" s="662"/>
      <c r="BW238" s="506"/>
      <c r="BX238" s="506"/>
      <c r="BY238" s="506"/>
      <c r="BZ238" s="506"/>
      <c r="CA238" s="506"/>
      <c r="CB238" s="506"/>
      <c r="CC238" s="506"/>
      <c r="CD238" s="506"/>
      <c r="CE238" s="506"/>
      <c r="CF238" s="506"/>
      <c r="CG238" s="506"/>
      <c r="CH238" s="506"/>
      <c r="CI238" s="662"/>
      <c r="CJ238" s="506"/>
      <c r="CK238" s="506"/>
      <c r="CL238" s="506"/>
      <c r="CM238" s="506"/>
      <c r="CN238" s="506"/>
      <c r="CO238" s="506"/>
      <c r="CY238" s="506"/>
      <c r="CZ238" s="506"/>
      <c r="DA238" s="506"/>
      <c r="DB238" s="506"/>
      <c r="DC238" s="506"/>
      <c r="DD238" s="506"/>
      <c r="DE238" s="506"/>
      <c r="DF238" s="506"/>
      <c r="DG238" s="506"/>
      <c r="DH238" s="506"/>
      <c r="DI238" s="506"/>
      <c r="DJ238" s="506"/>
      <c r="DK238" s="506"/>
      <c r="DL238" s="506"/>
      <c r="DM238" s="506"/>
      <c r="DN238" s="506"/>
      <c r="DO238" s="506"/>
      <c r="DP238" s="506"/>
      <c r="DQ238" s="506"/>
      <c r="DR238" s="506"/>
      <c r="DS238" s="506"/>
      <c r="DT238" s="506"/>
      <c r="DU238" s="506"/>
      <c r="DV238" s="506"/>
      <c r="DW238" s="506"/>
      <c r="DX238" s="506"/>
    </row>
    <row r="239" spans="68:128" x14ac:dyDescent="0.3">
      <c r="BP239" s="663"/>
      <c r="BQ239" s="663"/>
      <c r="BR239" s="663"/>
      <c r="BS239" s="663"/>
      <c r="BT239" s="663"/>
      <c r="BU239" s="663"/>
      <c r="BV239" s="2066"/>
      <c r="BW239" s="2066"/>
      <c r="BX239" s="506"/>
      <c r="BY239" s="506"/>
      <c r="BZ239" s="506"/>
      <c r="CA239" s="506"/>
      <c r="CB239" s="506"/>
      <c r="CC239" s="506"/>
      <c r="CD239" s="506"/>
      <c r="CE239" s="506"/>
      <c r="CF239" s="506"/>
      <c r="CG239" s="506"/>
      <c r="CH239" s="2061"/>
      <c r="CI239" s="2061"/>
      <c r="CJ239" s="506"/>
      <c r="CK239" s="506"/>
      <c r="CL239" s="506"/>
      <c r="CM239" s="506"/>
      <c r="CN239" s="506"/>
      <c r="CO239" s="506"/>
      <c r="CY239" s="506"/>
      <c r="CZ239" s="506"/>
      <c r="DA239" s="506"/>
      <c r="DB239" s="506"/>
      <c r="DC239" s="506"/>
      <c r="DD239" s="506"/>
      <c r="DE239" s="506"/>
      <c r="DF239" s="506"/>
      <c r="DG239" s="506"/>
      <c r="DH239" s="506"/>
      <c r="DI239" s="506"/>
      <c r="DJ239" s="506"/>
      <c r="DK239" s="506"/>
      <c r="DL239" s="506"/>
      <c r="DM239" s="506"/>
      <c r="DN239" s="506"/>
      <c r="DO239" s="506"/>
      <c r="DP239" s="506"/>
      <c r="DQ239" s="506"/>
      <c r="DR239" s="506"/>
      <c r="DS239" s="506"/>
      <c r="DT239" s="506"/>
      <c r="DU239" s="506"/>
      <c r="DV239" s="506"/>
      <c r="DW239" s="506"/>
      <c r="DX239" s="506"/>
    </row>
    <row r="240" spans="68:128" x14ac:dyDescent="0.3">
      <c r="BP240" s="506"/>
      <c r="BQ240" s="506"/>
      <c r="BR240" s="506"/>
      <c r="BS240" s="506"/>
      <c r="BT240" s="506"/>
      <c r="BU240" s="506"/>
      <c r="BV240" s="506"/>
      <c r="BW240" s="506"/>
      <c r="BX240" s="506"/>
      <c r="BY240" s="506"/>
      <c r="BZ240" s="506"/>
      <c r="CA240" s="506"/>
      <c r="CB240" s="506"/>
      <c r="CC240" s="506"/>
      <c r="CD240" s="506"/>
      <c r="CE240" s="506"/>
      <c r="CF240" s="506"/>
      <c r="CG240" s="506"/>
      <c r="CH240" s="506"/>
      <c r="CI240" s="506"/>
      <c r="CJ240" s="506"/>
      <c r="CK240" s="506"/>
      <c r="CL240" s="506"/>
      <c r="CM240" s="506"/>
      <c r="CN240" s="506"/>
      <c r="CO240" s="506"/>
      <c r="CY240" s="506"/>
      <c r="CZ240" s="506"/>
      <c r="DA240" s="506"/>
      <c r="DB240" s="506"/>
      <c r="DC240" s="506"/>
      <c r="DD240" s="506"/>
      <c r="DE240" s="506"/>
      <c r="DF240" s="506"/>
      <c r="DG240" s="506"/>
      <c r="DH240" s="506"/>
      <c r="DI240" s="506"/>
      <c r="DJ240" s="506"/>
      <c r="DK240" s="506"/>
      <c r="DL240" s="506"/>
      <c r="DM240" s="506"/>
      <c r="DN240" s="506"/>
      <c r="DO240" s="506"/>
      <c r="DP240" s="506"/>
      <c r="DQ240" s="506"/>
      <c r="DR240" s="506"/>
      <c r="DS240" s="506"/>
      <c r="DT240" s="506"/>
      <c r="DU240" s="506"/>
      <c r="DV240" s="506"/>
      <c r="DW240" s="506"/>
      <c r="DX240" s="506"/>
    </row>
    <row r="241" spans="68:128" x14ac:dyDescent="0.3">
      <c r="BP241" s="506"/>
      <c r="BQ241" s="506"/>
      <c r="BR241" s="506"/>
      <c r="BS241" s="506"/>
      <c r="BT241" s="506"/>
      <c r="BU241" s="506"/>
      <c r="BV241" s="506"/>
      <c r="BW241" s="506"/>
      <c r="BX241" s="506"/>
      <c r="BY241" s="506"/>
      <c r="BZ241" s="506"/>
      <c r="CA241" s="506"/>
      <c r="CB241" s="506"/>
      <c r="CC241" s="506"/>
      <c r="CD241" s="506"/>
      <c r="CE241" s="506"/>
      <c r="CF241" s="506"/>
      <c r="CG241" s="506"/>
      <c r="CH241" s="506"/>
      <c r="CI241" s="506"/>
      <c r="CJ241" s="506"/>
      <c r="CK241" s="506"/>
      <c r="CL241" s="506"/>
      <c r="CM241" s="506"/>
      <c r="CN241" s="506"/>
      <c r="CO241" s="506"/>
      <c r="CY241" s="506"/>
      <c r="CZ241" s="506"/>
      <c r="DA241" s="506"/>
      <c r="DB241" s="506"/>
      <c r="DC241" s="506"/>
      <c r="DD241" s="506"/>
      <c r="DE241" s="506"/>
      <c r="DF241" s="506"/>
      <c r="DG241" s="506"/>
      <c r="DH241" s="506"/>
      <c r="DI241" s="506"/>
      <c r="DJ241" s="506"/>
      <c r="DK241" s="506"/>
      <c r="DL241" s="506"/>
      <c r="DM241" s="506"/>
      <c r="DN241" s="506"/>
      <c r="DO241" s="506"/>
      <c r="DP241" s="506"/>
      <c r="DQ241" s="506"/>
      <c r="DR241" s="506"/>
      <c r="DS241" s="506"/>
      <c r="DT241" s="506"/>
      <c r="DU241" s="506"/>
      <c r="DV241" s="506"/>
      <c r="DW241" s="506"/>
      <c r="DX241" s="506"/>
    </row>
    <row r="242" spans="68:128" x14ac:dyDescent="0.3">
      <c r="BP242" s="506"/>
      <c r="BQ242" s="506"/>
      <c r="BR242" s="506"/>
      <c r="BS242" s="506"/>
      <c r="BT242" s="506"/>
      <c r="BU242" s="506"/>
      <c r="BV242" s="506"/>
      <c r="BW242" s="506"/>
      <c r="BX242" s="506"/>
      <c r="BY242" s="506"/>
      <c r="BZ242" s="506"/>
      <c r="CA242" s="506"/>
      <c r="CB242" s="506"/>
      <c r="CC242" s="506"/>
      <c r="CD242" s="506"/>
      <c r="CE242" s="506"/>
      <c r="CF242" s="506"/>
      <c r="CG242" s="506"/>
      <c r="CH242" s="506"/>
      <c r="CI242" s="506"/>
      <c r="CJ242" s="506"/>
      <c r="CK242" s="506"/>
      <c r="CL242" s="506"/>
      <c r="CM242" s="506"/>
      <c r="CN242" s="506"/>
      <c r="CO242" s="506"/>
      <c r="CY242" s="506"/>
      <c r="CZ242" s="506"/>
      <c r="DA242" s="506"/>
      <c r="DB242" s="506"/>
      <c r="DC242" s="506"/>
      <c r="DD242" s="516"/>
      <c r="DE242" s="516"/>
      <c r="DF242" s="516"/>
      <c r="DG242" s="516"/>
      <c r="DH242" s="516"/>
      <c r="DI242" s="516"/>
      <c r="DJ242" s="516"/>
      <c r="DK242" s="516"/>
      <c r="DL242" s="516"/>
      <c r="DM242" s="516"/>
      <c r="DN242" s="506"/>
      <c r="DO242" s="506"/>
      <c r="DP242" s="506"/>
      <c r="DQ242" s="506"/>
      <c r="DR242" s="506"/>
      <c r="DS242" s="506"/>
      <c r="DT242" s="506"/>
      <c r="DU242" s="506"/>
      <c r="DV242" s="506"/>
      <c r="DW242" s="506"/>
      <c r="DX242" s="506"/>
    </row>
    <row r="243" spans="68:128" x14ac:dyDescent="0.3">
      <c r="BP243" s="506"/>
      <c r="BQ243" s="506"/>
      <c r="BR243" s="506"/>
      <c r="BS243" s="506"/>
      <c r="BT243" s="506"/>
      <c r="BU243" s="506"/>
      <c r="BV243" s="506"/>
      <c r="BW243" s="506"/>
      <c r="BX243" s="506"/>
      <c r="BY243" s="506"/>
      <c r="BZ243" s="506"/>
      <c r="CA243" s="506"/>
      <c r="CB243" s="506"/>
      <c r="CC243" s="506"/>
      <c r="CD243" s="506"/>
      <c r="CE243" s="506"/>
      <c r="CF243" s="506"/>
      <c r="CG243" s="506"/>
      <c r="CH243" s="506"/>
      <c r="CI243" s="506"/>
      <c r="CJ243" s="506"/>
      <c r="CK243" s="506"/>
      <c r="CL243" s="506"/>
      <c r="CM243" s="506"/>
      <c r="CN243" s="506"/>
      <c r="CO243" s="506"/>
      <c r="CY243" s="506"/>
      <c r="CZ243" s="506"/>
      <c r="DA243" s="506"/>
      <c r="DB243" s="506"/>
      <c r="DC243" s="506"/>
      <c r="DD243" s="516"/>
      <c r="DE243" s="516"/>
      <c r="DF243" s="516"/>
      <c r="DG243" s="516"/>
      <c r="DH243" s="516"/>
      <c r="DI243" s="516"/>
      <c r="DJ243" s="516"/>
      <c r="DK243" s="516"/>
      <c r="DL243" s="516"/>
      <c r="DM243" s="516"/>
      <c r="DN243" s="506"/>
      <c r="DO243" s="506"/>
      <c r="DP243" s="506"/>
      <c r="DQ243" s="506"/>
      <c r="DR243" s="506"/>
      <c r="DS243" s="506"/>
      <c r="DT243" s="506"/>
      <c r="DU243" s="506"/>
      <c r="DV243" s="506"/>
      <c r="DW243" s="506"/>
      <c r="DX243" s="506"/>
    </row>
    <row r="244" spans="68:128" x14ac:dyDescent="0.3">
      <c r="BP244" s="506"/>
      <c r="BQ244" s="506"/>
      <c r="BR244" s="506"/>
      <c r="BS244" s="506"/>
      <c r="BT244" s="506"/>
      <c r="BU244" s="506"/>
      <c r="BV244" s="506"/>
      <c r="BW244" s="506"/>
      <c r="BX244" s="506"/>
      <c r="BY244" s="506"/>
      <c r="BZ244" s="506"/>
      <c r="CA244" s="506"/>
      <c r="CB244" s="506"/>
      <c r="CC244" s="506"/>
      <c r="CD244" s="506"/>
      <c r="CE244" s="506"/>
      <c r="CF244" s="506"/>
      <c r="CG244" s="506"/>
      <c r="CH244" s="506"/>
      <c r="CI244" s="506"/>
      <c r="CJ244" s="506"/>
      <c r="CK244" s="506"/>
      <c r="CL244" s="506"/>
      <c r="CM244" s="506"/>
      <c r="CN244" s="506"/>
      <c r="CO244" s="506"/>
      <c r="CY244" s="506"/>
      <c r="CZ244" s="506"/>
      <c r="DA244" s="506"/>
      <c r="DB244" s="506"/>
      <c r="DC244" s="506"/>
      <c r="DD244" s="516"/>
      <c r="DE244" s="516"/>
      <c r="DF244" s="516"/>
      <c r="DG244" s="516"/>
      <c r="DH244" s="516"/>
      <c r="DI244" s="516"/>
      <c r="DJ244" s="516"/>
      <c r="DK244" s="516"/>
      <c r="DL244" s="516"/>
      <c r="DM244" s="516"/>
      <c r="DN244" s="506"/>
      <c r="DO244" s="506"/>
      <c r="DP244" s="506"/>
      <c r="DQ244" s="506"/>
      <c r="DR244" s="506"/>
      <c r="DS244" s="506"/>
      <c r="DT244" s="506"/>
      <c r="DU244" s="506"/>
      <c r="DV244" s="506"/>
      <c r="DW244" s="506"/>
      <c r="DX244" s="506"/>
    </row>
    <row r="245" spans="68:128" x14ac:dyDescent="0.3">
      <c r="BP245" s="506"/>
      <c r="BQ245" s="506"/>
      <c r="BR245" s="506"/>
      <c r="BS245" s="506"/>
      <c r="BT245" s="506"/>
      <c r="BU245" s="506"/>
      <c r="BV245" s="506"/>
      <c r="BW245" s="506"/>
      <c r="BX245" s="506"/>
      <c r="BY245" s="506"/>
      <c r="BZ245" s="506"/>
      <c r="CA245" s="506"/>
      <c r="CB245" s="506"/>
      <c r="CC245" s="506"/>
      <c r="CD245" s="506"/>
      <c r="CE245" s="506"/>
      <c r="CF245" s="506"/>
      <c r="CG245" s="506"/>
      <c r="CH245" s="506"/>
      <c r="CI245" s="506"/>
      <c r="CJ245" s="506"/>
      <c r="CK245" s="506"/>
      <c r="CL245" s="506"/>
      <c r="CM245" s="506"/>
      <c r="CN245" s="506"/>
      <c r="CO245" s="506"/>
      <c r="CY245" s="506"/>
      <c r="CZ245" s="506"/>
      <c r="DA245" s="506"/>
      <c r="DB245" s="506"/>
      <c r="DC245" s="506"/>
      <c r="DD245" s="516"/>
      <c r="DE245" s="516"/>
      <c r="DF245" s="516"/>
      <c r="DG245" s="516"/>
      <c r="DH245" s="516"/>
      <c r="DI245" s="516"/>
      <c r="DJ245" s="516"/>
      <c r="DK245" s="516"/>
      <c r="DL245" s="516"/>
      <c r="DM245" s="516"/>
      <c r="DN245" s="506"/>
      <c r="DO245" s="506"/>
      <c r="DP245" s="506"/>
      <c r="DQ245" s="506"/>
      <c r="DR245" s="506"/>
      <c r="DS245" s="506"/>
      <c r="DT245" s="506"/>
      <c r="DU245" s="506"/>
      <c r="DV245" s="506"/>
      <c r="DW245" s="506"/>
      <c r="DX245" s="506"/>
    </row>
    <row r="246" spans="68:128" x14ac:dyDescent="0.3">
      <c r="BP246" s="506"/>
      <c r="BQ246" s="506"/>
      <c r="BR246" s="506"/>
      <c r="BS246" s="506"/>
      <c r="BT246" s="506"/>
      <c r="BU246" s="506"/>
      <c r="BV246" s="506"/>
      <c r="BW246" s="506"/>
      <c r="BX246" s="506"/>
      <c r="BY246" s="506"/>
      <c r="BZ246" s="506"/>
      <c r="CA246" s="506"/>
      <c r="CB246" s="506"/>
      <c r="CC246" s="506"/>
      <c r="CD246" s="506"/>
      <c r="CE246" s="506"/>
      <c r="CF246" s="506"/>
      <c r="CG246" s="506"/>
      <c r="CH246" s="506"/>
      <c r="CI246" s="506"/>
      <c r="CJ246" s="506"/>
      <c r="CK246" s="506"/>
      <c r="CL246" s="506"/>
      <c r="CM246" s="506"/>
      <c r="CN246" s="506"/>
      <c r="CO246" s="506"/>
      <c r="CY246" s="478"/>
      <c r="CZ246" s="506"/>
      <c r="DA246" s="478"/>
      <c r="DB246" s="506"/>
      <c r="DC246" s="478"/>
      <c r="DD246" s="516"/>
      <c r="DE246" s="516"/>
      <c r="DF246" s="516"/>
      <c r="DG246" s="516"/>
      <c r="DH246" s="516"/>
      <c r="DI246" s="516"/>
      <c r="DJ246" s="516"/>
      <c r="DK246" s="516"/>
      <c r="DL246" s="516"/>
      <c r="DM246" s="516"/>
      <c r="DN246" s="506"/>
      <c r="DO246" s="506"/>
      <c r="DP246" s="506"/>
      <c r="DQ246" s="506"/>
      <c r="DR246" s="506"/>
      <c r="DS246" s="506"/>
      <c r="DT246" s="506"/>
      <c r="DU246" s="506"/>
      <c r="DV246" s="506"/>
      <c r="DW246" s="506"/>
      <c r="DX246" s="506"/>
    </row>
    <row r="247" spans="68:128" x14ac:dyDescent="0.3">
      <c r="BP247" s="506"/>
      <c r="BQ247" s="506"/>
      <c r="BR247" s="506"/>
      <c r="BS247" s="506"/>
      <c r="BT247" s="506"/>
      <c r="BU247" s="506"/>
      <c r="BV247" s="506"/>
      <c r="BW247" s="506"/>
      <c r="BX247" s="506"/>
      <c r="BY247" s="506"/>
      <c r="BZ247" s="506"/>
      <c r="CA247" s="506"/>
      <c r="CB247" s="506"/>
      <c r="CC247" s="506"/>
      <c r="CD247" s="506"/>
      <c r="CE247" s="506"/>
      <c r="CF247" s="506"/>
      <c r="CG247" s="506"/>
      <c r="CH247" s="506"/>
      <c r="CI247" s="506"/>
      <c r="CJ247" s="506"/>
      <c r="CK247" s="506"/>
      <c r="CL247" s="506"/>
      <c r="CM247" s="506"/>
      <c r="CN247" s="506"/>
      <c r="CO247" s="506"/>
      <c r="CY247" s="478"/>
      <c r="CZ247" s="506"/>
      <c r="DA247" s="506"/>
      <c r="DB247" s="506"/>
      <c r="DC247" s="478"/>
      <c r="DD247" s="516"/>
      <c r="DE247" s="516"/>
      <c r="DF247" s="516"/>
      <c r="DG247" s="516"/>
      <c r="DH247" s="516"/>
      <c r="DI247" s="516"/>
      <c r="DJ247" s="516"/>
      <c r="DK247" s="516"/>
      <c r="DL247" s="516"/>
      <c r="DM247" s="516"/>
      <c r="DN247" s="506"/>
      <c r="DO247" s="506"/>
      <c r="DP247" s="506"/>
      <c r="DQ247" s="506"/>
      <c r="DR247" s="506"/>
      <c r="DS247" s="506"/>
      <c r="DT247" s="506"/>
      <c r="DU247" s="506"/>
      <c r="DV247" s="506"/>
      <c r="DW247" s="506"/>
      <c r="DX247" s="506"/>
    </row>
    <row r="248" spans="68:128" x14ac:dyDescent="0.3">
      <c r="BP248" s="506"/>
      <c r="BQ248" s="506"/>
      <c r="BR248" s="506"/>
      <c r="BS248" s="506"/>
      <c r="BT248" s="506"/>
      <c r="BU248" s="506"/>
      <c r="BV248" s="506"/>
      <c r="BW248" s="506"/>
      <c r="BX248" s="506"/>
      <c r="BY248" s="506"/>
      <c r="BZ248" s="506"/>
      <c r="CA248" s="506"/>
      <c r="CB248" s="506"/>
      <c r="CC248" s="506"/>
      <c r="CD248" s="506"/>
      <c r="CE248" s="506"/>
      <c r="CF248" s="506"/>
      <c r="CG248" s="506"/>
      <c r="CH248" s="506"/>
      <c r="CI248" s="506"/>
      <c r="CJ248" s="506"/>
      <c r="CK248" s="506"/>
      <c r="CL248" s="506"/>
      <c r="CM248" s="506"/>
      <c r="CN248" s="506"/>
      <c r="CO248" s="506"/>
      <c r="CY248" s="478"/>
      <c r="CZ248" s="503"/>
      <c r="DA248" s="503"/>
      <c r="DB248" s="503"/>
      <c r="DC248" s="503"/>
      <c r="DD248" s="503"/>
      <c r="DE248" s="503"/>
      <c r="DF248" s="503"/>
      <c r="DG248" s="503"/>
      <c r="DH248" s="503"/>
      <c r="DI248" s="503"/>
      <c r="DJ248" s="503"/>
      <c r="DK248" s="503"/>
      <c r="DL248" s="503"/>
      <c r="DM248" s="503"/>
      <c r="DN248" s="503"/>
      <c r="DO248" s="503"/>
      <c r="DP248" s="503"/>
      <c r="DQ248" s="503"/>
      <c r="DR248" s="503"/>
      <c r="DS248" s="503"/>
      <c r="DT248" s="503"/>
      <c r="DU248" s="503"/>
      <c r="DV248" s="503"/>
      <c r="DW248" s="503"/>
      <c r="DX248" s="506"/>
    </row>
    <row r="249" spans="68:128" x14ac:dyDescent="0.3">
      <c r="BP249" s="506"/>
      <c r="BQ249" s="506"/>
      <c r="BR249" s="506"/>
      <c r="BS249" s="506"/>
      <c r="BT249" s="506"/>
      <c r="BU249" s="506"/>
      <c r="BV249" s="506"/>
      <c r="BW249" s="506"/>
      <c r="BX249" s="506"/>
      <c r="BY249" s="506"/>
      <c r="BZ249" s="506"/>
      <c r="CA249" s="506"/>
      <c r="CB249" s="506"/>
      <c r="CC249" s="506"/>
      <c r="CD249" s="506"/>
      <c r="CE249" s="506"/>
      <c r="CF249" s="506"/>
      <c r="CG249" s="506"/>
      <c r="CH249" s="506"/>
      <c r="CI249" s="506"/>
      <c r="CJ249" s="506"/>
      <c r="CK249" s="506"/>
      <c r="CL249" s="506"/>
      <c r="CM249" s="506"/>
      <c r="CN249" s="506"/>
      <c r="CO249" s="506"/>
      <c r="CY249" s="478"/>
      <c r="CZ249" s="506"/>
      <c r="DA249" s="506"/>
      <c r="DB249" s="506"/>
      <c r="DC249" s="506"/>
      <c r="DD249" s="506"/>
      <c r="DE249" s="506"/>
      <c r="DF249" s="506"/>
      <c r="DG249" s="506"/>
      <c r="DH249" s="506"/>
      <c r="DI249" s="506"/>
      <c r="DJ249" s="506"/>
      <c r="DK249" s="506"/>
      <c r="DL249" s="506"/>
      <c r="DM249" s="506"/>
      <c r="DN249" s="506"/>
      <c r="DO249" s="506"/>
      <c r="DP249" s="506"/>
      <c r="DQ249" s="506"/>
      <c r="DR249" s="506"/>
      <c r="DS249" s="506"/>
      <c r="DT249" s="506"/>
      <c r="DU249" s="506"/>
      <c r="DV249" s="506"/>
      <c r="DW249" s="506"/>
      <c r="DX249" s="506"/>
    </row>
    <row r="250" spans="68:128" x14ac:dyDescent="0.3">
      <c r="BP250" s="506"/>
      <c r="BQ250" s="506"/>
      <c r="BR250" s="506"/>
      <c r="BS250" s="506"/>
      <c r="BT250" s="506"/>
      <c r="BU250" s="506"/>
      <c r="BV250" s="506"/>
      <c r="BW250" s="506"/>
      <c r="BX250" s="506"/>
      <c r="BY250" s="506"/>
      <c r="BZ250" s="506"/>
      <c r="CA250" s="506"/>
      <c r="CB250" s="506"/>
      <c r="CC250" s="506"/>
      <c r="CD250" s="506"/>
      <c r="CE250" s="506"/>
      <c r="CF250" s="506"/>
      <c r="CG250" s="506"/>
      <c r="CH250" s="506"/>
      <c r="CI250" s="506"/>
      <c r="CJ250" s="506"/>
      <c r="CK250" s="506"/>
      <c r="CL250" s="506"/>
      <c r="CM250" s="506"/>
      <c r="CN250" s="506"/>
      <c r="CO250" s="506"/>
      <c r="CY250" s="520"/>
      <c r="CZ250" s="664"/>
      <c r="DA250" s="664"/>
      <c r="DB250" s="664"/>
      <c r="DC250" s="664"/>
      <c r="DD250" s="664"/>
      <c r="DE250" s="664"/>
      <c r="DF250" s="664"/>
      <c r="DG250" s="664"/>
      <c r="DH250" s="664"/>
      <c r="DI250" s="664"/>
      <c r="DJ250" s="664"/>
      <c r="DK250" s="664"/>
      <c r="DL250" s="664"/>
      <c r="DM250" s="664"/>
      <c r="DN250" s="664"/>
      <c r="DO250" s="664"/>
      <c r="DP250" s="664"/>
      <c r="DQ250" s="664"/>
      <c r="DR250" s="664"/>
      <c r="DS250" s="664"/>
      <c r="DT250" s="664"/>
      <c r="DU250" s="664"/>
      <c r="DV250" s="664"/>
      <c r="DW250" s="664"/>
      <c r="DX250" s="506"/>
    </row>
    <row r="251" spans="68:128" x14ac:dyDescent="0.3">
      <c r="BP251" s="506"/>
      <c r="BQ251" s="506"/>
      <c r="BR251" s="506"/>
      <c r="BS251" s="506"/>
      <c r="BT251" s="506"/>
      <c r="BU251" s="506"/>
      <c r="BV251" s="506"/>
      <c r="BW251" s="506"/>
      <c r="BX251" s="506"/>
      <c r="BY251" s="506"/>
      <c r="BZ251" s="506"/>
      <c r="CA251" s="506"/>
      <c r="CB251" s="506"/>
      <c r="CC251" s="506"/>
      <c r="CD251" s="506"/>
      <c r="CE251" s="506"/>
      <c r="CF251" s="506"/>
      <c r="CG251" s="506"/>
      <c r="CH251" s="506"/>
      <c r="CI251" s="506"/>
      <c r="CJ251" s="506"/>
      <c r="CK251" s="506"/>
      <c r="CL251" s="506"/>
      <c r="CM251" s="506"/>
      <c r="CN251" s="506"/>
      <c r="CO251" s="506"/>
      <c r="CY251" s="478"/>
      <c r="CZ251" s="519"/>
      <c r="DA251" s="519"/>
      <c r="DB251" s="519"/>
      <c r="DC251" s="519"/>
      <c r="DD251" s="519"/>
      <c r="DE251" s="519"/>
      <c r="DF251" s="519"/>
      <c r="DG251" s="519"/>
      <c r="DH251" s="519"/>
      <c r="DI251" s="519"/>
      <c r="DJ251" s="519"/>
      <c r="DK251" s="519"/>
      <c r="DL251" s="519"/>
      <c r="DM251" s="519"/>
      <c r="DN251" s="519"/>
      <c r="DO251" s="519"/>
      <c r="DP251" s="519"/>
      <c r="DQ251" s="519"/>
      <c r="DR251" s="519"/>
      <c r="DS251" s="519"/>
      <c r="DT251" s="519"/>
      <c r="DU251" s="519"/>
      <c r="DV251" s="519"/>
      <c r="DW251" s="519"/>
      <c r="DX251" s="506"/>
    </row>
    <row r="252" spans="68:128" x14ac:dyDescent="0.3">
      <c r="BP252" s="506"/>
      <c r="BQ252" s="506"/>
      <c r="BR252" s="506"/>
      <c r="BS252" s="506"/>
      <c r="BT252" s="506"/>
      <c r="BU252" s="506"/>
      <c r="BV252" s="506"/>
      <c r="BW252" s="506"/>
      <c r="BX252" s="506"/>
      <c r="BY252" s="506"/>
      <c r="BZ252" s="506"/>
      <c r="CA252" s="506"/>
      <c r="CB252" s="506"/>
      <c r="CC252" s="506"/>
      <c r="CD252" s="506"/>
      <c r="CE252" s="506"/>
      <c r="CF252" s="506"/>
      <c r="CG252" s="506"/>
      <c r="CH252" s="506"/>
      <c r="CI252" s="506"/>
      <c r="CJ252" s="506"/>
      <c r="CK252" s="506"/>
      <c r="CL252" s="506"/>
      <c r="CM252" s="506"/>
      <c r="CN252" s="506"/>
      <c r="CO252" s="506"/>
      <c r="CY252" s="506"/>
      <c r="CZ252" s="506"/>
      <c r="DA252" s="506"/>
      <c r="DB252" s="506"/>
      <c r="DC252" s="506"/>
      <c r="DD252" s="506"/>
      <c r="DE252" s="506"/>
      <c r="DF252" s="506"/>
      <c r="DG252" s="506"/>
      <c r="DH252" s="506"/>
      <c r="DI252" s="506"/>
      <c r="DJ252" s="506"/>
      <c r="DK252" s="506"/>
      <c r="DL252" s="506"/>
      <c r="DM252" s="506"/>
      <c r="DN252" s="506"/>
      <c r="DO252" s="506"/>
      <c r="DP252" s="506"/>
      <c r="DQ252" s="506"/>
      <c r="DR252" s="506"/>
      <c r="DS252" s="506"/>
      <c r="DT252" s="506"/>
      <c r="DU252" s="506"/>
      <c r="DV252" s="506"/>
      <c r="DW252" s="506"/>
      <c r="DX252" s="506"/>
    </row>
    <row r="253" spans="68:128" x14ac:dyDescent="0.3">
      <c r="BP253" s="506"/>
      <c r="BQ253" s="506"/>
      <c r="BR253" s="506"/>
      <c r="BS253" s="506"/>
      <c r="BT253" s="506"/>
      <c r="BU253" s="506"/>
      <c r="BV253" s="506"/>
      <c r="BW253" s="506"/>
      <c r="BX253" s="506"/>
      <c r="BY253" s="506"/>
      <c r="BZ253" s="506"/>
      <c r="CA253" s="506"/>
      <c r="CB253" s="506"/>
      <c r="CC253" s="506"/>
      <c r="CD253" s="506"/>
      <c r="CE253" s="506"/>
      <c r="CF253" s="506"/>
      <c r="CG253" s="506"/>
      <c r="CH253" s="506"/>
      <c r="CI253" s="506"/>
      <c r="CJ253" s="506"/>
      <c r="CK253" s="506"/>
      <c r="CL253" s="506"/>
      <c r="CM253" s="506"/>
      <c r="CN253" s="506"/>
      <c r="CO253" s="506"/>
      <c r="CY253" s="506"/>
      <c r="CZ253" s="665"/>
      <c r="DA253" s="665"/>
      <c r="DB253" s="665"/>
      <c r="DC253" s="665"/>
      <c r="DD253" s="665"/>
      <c r="DE253" s="665"/>
      <c r="DF253" s="478"/>
      <c r="DG253" s="478"/>
      <c r="DH253" s="478"/>
      <c r="DI253" s="478"/>
      <c r="DJ253" s="478"/>
      <c r="DK253" s="665"/>
      <c r="DL253" s="665"/>
      <c r="DM253" s="665"/>
      <c r="DN253" s="478"/>
      <c r="DO253" s="478"/>
      <c r="DP253" s="478"/>
      <c r="DQ253" s="478"/>
      <c r="DR253" s="478"/>
      <c r="DS253" s="478"/>
      <c r="DT253" s="478"/>
      <c r="DU253" s="478"/>
      <c r="DV253" s="478"/>
      <c r="DW253" s="478"/>
      <c r="DX253" s="506"/>
    </row>
    <row r="254" spans="68:128" x14ac:dyDescent="0.3">
      <c r="BP254" s="506"/>
      <c r="BQ254" s="506"/>
      <c r="BR254" s="506"/>
      <c r="BS254" s="506"/>
      <c r="BT254" s="506"/>
      <c r="BU254" s="506"/>
      <c r="BV254" s="506"/>
      <c r="BW254" s="506"/>
      <c r="BX254" s="506"/>
      <c r="BY254" s="506"/>
      <c r="BZ254" s="506"/>
      <c r="CA254" s="506"/>
      <c r="CB254" s="506"/>
      <c r="CC254" s="506"/>
      <c r="CD254" s="506"/>
      <c r="CE254" s="506"/>
      <c r="CF254" s="506"/>
      <c r="CG254" s="506"/>
      <c r="CH254" s="506"/>
      <c r="CI254" s="506"/>
      <c r="CJ254" s="506"/>
      <c r="CK254" s="506"/>
      <c r="CL254" s="506"/>
      <c r="CM254" s="506"/>
      <c r="CN254" s="506"/>
      <c r="CO254" s="506"/>
      <c r="CY254" s="506"/>
      <c r="CZ254" s="665"/>
      <c r="DA254" s="665"/>
      <c r="DB254" s="665"/>
      <c r="DC254" s="665"/>
      <c r="DD254" s="665"/>
      <c r="DE254" s="665"/>
      <c r="DF254" s="506"/>
      <c r="DG254" s="506"/>
      <c r="DH254" s="506"/>
      <c r="DI254" s="506"/>
      <c r="DJ254" s="665"/>
      <c r="DK254" s="665"/>
      <c r="DL254" s="665"/>
      <c r="DM254" s="665"/>
      <c r="DN254" s="506"/>
      <c r="DO254" s="506"/>
      <c r="DP254" s="506"/>
      <c r="DQ254" s="506"/>
      <c r="DR254" s="665"/>
      <c r="DS254" s="665"/>
      <c r="DT254" s="665"/>
      <c r="DU254" s="665"/>
      <c r="DV254" s="665"/>
      <c r="DW254" s="665"/>
      <c r="DX254" s="506"/>
    </row>
    <row r="255" spans="68:128" x14ac:dyDescent="0.3">
      <c r="BP255" s="506"/>
      <c r="BQ255" s="506"/>
      <c r="BR255" s="506"/>
      <c r="BS255" s="506"/>
      <c r="BT255" s="506"/>
      <c r="BU255" s="506"/>
      <c r="BV255" s="506"/>
      <c r="BW255" s="506"/>
      <c r="BX255" s="506"/>
      <c r="BY255" s="1029"/>
      <c r="BZ255" s="1029"/>
      <c r="CA255" s="506"/>
      <c r="CB255" s="1029"/>
      <c r="CC255" s="506"/>
      <c r="CD255" s="506"/>
      <c r="CE255" s="506"/>
      <c r="CF255" s="506"/>
      <c r="CG255" s="506"/>
      <c r="CH255" s="506"/>
      <c r="CI255" s="506"/>
      <c r="CJ255" s="506"/>
      <c r="CK255" s="506"/>
      <c r="CL255" s="506"/>
      <c r="CM255" s="506"/>
      <c r="CN255" s="506"/>
      <c r="CO255" s="506"/>
      <c r="CY255" s="506"/>
      <c r="CZ255" s="506"/>
      <c r="DA255" s="506"/>
      <c r="DB255" s="506"/>
      <c r="DC255" s="506"/>
      <c r="DD255" s="506"/>
      <c r="DE255" s="506"/>
      <c r="DF255" s="506"/>
      <c r="DG255" s="506"/>
      <c r="DH255" s="506"/>
      <c r="DI255" s="506"/>
      <c r="DJ255" s="506"/>
      <c r="DK255" s="506"/>
      <c r="DL255" s="506"/>
      <c r="DM255" s="506"/>
      <c r="DN255" s="506"/>
      <c r="DO255" s="506"/>
      <c r="DP255" s="506"/>
      <c r="DQ255" s="506"/>
      <c r="DR255" s="506"/>
      <c r="DS255" s="506"/>
      <c r="DT255" s="506"/>
      <c r="DU255" s="506"/>
      <c r="DV255" s="506"/>
      <c r="DW255" s="506"/>
      <c r="DX255" s="506"/>
    </row>
    <row r="256" spans="68:128" x14ac:dyDescent="0.3">
      <c r="BP256" s="478"/>
      <c r="BQ256" s="506"/>
      <c r="BR256" s="478"/>
      <c r="BS256" s="506"/>
      <c r="BT256" s="478"/>
      <c r="BU256" s="506"/>
      <c r="BV256" s="506"/>
      <c r="BW256" s="506"/>
      <c r="BX256" s="506"/>
      <c r="BY256" s="506"/>
      <c r="BZ256" s="506"/>
      <c r="CA256" s="506"/>
      <c r="CB256" s="506"/>
      <c r="CC256" s="506"/>
      <c r="CD256" s="506"/>
      <c r="CE256" s="506"/>
      <c r="CF256" s="506"/>
      <c r="CG256" s="506"/>
      <c r="CH256" s="506"/>
      <c r="CI256" s="506"/>
      <c r="CJ256" s="506"/>
      <c r="CK256" s="506"/>
      <c r="CL256" s="506"/>
      <c r="CM256" s="506"/>
      <c r="CN256" s="506"/>
      <c r="CO256" s="506"/>
      <c r="CY256" s="506"/>
      <c r="CZ256" s="506"/>
      <c r="DA256" s="506"/>
      <c r="DB256" s="506"/>
      <c r="DC256" s="506"/>
      <c r="DD256" s="506"/>
      <c r="DE256" s="506"/>
      <c r="DF256" s="506"/>
      <c r="DG256" s="506"/>
      <c r="DH256" s="506"/>
      <c r="DI256" s="506"/>
      <c r="DJ256" s="506"/>
      <c r="DK256" s="506"/>
      <c r="DL256" s="506"/>
      <c r="DM256" s="506"/>
      <c r="DN256" s="506"/>
      <c r="DO256" s="506"/>
      <c r="DP256" s="506"/>
      <c r="DQ256" s="506"/>
      <c r="DR256" s="506"/>
      <c r="DS256" s="506"/>
      <c r="DT256" s="506"/>
      <c r="DU256" s="506"/>
      <c r="DV256" s="506"/>
      <c r="DW256" s="506"/>
      <c r="DX256" s="506"/>
    </row>
    <row r="257" spans="68:93" x14ac:dyDescent="0.3">
      <c r="BP257" s="478"/>
      <c r="BQ257" s="506"/>
      <c r="BR257" s="506"/>
      <c r="BS257" s="506"/>
      <c r="BT257" s="478"/>
      <c r="BU257" s="506"/>
      <c r="BV257" s="506"/>
      <c r="BW257" s="506"/>
      <c r="BX257" s="506"/>
      <c r="BY257" s="506"/>
      <c r="BZ257" s="506"/>
      <c r="CA257" s="506"/>
      <c r="CB257" s="506"/>
      <c r="CC257" s="506"/>
      <c r="CD257" s="506"/>
      <c r="CE257" s="506"/>
      <c r="CF257" s="506"/>
      <c r="CG257" s="506"/>
      <c r="CH257" s="506"/>
      <c r="CI257" s="506"/>
      <c r="CJ257" s="506"/>
      <c r="CK257" s="506"/>
      <c r="CL257" s="506"/>
      <c r="CM257" s="506"/>
      <c r="CN257" s="506"/>
      <c r="CO257" s="506"/>
    </row>
    <row r="258" spans="68:93" x14ac:dyDescent="0.3">
      <c r="BP258" s="478"/>
      <c r="BQ258" s="503"/>
      <c r="BR258" s="503"/>
      <c r="BS258" s="503"/>
      <c r="BT258" s="503"/>
      <c r="BU258" s="503"/>
      <c r="BV258" s="503"/>
      <c r="BW258" s="503"/>
      <c r="BX258" s="503"/>
      <c r="BY258" s="503"/>
      <c r="BZ258" s="503"/>
      <c r="CA258" s="503"/>
      <c r="CB258" s="503"/>
      <c r="CC258" s="503"/>
      <c r="CD258" s="503"/>
      <c r="CE258" s="503"/>
      <c r="CF258" s="503"/>
      <c r="CG258" s="503"/>
      <c r="CH258" s="503"/>
      <c r="CI258" s="503"/>
      <c r="CJ258" s="503"/>
      <c r="CK258" s="503"/>
      <c r="CL258" s="503"/>
      <c r="CM258" s="503"/>
      <c r="CN258" s="503"/>
      <c r="CO258" s="506"/>
    </row>
    <row r="259" spans="68:93" x14ac:dyDescent="0.3">
      <c r="BP259" s="478"/>
      <c r="BQ259" s="506"/>
      <c r="BR259" s="506"/>
      <c r="BS259" s="506"/>
      <c r="BT259" s="506"/>
      <c r="BU259" s="506"/>
      <c r="BV259" s="506"/>
      <c r="BW259" s="506"/>
      <c r="BX259" s="506"/>
      <c r="BY259" s="506"/>
      <c r="BZ259" s="506"/>
      <c r="CA259" s="506"/>
      <c r="CB259" s="506"/>
      <c r="CC259" s="506"/>
      <c r="CD259" s="506"/>
      <c r="CE259" s="506"/>
      <c r="CF259" s="506"/>
      <c r="CG259" s="506"/>
      <c r="CH259" s="506"/>
      <c r="CI259" s="506"/>
      <c r="CJ259" s="506"/>
      <c r="CK259" s="506"/>
      <c r="CL259" s="506"/>
      <c r="CM259" s="506"/>
      <c r="CN259" s="506"/>
      <c r="CO259" s="506"/>
    </row>
    <row r="260" spans="68:93" x14ac:dyDescent="0.3">
      <c r="BP260" s="520"/>
      <c r="BQ260" s="664"/>
      <c r="BR260" s="664"/>
      <c r="BS260" s="664"/>
      <c r="BT260" s="664"/>
      <c r="BU260" s="664"/>
      <c r="BV260" s="664"/>
      <c r="BW260" s="664"/>
      <c r="BX260" s="664"/>
      <c r="BY260" s="664"/>
      <c r="BZ260" s="664"/>
      <c r="CA260" s="664"/>
      <c r="CB260" s="664"/>
      <c r="CC260" s="664"/>
      <c r="CD260" s="664"/>
      <c r="CE260" s="664"/>
      <c r="CF260" s="664"/>
      <c r="CG260" s="664"/>
      <c r="CH260" s="664"/>
      <c r="CI260" s="664"/>
      <c r="CJ260" s="664"/>
      <c r="CK260" s="664"/>
      <c r="CL260" s="664"/>
      <c r="CM260" s="664"/>
      <c r="CN260" s="664"/>
      <c r="CO260" s="506"/>
    </row>
    <row r="261" spans="68:93" x14ac:dyDescent="0.3">
      <c r="BP261" s="478"/>
      <c r="BQ261" s="519"/>
      <c r="BR261" s="519"/>
      <c r="BS261" s="519"/>
      <c r="BT261" s="519"/>
      <c r="BU261" s="519"/>
      <c r="BV261" s="519"/>
      <c r="BW261" s="519"/>
      <c r="BX261" s="519"/>
      <c r="BY261" s="519"/>
      <c r="BZ261" s="519"/>
      <c r="CA261" s="519"/>
      <c r="CB261" s="519"/>
      <c r="CC261" s="519"/>
      <c r="CD261" s="519"/>
      <c r="CE261" s="519"/>
      <c r="CF261" s="519"/>
      <c r="CG261" s="519"/>
      <c r="CH261" s="519"/>
      <c r="CI261" s="519"/>
      <c r="CJ261" s="519"/>
      <c r="CK261" s="519"/>
      <c r="CL261" s="519"/>
      <c r="CM261" s="519"/>
      <c r="CN261" s="519"/>
      <c r="CO261" s="506"/>
    </row>
    <row r="262" spans="68:93" x14ac:dyDescent="0.3">
      <c r="BP262" s="506"/>
      <c r="BQ262" s="506"/>
      <c r="BR262" s="506"/>
      <c r="BS262" s="506"/>
      <c r="BT262" s="506"/>
      <c r="BU262" s="506"/>
      <c r="BV262" s="506"/>
      <c r="BW262" s="506"/>
      <c r="BX262" s="506"/>
      <c r="BY262" s="506"/>
      <c r="BZ262" s="506"/>
      <c r="CA262" s="506"/>
      <c r="CB262" s="506"/>
      <c r="CC262" s="506"/>
      <c r="CD262" s="506"/>
      <c r="CE262" s="506"/>
      <c r="CF262" s="506"/>
      <c r="CG262" s="506"/>
      <c r="CH262" s="506"/>
      <c r="CI262" s="506"/>
      <c r="CJ262" s="506"/>
      <c r="CK262" s="506"/>
      <c r="CL262" s="506"/>
      <c r="CM262" s="506"/>
      <c r="CN262" s="506"/>
      <c r="CO262" s="506"/>
    </row>
    <row r="263" spans="68:93" x14ac:dyDescent="0.3">
      <c r="BP263" s="506"/>
      <c r="BQ263" s="665"/>
      <c r="BR263" s="665"/>
      <c r="BS263" s="665"/>
      <c r="BT263" s="665"/>
      <c r="BU263" s="665"/>
      <c r="BV263" s="665"/>
      <c r="BW263" s="478"/>
      <c r="BX263" s="478"/>
      <c r="BY263" s="478"/>
      <c r="BZ263" s="478"/>
      <c r="CA263" s="478"/>
      <c r="CB263" s="665"/>
      <c r="CC263" s="665"/>
      <c r="CD263" s="665"/>
      <c r="CE263" s="478"/>
      <c r="CF263" s="478"/>
      <c r="CG263" s="478"/>
      <c r="CH263" s="478"/>
      <c r="CI263" s="478"/>
      <c r="CJ263" s="478"/>
      <c r="CK263" s="478"/>
      <c r="CL263" s="478"/>
      <c r="CM263" s="478"/>
      <c r="CN263" s="478"/>
      <c r="CO263" s="506"/>
    </row>
    <row r="264" spans="68:93" x14ac:dyDescent="0.3">
      <c r="BP264" s="506"/>
      <c r="BQ264" s="665"/>
      <c r="BR264" s="665"/>
      <c r="BS264" s="665"/>
      <c r="BT264" s="665"/>
      <c r="BU264" s="665"/>
      <c r="BV264" s="665"/>
      <c r="BW264" s="506"/>
      <c r="BX264" s="506"/>
      <c r="BY264" s="506"/>
      <c r="BZ264" s="506"/>
      <c r="CA264" s="665"/>
      <c r="CB264" s="665"/>
      <c r="CC264" s="665"/>
      <c r="CD264" s="665"/>
      <c r="CE264" s="506"/>
      <c r="CF264" s="506"/>
      <c r="CG264" s="506"/>
      <c r="CH264" s="506"/>
      <c r="CI264" s="665"/>
      <c r="CJ264" s="665"/>
      <c r="CK264" s="665"/>
      <c r="CL264" s="665"/>
      <c r="CM264" s="665"/>
      <c r="CN264" s="665"/>
      <c r="CO264" s="506"/>
    </row>
    <row r="265" spans="68:93" x14ac:dyDescent="0.3">
      <c r="BP265" s="506"/>
      <c r="BQ265" s="506"/>
      <c r="BR265" s="506"/>
      <c r="BS265" s="506"/>
      <c r="BT265" s="506"/>
      <c r="BU265" s="506"/>
      <c r="BV265" s="506"/>
      <c r="BW265" s="506"/>
      <c r="BX265" s="506"/>
      <c r="BY265" s="506"/>
      <c r="BZ265" s="506"/>
      <c r="CA265" s="506"/>
      <c r="CB265" s="506"/>
      <c r="CC265" s="506"/>
      <c r="CD265" s="506"/>
      <c r="CE265" s="506"/>
      <c r="CF265" s="506"/>
      <c r="CG265" s="506"/>
      <c r="CH265" s="506"/>
      <c r="CI265" s="506"/>
      <c r="CJ265" s="506"/>
      <c r="CK265" s="506"/>
      <c r="CL265" s="506"/>
      <c r="CM265" s="506"/>
      <c r="CN265" s="506"/>
      <c r="CO265" s="506"/>
    </row>
    <row r="266" spans="68:93" x14ac:dyDescent="0.3">
      <c r="BP266" s="506"/>
      <c r="BQ266" s="506"/>
      <c r="BR266" s="506"/>
      <c r="BS266" s="506"/>
      <c r="BT266" s="506"/>
      <c r="BU266" s="506"/>
      <c r="BV266" s="506"/>
      <c r="BW266" s="506"/>
      <c r="BX266" s="506"/>
      <c r="BY266" s="506"/>
      <c r="BZ266" s="506"/>
      <c r="CA266" s="506"/>
      <c r="CB266" s="506"/>
      <c r="CC266" s="506"/>
      <c r="CD266" s="506"/>
      <c r="CE266" s="506"/>
      <c r="CF266" s="506"/>
      <c r="CG266" s="506"/>
      <c r="CH266" s="506"/>
      <c r="CI266" s="506"/>
      <c r="CJ266" s="506"/>
      <c r="CK266" s="506"/>
      <c r="CL266" s="506"/>
      <c r="CM266" s="506"/>
      <c r="CN266" s="506"/>
      <c r="CO266" s="506"/>
    </row>
  </sheetData>
  <sheetProtection algorithmName="SHA-512" hashValue="PgcTCedlV2kVRXFFbeYie3KsnPnt8wGG5uoKdi9801YFpo82D9hH/3VyU/wwmqC/JFXiO1sDAg9Y0rYeWIrN+g==" saltValue="+jUjFSMklST9+r7E3rUhDw==" spinCount="100000" sheet="1" objects="1" scenarios="1"/>
  <protectedRanges>
    <protectedRange sqref="B101 B104 D107:D130 B134 B137 D140:D151 B158 D161:D184" name="Range1"/>
  </protectedRanges>
  <mergeCells count="28">
    <mergeCell ref="B99:B100"/>
    <mergeCell ref="W104:AA104"/>
    <mergeCell ref="B82:E82"/>
    <mergeCell ref="BV239:BW239"/>
    <mergeCell ref="CH239:CI239"/>
    <mergeCell ref="BA158:BB158"/>
    <mergeCell ref="B132:B133"/>
    <mergeCell ref="W137:AA137"/>
    <mergeCell ref="BQ26:BR26"/>
    <mergeCell ref="CM27:CT28"/>
    <mergeCell ref="BQ29:BX30"/>
    <mergeCell ref="BQ66:BX67"/>
    <mergeCell ref="CM66:CT67"/>
    <mergeCell ref="CS30:CT30"/>
    <mergeCell ref="CK67:CL67"/>
    <mergeCell ref="BY67:BZ67"/>
    <mergeCell ref="BY30:BZ30"/>
    <mergeCell ref="CK28:CL28"/>
    <mergeCell ref="BQ28:BR28"/>
    <mergeCell ref="DQ229:DR229"/>
    <mergeCell ref="BV237:BX237"/>
    <mergeCell ref="DE229:DF229"/>
    <mergeCell ref="CZ79:DA79"/>
    <mergeCell ref="BA104:BB104"/>
    <mergeCell ref="BQ82:BX82"/>
    <mergeCell ref="CM82:CT82"/>
    <mergeCell ref="BA137:BB137"/>
    <mergeCell ref="DE227:DG227"/>
  </mergeCells>
  <conditionalFormatting sqref="AB53:AE90 U53:U90 AB50:AE50 U50 BG31:BO31 U27">
    <cfRule type="cellIs" dxfId="226" priority="93" stopIfTrue="1" operator="between">
      <formula>"OVERLOAD"</formula>
      <formula>"OVERLOAD"</formula>
    </cfRule>
  </conditionalFormatting>
  <conditionalFormatting sqref="BQ84:CT85 CZ250:DW251 BQ260:CN261 DE177:DR180 BV89:CI96 DE123:DR126">
    <cfRule type="cellIs" dxfId="225" priority="92" stopIfTrue="1" operator="equal">
      <formula>FALSE</formula>
    </cfRule>
  </conditionalFormatting>
  <conditionalFormatting sqref="BY82:CL82 CZ248:DW248 BQ258:CN258 BQ62:CT62">
    <cfRule type="cellIs" dxfId="224" priority="4" stopIfTrue="1" operator="equal">
      <formula>0</formula>
    </cfRule>
  </conditionalFormatting>
  <conditionalFormatting sqref="BO108:BO137 BM68:BM90 BO193:BO203 CX183:CX193 CX129:CX135">
    <cfRule type="cellIs" dxfId="223" priority="90" stopIfTrue="1" operator="equal">
      <formula>FALSE</formula>
    </cfRule>
  </conditionalFormatting>
  <conditionalFormatting sqref="AY142:BB142 B142 D142:G142 J142:AB142">
    <cfRule type="expression" dxfId="222" priority="86" stopIfTrue="1">
      <formula>$B$137&lt;3</formula>
    </cfRule>
  </conditionalFormatting>
  <conditionalFormatting sqref="AY143:BB143 B143 D143:G143 J143:AB143">
    <cfRule type="expression" dxfId="221" priority="85" stopIfTrue="1">
      <formula>$B$137&lt;4</formula>
    </cfRule>
  </conditionalFormatting>
  <conditionalFormatting sqref="AY144:BB144 B144 D144:G144 J144:AB144">
    <cfRule type="expression" dxfId="220" priority="84" stopIfTrue="1">
      <formula>$B$137&lt;5</formula>
    </cfRule>
  </conditionalFormatting>
  <conditionalFormatting sqref="AY145:BB145 B145 D145:G145 J145:AB145">
    <cfRule type="expression" dxfId="219" priority="83" stopIfTrue="1">
      <formula>$B$137&lt;6</formula>
    </cfRule>
  </conditionalFormatting>
  <conditionalFormatting sqref="AY146:BB146 B146 D146:G146 J146:AB146">
    <cfRule type="expression" dxfId="218" priority="20" stopIfTrue="1">
      <formula>$B$137&lt;7</formula>
    </cfRule>
  </conditionalFormatting>
  <conditionalFormatting sqref="AY147:BB147 B147 D147:G147 J147:AB147">
    <cfRule type="expression" dxfId="217" priority="82" stopIfTrue="1">
      <formula>$B$137&lt;8</formula>
    </cfRule>
  </conditionalFormatting>
  <conditionalFormatting sqref="AY148:BB148 B148 D148:G148 J148:AB148">
    <cfRule type="expression" dxfId="216" priority="81" stopIfTrue="1">
      <formula>$B$137&lt;9</formula>
    </cfRule>
  </conditionalFormatting>
  <conditionalFormatting sqref="AY149:BB149 B149 D149:G149 J149:AB149">
    <cfRule type="expression" dxfId="215" priority="80" stopIfTrue="1">
      <formula>$B$137&lt;10</formula>
    </cfRule>
  </conditionalFormatting>
  <conditionalFormatting sqref="AY150:BB150 B150 D150:G150 J150:AB150">
    <cfRule type="expression" dxfId="214" priority="75" stopIfTrue="1">
      <formula>$B$137&lt;11</formula>
    </cfRule>
  </conditionalFormatting>
  <conditionalFormatting sqref="AY151:BB151 B151 D151:G151 J151:AB151">
    <cfRule type="expression" dxfId="213" priority="49" stopIfTrue="1">
      <formula>$B$137&lt;12</formula>
    </cfRule>
  </conditionalFormatting>
  <conditionalFormatting sqref="D98:G99">
    <cfRule type="cellIs" dxfId="212" priority="79" stopIfTrue="1" operator="equal">
      <formula>"change the angle of frame or of cabinets"</formula>
    </cfRule>
  </conditionalFormatting>
  <conditionalFormatting sqref="E101:G101">
    <cfRule type="cellIs" dxfId="211" priority="78" stopIfTrue="1" operator="equal">
      <formula>"USE EXBAR VR AT THE BACK"</formula>
    </cfRule>
  </conditionalFormatting>
  <conditionalFormatting sqref="E100:G100 E101">
    <cfRule type="cellIs" dxfId="210" priority="77" stopIfTrue="1" operator="equal">
      <formula>"USE EXBAR VR AT THE FRONT"</formula>
    </cfRule>
  </conditionalFormatting>
  <conditionalFormatting sqref="B161:B184">
    <cfRule type="cellIs" dxfId="209" priority="45" stopIfTrue="1" operator="greaterThan">
      <formula>$B$158</formula>
    </cfRule>
  </conditionalFormatting>
  <conditionalFormatting sqref="B107:Y107 AI108:AI130 AF107:BB107 AB107">
    <cfRule type="expression" dxfId="208" priority="73" stopIfTrue="1">
      <formula>$B$104&lt;1</formula>
    </cfRule>
  </conditionalFormatting>
  <conditionalFormatting sqref="B109:AB109 AF109:AO109 AQ109:BB109">
    <cfRule type="expression" dxfId="207" priority="72" stopIfTrue="1">
      <formula>$B$104&lt;3</formula>
    </cfRule>
  </conditionalFormatting>
  <conditionalFormatting sqref="B110:AB110 AF110:AO110 AQ110:BB110">
    <cfRule type="expression" dxfId="206" priority="71" stopIfTrue="1">
      <formula>$B$104&lt;4</formula>
    </cfRule>
  </conditionalFormatting>
  <conditionalFormatting sqref="B111:AB111 AF111:AO111 AQ111:BB111">
    <cfRule type="expression" dxfId="205" priority="70" stopIfTrue="1">
      <formula>$B$104&lt;5</formula>
    </cfRule>
  </conditionalFormatting>
  <conditionalFormatting sqref="B112:AB112 AF112:AO112 AQ112:BB112">
    <cfRule type="expression" dxfId="204" priority="69">
      <formula>$B$104&lt;6</formula>
    </cfRule>
  </conditionalFormatting>
  <conditionalFormatting sqref="B129:AB130 AF129:AO130 AQ129:BB130">
    <cfRule type="expression" dxfId="203" priority="51">
      <formula>$B$104&lt;23</formula>
    </cfRule>
  </conditionalFormatting>
  <conditionalFormatting sqref="B128:AB128 AF128:AO128 AQ128:BB128">
    <cfRule type="expression" dxfId="202" priority="52">
      <formula>$B$104&lt;22</formula>
    </cfRule>
  </conditionalFormatting>
  <conditionalFormatting sqref="B127:AB127 AF127:AO127 AQ127:BB127">
    <cfRule type="expression" dxfId="201" priority="53">
      <formula>$B$104&lt;21</formula>
    </cfRule>
  </conditionalFormatting>
  <conditionalFormatting sqref="B126:AB126 AF126:AO126 AQ126:BB126">
    <cfRule type="expression" dxfId="200" priority="54">
      <formula>$B$104&lt;20</formula>
    </cfRule>
  </conditionalFormatting>
  <conditionalFormatting sqref="F260">
    <cfRule type="expression" dxfId="199" priority="59">
      <formula>$B$104&lt;19</formula>
    </cfRule>
  </conditionalFormatting>
  <conditionalFormatting sqref="B124:AB125 AF124:AO125 AQ124:BB125">
    <cfRule type="expression" dxfId="198" priority="56">
      <formula>$B$104&lt;18</formula>
    </cfRule>
  </conditionalFormatting>
  <conditionalFormatting sqref="B123:AB123 AF123:AO123 AQ123:BB123">
    <cfRule type="expression" dxfId="197" priority="57">
      <formula>$B$104&lt;17</formula>
    </cfRule>
  </conditionalFormatting>
  <conditionalFormatting sqref="B122:AB122 AF122:AO122 AQ122:BB122">
    <cfRule type="expression" dxfId="196" priority="58">
      <formula>$B$104&lt;16</formula>
    </cfRule>
  </conditionalFormatting>
  <conditionalFormatting sqref="B121:AB121 AF121:AO121 AQ121:BB121">
    <cfRule type="expression" dxfId="195" priority="60">
      <formula>$B$104&lt;15</formula>
    </cfRule>
  </conditionalFormatting>
  <conditionalFormatting sqref="B120:AB120 AF120:AO120 AQ120:BB120">
    <cfRule type="expression" dxfId="194" priority="61">
      <formula>$B$104&lt;14</formula>
    </cfRule>
  </conditionalFormatting>
  <conditionalFormatting sqref="B119:AB119 AF119:AO119 AQ119:BB119">
    <cfRule type="expression" dxfId="193" priority="62">
      <formula>$B$104&lt;13</formula>
    </cfRule>
  </conditionalFormatting>
  <conditionalFormatting sqref="B118:AB118 AF118:AO118 AQ118:BB118">
    <cfRule type="expression" dxfId="192" priority="63">
      <formula>$B$104&lt;12</formula>
    </cfRule>
  </conditionalFormatting>
  <conditionalFormatting sqref="B117:AB117 AF117:AO117 AQ117:BB117">
    <cfRule type="expression" dxfId="191" priority="64">
      <formula>$B$104&lt;11</formula>
    </cfRule>
  </conditionalFormatting>
  <conditionalFormatting sqref="B116:AB116 AF116:AO116 AQ116:BB116">
    <cfRule type="expression" dxfId="190" priority="65">
      <formula>$B$104&lt;10</formula>
    </cfRule>
  </conditionalFormatting>
  <conditionalFormatting sqref="B115:AB115 AF115:AO115 AQ115:BB115">
    <cfRule type="expression" dxfId="189" priority="66">
      <formula>$B$104&lt;9</formula>
    </cfRule>
  </conditionalFormatting>
  <conditionalFormatting sqref="B114:AB114 AF114:AO114 AQ114:BB114">
    <cfRule type="expression" dxfId="188" priority="67">
      <formula>$B$104&lt;8</formula>
    </cfRule>
  </conditionalFormatting>
  <conditionalFormatting sqref="B113:AB113 AF113:AO113 AQ113:BB113">
    <cfRule type="expression" dxfId="187" priority="68">
      <formula>$B$104&lt;7</formula>
    </cfRule>
  </conditionalFormatting>
  <conditionalFormatting sqref="B125:AB125 AF125:AO125 AQ125:BB125">
    <cfRule type="expression" dxfId="186" priority="55" stopIfTrue="1">
      <formula>$B$104&lt;19</formula>
    </cfRule>
  </conditionalFormatting>
  <conditionalFormatting sqref="B130:AB130 AF130:AO130 AQ130:BB130">
    <cfRule type="expression" dxfId="185" priority="50">
      <formula>$B$104&lt;24</formula>
    </cfRule>
  </conditionalFormatting>
  <conditionalFormatting sqref="B108:AB108 AF108:AO108 AQ108:BB108">
    <cfRule type="expression" dxfId="184" priority="21" stopIfTrue="1">
      <formula>$B$104&lt;2</formula>
    </cfRule>
  </conditionalFormatting>
  <conditionalFormatting sqref="AB161:AE184 AB107:AB130">
    <cfRule type="cellIs" dxfId="183" priority="76" stopIfTrue="1" operator="equal">
      <formula>"pin in groundstacking hole"</formula>
    </cfRule>
  </conditionalFormatting>
  <conditionalFormatting sqref="BA107:BB130 BA140:BB151 BA161:BB184 D86 B86">
    <cfRule type="cellIs" dxfId="182" priority="87" stopIfTrue="1" operator="lessThan">
      <formula>10</formula>
    </cfRule>
  </conditionalFormatting>
  <conditionalFormatting sqref="B140:B151">
    <cfRule type="cellIs" dxfId="181" priority="88" stopIfTrue="1" operator="greaterThan">
      <formula>$B$137</formula>
    </cfRule>
  </conditionalFormatting>
  <conditionalFormatting sqref="B141:G141 AF141:AI141 AQ141:BB141 J141:AB141 AK141 AN141">
    <cfRule type="expression" dxfId="180" priority="48" stopIfTrue="1">
      <formula>$B$137&lt;2</formula>
    </cfRule>
  </conditionalFormatting>
  <conditionalFormatting sqref="B140:G140 AI141:AI151 AF140 AB140 T140:V140 AH140:AI140 AK140 AN140 AP140:BB140">
    <cfRule type="expression" dxfId="179" priority="47" stopIfTrue="1">
      <formula>$B$137&lt;1</formula>
    </cfRule>
  </conditionalFormatting>
  <conditionalFormatting sqref="B161:AF161 AH161:BB161">
    <cfRule type="expression" dxfId="178" priority="44" stopIfTrue="1">
      <formula>$B$158&lt;1</formula>
    </cfRule>
  </conditionalFormatting>
  <conditionalFormatting sqref="B163:BB163">
    <cfRule type="expression" dxfId="177" priority="43" stopIfTrue="1">
      <formula>$B$158&lt;3</formula>
    </cfRule>
  </conditionalFormatting>
  <conditionalFormatting sqref="B164:BB164">
    <cfRule type="expression" dxfId="176" priority="42" stopIfTrue="1">
      <formula>$B$158&lt;4</formula>
    </cfRule>
  </conditionalFormatting>
  <conditionalFormatting sqref="B165:BB165">
    <cfRule type="expression" dxfId="175" priority="41" stopIfTrue="1">
      <formula>$B$158&lt;5</formula>
    </cfRule>
  </conditionalFormatting>
  <conditionalFormatting sqref="B166:BB166 B167:B178">
    <cfRule type="expression" dxfId="174" priority="40">
      <formula>$B$158&lt;6</formula>
    </cfRule>
  </conditionalFormatting>
  <conditionalFormatting sqref="B183:BB184">
    <cfRule type="expression" dxfId="173" priority="39">
      <formula>$B$158&lt;23</formula>
    </cfRule>
  </conditionalFormatting>
  <conditionalFormatting sqref="B182:BB182">
    <cfRule type="expression" dxfId="172" priority="38">
      <formula>$B$158&lt;22</formula>
    </cfRule>
  </conditionalFormatting>
  <conditionalFormatting sqref="B181:BB181">
    <cfRule type="expression" dxfId="171" priority="37">
      <formula>$B$158&lt;21</formula>
    </cfRule>
  </conditionalFormatting>
  <conditionalFormatting sqref="B180:BB180">
    <cfRule type="expression" dxfId="170" priority="36">
      <formula>$B$158&lt;20</formula>
    </cfRule>
  </conditionalFormatting>
  <conditionalFormatting sqref="B178:BB179">
    <cfRule type="expression" dxfId="169" priority="35">
      <formula>$B$158&lt;18</formula>
    </cfRule>
  </conditionalFormatting>
  <conditionalFormatting sqref="B177:BB177">
    <cfRule type="expression" dxfId="168" priority="34">
      <formula>$B$158&lt;17</formula>
    </cfRule>
  </conditionalFormatting>
  <conditionalFormatting sqref="B176:BB176">
    <cfRule type="expression" dxfId="167" priority="33">
      <formula>$B$158&lt;16</formula>
    </cfRule>
  </conditionalFormatting>
  <conditionalFormatting sqref="B175:BB175">
    <cfRule type="expression" dxfId="166" priority="32">
      <formula>$B$158&lt;15</formula>
    </cfRule>
  </conditionalFormatting>
  <conditionalFormatting sqref="B174:BB174">
    <cfRule type="expression" dxfId="165" priority="31">
      <formula>$B$158&lt;14</formula>
    </cfRule>
  </conditionalFormatting>
  <conditionalFormatting sqref="B173:BB173">
    <cfRule type="expression" dxfId="164" priority="30">
      <formula>$B$158&lt;13</formula>
    </cfRule>
  </conditionalFormatting>
  <conditionalFormatting sqref="B172:BB172">
    <cfRule type="expression" dxfId="163" priority="29">
      <formula>$B$158&lt;12</formula>
    </cfRule>
  </conditionalFormatting>
  <conditionalFormatting sqref="B171:BB171">
    <cfRule type="expression" dxfId="162" priority="28">
      <formula>$B$158&lt;11</formula>
    </cfRule>
  </conditionalFormatting>
  <conditionalFormatting sqref="B170:BB170">
    <cfRule type="expression" dxfId="161" priority="27">
      <formula>$B$158&lt;10</formula>
    </cfRule>
  </conditionalFormatting>
  <conditionalFormatting sqref="B169:BB169">
    <cfRule type="expression" dxfId="160" priority="26">
      <formula>$B$158&lt;9</formula>
    </cfRule>
  </conditionalFormatting>
  <conditionalFormatting sqref="B168:BB168">
    <cfRule type="expression" dxfId="159" priority="25">
      <formula>$B$158&lt;8</formula>
    </cfRule>
  </conditionalFormatting>
  <conditionalFormatting sqref="B167:BB167">
    <cfRule type="expression" dxfId="158" priority="24">
      <formula>$B$158&lt;7</formula>
    </cfRule>
  </conditionalFormatting>
  <conditionalFormatting sqref="B179:BB179">
    <cfRule type="expression" dxfId="157" priority="23" stopIfTrue="1">
      <formula>$B$158&lt;19</formula>
    </cfRule>
  </conditionalFormatting>
  <conditionalFormatting sqref="B184:BB184">
    <cfRule type="expression" dxfId="156" priority="22">
      <formula>$B$158&lt;24</formula>
    </cfRule>
  </conditionalFormatting>
  <conditionalFormatting sqref="B162:BB162">
    <cfRule type="expression" dxfId="155" priority="19" stopIfTrue="1">
      <formula>$B$158&lt;2</formula>
    </cfRule>
  </conditionalFormatting>
  <conditionalFormatting sqref="D107:D130">
    <cfRule type="cellIs" dxfId="154" priority="74" stopIfTrue="1" operator="notEqual">
      <formula>0</formula>
    </cfRule>
  </conditionalFormatting>
  <conditionalFormatting sqref="D140:D151">
    <cfRule type="cellIs" dxfId="153" priority="89" stopIfTrue="1" operator="notEqual">
      <formula>0</formula>
    </cfRule>
  </conditionalFormatting>
  <conditionalFormatting sqref="D161:D184">
    <cfRule type="cellIs" dxfId="152" priority="46" stopIfTrue="1" operator="notEqual">
      <formula>0</formula>
    </cfRule>
  </conditionalFormatting>
  <conditionalFormatting sqref="B81">
    <cfRule type="cellIs" dxfId="151" priority="17" stopIfTrue="1" operator="equal">
      <formula>"overload"</formula>
    </cfRule>
  </conditionalFormatting>
  <conditionalFormatting sqref="E81">
    <cfRule type="cellIs" dxfId="150" priority="16" stopIfTrue="1" operator="between">
      <formula>"OVERLOAD"</formula>
      <formula>"OVERLOAD"</formula>
    </cfRule>
  </conditionalFormatting>
  <conditionalFormatting sqref="K140:O140">
    <cfRule type="expression" dxfId="149" priority="15" stopIfTrue="1">
      <formula>$B$136&lt;1</formula>
    </cfRule>
  </conditionalFormatting>
  <conditionalFormatting sqref="AG140">
    <cfRule type="expression" dxfId="148" priority="14" stopIfTrue="1">
      <formula>$B$140&lt;1</formula>
    </cfRule>
  </conditionalFormatting>
  <conditionalFormatting sqref="AG161">
    <cfRule type="expression" dxfId="147" priority="13" stopIfTrue="1">
      <formula>$B$161&lt;1</formula>
    </cfRule>
  </conditionalFormatting>
  <conditionalFormatting sqref="AP108:AP130">
    <cfRule type="expression" dxfId="146" priority="12" stopIfTrue="1">
      <formula>$B$104&lt;1</formula>
    </cfRule>
  </conditionalFormatting>
  <conditionalFormatting sqref="AP141:AP151">
    <cfRule type="expression" dxfId="145" priority="11" stopIfTrue="1">
      <formula>$B$137&lt;1</formula>
    </cfRule>
  </conditionalFormatting>
  <conditionalFormatting sqref="D101">
    <cfRule type="cellIs" dxfId="144" priority="9" stopIfTrue="1" operator="equal">
      <formula>"USE EXBAR VR AT THE BACK"</formula>
    </cfRule>
  </conditionalFormatting>
  <conditionalFormatting sqref="D100">
    <cfRule type="cellIs" dxfId="143" priority="10" stopIfTrue="1" operator="equal">
      <formula>"USE EXBAR VR AT THE FRONT"</formula>
    </cfRule>
  </conditionalFormatting>
  <conditionalFormatting sqref="W140">
    <cfRule type="expression" dxfId="142" priority="7" stopIfTrue="1">
      <formula>$B$103&lt;1</formula>
    </cfRule>
  </conditionalFormatting>
  <conditionalFormatting sqref="Y140">
    <cfRule type="expression" dxfId="141" priority="6" stopIfTrue="1">
      <formula>$B$103&lt;1</formula>
    </cfRule>
  </conditionalFormatting>
  <conditionalFormatting sqref="AQ142:AQ151">
    <cfRule type="expression" dxfId="140" priority="5" stopIfTrue="1">
      <formula>$B$137&lt;2</formula>
    </cfRule>
  </conditionalFormatting>
  <conditionalFormatting sqref="BQ63:CT63 BY82:CL82">
    <cfRule type="expression" dxfId="139" priority="3">
      <formula>$B$101=0</formula>
    </cfRule>
    <cfRule type="expression" dxfId="138" priority="91">
      <formula>$B$101=0</formula>
    </cfRule>
  </conditionalFormatting>
  <conditionalFormatting sqref="E86">
    <cfRule type="cellIs" dxfId="137" priority="2" stopIfTrue="1" operator="lessThan">
      <formula>10</formula>
    </cfRule>
  </conditionalFormatting>
  <conditionalFormatting sqref="B81 E81 B86 D86:E86">
    <cfRule type="expression" dxfId="136" priority="1">
      <formula>$BN$67=0</formula>
    </cfRule>
  </conditionalFormatting>
  <dataValidations count="9">
    <dataValidation type="decimal" allowBlank="1" showInputMessage="1" showErrorMessage="1" sqref="B101" xr:uid="{00000000-0002-0000-0E00-000000000000}">
      <formula1>-89.9</formula1>
      <formula2>89.9</formula2>
    </dataValidation>
    <dataValidation type="custom" allowBlank="1" showInputMessage="1" showErrorMessage="1" sqref="D140:D151" xr:uid="{00000000-0002-0000-0E00-000001000000}">
      <formula1>OR(D140=0,D140=2.5,D140=5)</formula1>
    </dataValidation>
    <dataValidation type="decimal" allowBlank="1" showInputMessage="1" showErrorMessage="1" sqref="D108:D130 D162:D184" xr:uid="{00000000-0002-0000-0E00-000002000000}">
      <formula1>0</formula1>
      <formula2>10</formula2>
    </dataValidation>
    <dataValidation type="decimal" allowBlank="1" showInputMessage="1" showErrorMessage="1" sqref="D107 D161" xr:uid="{00000000-0002-0000-0E00-000003000000}">
      <formula1>0</formula1>
      <formula2>5</formula2>
    </dataValidation>
    <dataValidation type="decimal" allowBlank="1" showInputMessage="1" showErrorMessage="1" sqref="F140:G140 F107:G107 F161:G161" xr:uid="{00000000-0002-0000-0E00-000004000000}">
      <formula1>0</formula1>
      <formula2>4</formula2>
    </dataValidation>
    <dataValidation type="decimal" allowBlank="1" showInputMessage="1" showErrorMessage="1" sqref="G141:G151 D134:D135 D131:D132 G162:G184 F163:F184 F142:F151 F109:F135 G108:G135" xr:uid="{00000000-0002-0000-0E00-000005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37" xr:uid="{00000000-0002-0000-0E00-000006000000}">
      <formula1>1</formula1>
      <formula2>10</formula2>
    </dataValidation>
    <dataValidation type="whole" allowBlank="1" showInputMessage="1" showErrorMessage="1" errorTitle="Coda Audio" error="YOU HAVE ENTERED A WRONG NUMBER OF CABINETS" promptTitle="Coda Audio" prompt="ENTER THE NUMBER OF CABINETS FROM 1 UP TO 24" sqref="B158 B104" xr:uid="{00000000-0002-0000-0E00-000007000000}">
      <formula1>1</formula1>
      <formula2>24</formula2>
    </dataValidation>
    <dataValidation type="whole" allowBlank="1" showInputMessage="1" showErrorMessage="1" sqref="B134" xr:uid="{E5ECC5E8-99C5-40AF-B123-03A194800087}">
      <formula1>0</formula1>
      <formula2>5</formula2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CP188"/>
  <sheetViews>
    <sheetView zoomScale="50" zoomScaleNormal="50" workbookViewId="0">
      <selection activeCell="B117" sqref="B117"/>
    </sheetView>
  </sheetViews>
  <sheetFormatPr baseColWidth="10" defaultColWidth="9.109375" defaultRowHeight="15.6" x14ac:dyDescent="0.3"/>
  <cols>
    <col min="1" max="1" width="1.5546875" style="785" customWidth="1"/>
    <col min="2" max="2" width="27.33203125" style="783" customWidth="1"/>
    <col min="3" max="3" width="21" style="783" hidden="1" customWidth="1"/>
    <col min="4" max="5" width="27.33203125" style="784" customWidth="1"/>
    <col min="6" max="7" width="22" style="784" hidden="1" customWidth="1"/>
    <col min="8" max="20" width="9.33203125" style="785" hidden="1" customWidth="1"/>
    <col min="21" max="22" width="7.33203125" style="785" hidden="1" customWidth="1"/>
    <col min="23" max="27" width="13.44140625" style="785" hidden="1" customWidth="1"/>
    <col min="28" max="28" width="38.88671875" style="785" customWidth="1"/>
    <col min="29" max="31" width="13.6640625" style="785" hidden="1" customWidth="1"/>
    <col min="32" max="32" width="22.88671875" style="785" hidden="1" customWidth="1"/>
    <col min="33" max="33" width="12.44140625" style="785" hidden="1" customWidth="1"/>
    <col min="34" max="34" width="8.88671875" style="785" hidden="1" customWidth="1"/>
    <col min="35" max="35" width="14.33203125" style="785" hidden="1" customWidth="1"/>
    <col min="36" max="40" width="15.5546875" style="785" hidden="1" customWidth="1"/>
    <col min="41" max="41" width="16.33203125" style="785" hidden="1" customWidth="1"/>
    <col min="42" max="42" width="14.33203125" style="785" hidden="1" customWidth="1"/>
    <col min="43" max="43" width="27.33203125" style="785" hidden="1" customWidth="1"/>
    <col min="44" max="44" width="15.5546875" style="785" hidden="1" customWidth="1"/>
    <col min="45" max="45" width="16.5546875" style="785" hidden="1" customWidth="1"/>
    <col min="46" max="46" width="16.33203125" style="785" hidden="1" customWidth="1"/>
    <col min="47" max="47" width="15.5546875" style="785" hidden="1" customWidth="1"/>
    <col min="48" max="49" width="16.33203125" style="785" hidden="1" customWidth="1"/>
    <col min="50" max="50" width="26.33203125" style="785" hidden="1" customWidth="1"/>
    <col min="51" max="51" width="16.33203125" style="785" hidden="1" customWidth="1"/>
    <col min="52" max="52" width="9.5546875" style="785" bestFit="1" customWidth="1"/>
    <col min="53" max="53" width="10.109375" style="785" customWidth="1"/>
    <col min="54" max="54" width="25.44140625" style="785" hidden="1" customWidth="1"/>
    <col min="55" max="61" width="11" style="785" hidden="1" customWidth="1"/>
    <col min="62" max="62" width="15.5546875" style="785" hidden="1" customWidth="1"/>
    <col min="63" max="63" width="19" style="785" hidden="1" customWidth="1"/>
    <col min="64" max="64" width="13.33203125" style="785" hidden="1" customWidth="1"/>
    <col min="65" max="65" width="13.5546875" style="785" hidden="1" customWidth="1"/>
    <col min="66" max="66" width="42.6640625" style="785" customWidth="1"/>
    <col min="67" max="67" width="6.5546875" style="785" customWidth="1"/>
    <col min="68" max="71" width="6.109375" style="785" customWidth="1"/>
    <col min="72" max="72" width="6.6640625" style="785" customWidth="1"/>
    <col min="73" max="90" width="6.109375" style="785" customWidth="1"/>
    <col min="91" max="91" width="13.44140625" style="785" hidden="1" customWidth="1"/>
    <col min="92" max="92" width="13.109375" style="785" hidden="1" customWidth="1"/>
    <col min="93" max="93" width="12.109375" style="785" hidden="1" customWidth="1"/>
    <col min="94" max="94" width="9.33203125" style="785" hidden="1" customWidth="1"/>
    <col min="95" max="115" width="0" style="785" hidden="1" customWidth="1"/>
    <col min="116" max="16384" width="9.109375" style="785"/>
  </cols>
  <sheetData>
    <row r="1" spans="2:91" s="777" customFormat="1" ht="28.5" customHeight="1" thickBot="1" x14ac:dyDescent="0.4">
      <c r="B1" s="775"/>
      <c r="C1" s="775"/>
      <c r="D1" s="776"/>
      <c r="E1" s="776"/>
      <c r="F1" s="776"/>
      <c r="G1" s="776"/>
      <c r="BC1" s="778"/>
      <c r="BN1" s="779" t="s">
        <v>28</v>
      </c>
      <c r="BO1" s="2103">
        <f>+D22</f>
        <v>151.69999999999999</v>
      </c>
      <c r="BP1" s="2103"/>
      <c r="BQ1" s="780" t="s">
        <v>17</v>
      </c>
      <c r="BR1" s="780"/>
      <c r="BS1" s="781" t="s">
        <v>163</v>
      </c>
      <c r="BT1" s="782"/>
      <c r="BU1" s="782"/>
      <c r="BV1" s="782"/>
      <c r="BW1" s="782"/>
      <c r="BX1" s="782"/>
      <c r="BY1" s="782"/>
      <c r="BZ1" s="782"/>
      <c r="CA1" s="782"/>
      <c r="CB1" s="782"/>
      <c r="CC1" s="782"/>
      <c r="CD1" s="782"/>
      <c r="CE1" s="782"/>
      <c r="CF1" s="782"/>
      <c r="CG1" s="782"/>
      <c r="CH1" s="782"/>
      <c r="CI1" s="782"/>
      <c r="CJ1" s="782"/>
      <c r="CK1" s="782"/>
      <c r="CL1" s="782"/>
    </row>
    <row r="2" spans="2:91" ht="21.75" customHeight="1" x14ac:dyDescent="0.45">
      <c r="U2" s="786"/>
      <c r="BC2" s="786"/>
      <c r="BF2" s="787"/>
      <c r="BG2" s="787"/>
      <c r="BH2" s="787"/>
      <c r="BI2" s="787"/>
      <c r="BJ2" s="787"/>
      <c r="BK2" s="787"/>
      <c r="BL2" s="787"/>
      <c r="BM2" s="786"/>
      <c r="BN2" s="1909" t="s">
        <v>30</v>
      </c>
      <c r="BO2" s="1923" t="s">
        <v>31</v>
      </c>
      <c r="BP2" s="788"/>
      <c r="BQ2" s="788"/>
      <c r="BR2" s="788"/>
      <c r="BS2" s="788"/>
      <c r="BT2" s="788"/>
      <c r="BU2" s="788"/>
      <c r="BV2" s="788"/>
      <c r="BW2" s="788"/>
      <c r="BX2" s="788"/>
      <c r="BY2" s="788"/>
      <c r="BZ2" s="788"/>
      <c r="CA2" s="788"/>
      <c r="CB2" s="788"/>
      <c r="CC2" s="788"/>
      <c r="CD2" s="788"/>
      <c r="CE2" s="788"/>
      <c r="CF2" s="788"/>
      <c r="CG2" s="1924" t="s">
        <v>32</v>
      </c>
      <c r="CH2" s="780"/>
      <c r="CI2" s="780"/>
      <c r="CJ2" s="780"/>
      <c r="CK2" s="780"/>
      <c r="CL2" s="780"/>
    </row>
    <row r="3" spans="2:91" ht="33" customHeight="1" thickBot="1" x14ac:dyDescent="0.5">
      <c r="BF3" s="787"/>
      <c r="BG3" s="787"/>
      <c r="BH3" s="787"/>
      <c r="BI3" s="787"/>
      <c r="BJ3" s="787"/>
      <c r="BK3" s="787"/>
      <c r="BL3" s="787"/>
      <c r="BM3" s="1347">
        <f>+IF(AND(CF3&gt;0,BO3&gt;0),BO3)</f>
        <v>94.726217663917964</v>
      </c>
      <c r="BN3" s="1910" t="s">
        <v>39</v>
      </c>
      <c r="BO3" s="2126">
        <f>+((E12-E13)/E12)*D22</f>
        <v>94.726217663917964</v>
      </c>
      <c r="BP3" s="2127"/>
      <c r="BQ3" s="789"/>
      <c r="BR3" s="789"/>
      <c r="BS3" s="789"/>
      <c r="BT3" s="789"/>
      <c r="BU3" s="789"/>
      <c r="BV3" s="789"/>
      <c r="BW3" s="789"/>
      <c r="BX3" s="789"/>
      <c r="BY3" s="789"/>
      <c r="BZ3" s="789"/>
      <c r="CA3" s="789"/>
      <c r="CB3" s="789"/>
      <c r="CC3" s="789"/>
      <c r="CD3" s="789"/>
      <c r="CE3" s="789"/>
      <c r="CF3" s="2124">
        <f>+(E13/E12)*D22</f>
        <v>56.973782336082024</v>
      </c>
      <c r="CG3" s="2125"/>
      <c r="CH3" s="780"/>
      <c r="CI3" s="780"/>
      <c r="CJ3" s="780"/>
      <c r="CK3" s="780"/>
      <c r="CL3" s="790"/>
      <c r="CM3" s="1352">
        <f>+IF(AND(BO3&gt;0,CF3&gt;0),CF3)</f>
        <v>56.973782336082024</v>
      </c>
    </row>
    <row r="4" spans="2:91" ht="21.75" customHeight="1" x14ac:dyDescent="0.45">
      <c r="F4" s="791"/>
      <c r="G4" s="791"/>
      <c r="BF4" s="787"/>
      <c r="BG4" s="787"/>
      <c r="BH4" s="787"/>
      <c r="BI4" s="787"/>
      <c r="BJ4" s="787"/>
      <c r="BK4" s="787"/>
      <c r="BL4" s="787"/>
      <c r="BM4" s="786"/>
      <c r="BN4" s="1911" t="s">
        <v>30</v>
      </c>
      <c r="BO4" s="792"/>
      <c r="BP4" s="793"/>
      <c r="BQ4" s="793"/>
      <c r="BR4" s="793"/>
      <c r="BS4" s="794"/>
      <c r="BT4" s="1926" t="s">
        <v>31</v>
      </c>
      <c r="BU4" s="795"/>
      <c r="BV4" s="795"/>
      <c r="BW4" s="795"/>
      <c r="BX4" s="795"/>
      <c r="BY4" s="795"/>
      <c r="BZ4" s="795"/>
      <c r="CA4" s="795"/>
      <c r="CB4" s="795"/>
      <c r="CC4" s="795"/>
      <c r="CD4" s="795"/>
      <c r="CE4" s="795"/>
      <c r="CF4" s="795"/>
      <c r="CG4" s="795"/>
      <c r="CH4" s="795"/>
      <c r="CI4" s="795"/>
      <c r="CJ4" s="795"/>
      <c r="CK4" s="795"/>
      <c r="CL4" s="1925" t="s">
        <v>32</v>
      </c>
    </row>
    <row r="5" spans="2:91" ht="23.25" customHeight="1" thickBot="1" x14ac:dyDescent="0.5">
      <c r="H5" s="784"/>
      <c r="I5" s="784"/>
      <c r="J5" s="784"/>
      <c r="K5" s="784"/>
      <c r="L5" s="784"/>
      <c r="M5" s="784"/>
      <c r="N5" s="784"/>
      <c r="O5" s="784"/>
      <c r="P5" s="784"/>
      <c r="Q5" s="784"/>
      <c r="R5" s="784"/>
      <c r="S5" s="784"/>
      <c r="T5" s="784"/>
      <c r="U5" s="786"/>
      <c r="V5" s="784"/>
      <c r="W5" s="784"/>
      <c r="X5" s="784"/>
      <c r="Y5" s="784"/>
      <c r="Z5" s="784"/>
      <c r="AA5" s="784"/>
      <c r="AB5" s="786"/>
      <c r="AC5" s="786"/>
      <c r="AD5" s="786"/>
      <c r="AE5" s="786"/>
      <c r="AF5" s="784"/>
      <c r="AG5" s="784"/>
      <c r="AH5" s="784"/>
      <c r="AI5" s="784"/>
      <c r="AJ5" s="784"/>
      <c r="AK5" s="784"/>
      <c r="AL5" s="784"/>
      <c r="AM5" s="784"/>
      <c r="AN5" s="784"/>
      <c r="AO5" s="784"/>
      <c r="AP5" s="784"/>
      <c r="AQ5" s="784"/>
      <c r="AR5" s="784"/>
      <c r="AS5" s="784"/>
      <c r="AT5" s="784"/>
      <c r="AU5" s="784"/>
      <c r="AV5" s="784"/>
      <c r="AW5" s="784"/>
      <c r="AX5" s="784"/>
      <c r="AY5" s="784"/>
      <c r="AZ5" s="784"/>
      <c r="BA5" s="784"/>
      <c r="BB5" s="784"/>
      <c r="BM5" s="1347">
        <f>+IF(AND(CK5&gt;0,BT5&gt;0),BT5)</f>
        <v>136.86510655280685</v>
      </c>
      <c r="BN5" s="1912" t="s">
        <v>38</v>
      </c>
      <c r="BO5" s="796"/>
      <c r="BP5" s="797"/>
      <c r="BQ5" s="797"/>
      <c r="BR5" s="797"/>
      <c r="BS5" s="798"/>
      <c r="BT5" s="2110">
        <f>+((E12-E11)/E12)*D22</f>
        <v>136.86510655280685</v>
      </c>
      <c r="BU5" s="2111"/>
      <c r="BV5" s="799"/>
      <c r="BW5" s="799"/>
      <c r="BX5" s="799"/>
      <c r="BY5" s="799"/>
      <c r="BZ5" s="799"/>
      <c r="CA5" s="799"/>
      <c r="CB5" s="799"/>
      <c r="CC5" s="799"/>
      <c r="CD5" s="799"/>
      <c r="CE5" s="799"/>
      <c r="CF5" s="799"/>
      <c r="CG5" s="799"/>
      <c r="CH5" s="799"/>
      <c r="CI5" s="799"/>
      <c r="CJ5" s="799"/>
      <c r="CK5" s="2122">
        <f>+(E11/E12)*D22</f>
        <v>14.834893447193148</v>
      </c>
      <c r="CL5" s="2123"/>
      <c r="CM5" s="1352">
        <f>+IF(AND(BT5&gt;0,CK5&gt;0),CK5)</f>
        <v>14.834893447193148</v>
      </c>
    </row>
    <row r="6" spans="2:91" ht="4.5" hidden="1" customHeight="1" x14ac:dyDescent="0.45">
      <c r="H6" s="784"/>
      <c r="I6" s="784"/>
      <c r="J6" s="784"/>
      <c r="K6" s="784"/>
      <c r="L6" s="784"/>
      <c r="M6" s="784"/>
      <c r="N6" s="784"/>
      <c r="O6" s="784"/>
      <c r="P6" s="784"/>
      <c r="Q6" s="784"/>
      <c r="R6" s="784"/>
      <c r="S6" s="784"/>
      <c r="T6" s="784"/>
      <c r="U6" s="786"/>
      <c r="V6" s="784"/>
      <c r="W6" s="784"/>
      <c r="X6" s="784"/>
      <c r="Y6" s="784"/>
      <c r="Z6" s="784"/>
      <c r="AA6" s="784"/>
      <c r="AB6" s="786"/>
      <c r="AC6" s="786"/>
      <c r="AD6" s="786"/>
      <c r="AE6" s="786"/>
      <c r="AF6" s="784"/>
      <c r="AG6" s="784"/>
      <c r="AH6" s="784"/>
      <c r="AI6" s="784"/>
      <c r="AJ6" s="784"/>
      <c r="AK6" s="784"/>
      <c r="AL6" s="784"/>
      <c r="AM6" s="784"/>
      <c r="AN6" s="784"/>
      <c r="AO6" s="784"/>
      <c r="AP6" s="784"/>
      <c r="AQ6" s="784"/>
      <c r="AR6" s="784"/>
      <c r="AS6" s="784"/>
      <c r="AT6" s="784"/>
      <c r="AU6" s="784"/>
      <c r="AV6" s="784"/>
      <c r="AW6" s="784"/>
      <c r="AX6" s="784"/>
      <c r="AY6" s="784"/>
      <c r="AZ6" s="784"/>
      <c r="BA6" s="784"/>
      <c r="BB6" s="784"/>
      <c r="BF6" s="800"/>
      <c r="BG6" s="800"/>
      <c r="BH6" s="800"/>
      <c r="BI6" s="800"/>
      <c r="BJ6" s="800"/>
      <c r="BK6" s="800"/>
      <c r="BL6" s="800"/>
      <c r="BM6" s="800"/>
      <c r="BN6" s="1913"/>
      <c r="BO6" s="777"/>
      <c r="BP6" s="777"/>
      <c r="BQ6" s="777"/>
      <c r="BR6" s="777"/>
      <c r="BS6" s="777"/>
      <c r="BT6" s="777"/>
      <c r="BU6" s="777"/>
      <c r="BV6" s="777"/>
      <c r="BW6" s="777"/>
      <c r="BX6" s="777"/>
      <c r="BY6" s="777"/>
      <c r="BZ6" s="777"/>
      <c r="CA6" s="777"/>
      <c r="CB6" s="777"/>
      <c r="CC6" s="777"/>
      <c r="CD6" s="777"/>
      <c r="CE6" s="777"/>
      <c r="CF6" s="777"/>
      <c r="CG6" s="777"/>
      <c r="CH6" s="777"/>
      <c r="CI6" s="777"/>
      <c r="CJ6" s="777"/>
      <c r="CK6" s="777"/>
      <c r="CL6" s="777"/>
    </row>
    <row r="7" spans="2:91" ht="12.75" customHeight="1" thickBot="1" x14ac:dyDescent="0.5">
      <c r="H7" s="784"/>
      <c r="I7" s="784"/>
      <c r="J7" s="784"/>
      <c r="K7" s="784"/>
      <c r="L7" s="784"/>
      <c r="M7" s="784"/>
      <c r="N7" s="784"/>
      <c r="O7" s="784"/>
      <c r="P7" s="784"/>
      <c r="Q7" s="784"/>
      <c r="R7" s="784"/>
      <c r="S7" s="784"/>
      <c r="T7" s="784"/>
      <c r="U7" s="786"/>
      <c r="V7" s="784"/>
      <c r="W7" s="784"/>
      <c r="X7" s="784"/>
      <c r="Y7" s="784"/>
      <c r="Z7" s="784"/>
      <c r="AA7" s="784"/>
      <c r="AB7" s="786"/>
      <c r="AC7" s="786"/>
      <c r="AD7" s="786"/>
      <c r="AE7" s="786"/>
      <c r="AF7" s="784"/>
      <c r="AG7" s="784"/>
      <c r="AH7" s="784"/>
      <c r="AI7" s="784"/>
      <c r="AJ7" s="784"/>
      <c r="AK7" s="784"/>
      <c r="AL7" s="784"/>
      <c r="AM7" s="784"/>
      <c r="AN7" s="784"/>
      <c r="AO7" s="784"/>
      <c r="AP7" s="784"/>
      <c r="AQ7" s="784"/>
      <c r="AR7" s="784"/>
      <c r="AS7" s="784"/>
      <c r="AT7" s="784"/>
      <c r="AU7" s="784"/>
      <c r="AV7" s="784"/>
      <c r="AW7" s="784"/>
      <c r="AX7" s="784"/>
      <c r="AY7" s="784"/>
      <c r="AZ7" s="784"/>
      <c r="BA7" s="784"/>
      <c r="BB7" s="784"/>
      <c r="BF7" s="800"/>
      <c r="BG7" s="800"/>
      <c r="BH7" s="800"/>
      <c r="BI7" s="800"/>
      <c r="BJ7" s="800"/>
      <c r="BK7" s="800"/>
      <c r="BL7" s="800"/>
      <c r="BM7" s="800"/>
      <c r="BN7" s="1913"/>
      <c r="BO7" s="777"/>
      <c r="BP7" s="777"/>
      <c r="BQ7" s="777"/>
      <c r="BR7" s="777"/>
      <c r="BS7" s="777"/>
      <c r="BT7" s="777"/>
      <c r="BU7" s="777"/>
      <c r="BV7" s="777"/>
      <c r="BW7" s="777"/>
      <c r="BX7" s="777"/>
      <c r="BY7" s="777"/>
      <c r="BZ7" s="777"/>
      <c r="CA7" s="777"/>
      <c r="CB7" s="777"/>
      <c r="CC7" s="777"/>
      <c r="CD7" s="777"/>
      <c r="CE7" s="777"/>
      <c r="CF7" s="777"/>
      <c r="CG7" s="777"/>
      <c r="CH7" s="777"/>
      <c r="CI7" s="777"/>
      <c r="CJ7" s="777"/>
      <c r="CK7" s="777"/>
      <c r="CL7" s="777"/>
    </row>
    <row r="8" spans="2:91" ht="25.2" hidden="1" x14ac:dyDescent="0.45">
      <c r="H8" s="784"/>
      <c r="I8" s="784"/>
      <c r="J8" s="784"/>
      <c r="K8" s="784"/>
      <c r="L8" s="784"/>
      <c r="M8" s="784"/>
      <c r="N8" s="784"/>
      <c r="O8" s="784"/>
      <c r="P8" s="784"/>
      <c r="Q8" s="784"/>
      <c r="R8" s="784"/>
      <c r="S8" s="784"/>
      <c r="T8" s="784"/>
      <c r="U8" s="786"/>
      <c r="V8" s="784"/>
      <c r="W8" s="784"/>
      <c r="X8" s="784"/>
      <c r="Y8" s="784"/>
      <c r="Z8" s="784"/>
      <c r="AA8" s="784"/>
      <c r="AB8" s="786"/>
      <c r="AC8" s="786"/>
      <c r="AD8" s="786"/>
      <c r="AE8" s="786"/>
      <c r="AF8" s="784"/>
      <c r="AG8" s="784"/>
      <c r="AH8" s="784"/>
      <c r="AI8" s="784"/>
      <c r="AJ8" s="784"/>
      <c r="AK8" s="784"/>
      <c r="AL8" s="784"/>
      <c r="AM8" s="784"/>
      <c r="AN8" s="784"/>
      <c r="AO8" s="784"/>
      <c r="AP8" s="784"/>
      <c r="AQ8" s="784"/>
      <c r="AR8" s="784"/>
      <c r="AS8" s="784"/>
      <c r="AT8" s="784"/>
      <c r="AU8" s="784"/>
      <c r="AV8" s="784"/>
      <c r="AW8" s="784"/>
      <c r="AX8" s="784"/>
      <c r="AY8" s="784"/>
      <c r="AZ8" s="784"/>
      <c r="BA8" s="784"/>
      <c r="BB8" s="784"/>
      <c r="BN8" s="1913"/>
      <c r="BO8" s="777"/>
      <c r="BP8" s="777"/>
      <c r="BQ8" s="777"/>
      <c r="BR8" s="777"/>
      <c r="BS8" s="777"/>
      <c r="BT8" s="777"/>
      <c r="BU8" s="777"/>
      <c r="BV8" s="777"/>
      <c r="BW8" s="777"/>
      <c r="BX8" s="777"/>
      <c r="BY8" s="777"/>
      <c r="BZ8" s="777"/>
      <c r="CA8" s="777"/>
      <c r="CB8" s="777"/>
      <c r="CC8" s="777"/>
      <c r="CD8" s="777"/>
      <c r="CE8" s="777"/>
      <c r="CF8" s="777"/>
      <c r="CG8" s="777"/>
      <c r="CH8" s="777"/>
      <c r="CI8" s="777"/>
      <c r="CJ8" s="777"/>
      <c r="CK8" s="777"/>
      <c r="CL8" s="777"/>
    </row>
    <row r="9" spans="2:91" ht="25.2" hidden="1" x14ac:dyDescent="0.45">
      <c r="E9" s="1393" t="s">
        <v>202</v>
      </c>
      <c r="F9" s="1393" t="s">
        <v>203</v>
      </c>
      <c r="G9" s="1393" t="s">
        <v>204</v>
      </c>
      <c r="H9" s="784"/>
      <c r="I9" s="784"/>
      <c r="J9" s="784"/>
      <c r="K9" s="784"/>
      <c r="L9" s="784"/>
      <c r="M9" s="784"/>
      <c r="N9" s="784"/>
      <c r="O9" s="784"/>
      <c r="P9" s="784"/>
      <c r="Q9" s="784"/>
      <c r="R9" s="784"/>
      <c r="S9" s="784"/>
      <c r="T9" s="784"/>
      <c r="U9" s="786"/>
      <c r="V9" s="784"/>
      <c r="W9" s="784"/>
      <c r="X9" s="784"/>
      <c r="Y9" s="784"/>
      <c r="Z9" s="784"/>
      <c r="AA9" s="784"/>
      <c r="AB9" s="786"/>
      <c r="AC9" s="786"/>
      <c r="AD9" s="786"/>
      <c r="AE9" s="786"/>
      <c r="AF9" s="784"/>
      <c r="AG9" s="784"/>
      <c r="AH9" s="784"/>
      <c r="AI9" s="784"/>
      <c r="AJ9" s="784"/>
      <c r="AK9" s="784"/>
      <c r="AL9" s="784"/>
      <c r="AM9" s="784"/>
      <c r="AN9" s="784"/>
      <c r="AO9" s="784"/>
      <c r="AP9" s="784"/>
      <c r="AQ9" s="784"/>
      <c r="AR9" s="784"/>
      <c r="AS9" s="784"/>
      <c r="AT9" s="784"/>
      <c r="AU9" s="784"/>
      <c r="AV9" s="784"/>
      <c r="AW9" s="784"/>
      <c r="AX9" s="784"/>
      <c r="AY9" s="784"/>
      <c r="AZ9" s="784"/>
      <c r="BA9" s="784"/>
      <c r="BB9" s="784"/>
      <c r="BF9" s="801"/>
      <c r="BG9" s="801"/>
      <c r="BH9" s="801"/>
      <c r="BI9" s="801"/>
      <c r="BJ9" s="801"/>
      <c r="BK9" s="801"/>
      <c r="BL9" s="801"/>
      <c r="BM9" s="801"/>
      <c r="BN9" s="1913"/>
      <c r="BO9" s="777"/>
      <c r="BP9" s="777"/>
      <c r="BQ9" s="777"/>
      <c r="BR9" s="777"/>
      <c r="BS9" s="777"/>
      <c r="BT9" s="777"/>
      <c r="BU9" s="777"/>
      <c r="BV9" s="777"/>
      <c r="BW9" s="777"/>
      <c r="BX9" s="777"/>
      <c r="BY9" s="777"/>
      <c r="BZ9" s="777"/>
      <c r="CA9" s="777"/>
      <c r="CB9" s="777"/>
      <c r="CC9" s="777"/>
      <c r="CD9" s="777"/>
      <c r="CE9" s="777"/>
      <c r="CF9" s="777"/>
      <c r="CG9" s="777"/>
      <c r="CH9" s="777"/>
      <c r="CI9" s="777"/>
      <c r="CJ9" s="777"/>
      <c r="CK9" s="777"/>
      <c r="CL9" s="777"/>
    </row>
    <row r="10" spans="2:91" ht="44.25" hidden="1" customHeight="1" x14ac:dyDescent="0.45">
      <c r="B10" s="802" t="s">
        <v>29</v>
      </c>
      <c r="C10" s="802"/>
      <c r="D10" s="803">
        <v>559</v>
      </c>
      <c r="E10" s="1394">
        <f>+COS(($B$72*-1)*3.14159265358979/180)*D10</f>
        <v>559</v>
      </c>
      <c r="F10" s="1395">
        <f>+COS(($B$72*-1)*3.14159265358979/180)*43</f>
        <v>43</v>
      </c>
      <c r="G10" s="1395">
        <f>+COS((($B$72*-1)+56.666355)*3.14159265358979/180)*89.1698</f>
        <v>49.000010924489978</v>
      </c>
      <c r="H10" s="784"/>
      <c r="I10" s="784"/>
      <c r="J10" s="784"/>
      <c r="K10" s="784"/>
      <c r="L10" s="784"/>
      <c r="M10" s="784"/>
      <c r="N10" s="784"/>
      <c r="O10" s="784"/>
      <c r="P10" s="784"/>
      <c r="Q10" s="784"/>
      <c r="R10" s="784"/>
      <c r="S10" s="784"/>
      <c r="T10" s="784"/>
      <c r="U10" s="786"/>
      <c r="V10" s="784"/>
      <c r="W10" s="784"/>
      <c r="X10" s="784"/>
      <c r="Y10" s="784"/>
      <c r="Z10" s="784"/>
      <c r="AA10" s="784"/>
      <c r="AB10" s="786"/>
      <c r="AC10" s="786"/>
      <c r="AD10" s="786"/>
      <c r="AE10" s="786"/>
      <c r="AF10" s="784"/>
      <c r="AG10" s="784"/>
      <c r="AH10" s="784"/>
      <c r="AI10" s="784"/>
      <c r="AJ10" s="784"/>
      <c r="AK10" s="784"/>
      <c r="AL10" s="784"/>
      <c r="AM10" s="784"/>
      <c r="AN10" s="784"/>
      <c r="AO10" s="784"/>
      <c r="AP10" s="784"/>
      <c r="AQ10" s="784"/>
      <c r="AR10" s="784"/>
      <c r="AS10" s="784"/>
      <c r="AT10" s="784"/>
      <c r="AU10" s="784"/>
      <c r="AV10" s="784"/>
      <c r="AW10" s="784"/>
      <c r="AX10" s="784"/>
      <c r="AY10" s="784"/>
      <c r="AZ10" s="784"/>
      <c r="BA10" s="784"/>
      <c r="BB10" s="784"/>
      <c r="BF10" s="801"/>
      <c r="BG10" s="801"/>
      <c r="BH10" s="801"/>
      <c r="BI10" s="801"/>
      <c r="BJ10" s="801"/>
      <c r="BK10" s="801"/>
      <c r="BL10" s="801"/>
      <c r="BM10" s="801"/>
      <c r="BN10" s="1913"/>
      <c r="BO10" s="777"/>
      <c r="BP10" s="777"/>
      <c r="BQ10" s="777"/>
      <c r="BR10" s="777"/>
      <c r="BS10" s="777"/>
      <c r="BT10" s="777"/>
      <c r="BU10" s="777"/>
      <c r="BV10" s="777"/>
      <c r="BW10" s="777"/>
      <c r="BX10" s="777"/>
      <c r="BY10" s="777"/>
      <c r="BZ10" s="777"/>
      <c r="CA10" s="777"/>
      <c r="CB10" s="777"/>
      <c r="CC10" s="777"/>
      <c r="CD10" s="777"/>
      <c r="CE10" s="777"/>
      <c r="CF10" s="777"/>
      <c r="CG10" s="777"/>
      <c r="CH10" s="777"/>
      <c r="CI10" s="777"/>
      <c r="CJ10" s="777"/>
      <c r="CK10" s="777"/>
      <c r="CL10" s="777"/>
    </row>
    <row r="11" spans="2:91" ht="44.25" hidden="1" customHeight="1" x14ac:dyDescent="0.4">
      <c r="B11" s="802" t="s">
        <v>127</v>
      </c>
      <c r="C11" s="802"/>
      <c r="D11" s="803">
        <f>+D24-49</f>
        <v>75.69023853244974</v>
      </c>
      <c r="E11" s="1394">
        <f>+D24-G10</f>
        <v>75.69022760795977</v>
      </c>
      <c r="F11" s="804"/>
      <c r="G11" s="805"/>
      <c r="H11" s="784"/>
      <c r="I11" s="784"/>
      <c r="J11" s="784"/>
      <c r="K11" s="784"/>
      <c r="L11" s="784"/>
      <c r="M11" s="784"/>
      <c r="N11" s="784"/>
      <c r="O11" s="784"/>
      <c r="P11" s="784"/>
      <c r="Q11" s="784"/>
      <c r="R11" s="784"/>
      <c r="S11" s="784"/>
      <c r="AF11" s="784"/>
      <c r="AG11" s="784"/>
      <c r="AH11" s="784"/>
      <c r="AI11" s="784"/>
      <c r="AJ11" s="784"/>
      <c r="AK11" s="784"/>
      <c r="AL11" s="784"/>
      <c r="AM11" s="784"/>
      <c r="AN11" s="784"/>
      <c r="AO11" s="784"/>
      <c r="AP11" s="784"/>
      <c r="AQ11" s="784"/>
      <c r="AR11" s="784"/>
      <c r="AS11" s="784"/>
      <c r="AT11" s="784"/>
      <c r="AU11" s="784"/>
      <c r="AV11" s="784"/>
      <c r="AW11" s="784"/>
      <c r="AX11" s="784"/>
      <c r="AY11" s="784"/>
      <c r="AZ11" s="784"/>
      <c r="BA11" s="784"/>
      <c r="BB11" s="784"/>
      <c r="BF11" s="801"/>
      <c r="BG11" s="801"/>
      <c r="BH11" s="801"/>
      <c r="BI11" s="801"/>
      <c r="BJ11" s="801"/>
      <c r="BK11" s="801"/>
      <c r="BL11" s="801"/>
      <c r="BM11" s="801"/>
      <c r="BN11" s="1913"/>
      <c r="BO11" s="777"/>
      <c r="BP11" s="777"/>
      <c r="BQ11" s="777"/>
      <c r="BR11" s="777"/>
      <c r="BS11" s="777"/>
      <c r="BT11" s="777"/>
      <c r="BU11" s="777"/>
      <c r="BV11" s="777"/>
      <c r="BW11" s="777"/>
      <c r="BX11" s="777"/>
      <c r="BY11" s="777"/>
      <c r="BZ11" s="777"/>
      <c r="CA11" s="777"/>
      <c r="CB11" s="777"/>
      <c r="CC11" s="777"/>
      <c r="CD11" s="777"/>
      <c r="CE11" s="777"/>
      <c r="CF11" s="777"/>
      <c r="CG11" s="777"/>
      <c r="CH11" s="777"/>
      <c r="CI11" s="777"/>
      <c r="CJ11" s="777"/>
      <c r="CK11" s="777"/>
      <c r="CL11" s="777"/>
    </row>
    <row r="12" spans="2:91" ht="44.25" hidden="1" customHeight="1" x14ac:dyDescent="0.4">
      <c r="B12" s="806" t="s">
        <v>40</v>
      </c>
      <c r="C12" s="806"/>
      <c r="D12" s="807">
        <v>774</v>
      </c>
      <c r="E12" s="1394">
        <f>+COS(($B$72*-1)*3.14159265358979/180)*D12</f>
        <v>774</v>
      </c>
      <c r="F12" s="805"/>
      <c r="G12" s="805"/>
      <c r="H12" s="784"/>
      <c r="I12" s="784"/>
      <c r="J12" s="784"/>
      <c r="K12" s="784"/>
      <c r="L12" s="784"/>
      <c r="M12" s="784"/>
      <c r="N12" s="784"/>
      <c r="O12" s="784"/>
      <c r="P12" s="784"/>
      <c r="Q12" s="784"/>
      <c r="R12" s="784"/>
      <c r="S12" s="784"/>
      <c r="AG12" s="784"/>
      <c r="AH12" s="784"/>
      <c r="AI12" s="784"/>
      <c r="AJ12" s="784"/>
      <c r="AK12" s="784"/>
      <c r="AL12" s="784"/>
      <c r="AM12" s="784"/>
      <c r="AN12" s="784"/>
      <c r="AO12" s="784"/>
      <c r="AP12" s="784"/>
      <c r="AQ12" s="784"/>
      <c r="AR12" s="784"/>
      <c r="AS12" s="784"/>
      <c r="AT12" s="784"/>
      <c r="AU12" s="784"/>
      <c r="AV12" s="784"/>
      <c r="AW12" s="784"/>
      <c r="AX12" s="784"/>
      <c r="AY12" s="784"/>
      <c r="AZ12" s="784"/>
      <c r="BA12" s="784"/>
      <c r="BB12" s="784"/>
      <c r="BF12" s="801"/>
      <c r="BG12" s="801"/>
      <c r="BH12" s="801"/>
      <c r="BI12" s="801"/>
      <c r="BJ12" s="801"/>
      <c r="BK12" s="801"/>
      <c r="BL12" s="801"/>
      <c r="BM12" s="801"/>
      <c r="BN12" s="1914"/>
      <c r="BO12" s="780"/>
      <c r="BP12" s="780"/>
      <c r="BQ12" s="780"/>
      <c r="BR12" s="780"/>
      <c r="BS12" s="780"/>
      <c r="BT12" s="780"/>
      <c r="BU12" s="780"/>
      <c r="BV12" s="780"/>
      <c r="BW12" s="780"/>
      <c r="BX12" s="780"/>
      <c r="BY12" s="780"/>
      <c r="BZ12" s="780"/>
      <c r="CA12" s="780"/>
      <c r="CB12" s="780"/>
      <c r="CC12" s="780"/>
      <c r="CD12" s="780"/>
      <c r="CE12" s="780"/>
      <c r="CF12" s="780"/>
      <c r="CG12" s="780"/>
      <c r="CH12" s="780"/>
      <c r="CI12" s="780"/>
      <c r="CJ12" s="780"/>
      <c r="CK12" s="780"/>
      <c r="CL12" s="780"/>
    </row>
    <row r="13" spans="2:91" ht="44.25" hidden="1" customHeight="1" x14ac:dyDescent="0.4">
      <c r="B13" s="806" t="s">
        <v>128</v>
      </c>
      <c r="C13" s="806"/>
      <c r="D13" s="807">
        <f>+D24+166</f>
        <v>290.69023853244971</v>
      </c>
      <c r="E13" s="1394">
        <f>+(COS(($B$72*-1)*3.14159265358979/180)*215)+$E$11</f>
        <v>290.69022760795974</v>
      </c>
      <c r="F13" s="805"/>
      <c r="G13" s="805"/>
      <c r="H13" s="784"/>
      <c r="I13" s="784"/>
      <c r="J13" s="784"/>
      <c r="K13" s="784"/>
      <c r="L13" s="784"/>
      <c r="M13" s="784"/>
      <c r="N13" s="784"/>
      <c r="O13" s="784"/>
      <c r="P13" s="784"/>
      <c r="Q13" s="784"/>
      <c r="R13" s="784"/>
      <c r="S13" s="784"/>
      <c r="AG13" s="784"/>
      <c r="AH13" s="784"/>
      <c r="AI13" s="784"/>
      <c r="AJ13" s="784"/>
      <c r="AK13" s="784"/>
      <c r="AL13" s="784"/>
      <c r="AM13" s="784"/>
      <c r="AN13" s="784"/>
      <c r="AO13" s="784"/>
      <c r="AP13" s="784"/>
      <c r="AQ13" s="784"/>
      <c r="AR13" s="784"/>
      <c r="AS13" s="784"/>
      <c r="AT13" s="784"/>
      <c r="AU13" s="784"/>
      <c r="AV13" s="784"/>
      <c r="AW13" s="784"/>
      <c r="AX13" s="784"/>
      <c r="AY13" s="784"/>
      <c r="AZ13" s="784"/>
      <c r="BA13" s="784"/>
      <c r="BB13" s="784"/>
      <c r="BF13" s="801"/>
      <c r="BG13" s="801"/>
      <c r="BH13" s="801"/>
      <c r="BI13" s="801"/>
      <c r="BJ13" s="801"/>
      <c r="BK13" s="801"/>
      <c r="BL13" s="801"/>
      <c r="BM13" s="801"/>
      <c r="BN13" s="1914"/>
      <c r="BO13" s="780"/>
      <c r="BP13" s="780"/>
      <c r="BQ13" s="780"/>
      <c r="BR13" s="780"/>
      <c r="BS13" s="780"/>
      <c r="BT13" s="780"/>
      <c r="BU13" s="780"/>
      <c r="BV13" s="780"/>
      <c r="BW13" s="780"/>
      <c r="BX13" s="780"/>
      <c r="BY13" s="780"/>
      <c r="BZ13" s="780"/>
      <c r="CA13" s="780"/>
      <c r="CB13" s="780"/>
      <c r="CC13" s="780"/>
      <c r="CD13" s="780"/>
      <c r="CE13" s="780"/>
      <c r="CF13" s="780"/>
      <c r="CG13" s="780"/>
      <c r="CH13" s="780"/>
      <c r="CI13" s="780"/>
      <c r="CJ13" s="780"/>
      <c r="CK13" s="780"/>
      <c r="CL13" s="780"/>
    </row>
    <row r="14" spans="2:91" ht="21" hidden="1" x14ac:dyDescent="0.4">
      <c r="B14" s="808"/>
      <c r="C14" s="808"/>
      <c r="D14" s="805"/>
      <c r="E14" s="805"/>
      <c r="F14" s="805"/>
      <c r="G14" s="805"/>
      <c r="H14" s="784"/>
      <c r="I14" s="784"/>
      <c r="J14" s="784"/>
      <c r="K14" s="784"/>
      <c r="L14" s="784"/>
      <c r="M14" s="784"/>
      <c r="N14" s="784"/>
      <c r="O14" s="784"/>
      <c r="P14" s="784"/>
      <c r="Q14" s="784"/>
      <c r="R14" s="784"/>
      <c r="S14" s="784"/>
      <c r="AG14" s="784"/>
      <c r="AH14" s="784"/>
      <c r="AI14" s="784"/>
      <c r="AJ14" s="784"/>
      <c r="AK14" s="784"/>
      <c r="AL14" s="784"/>
      <c r="AM14" s="784"/>
      <c r="AN14" s="784"/>
      <c r="AO14" s="784"/>
      <c r="AP14" s="784"/>
      <c r="AQ14" s="784"/>
      <c r="AR14" s="784"/>
      <c r="AS14" s="784"/>
      <c r="AT14" s="784"/>
      <c r="AU14" s="784"/>
      <c r="AV14" s="784"/>
      <c r="AW14" s="784"/>
      <c r="AX14" s="784"/>
      <c r="AY14" s="784"/>
      <c r="AZ14" s="784"/>
      <c r="BA14" s="784"/>
      <c r="BB14" s="784"/>
      <c r="BF14" s="801"/>
      <c r="BG14" s="801"/>
      <c r="BH14" s="801"/>
      <c r="BI14" s="801"/>
      <c r="BJ14" s="801"/>
      <c r="BK14" s="801"/>
      <c r="BL14" s="801"/>
      <c r="BM14" s="801"/>
      <c r="BN14" s="1914"/>
      <c r="BO14" s="780"/>
      <c r="BP14" s="780"/>
      <c r="BQ14" s="780"/>
      <c r="BR14" s="780"/>
      <c r="BS14" s="780"/>
      <c r="BT14" s="780"/>
      <c r="BU14" s="780"/>
      <c r="BV14" s="780"/>
      <c r="BW14" s="780"/>
      <c r="BX14" s="780"/>
      <c r="BY14" s="780"/>
      <c r="BZ14" s="780"/>
      <c r="CA14" s="780"/>
      <c r="CB14" s="780"/>
      <c r="CC14" s="780"/>
      <c r="CD14" s="780"/>
      <c r="CE14" s="780"/>
      <c r="CF14" s="780"/>
      <c r="CG14" s="780"/>
      <c r="CH14" s="780"/>
      <c r="CI14" s="780"/>
      <c r="CJ14" s="780"/>
      <c r="CK14" s="780"/>
      <c r="CL14" s="780"/>
    </row>
    <row r="15" spans="2:91" ht="21" hidden="1" x14ac:dyDescent="0.4">
      <c r="B15" s="808"/>
      <c r="C15" s="808"/>
      <c r="D15" s="805"/>
      <c r="E15" s="805"/>
      <c r="F15" s="805"/>
      <c r="G15" s="805"/>
      <c r="H15" s="784"/>
      <c r="I15" s="784"/>
      <c r="J15" s="784"/>
      <c r="K15" s="784"/>
      <c r="L15" s="784"/>
      <c r="M15" s="784"/>
      <c r="N15" s="784"/>
      <c r="O15" s="784"/>
      <c r="P15" s="784"/>
      <c r="Q15" s="784"/>
      <c r="R15" s="784"/>
      <c r="S15" s="784"/>
      <c r="AG15" s="784"/>
      <c r="AH15" s="784"/>
      <c r="AI15" s="784"/>
      <c r="AJ15" s="784"/>
      <c r="AK15" s="784"/>
      <c r="AL15" s="784"/>
      <c r="AM15" s="784"/>
      <c r="AN15" s="784"/>
      <c r="AO15" s="784"/>
      <c r="AP15" s="784"/>
      <c r="AQ15" s="784"/>
      <c r="AR15" s="784"/>
      <c r="AS15" s="784"/>
      <c r="AT15" s="784"/>
      <c r="AU15" s="784"/>
      <c r="AV15" s="784"/>
      <c r="AW15" s="784"/>
      <c r="AX15" s="784"/>
      <c r="AY15" s="784"/>
      <c r="AZ15" s="784"/>
      <c r="BA15" s="784"/>
      <c r="BB15" s="784"/>
      <c r="BF15" s="801"/>
      <c r="BG15" s="801"/>
      <c r="BH15" s="801"/>
      <c r="BI15" s="801"/>
      <c r="BJ15" s="801"/>
      <c r="BK15" s="801"/>
      <c r="BL15" s="801"/>
      <c r="BM15" s="801"/>
      <c r="BN15" s="1914"/>
      <c r="BO15" s="780"/>
      <c r="BP15" s="780"/>
      <c r="BQ15" s="780"/>
      <c r="BR15" s="780"/>
      <c r="BS15" s="780"/>
      <c r="BT15" s="780"/>
      <c r="BU15" s="780"/>
      <c r="BV15" s="780"/>
      <c r="BW15" s="780"/>
      <c r="BX15" s="780"/>
      <c r="BY15" s="780"/>
      <c r="BZ15" s="780"/>
      <c r="CA15" s="780"/>
      <c r="CB15" s="780"/>
      <c r="CC15" s="780"/>
      <c r="CD15" s="780"/>
      <c r="CE15" s="780"/>
      <c r="CF15" s="780"/>
      <c r="CG15" s="780"/>
      <c r="CH15" s="780"/>
      <c r="CI15" s="780"/>
      <c r="CJ15" s="780"/>
      <c r="CK15" s="780"/>
      <c r="CL15" s="780"/>
    </row>
    <row r="16" spans="2:91" ht="21" hidden="1" x14ac:dyDescent="0.4">
      <c r="B16" s="808"/>
      <c r="C16" s="808"/>
      <c r="D16" s="805"/>
      <c r="E16" s="805"/>
      <c r="F16" s="805"/>
      <c r="G16" s="805"/>
      <c r="H16" s="784"/>
      <c r="I16" s="784"/>
      <c r="J16" s="784"/>
      <c r="K16" s="784"/>
      <c r="L16" s="784"/>
      <c r="M16" s="784"/>
      <c r="N16" s="784"/>
      <c r="O16" s="784"/>
      <c r="P16" s="784"/>
      <c r="Q16" s="784"/>
      <c r="R16" s="784"/>
      <c r="S16" s="784"/>
      <c r="AG16" s="784"/>
      <c r="AH16" s="784"/>
      <c r="AI16" s="784"/>
      <c r="AJ16" s="784"/>
      <c r="AK16" s="784"/>
      <c r="AL16" s="784"/>
      <c r="AM16" s="784"/>
      <c r="AN16" s="784"/>
      <c r="AO16" s="784"/>
      <c r="AP16" s="784"/>
      <c r="AQ16" s="784"/>
      <c r="AR16" s="784"/>
      <c r="AS16" s="784"/>
      <c r="AT16" s="784"/>
      <c r="AU16" s="784"/>
      <c r="AV16" s="784"/>
      <c r="AW16" s="784"/>
      <c r="AX16" s="784"/>
      <c r="AY16" s="784"/>
      <c r="AZ16" s="784"/>
      <c r="BA16" s="784"/>
      <c r="BB16" s="784"/>
      <c r="BF16" s="801"/>
      <c r="BG16" s="801"/>
      <c r="BH16" s="801"/>
      <c r="BI16" s="801"/>
      <c r="BJ16" s="801"/>
      <c r="BK16" s="801"/>
      <c r="BL16" s="801"/>
      <c r="BM16" s="801"/>
      <c r="BN16" s="1914"/>
      <c r="BO16" s="780"/>
      <c r="BP16" s="780"/>
      <c r="BQ16" s="780"/>
      <c r="BR16" s="780"/>
      <c r="BS16" s="780"/>
      <c r="BT16" s="780"/>
      <c r="BU16" s="780"/>
      <c r="BV16" s="780"/>
      <c r="BW16" s="780"/>
      <c r="BX16" s="780"/>
      <c r="BY16" s="780"/>
      <c r="BZ16" s="780"/>
      <c r="CA16" s="780"/>
      <c r="CB16" s="780"/>
      <c r="CC16" s="780"/>
      <c r="CD16" s="780"/>
      <c r="CE16" s="780"/>
      <c r="CF16" s="780"/>
      <c r="CG16" s="780"/>
      <c r="CH16" s="780"/>
      <c r="CI16" s="780"/>
      <c r="CJ16" s="780"/>
      <c r="CK16" s="780"/>
      <c r="CL16" s="780"/>
    </row>
    <row r="17" spans="2:90" ht="21" hidden="1" x14ac:dyDescent="0.4">
      <c r="B17" s="808"/>
      <c r="C17" s="808"/>
      <c r="D17" s="805"/>
      <c r="E17" s="805"/>
      <c r="F17" s="805"/>
      <c r="G17" s="805"/>
      <c r="H17" s="784"/>
      <c r="I17" s="784"/>
      <c r="J17" s="784"/>
      <c r="K17" s="784"/>
      <c r="L17" s="784"/>
      <c r="M17" s="784"/>
      <c r="N17" s="784"/>
      <c r="O17" s="784"/>
      <c r="P17" s="784"/>
      <c r="Q17" s="784"/>
      <c r="R17" s="784"/>
      <c r="S17" s="784"/>
      <c r="AG17" s="784"/>
      <c r="AH17" s="784"/>
      <c r="AI17" s="784"/>
      <c r="AJ17" s="784"/>
      <c r="AK17" s="784"/>
      <c r="AL17" s="784"/>
      <c r="AM17" s="784"/>
      <c r="AN17" s="784"/>
      <c r="AO17" s="784"/>
      <c r="AP17" s="784"/>
      <c r="AQ17" s="784"/>
      <c r="AR17" s="784"/>
      <c r="AS17" s="784"/>
      <c r="AT17" s="784"/>
      <c r="AU17" s="784"/>
      <c r="AV17" s="784"/>
      <c r="AW17" s="784"/>
      <c r="AX17" s="784"/>
      <c r="AY17" s="784"/>
      <c r="AZ17" s="784"/>
      <c r="BA17" s="784"/>
      <c r="BB17" s="784"/>
      <c r="BF17" s="801"/>
      <c r="BG17" s="801"/>
      <c r="BH17" s="801"/>
      <c r="BI17" s="801"/>
      <c r="BJ17" s="801"/>
      <c r="BK17" s="801"/>
      <c r="BL17" s="801"/>
      <c r="BM17" s="801"/>
      <c r="BN17" s="1914">
        <v>10</v>
      </c>
      <c r="BO17" s="780"/>
      <c r="BP17" s="780"/>
      <c r="BQ17" s="780"/>
      <c r="BR17" s="780"/>
      <c r="BS17" s="780"/>
      <c r="BT17" s="780"/>
      <c r="BU17" s="780"/>
      <c r="BV17" s="780"/>
      <c r="BW17" s="780"/>
      <c r="BX17" s="780"/>
      <c r="BY17" s="780"/>
      <c r="BZ17" s="780"/>
      <c r="CA17" s="780"/>
      <c r="CB17" s="780"/>
      <c r="CC17" s="780" t="b">
        <f>IF(CF54=10,7)</f>
        <v>0</v>
      </c>
      <c r="CD17" s="780"/>
      <c r="CE17" s="809"/>
      <c r="CF17" s="780"/>
      <c r="CG17" s="809"/>
      <c r="CH17" s="780"/>
      <c r="CI17" s="780" t="b">
        <f>IF(CF54=10,-3)</f>
        <v>0</v>
      </c>
      <c r="CJ17" s="780"/>
      <c r="CK17" s="780"/>
      <c r="CL17" s="780"/>
    </row>
    <row r="18" spans="2:90" ht="21" hidden="1" x14ac:dyDescent="0.4">
      <c r="B18" s="808"/>
      <c r="C18" s="808"/>
      <c r="D18" s="805"/>
      <c r="E18" s="805"/>
      <c r="F18" s="805"/>
      <c r="G18" s="805"/>
      <c r="H18" s="784"/>
      <c r="I18" s="784"/>
      <c r="J18" s="784"/>
      <c r="K18" s="784"/>
      <c r="L18" s="784"/>
      <c r="M18" s="784"/>
      <c r="N18" s="784"/>
      <c r="O18" s="784"/>
      <c r="P18" s="784"/>
      <c r="Q18" s="784"/>
      <c r="R18" s="784"/>
      <c r="S18" s="784"/>
      <c r="AG18" s="784"/>
      <c r="AH18" s="784"/>
      <c r="AI18" s="784"/>
      <c r="AJ18" s="784"/>
      <c r="AK18" s="784"/>
      <c r="AL18" s="784"/>
      <c r="AM18" s="784"/>
      <c r="AN18" s="784"/>
      <c r="AO18" s="784"/>
      <c r="AP18" s="784"/>
      <c r="AQ18" s="784"/>
      <c r="AR18" s="784"/>
      <c r="AS18" s="784"/>
      <c r="AT18" s="784"/>
      <c r="AU18" s="784"/>
      <c r="AV18" s="784"/>
      <c r="AW18" s="784"/>
      <c r="AX18" s="784"/>
      <c r="AY18" s="784"/>
      <c r="AZ18" s="784"/>
      <c r="BA18" s="784"/>
      <c r="BB18" s="784"/>
      <c r="BF18" s="801"/>
      <c r="BG18" s="801"/>
      <c r="BH18" s="801"/>
      <c r="BI18" s="801"/>
      <c r="BJ18" s="801"/>
      <c r="BK18" s="801"/>
      <c r="BL18" s="801"/>
      <c r="BM18" s="801"/>
      <c r="BN18" s="1914">
        <v>9</v>
      </c>
      <c r="BO18" s="780"/>
      <c r="BP18" s="780"/>
      <c r="BQ18" s="780"/>
      <c r="BR18" s="780"/>
      <c r="BS18" s="780"/>
      <c r="BT18" s="780"/>
      <c r="BU18" s="780"/>
      <c r="BV18" s="780"/>
      <c r="BW18" s="780"/>
      <c r="BX18" s="780" t="b">
        <f>IF(CE54=9,5)</f>
        <v>0</v>
      </c>
      <c r="BY18" s="780"/>
      <c r="BZ18" s="780"/>
      <c r="CA18" s="780"/>
      <c r="CB18" s="780"/>
      <c r="CC18" s="809"/>
      <c r="CD18" s="780"/>
      <c r="CE18" s="780"/>
      <c r="CF18" s="780"/>
      <c r="CG18" s="809"/>
      <c r="CH18" s="780"/>
      <c r="CI18" s="780"/>
      <c r="CJ18" s="780"/>
      <c r="CK18" s="780"/>
      <c r="CL18" s="780" t="b">
        <f>IF(CE54=9,11)</f>
        <v>0</v>
      </c>
    </row>
    <row r="19" spans="2:90" ht="21" hidden="1" x14ac:dyDescent="0.4">
      <c r="B19" s="808"/>
      <c r="C19" s="808"/>
      <c r="D19" s="805"/>
      <c r="E19" s="805"/>
      <c r="F19" s="805"/>
      <c r="G19" s="805"/>
      <c r="H19" s="784"/>
      <c r="I19" s="784"/>
      <c r="J19" s="784"/>
      <c r="K19" s="784"/>
      <c r="L19" s="784"/>
      <c r="M19" s="784"/>
      <c r="N19" s="784"/>
      <c r="O19" s="784"/>
      <c r="P19" s="784"/>
      <c r="Q19" s="784"/>
      <c r="R19" s="784"/>
      <c r="S19" s="784"/>
      <c r="AG19" s="784"/>
      <c r="AH19" s="784"/>
      <c r="AI19" s="784"/>
      <c r="AJ19" s="784"/>
      <c r="AK19" s="784"/>
      <c r="AL19" s="784"/>
      <c r="AM19" s="784"/>
      <c r="AN19" s="784"/>
      <c r="AO19" s="784"/>
      <c r="AP19" s="784"/>
      <c r="AQ19" s="784"/>
      <c r="AR19" s="784"/>
      <c r="AS19" s="784"/>
      <c r="AT19" s="784"/>
      <c r="AU19" s="784"/>
      <c r="AV19" s="784"/>
      <c r="AW19" s="784"/>
      <c r="AX19" s="784"/>
      <c r="AY19" s="784"/>
      <c r="AZ19" s="784"/>
      <c r="BA19" s="784"/>
      <c r="BB19" s="784"/>
      <c r="BF19" s="801"/>
      <c r="BG19" s="801"/>
      <c r="BH19" s="801"/>
      <c r="BI19" s="801"/>
      <c r="BJ19" s="801"/>
      <c r="BK19" s="801"/>
      <c r="BL19" s="801"/>
      <c r="BM19" s="801"/>
      <c r="BN19" s="1914">
        <v>8</v>
      </c>
      <c r="BO19" s="780"/>
      <c r="BP19" s="780"/>
      <c r="BQ19" s="780"/>
      <c r="BR19" s="780"/>
      <c r="BS19" s="780"/>
      <c r="BT19" s="780"/>
      <c r="BU19" s="780"/>
      <c r="BV19" s="780" t="b">
        <f>IF(CD54=8,3)</f>
        <v>0</v>
      </c>
      <c r="BW19" s="780"/>
      <c r="BX19" s="780"/>
      <c r="BY19" s="780"/>
      <c r="BZ19" s="780"/>
      <c r="CA19" s="780"/>
      <c r="CB19" s="780"/>
      <c r="CC19" s="809"/>
      <c r="CD19" s="780"/>
      <c r="CE19" s="809"/>
      <c r="CF19" s="780"/>
      <c r="CG19" s="780"/>
      <c r="CH19" s="780"/>
      <c r="CI19" s="780"/>
      <c r="CJ19" s="780"/>
      <c r="CK19" s="780"/>
      <c r="CL19" s="780" t="b">
        <f>IF(CD54=8,-6)</f>
        <v>0</v>
      </c>
    </row>
    <row r="20" spans="2:90" ht="21" hidden="1" x14ac:dyDescent="0.4">
      <c r="B20" s="808"/>
      <c r="C20" s="808"/>
      <c r="D20" s="805"/>
      <c r="E20" s="805"/>
      <c r="F20" s="805"/>
      <c r="G20" s="805"/>
      <c r="H20" s="784"/>
      <c r="I20" s="784"/>
      <c r="J20" s="784"/>
      <c r="K20" s="784"/>
      <c r="L20" s="784"/>
      <c r="M20" s="784"/>
      <c r="N20" s="784"/>
      <c r="O20" s="784"/>
      <c r="P20" s="784"/>
      <c r="Q20" s="784"/>
      <c r="R20" s="784"/>
      <c r="S20" s="784"/>
      <c r="AG20" s="784"/>
      <c r="AH20" s="784"/>
      <c r="AI20" s="784"/>
      <c r="AJ20" s="784"/>
      <c r="AK20" s="784"/>
      <c r="AL20" s="784"/>
      <c r="AM20" s="784"/>
      <c r="AN20" s="784"/>
      <c r="AO20" s="784"/>
      <c r="AP20" s="784"/>
      <c r="AQ20" s="784"/>
      <c r="AR20" s="784"/>
      <c r="AS20" s="784"/>
      <c r="AT20" s="784"/>
      <c r="AU20" s="784"/>
      <c r="AV20" s="784"/>
      <c r="AW20" s="784"/>
      <c r="AX20" s="784"/>
      <c r="AY20" s="784"/>
      <c r="AZ20" s="784"/>
      <c r="BA20" s="784"/>
      <c r="BB20" s="784"/>
      <c r="BF20" s="801"/>
      <c r="BG20" s="801"/>
      <c r="BH20" s="801"/>
      <c r="BI20" s="801"/>
      <c r="BJ20" s="801"/>
      <c r="BK20" s="801"/>
      <c r="BL20" s="801"/>
      <c r="BM20" s="801"/>
      <c r="BN20" s="1914">
        <v>7</v>
      </c>
      <c r="BO20" s="780"/>
      <c r="BP20" s="780"/>
      <c r="BQ20" s="780"/>
      <c r="BR20" s="780"/>
      <c r="BS20" s="780"/>
      <c r="BT20" s="780"/>
      <c r="BU20" s="780"/>
      <c r="BV20" s="780"/>
      <c r="BW20" s="780"/>
      <c r="BX20" s="780"/>
      <c r="BY20" s="780" t="b">
        <f>IF(CC54=7,6)</f>
        <v>0</v>
      </c>
      <c r="BZ20" s="780"/>
      <c r="CA20" s="780"/>
      <c r="CB20" s="780"/>
      <c r="CC20" s="780"/>
      <c r="CD20" s="780"/>
      <c r="CE20" s="780"/>
      <c r="CF20" s="780"/>
      <c r="CG20" s="780" t="b">
        <f>IF(CC54=7,11)</f>
        <v>0</v>
      </c>
      <c r="CH20" s="780"/>
      <c r="CI20" s="780"/>
      <c r="CJ20" s="780"/>
      <c r="CK20" s="780"/>
      <c r="CL20" s="780"/>
    </row>
    <row r="21" spans="2:90" ht="21" hidden="1" x14ac:dyDescent="0.4">
      <c r="B21" s="808"/>
      <c r="C21" s="808"/>
      <c r="D21" s="805"/>
      <c r="E21" s="805"/>
      <c r="F21" s="805"/>
      <c r="G21" s="805"/>
      <c r="H21" s="784"/>
      <c r="I21" s="784"/>
      <c r="J21" s="784"/>
      <c r="K21" s="784"/>
      <c r="L21" s="784"/>
      <c r="M21" s="784"/>
      <c r="N21" s="784"/>
      <c r="O21" s="784"/>
      <c r="P21" s="784"/>
      <c r="Q21" s="784"/>
      <c r="R21" s="784"/>
      <c r="S21" s="784"/>
      <c r="AG21" s="784"/>
      <c r="AH21" s="784"/>
      <c r="AI21" s="784"/>
      <c r="AJ21" s="784"/>
      <c r="AK21" s="784"/>
      <c r="AL21" s="784"/>
      <c r="AM21" s="784"/>
      <c r="AN21" s="784"/>
      <c r="AO21" s="784"/>
      <c r="AP21" s="784"/>
      <c r="AQ21" s="784"/>
      <c r="AR21" s="784"/>
      <c r="AS21" s="784"/>
      <c r="AT21" s="784"/>
      <c r="AU21" s="784"/>
      <c r="AV21" s="784"/>
      <c r="AW21" s="784"/>
      <c r="AX21" s="784"/>
      <c r="AY21" s="784"/>
      <c r="AZ21" s="784"/>
      <c r="BA21" s="784"/>
      <c r="BB21" s="784"/>
      <c r="BF21" s="801"/>
      <c r="BG21" s="801"/>
      <c r="BH21" s="801"/>
      <c r="BI21" s="801"/>
      <c r="BJ21" s="801"/>
      <c r="BK21" s="801"/>
      <c r="BL21" s="801"/>
      <c r="BM21" s="801"/>
      <c r="BN21" s="1914">
        <v>63</v>
      </c>
      <c r="BO21" s="780"/>
      <c r="BP21" s="780"/>
      <c r="BQ21" s="780"/>
      <c r="BR21" s="780"/>
      <c r="BS21" s="780"/>
      <c r="BT21" s="780"/>
      <c r="BU21" s="780"/>
      <c r="BV21" s="780"/>
      <c r="BW21" s="780" t="b">
        <f>IF(CB54=63,4)</f>
        <v>0</v>
      </c>
      <c r="BX21" s="780"/>
      <c r="BY21" s="780"/>
      <c r="BZ21" s="780"/>
      <c r="CA21" s="780"/>
      <c r="CB21" s="780"/>
      <c r="CC21" s="780"/>
      <c r="CD21" s="780"/>
      <c r="CE21" s="780"/>
      <c r="CF21" s="780"/>
      <c r="CG21" s="780" t="b">
        <f>IF(CB54=63,11)</f>
        <v>0</v>
      </c>
      <c r="CH21" s="780"/>
      <c r="CI21" s="780"/>
      <c r="CJ21" s="780"/>
      <c r="CK21" s="780"/>
      <c r="CL21" s="780"/>
    </row>
    <row r="22" spans="2:90" ht="21" hidden="1" x14ac:dyDescent="0.4">
      <c r="B22" s="808"/>
      <c r="C22" s="810" t="s">
        <v>18</v>
      </c>
      <c r="D22" s="810">
        <f>+B80*67+B115*25.5+14+4.2+11+30</f>
        <v>151.69999999999999</v>
      </c>
      <c r="E22" s="811"/>
      <c r="F22" s="805"/>
      <c r="AF22" s="812"/>
      <c r="AG22" s="784"/>
      <c r="AH22" s="784"/>
      <c r="AI22" s="784"/>
      <c r="AJ22" s="784"/>
      <c r="AK22" s="784"/>
      <c r="AL22" s="784"/>
      <c r="AM22" s="784"/>
      <c r="AN22" s="784"/>
      <c r="AO22" s="784"/>
      <c r="AP22" s="784"/>
      <c r="AQ22" s="784"/>
      <c r="AR22" s="784"/>
      <c r="AS22" s="784"/>
      <c r="AT22" s="784"/>
      <c r="AU22" s="784"/>
      <c r="AV22" s="784"/>
      <c r="AW22" s="784"/>
      <c r="AX22" s="784"/>
      <c r="AY22" s="784"/>
      <c r="AZ22" s="784"/>
      <c r="BA22" s="784"/>
      <c r="BB22" s="784"/>
      <c r="BF22" s="801"/>
      <c r="BG22" s="801"/>
      <c r="BH22" s="801"/>
      <c r="BI22" s="801"/>
      <c r="BJ22" s="801"/>
      <c r="BK22" s="801"/>
      <c r="BL22" s="801"/>
      <c r="BM22" s="801"/>
      <c r="BN22" s="1914">
        <v>62</v>
      </c>
      <c r="BO22" s="780"/>
      <c r="BP22" s="780"/>
      <c r="BQ22" s="780"/>
      <c r="BR22" s="780"/>
      <c r="BS22" s="780"/>
      <c r="BT22" s="780"/>
      <c r="BU22" s="780" t="b">
        <f>IF(CA54=62,2)</f>
        <v>0</v>
      </c>
      <c r="BV22" s="780"/>
      <c r="BW22" s="780"/>
      <c r="BX22" s="780"/>
      <c r="BY22" s="780"/>
      <c r="BZ22" s="780"/>
      <c r="CA22" s="780"/>
      <c r="CB22" s="780"/>
      <c r="CC22" s="780"/>
      <c r="CD22" s="780"/>
      <c r="CE22" s="780"/>
      <c r="CF22" s="780"/>
      <c r="CG22" s="780" t="b">
        <f>IF(CA54=62,11)</f>
        <v>0</v>
      </c>
      <c r="CH22" s="780"/>
      <c r="CI22" s="780"/>
      <c r="CJ22" s="780"/>
      <c r="CK22" s="780"/>
      <c r="CL22" s="780"/>
    </row>
    <row r="23" spans="2:90" ht="21" hidden="1" x14ac:dyDescent="0.4">
      <c r="B23" s="808"/>
      <c r="C23" s="810" t="s">
        <v>19</v>
      </c>
      <c r="D23" s="813">
        <f>+AR83</f>
        <v>333.00002316217024</v>
      </c>
      <c r="E23" s="814"/>
      <c r="AF23" s="812"/>
      <c r="AG23" s="784"/>
      <c r="AH23" s="784"/>
      <c r="AI23" s="784"/>
      <c r="AJ23" s="784"/>
      <c r="AK23" s="784"/>
      <c r="AL23" s="784"/>
      <c r="AM23" s="784"/>
      <c r="AN23" s="784"/>
      <c r="AO23" s="784"/>
      <c r="AP23" s="784"/>
      <c r="AQ23" s="784"/>
      <c r="AR23" s="784"/>
      <c r="AS23" s="784"/>
      <c r="AT23" s="784"/>
      <c r="AU23" s="784"/>
      <c r="AV23" s="784"/>
      <c r="AW23" s="784"/>
      <c r="AX23" s="784"/>
      <c r="AY23" s="784"/>
      <c r="AZ23" s="784"/>
      <c r="BA23" s="784"/>
      <c r="BB23" s="784"/>
      <c r="BF23" s="801"/>
      <c r="BG23" s="801"/>
      <c r="BH23" s="801"/>
      <c r="BI23" s="801"/>
      <c r="BJ23" s="801"/>
      <c r="BK23" s="801"/>
      <c r="BL23" s="801"/>
      <c r="BM23" s="801"/>
      <c r="BN23" s="1914">
        <v>61</v>
      </c>
      <c r="BO23" s="780"/>
      <c r="BP23" s="780"/>
      <c r="BQ23" s="780"/>
      <c r="BR23" s="780"/>
      <c r="BS23" s="780" t="b">
        <f>IF(BZ54=61,-1)</f>
        <v>0</v>
      </c>
      <c r="BT23" s="780"/>
      <c r="BU23" s="780"/>
      <c r="BV23" s="780"/>
      <c r="BW23" s="780"/>
      <c r="BX23" s="780"/>
      <c r="BY23" s="780"/>
      <c r="BZ23" s="780"/>
      <c r="CA23" s="780"/>
      <c r="CB23" s="780"/>
      <c r="CC23" s="780"/>
      <c r="CD23" s="780"/>
      <c r="CE23" s="780"/>
      <c r="CF23" s="780"/>
      <c r="CG23" s="780" t="b">
        <f>IF(BZ54=61,11)</f>
        <v>0</v>
      </c>
      <c r="CH23" s="780"/>
      <c r="CI23" s="780"/>
      <c r="CJ23" s="780"/>
      <c r="CK23" s="780"/>
      <c r="CL23" s="780"/>
    </row>
    <row r="24" spans="2:90" ht="21" hidden="1" x14ac:dyDescent="0.4">
      <c r="B24" s="808"/>
      <c r="C24" s="810" t="s">
        <v>14</v>
      </c>
      <c r="D24" s="813">
        <f>+AO83</f>
        <v>124.69023853244974</v>
      </c>
      <c r="E24" s="814"/>
      <c r="G24" s="805"/>
      <c r="H24" s="784"/>
      <c r="I24" s="784"/>
      <c r="J24" s="784"/>
      <c r="K24" s="784"/>
      <c r="L24" s="784"/>
      <c r="M24" s="784"/>
      <c r="N24" s="784"/>
      <c r="O24" s="784"/>
      <c r="P24" s="784"/>
      <c r="Q24" s="784"/>
      <c r="R24" s="784"/>
      <c r="S24" s="784"/>
      <c r="AF24" s="812"/>
      <c r="AG24" s="784"/>
      <c r="AH24" s="784"/>
      <c r="AI24" s="784"/>
      <c r="AJ24" s="784"/>
      <c r="AK24" s="784"/>
      <c r="AL24" s="784"/>
      <c r="AM24" s="784"/>
      <c r="AN24" s="784"/>
      <c r="AO24" s="784"/>
      <c r="AP24" s="784"/>
      <c r="AQ24" s="784"/>
      <c r="AR24" s="784"/>
      <c r="AS24" s="784"/>
      <c r="AT24" s="784"/>
      <c r="AU24" s="784"/>
      <c r="AV24" s="784"/>
      <c r="AW24" s="784"/>
      <c r="AX24" s="784"/>
      <c r="AY24" s="784"/>
      <c r="AZ24" s="784"/>
      <c r="BA24" s="784"/>
      <c r="BB24" s="784"/>
      <c r="BF24" s="801"/>
      <c r="BG24" s="801"/>
      <c r="BH24" s="801"/>
      <c r="BI24" s="801"/>
      <c r="BJ24" s="801"/>
      <c r="BK24" s="801"/>
      <c r="BL24" s="801"/>
      <c r="BM24" s="801"/>
      <c r="BN24" s="1914">
        <v>6</v>
      </c>
      <c r="BO24" s="780"/>
      <c r="BP24" s="780"/>
      <c r="BQ24" s="780" t="b">
        <f>IF(BY54=6,-3)</f>
        <v>0</v>
      </c>
      <c r="BR24" s="780"/>
      <c r="BS24" s="780"/>
      <c r="BT24" s="780"/>
      <c r="BU24" s="780"/>
      <c r="BV24" s="780"/>
      <c r="BW24" s="780"/>
      <c r="BX24" s="780"/>
      <c r="BY24" s="780"/>
      <c r="BZ24" s="780"/>
      <c r="CA24" s="780"/>
      <c r="CB24" s="780"/>
      <c r="CC24" s="780"/>
      <c r="CD24" s="780"/>
      <c r="CE24" s="780"/>
      <c r="CF24" s="780"/>
      <c r="CG24" s="780" t="b">
        <f>IF(BY54=6,11)</f>
        <v>0</v>
      </c>
      <c r="CH24" s="780"/>
      <c r="CI24" s="780"/>
      <c r="CJ24" s="780"/>
      <c r="CK24" s="780"/>
      <c r="CL24" s="780"/>
    </row>
    <row r="25" spans="2:90" ht="21" hidden="1" x14ac:dyDescent="0.4">
      <c r="B25" s="808"/>
      <c r="C25" s="808"/>
      <c r="D25" s="805"/>
      <c r="E25" s="805"/>
      <c r="F25" s="805"/>
      <c r="G25" s="805"/>
      <c r="H25" s="784"/>
      <c r="I25" s="784"/>
      <c r="J25" s="784"/>
      <c r="K25" s="784"/>
      <c r="L25" s="784"/>
      <c r="M25" s="784"/>
      <c r="N25" s="784"/>
      <c r="O25" s="784"/>
      <c r="P25" s="784"/>
      <c r="Q25" s="784"/>
      <c r="R25" s="784"/>
      <c r="S25" s="784"/>
      <c r="AB25" s="784"/>
      <c r="AC25" s="784"/>
      <c r="AD25" s="784"/>
      <c r="AE25" s="784"/>
      <c r="AF25" s="812"/>
      <c r="AG25" s="784"/>
      <c r="AH25" s="784"/>
      <c r="AI25" s="784"/>
      <c r="AJ25" s="784"/>
      <c r="AK25" s="784"/>
      <c r="AL25" s="784"/>
      <c r="AM25" s="784"/>
      <c r="AN25" s="784"/>
      <c r="AO25" s="784"/>
      <c r="AP25" s="784"/>
      <c r="AQ25" s="784"/>
      <c r="AR25" s="784"/>
      <c r="AS25" s="784"/>
      <c r="AT25" s="784"/>
      <c r="AU25" s="784"/>
      <c r="AV25" s="784"/>
      <c r="AW25" s="784"/>
      <c r="AX25" s="784"/>
      <c r="AY25" s="784"/>
      <c r="AZ25" s="784"/>
      <c r="BA25" s="784"/>
      <c r="BB25" s="784"/>
      <c r="BF25" s="801"/>
      <c r="BG25" s="801"/>
      <c r="BH25" s="801"/>
      <c r="BI25" s="801"/>
      <c r="BJ25" s="801"/>
      <c r="BK25" s="801"/>
      <c r="BL25" s="801"/>
      <c r="BM25" s="801"/>
      <c r="BN25" s="1914">
        <v>5</v>
      </c>
      <c r="BO25" s="780" t="b">
        <f>IF(BX54=5,-5)</f>
        <v>0</v>
      </c>
      <c r="BP25" s="780"/>
      <c r="BQ25" s="780"/>
      <c r="BR25" s="780"/>
      <c r="BS25" s="780"/>
      <c r="BT25" s="780"/>
      <c r="BU25" s="780"/>
      <c r="BV25" s="780"/>
      <c r="BW25" s="780"/>
      <c r="BX25" s="780"/>
      <c r="BY25" s="780"/>
      <c r="BZ25" s="780"/>
      <c r="CA25" s="780"/>
      <c r="CB25" s="780"/>
      <c r="CC25" s="780"/>
      <c r="CD25" s="780"/>
      <c r="CE25" s="780"/>
      <c r="CF25" s="780"/>
      <c r="CG25" s="780" t="b">
        <f>IF(BX54=5,11)</f>
        <v>0</v>
      </c>
      <c r="CH25" s="780"/>
      <c r="CI25" s="780"/>
      <c r="CJ25" s="780"/>
      <c r="CK25" s="780"/>
      <c r="CL25" s="780"/>
    </row>
    <row r="26" spans="2:90" ht="21" hidden="1" x14ac:dyDescent="0.4">
      <c r="B26" s="784"/>
      <c r="C26" s="808"/>
      <c r="D26" s="815" t="b">
        <f>AND(B61&gt;=5,D61&gt;=5,AZ83&gt;=5,BA83&gt;=5,AZ118&gt;=5,BA118&gt;=5)</f>
        <v>1</v>
      </c>
      <c r="E26" s="816"/>
      <c r="G26" s="805"/>
      <c r="H26" s="784"/>
      <c r="I26" s="784"/>
      <c r="J26" s="784"/>
      <c r="K26" s="784"/>
      <c r="L26" s="784"/>
      <c r="M26" s="784"/>
      <c r="N26" s="784"/>
      <c r="O26" s="784"/>
      <c r="P26" s="784"/>
      <c r="Q26" s="784"/>
      <c r="R26" s="784"/>
      <c r="AF26" s="812"/>
      <c r="AG26" s="784"/>
      <c r="AH26" s="784"/>
      <c r="AI26" s="784"/>
      <c r="AJ26" s="784"/>
      <c r="AK26" s="784"/>
      <c r="AL26" s="784"/>
      <c r="AM26" s="784"/>
      <c r="AN26" s="784"/>
      <c r="AO26" s="784"/>
      <c r="AP26" s="784"/>
      <c r="AQ26" s="784"/>
      <c r="AR26" s="784"/>
      <c r="AS26" s="784"/>
      <c r="AT26" s="784"/>
      <c r="AU26" s="784"/>
      <c r="AV26" s="784"/>
      <c r="AW26" s="784"/>
      <c r="AX26" s="784"/>
      <c r="AY26" s="784"/>
      <c r="AZ26" s="784"/>
      <c r="BA26" s="784"/>
      <c r="BB26" s="784"/>
      <c r="BF26" s="801"/>
      <c r="BG26" s="801"/>
      <c r="BH26" s="801"/>
      <c r="BI26" s="801"/>
      <c r="BJ26" s="801"/>
      <c r="BK26" s="801"/>
      <c r="BL26" s="801"/>
      <c r="BM26" s="801"/>
      <c r="BN26" s="1914">
        <v>4</v>
      </c>
      <c r="BO26" s="780" t="b">
        <f>IF(BW54=4,-5)</f>
        <v>0</v>
      </c>
      <c r="BP26" s="780"/>
      <c r="BQ26" s="780"/>
      <c r="BR26" s="780"/>
      <c r="BS26" s="780"/>
      <c r="BT26" s="780"/>
      <c r="BU26" s="780"/>
      <c r="BV26" s="780"/>
      <c r="BW26" s="780"/>
      <c r="BX26" s="780"/>
      <c r="BY26" s="780"/>
      <c r="BZ26" s="780"/>
      <c r="CA26" s="780"/>
      <c r="CB26" s="780"/>
      <c r="CC26" s="780"/>
      <c r="CD26" s="780"/>
      <c r="CE26" s="780" t="b">
        <f>IF(BW54=4,9)</f>
        <v>0</v>
      </c>
      <c r="CF26" s="780"/>
      <c r="CG26" s="780"/>
      <c r="CH26" s="780"/>
      <c r="CI26" s="780"/>
      <c r="CJ26" s="780"/>
      <c r="CK26" s="780"/>
      <c r="CL26" s="780"/>
    </row>
    <row r="27" spans="2:90" ht="21" hidden="1" x14ac:dyDescent="0.4">
      <c r="B27" s="784"/>
      <c r="C27" s="808"/>
      <c r="D27" s="817" t="str">
        <f>IF(B61&gt;=5,"O K ","OVERLOAD")</f>
        <v xml:space="preserve">O K </v>
      </c>
      <c r="E27" s="817" t="str">
        <f>IF(D61&gt;=5,"O K ","OVERLOAD")</f>
        <v xml:space="preserve">O K </v>
      </c>
      <c r="G27" s="805"/>
      <c r="H27" s="784"/>
      <c r="I27" s="784"/>
      <c r="J27" s="784"/>
      <c r="K27" s="784"/>
      <c r="L27" s="784"/>
      <c r="M27" s="784"/>
      <c r="N27" s="784"/>
      <c r="O27" s="784"/>
      <c r="P27" s="784"/>
      <c r="Q27" s="784"/>
      <c r="R27" s="784"/>
      <c r="AF27" s="784"/>
      <c r="AG27" s="784"/>
      <c r="AH27" s="784"/>
      <c r="AI27" s="784"/>
      <c r="AJ27" s="784"/>
      <c r="AK27" s="784"/>
      <c r="AL27" s="784"/>
      <c r="AM27" s="784"/>
      <c r="AN27" s="784"/>
      <c r="AO27" s="784"/>
      <c r="AP27" s="784"/>
      <c r="AQ27" s="784"/>
      <c r="AR27" s="784"/>
      <c r="AS27" s="784"/>
      <c r="AT27" s="784"/>
      <c r="AU27" s="784"/>
      <c r="AV27" s="784"/>
      <c r="AW27" s="784"/>
      <c r="AX27" s="784"/>
      <c r="AY27" s="784"/>
      <c r="AZ27" s="784"/>
      <c r="BA27" s="784"/>
      <c r="BB27" s="784"/>
      <c r="BF27" s="801"/>
      <c r="BG27" s="801"/>
      <c r="BH27" s="801"/>
      <c r="BI27" s="801"/>
      <c r="BJ27" s="801"/>
      <c r="BK27" s="801"/>
      <c r="BL27" s="801"/>
      <c r="BM27" s="801"/>
      <c r="BN27" s="1914">
        <v>3</v>
      </c>
      <c r="BO27" s="780">
        <f>IF(BV54=3,-5)</f>
        <v>-5</v>
      </c>
      <c r="BP27" s="780"/>
      <c r="BQ27" s="780"/>
      <c r="BR27" s="780"/>
      <c r="BS27" s="780"/>
      <c r="BT27" s="780"/>
      <c r="BU27" s="780"/>
      <c r="BV27" s="780"/>
      <c r="BW27" s="780"/>
      <c r="BX27" s="780"/>
      <c r="BY27" s="780"/>
      <c r="BZ27" s="780"/>
      <c r="CA27" s="780"/>
      <c r="CB27" s="780"/>
      <c r="CC27" s="780">
        <f>IF(BV54=3,7)</f>
        <v>7</v>
      </c>
      <c r="CD27" s="780"/>
      <c r="CE27" s="780"/>
      <c r="CF27" s="780"/>
      <c r="CG27" s="780"/>
      <c r="CH27" s="780"/>
      <c r="CI27" s="780"/>
      <c r="CJ27" s="780"/>
      <c r="CK27" s="780"/>
      <c r="CL27" s="780"/>
    </row>
    <row r="28" spans="2:90" ht="21" hidden="1" x14ac:dyDescent="0.4">
      <c r="B28" s="818" t="s">
        <v>71</v>
      </c>
      <c r="C28" s="819"/>
      <c r="D28" s="820">
        <v>5800</v>
      </c>
      <c r="E28" s="820"/>
      <c r="F28" s="820">
        <v>10000</v>
      </c>
      <c r="G28" s="805"/>
      <c r="H28" s="784"/>
      <c r="I28" s="784"/>
      <c r="J28" s="784"/>
      <c r="K28" s="784"/>
      <c r="L28" s="784"/>
      <c r="M28" s="784"/>
      <c r="N28" s="784"/>
      <c r="O28" s="784"/>
      <c r="P28" s="784"/>
      <c r="Q28" s="784"/>
      <c r="R28" s="784"/>
      <c r="AF28" s="784"/>
      <c r="AG28" s="784"/>
      <c r="AH28" s="784"/>
      <c r="AI28" s="784"/>
      <c r="AJ28" s="784"/>
      <c r="AK28" s="784"/>
      <c r="AL28" s="784"/>
      <c r="AM28" s="784"/>
      <c r="AN28" s="784"/>
      <c r="AO28" s="784"/>
      <c r="AP28" s="784"/>
      <c r="AQ28" s="784"/>
      <c r="AR28" s="784"/>
      <c r="AS28" s="784"/>
      <c r="AT28" s="784"/>
      <c r="AU28" s="784"/>
      <c r="AV28" s="784"/>
      <c r="AW28" s="784"/>
      <c r="AX28" s="784"/>
      <c r="AY28" s="784"/>
      <c r="AZ28" s="784"/>
      <c r="BA28" s="784"/>
      <c r="BB28" s="784"/>
      <c r="BF28" s="801"/>
      <c r="BG28" s="801"/>
      <c r="BH28" s="801"/>
      <c r="BI28" s="801"/>
      <c r="BJ28" s="801"/>
      <c r="BK28" s="801"/>
      <c r="BL28" s="801"/>
      <c r="BM28" s="801"/>
      <c r="BN28" s="1914">
        <v>2</v>
      </c>
      <c r="BO28" s="780"/>
      <c r="BP28" s="780" t="b">
        <f>IF(BU54=2,-4)</f>
        <v>0</v>
      </c>
      <c r="BQ28" s="780"/>
      <c r="BR28" s="780"/>
      <c r="BS28" s="780"/>
      <c r="BT28" s="780"/>
      <c r="BU28" s="780"/>
      <c r="BV28" s="780"/>
      <c r="BW28" s="780"/>
      <c r="BX28" s="780"/>
      <c r="BY28" s="780" t="b">
        <f>IF(BU54=2,6)</f>
        <v>0</v>
      </c>
      <c r="BZ28" s="780"/>
      <c r="CA28" s="780"/>
      <c r="CB28" s="780"/>
      <c r="CC28" s="780"/>
      <c r="CD28" s="780"/>
      <c r="CE28" s="780"/>
      <c r="CF28" s="780"/>
      <c r="CG28" s="780"/>
      <c r="CH28" s="780"/>
      <c r="CI28" s="780"/>
      <c r="CJ28" s="780"/>
      <c r="CK28" s="780"/>
      <c r="CL28" s="780"/>
    </row>
    <row r="29" spans="2:90" ht="21" hidden="1" x14ac:dyDescent="0.4">
      <c r="B29" s="818" t="s">
        <v>129</v>
      </c>
      <c r="C29" s="819"/>
      <c r="D29" s="818"/>
      <c r="E29" s="818"/>
      <c r="F29" s="818">
        <v>9240</v>
      </c>
      <c r="G29" s="805"/>
      <c r="H29" s="784"/>
      <c r="I29" s="784"/>
      <c r="J29" s="784"/>
      <c r="K29" s="784"/>
      <c r="L29" s="784"/>
      <c r="M29" s="784"/>
      <c r="N29" s="784"/>
      <c r="O29" s="784"/>
      <c r="P29" s="784"/>
      <c r="Q29" s="784"/>
      <c r="R29" s="784"/>
      <c r="S29" s="784"/>
      <c r="T29" s="784"/>
      <c r="AF29" s="784"/>
      <c r="AG29" s="784"/>
      <c r="AH29" s="784"/>
      <c r="AI29" s="784"/>
      <c r="AJ29" s="784"/>
      <c r="AK29" s="784"/>
      <c r="AL29" s="784"/>
      <c r="AM29" s="784"/>
      <c r="AN29" s="784"/>
      <c r="AO29" s="784"/>
      <c r="AP29" s="784"/>
      <c r="AQ29" s="784"/>
      <c r="AR29" s="784"/>
      <c r="AS29" s="784"/>
      <c r="AT29" s="784"/>
      <c r="AU29" s="784"/>
      <c r="AV29" s="784"/>
      <c r="AW29" s="784"/>
      <c r="AX29" s="784"/>
      <c r="AY29" s="784"/>
      <c r="AZ29" s="784"/>
      <c r="BA29" s="784"/>
      <c r="BB29" s="784"/>
      <c r="BF29" s="801"/>
      <c r="BG29" s="801"/>
      <c r="BH29" s="801"/>
      <c r="BI29" s="801"/>
      <c r="BJ29" s="801"/>
      <c r="BK29" s="801"/>
      <c r="BL29" s="801"/>
      <c r="BM29" s="801"/>
      <c r="BN29" s="1914">
        <v>1</v>
      </c>
      <c r="BO29" s="780" t="b">
        <f>IF(BT54=1,-5)</f>
        <v>0</v>
      </c>
      <c r="BP29" s="780"/>
      <c r="BQ29" s="780"/>
      <c r="BR29" s="780"/>
      <c r="BS29" s="780"/>
      <c r="BT29" s="780"/>
      <c r="BU29" s="780"/>
      <c r="BV29" s="780"/>
      <c r="BW29" s="780"/>
      <c r="BX29" s="780"/>
      <c r="BY29" s="780" t="b">
        <f>IF(BT54=1,6)</f>
        <v>0</v>
      </c>
      <c r="BZ29" s="780"/>
      <c r="CA29" s="780"/>
      <c r="CB29" s="780"/>
      <c r="CC29" s="780"/>
      <c r="CD29" s="780"/>
      <c r="CE29" s="780"/>
      <c r="CF29" s="780"/>
      <c r="CG29" s="780"/>
      <c r="CH29" s="780"/>
      <c r="CI29" s="780"/>
      <c r="CJ29" s="780" t="b">
        <f>IF(CK54=-5,-4)</f>
        <v>0</v>
      </c>
      <c r="CK29" s="780"/>
      <c r="CL29" s="780" t="b">
        <f>IF(CK54=-5,-6)</f>
        <v>0</v>
      </c>
    </row>
    <row r="30" spans="2:90" ht="21" hidden="1" x14ac:dyDescent="0.4">
      <c r="B30" s="818" t="s">
        <v>130</v>
      </c>
      <c r="C30" s="819"/>
      <c r="D30" s="818">
        <v>5000</v>
      </c>
      <c r="E30" s="818"/>
      <c r="F30" s="818">
        <v>5000</v>
      </c>
      <c r="G30" s="805"/>
      <c r="H30" s="784"/>
      <c r="I30" s="784"/>
      <c r="J30" s="784"/>
      <c r="K30" s="784"/>
      <c r="L30" s="784"/>
      <c r="M30" s="784"/>
      <c r="N30" s="784"/>
      <c r="O30" s="784"/>
      <c r="P30" s="784"/>
      <c r="Q30" s="784"/>
      <c r="R30" s="784"/>
      <c r="S30" s="784"/>
      <c r="T30" s="784"/>
      <c r="AF30" s="784"/>
      <c r="AG30" s="784"/>
      <c r="AH30" s="784"/>
      <c r="AI30" s="784"/>
      <c r="AJ30" s="784"/>
      <c r="AK30" s="784"/>
      <c r="AL30" s="784"/>
      <c r="AM30" s="784"/>
      <c r="AN30" s="784"/>
      <c r="AO30" s="784"/>
      <c r="AP30" s="784"/>
      <c r="AQ30" s="784"/>
      <c r="AR30" s="784"/>
      <c r="AS30" s="784"/>
      <c r="AT30" s="784"/>
      <c r="AU30" s="784"/>
      <c r="AV30" s="784"/>
      <c r="AW30" s="784"/>
      <c r="AX30" s="784"/>
      <c r="AY30" s="784"/>
      <c r="AZ30" s="784"/>
      <c r="BA30" s="784"/>
      <c r="BB30" s="784"/>
      <c r="BF30" s="801"/>
      <c r="BG30" s="801"/>
      <c r="BH30" s="801"/>
      <c r="BI30" s="801"/>
      <c r="BJ30" s="801"/>
      <c r="BK30" s="801"/>
      <c r="BL30" s="801"/>
      <c r="BM30" s="801"/>
      <c r="BN30" s="1914">
        <v>-1</v>
      </c>
      <c r="BO30" s="780"/>
      <c r="BP30" s="780" t="b">
        <f>IF(BS54=-1,-4)</f>
        <v>0</v>
      </c>
      <c r="BQ30" s="780"/>
      <c r="BR30" s="780"/>
      <c r="BS30" s="780"/>
      <c r="BT30" s="780"/>
      <c r="BU30" s="780"/>
      <c r="BV30" s="780" t="b">
        <f>IF(BS54=-1,3)</f>
        <v>0</v>
      </c>
      <c r="BW30" s="780"/>
      <c r="BX30" s="780"/>
      <c r="BY30" s="780"/>
      <c r="BZ30" s="780"/>
      <c r="CA30" s="780"/>
      <c r="CB30" s="780"/>
      <c r="CC30" s="780"/>
      <c r="CD30" s="780"/>
      <c r="CE30" s="780"/>
      <c r="CF30" s="780"/>
      <c r="CG30" s="780"/>
      <c r="CH30" s="780" t="b">
        <f>IF(CJ54=-4,-2)</f>
        <v>0</v>
      </c>
      <c r="CI30" s="780"/>
      <c r="CJ30" s="780"/>
      <c r="CK30" s="780"/>
      <c r="CL30" s="780" t="b">
        <f>IF(CJ54=-4,-6)</f>
        <v>0</v>
      </c>
    </row>
    <row r="31" spans="2:90" ht="21" hidden="1" x14ac:dyDescent="0.4">
      <c r="B31" s="1396"/>
      <c r="C31" s="1397"/>
      <c r="D31" s="1398" t="s">
        <v>22</v>
      </c>
      <c r="E31" s="1398"/>
      <c r="F31" s="1398" t="s">
        <v>23</v>
      </c>
      <c r="G31" s="805"/>
      <c r="H31" s="784"/>
      <c r="I31" s="784"/>
      <c r="J31" s="784"/>
      <c r="K31" s="784"/>
      <c r="L31" s="784"/>
      <c r="M31" s="784"/>
      <c r="N31" s="784"/>
      <c r="O31" s="784"/>
      <c r="P31" s="784"/>
      <c r="Q31" s="784"/>
      <c r="R31" s="784"/>
      <c r="S31" s="784"/>
      <c r="T31" s="784"/>
      <c r="AF31" s="784"/>
      <c r="AG31" s="784"/>
      <c r="AH31" s="784"/>
      <c r="AI31" s="784"/>
      <c r="AJ31" s="784"/>
      <c r="AK31" s="784"/>
      <c r="AL31" s="784"/>
      <c r="AM31" s="784"/>
      <c r="AN31" s="784"/>
      <c r="AO31" s="784"/>
      <c r="AP31" s="784"/>
      <c r="AQ31" s="784"/>
      <c r="AR31" s="784"/>
      <c r="AS31" s="784"/>
      <c r="AT31" s="784"/>
      <c r="AU31" s="784"/>
      <c r="AV31" s="784"/>
      <c r="AW31" s="784"/>
      <c r="AX31" s="784"/>
      <c r="AY31" s="784"/>
      <c r="AZ31" s="784"/>
      <c r="BA31" s="784"/>
      <c r="BB31" s="784"/>
      <c r="BF31" s="801"/>
      <c r="BG31" s="801"/>
      <c r="BH31" s="801"/>
      <c r="BI31" s="801"/>
      <c r="BJ31" s="801"/>
      <c r="BK31" s="801"/>
      <c r="BL31" s="801"/>
      <c r="BM31" s="801"/>
      <c r="BN31" s="1914">
        <v>-2</v>
      </c>
      <c r="BO31" s="780" t="b">
        <f>IF(BR54=-2,-5)</f>
        <v>0</v>
      </c>
      <c r="BP31" s="780"/>
      <c r="BQ31" s="780"/>
      <c r="BR31" s="780"/>
      <c r="BS31" s="780"/>
      <c r="BT31" s="780"/>
      <c r="BU31" s="780" t="b">
        <f>IF(BR54=-2,2)</f>
        <v>0</v>
      </c>
      <c r="BV31" s="780"/>
      <c r="BW31" s="821"/>
      <c r="BX31" s="821"/>
      <c r="BY31" s="780"/>
      <c r="BZ31" s="821"/>
      <c r="CA31" s="780"/>
      <c r="CB31" s="780"/>
      <c r="CC31" s="780"/>
      <c r="CD31" s="780"/>
      <c r="CE31" s="780"/>
      <c r="CF31" s="780" t="b">
        <f>IF(CI54=-3,10)</f>
        <v>0</v>
      </c>
      <c r="CG31" s="780"/>
      <c r="CH31" s="780"/>
      <c r="CI31" s="780"/>
      <c r="CJ31" s="780"/>
      <c r="CK31" s="780"/>
      <c r="CL31" s="780" t="b">
        <f>IF(CI54=-3,-6)</f>
        <v>0</v>
      </c>
    </row>
    <row r="32" spans="2:90" ht="21" hidden="1" x14ac:dyDescent="0.4">
      <c r="B32" s="1399" t="s">
        <v>17</v>
      </c>
      <c r="C32" s="1397"/>
      <c r="D32" s="1398">
        <f>+((D23-D24)/D23)*D22</f>
        <v>94.896673064011111</v>
      </c>
      <c r="E32" s="1398"/>
      <c r="F32" s="1398">
        <f>+(D24/D23)*D22</f>
        <v>56.803326935988878</v>
      </c>
      <c r="G32" s="805"/>
      <c r="H32" s="784"/>
      <c r="I32" s="784"/>
      <c r="J32" s="784"/>
      <c r="K32" s="784"/>
      <c r="L32" s="784"/>
      <c r="M32" s="784"/>
      <c r="N32" s="784"/>
      <c r="O32" s="784"/>
      <c r="P32" s="784"/>
      <c r="Q32" s="784"/>
      <c r="R32" s="784"/>
      <c r="S32" s="784"/>
      <c r="T32" s="784"/>
      <c r="AF32" s="784"/>
      <c r="AG32" s="784"/>
      <c r="AH32" s="784"/>
      <c r="AI32" s="784"/>
      <c r="AJ32" s="784"/>
      <c r="AK32" s="784"/>
      <c r="AL32" s="784"/>
      <c r="AM32" s="784"/>
      <c r="AN32" s="784"/>
      <c r="AO32" s="784"/>
      <c r="AP32" s="784"/>
      <c r="AQ32" s="784"/>
      <c r="AR32" s="784"/>
      <c r="AS32" s="784"/>
      <c r="AT32" s="784"/>
      <c r="AU32" s="784"/>
      <c r="AV32" s="784"/>
      <c r="AW32" s="784"/>
      <c r="AX32" s="784"/>
      <c r="AY32" s="784"/>
      <c r="AZ32" s="784"/>
      <c r="BA32" s="784"/>
      <c r="BB32" s="784"/>
      <c r="BF32" s="801"/>
      <c r="BG32" s="801"/>
      <c r="BH32" s="801"/>
      <c r="BI32" s="801"/>
      <c r="BJ32" s="801"/>
      <c r="BK32" s="801"/>
      <c r="BL32" s="801"/>
      <c r="BM32" s="801"/>
      <c r="BN32" s="1914">
        <v>-3</v>
      </c>
      <c r="BO32" s="780" t="b">
        <f>IF(BQ54=-3,-5)</f>
        <v>0</v>
      </c>
      <c r="BP32" s="780"/>
      <c r="BQ32" s="780"/>
      <c r="BR32" s="780"/>
      <c r="BS32" s="780" t="b">
        <f>IF(BQ54=-3,-1)</f>
        <v>0</v>
      </c>
      <c r="BT32" s="780"/>
      <c r="BU32" s="780"/>
      <c r="BV32" s="780"/>
      <c r="BW32" s="780"/>
      <c r="BX32" s="780"/>
      <c r="BY32" s="780"/>
      <c r="BZ32" s="780"/>
      <c r="CA32" s="780"/>
      <c r="CB32" s="780"/>
      <c r="CC32" s="780"/>
      <c r="CD32" s="780" t="b">
        <f>IF(CH54=-2,-8)</f>
        <v>0</v>
      </c>
      <c r="CE32" s="780"/>
      <c r="CF32" s="780"/>
      <c r="CG32" s="780"/>
      <c r="CH32" s="780"/>
      <c r="CI32" s="780"/>
      <c r="CJ32" s="780"/>
      <c r="CK32" s="780"/>
      <c r="CL32" s="780" t="b">
        <f>IF(CH54=-2,-6)</f>
        <v>0</v>
      </c>
    </row>
    <row r="33" spans="2:93" ht="21.6" hidden="1" thickBot="1" x14ac:dyDescent="0.45">
      <c r="C33" s="808"/>
      <c r="E33" s="1400"/>
      <c r="G33" s="805"/>
      <c r="H33" s="784"/>
      <c r="I33" s="784"/>
      <c r="J33" s="784"/>
      <c r="K33" s="784"/>
      <c r="L33" s="784"/>
      <c r="M33" s="784"/>
      <c r="N33" s="784"/>
      <c r="O33" s="784"/>
      <c r="P33" s="784"/>
      <c r="Q33" s="784"/>
      <c r="R33" s="784"/>
      <c r="S33" s="784"/>
      <c r="T33" s="784"/>
      <c r="AF33" s="784"/>
      <c r="AG33" s="784"/>
      <c r="AH33" s="784"/>
      <c r="AI33" s="784"/>
      <c r="AJ33" s="784"/>
      <c r="AK33" s="784"/>
      <c r="AL33" s="784"/>
      <c r="AM33" s="784"/>
      <c r="AN33" s="784"/>
      <c r="AO33" s="784"/>
      <c r="AP33" s="784"/>
      <c r="AQ33" s="784"/>
      <c r="AR33" s="784"/>
      <c r="AS33" s="784"/>
      <c r="AT33" s="784"/>
      <c r="AU33" s="784"/>
      <c r="AV33" s="784"/>
      <c r="AW33" s="784"/>
      <c r="AX33" s="784"/>
      <c r="AY33" s="784"/>
      <c r="AZ33" s="784"/>
      <c r="BA33" s="784"/>
      <c r="BB33" s="784"/>
      <c r="BF33" s="801"/>
      <c r="BG33" s="801"/>
      <c r="BH33" s="801"/>
      <c r="BI33" s="801"/>
      <c r="BJ33" s="801"/>
      <c r="BK33" s="801"/>
      <c r="BL33" s="801"/>
      <c r="BM33" s="801"/>
      <c r="BN33" s="1914">
        <v>-4</v>
      </c>
      <c r="BO33" s="780" t="b">
        <f>IF(BP54=-4,-5)</f>
        <v>0</v>
      </c>
      <c r="BP33" s="780"/>
      <c r="BQ33" s="780" t="b">
        <f>IF(BP54=-4,-3)</f>
        <v>0</v>
      </c>
      <c r="BR33" s="780"/>
      <c r="BS33" s="780"/>
      <c r="BT33" s="780"/>
      <c r="BU33" s="780"/>
      <c r="BV33" s="780"/>
      <c r="BW33" s="780"/>
      <c r="BX33" s="780"/>
      <c r="BY33" s="780"/>
      <c r="BZ33" s="780"/>
      <c r="CA33" s="780"/>
      <c r="CB33" s="780"/>
      <c r="CC33" s="780" t="b">
        <f>IF(CG54=-1,7)</f>
        <v>0</v>
      </c>
      <c r="CD33" s="780"/>
      <c r="CE33" s="780"/>
      <c r="CF33" s="780"/>
      <c r="CG33" s="780"/>
      <c r="CH33" s="780"/>
      <c r="CI33" s="780"/>
      <c r="CJ33" s="780"/>
      <c r="CK33" s="780" t="b">
        <f>IF(CG54=-1,-5)</f>
        <v>0</v>
      </c>
      <c r="CL33" s="780"/>
    </row>
    <row r="34" spans="2:93" ht="41.4" hidden="1" thickBot="1" x14ac:dyDescent="0.4">
      <c r="B34" s="784"/>
      <c r="C34" s="808"/>
      <c r="D34" s="812"/>
      <c r="E34" s="812"/>
      <c r="F34" s="812"/>
      <c r="G34" s="805"/>
      <c r="H34" s="784"/>
      <c r="I34" s="784"/>
      <c r="J34" s="784"/>
      <c r="K34" s="784"/>
      <c r="L34" s="784"/>
      <c r="M34" s="784"/>
      <c r="N34" s="784"/>
      <c r="O34" s="784"/>
      <c r="P34" s="784"/>
      <c r="Q34" s="784"/>
      <c r="R34" s="784"/>
      <c r="S34" s="784"/>
      <c r="T34" s="784"/>
      <c r="AF34" s="784"/>
      <c r="AG34" s="784"/>
      <c r="AH34" s="784"/>
      <c r="AI34" s="784"/>
      <c r="AJ34" s="784"/>
      <c r="AK34" s="784"/>
      <c r="AL34" s="784"/>
      <c r="AM34" s="784"/>
      <c r="AN34" s="784"/>
      <c r="AO34" s="784"/>
      <c r="AP34" s="784"/>
      <c r="AQ34" s="784"/>
      <c r="AR34" s="784"/>
      <c r="AS34" s="784"/>
      <c r="AT34" s="784"/>
      <c r="AU34" s="784"/>
      <c r="AV34" s="784"/>
      <c r="AW34" s="784"/>
      <c r="AX34" s="784"/>
      <c r="AY34" s="784"/>
      <c r="AZ34" s="784"/>
      <c r="BA34" s="784"/>
      <c r="BB34" s="784"/>
      <c r="BF34" s="801"/>
      <c r="BG34" s="801"/>
      <c r="BH34" s="801"/>
      <c r="BI34" s="801"/>
      <c r="BJ34" s="801"/>
      <c r="BK34" s="801"/>
      <c r="BL34" s="801"/>
      <c r="BM34" s="801"/>
      <c r="BN34" s="1915" t="s">
        <v>131</v>
      </c>
      <c r="BO34" s="825">
        <f t="shared" ref="BO34:CF34" si="0">SUM(BO17:BO33)</f>
        <v>-5</v>
      </c>
      <c r="BP34" s="825">
        <f t="shared" si="0"/>
        <v>0</v>
      </c>
      <c r="BQ34" s="825">
        <f t="shared" si="0"/>
        <v>0</v>
      </c>
      <c r="BR34" s="825">
        <f t="shared" si="0"/>
        <v>0</v>
      </c>
      <c r="BS34" s="825">
        <f t="shared" si="0"/>
        <v>0</v>
      </c>
      <c r="BT34" s="825">
        <f t="shared" si="0"/>
        <v>0</v>
      </c>
      <c r="BU34" s="825">
        <f t="shared" si="0"/>
        <v>0</v>
      </c>
      <c r="BV34" s="825">
        <f t="shared" si="0"/>
        <v>0</v>
      </c>
      <c r="BW34" s="825">
        <f t="shared" si="0"/>
        <v>0</v>
      </c>
      <c r="BX34" s="825">
        <f t="shared" si="0"/>
        <v>0</v>
      </c>
      <c r="BY34" s="825">
        <f t="shared" si="0"/>
        <v>0</v>
      </c>
      <c r="BZ34" s="825">
        <f t="shared" si="0"/>
        <v>0</v>
      </c>
      <c r="CA34" s="825">
        <f t="shared" si="0"/>
        <v>0</v>
      </c>
      <c r="CB34" s="825">
        <f t="shared" si="0"/>
        <v>0</v>
      </c>
      <c r="CC34" s="825">
        <f t="shared" si="0"/>
        <v>7</v>
      </c>
      <c r="CD34" s="825">
        <f t="shared" si="0"/>
        <v>0</v>
      </c>
      <c r="CE34" s="825">
        <f t="shared" si="0"/>
        <v>0</v>
      </c>
      <c r="CF34" s="825">
        <f t="shared" si="0"/>
        <v>0</v>
      </c>
      <c r="CG34" s="825">
        <f t="shared" ref="CG34:CL34" si="1">SUM(CG12:CG33)</f>
        <v>0</v>
      </c>
      <c r="CH34" s="825">
        <f t="shared" si="1"/>
        <v>0</v>
      </c>
      <c r="CI34" s="825">
        <f t="shared" si="1"/>
        <v>0</v>
      </c>
      <c r="CJ34" s="825">
        <f t="shared" si="1"/>
        <v>0</v>
      </c>
      <c r="CK34" s="825">
        <f t="shared" si="1"/>
        <v>0</v>
      </c>
      <c r="CL34" s="825">
        <f t="shared" si="1"/>
        <v>0</v>
      </c>
    </row>
    <row r="35" spans="2:93" ht="41.25" customHeight="1" thickBot="1" x14ac:dyDescent="0.45">
      <c r="G35" s="805"/>
      <c r="H35" s="784"/>
      <c r="I35" s="784"/>
      <c r="J35" s="784"/>
      <c r="K35" s="784"/>
      <c r="L35" s="784"/>
      <c r="M35" s="784"/>
      <c r="N35" s="784"/>
      <c r="O35" s="784"/>
      <c r="P35" s="784"/>
      <c r="Q35" s="784"/>
      <c r="R35" s="784"/>
      <c r="S35" s="784"/>
      <c r="T35" s="784"/>
      <c r="AF35" s="784"/>
      <c r="AG35" s="784"/>
      <c r="AH35" s="784"/>
      <c r="AI35" s="784"/>
      <c r="AJ35" s="784"/>
      <c r="AK35" s="784"/>
      <c r="AL35" s="784"/>
      <c r="AM35" s="784"/>
      <c r="AN35" s="784"/>
      <c r="AO35" s="784"/>
      <c r="AP35" s="784"/>
      <c r="AQ35" s="784"/>
      <c r="AR35" s="784"/>
      <c r="AS35" s="784"/>
      <c r="AT35" s="784"/>
      <c r="AU35" s="784"/>
      <c r="AV35" s="784"/>
      <c r="AW35" s="784"/>
      <c r="AX35" s="784"/>
      <c r="AY35" s="784"/>
      <c r="AZ35" s="784"/>
      <c r="BA35" s="784"/>
      <c r="BB35" s="784"/>
      <c r="BF35" s="801"/>
      <c r="BG35" s="801"/>
      <c r="BH35" s="801"/>
      <c r="BI35" s="801"/>
      <c r="BJ35" s="801"/>
      <c r="BK35" s="801"/>
      <c r="BL35" s="801"/>
      <c r="BM35" s="801"/>
      <c r="BN35" s="1916" t="s">
        <v>208</v>
      </c>
      <c r="BO35" s="826" t="str">
        <f>IF(BO34=-5,"A ","")</f>
        <v xml:space="preserve">A </v>
      </c>
      <c r="BP35" s="826" t="str">
        <f>IF(BP34=-4,"B ","")</f>
        <v/>
      </c>
      <c r="BQ35" s="826" t="str">
        <f>IF(BQ34=-3,"C ","")</f>
        <v/>
      </c>
      <c r="BR35" s="826" t="str">
        <f>IF(BR34=-2,"D ","")</f>
        <v/>
      </c>
      <c r="BS35" s="826" t="str">
        <f>IF(BS34=-1,"E ","")</f>
        <v/>
      </c>
      <c r="BT35" s="826">
        <f t="shared" ref="BT35:BY35" si="2">+BT34</f>
        <v>0</v>
      </c>
      <c r="BU35" s="826">
        <f t="shared" si="2"/>
        <v>0</v>
      </c>
      <c r="BV35" s="826">
        <f t="shared" si="2"/>
        <v>0</v>
      </c>
      <c r="BW35" s="826">
        <f t="shared" si="2"/>
        <v>0</v>
      </c>
      <c r="BX35" s="826">
        <f t="shared" si="2"/>
        <v>0</v>
      </c>
      <c r="BY35" s="826">
        <f t="shared" si="2"/>
        <v>0</v>
      </c>
      <c r="BZ35" s="826" t="str">
        <f>IF(BZ34=61,"B ","")</f>
        <v/>
      </c>
      <c r="CA35" s="826" t="str">
        <f>IF(CA34=62,"C ","")</f>
        <v/>
      </c>
      <c r="CB35" s="826" t="str">
        <f>IF(CB34=63,"D ","")</f>
        <v/>
      </c>
      <c r="CC35" s="826">
        <f>+CC34</f>
        <v>7</v>
      </c>
      <c r="CD35" s="826">
        <f>+CD34</f>
        <v>0</v>
      </c>
      <c r="CE35" s="826">
        <f>+CE34</f>
        <v>0</v>
      </c>
      <c r="CF35" s="826">
        <f>+CF34</f>
        <v>0</v>
      </c>
      <c r="CG35" s="826">
        <f>+CG34</f>
        <v>0</v>
      </c>
      <c r="CH35" s="826" t="str">
        <f>IF(CH34=-2,"E ","")</f>
        <v/>
      </c>
      <c r="CI35" s="826" t="str">
        <f>IF(CI34=-3,"D ","")</f>
        <v/>
      </c>
      <c r="CJ35" s="826" t="str">
        <f>IF(CJ34=-4,"C ","")</f>
        <v/>
      </c>
      <c r="CK35" s="826" t="str">
        <f>IF(CK34=-5,"B ","")</f>
        <v/>
      </c>
      <c r="CL35" s="827" t="str">
        <f>IF(CL34=-6,"A ","")</f>
        <v/>
      </c>
    </row>
    <row r="36" spans="2:93" ht="9.75" customHeight="1" thickBot="1" x14ac:dyDescent="0.4">
      <c r="G36" s="805"/>
      <c r="H36" s="784"/>
      <c r="I36" s="784"/>
      <c r="J36" s="784"/>
      <c r="K36" s="784"/>
      <c r="L36" s="784"/>
      <c r="M36" s="784"/>
      <c r="N36" s="784"/>
      <c r="O36" s="784"/>
      <c r="P36" s="784"/>
      <c r="Q36" s="784"/>
      <c r="R36" s="784"/>
      <c r="S36" s="784"/>
      <c r="T36" s="784"/>
      <c r="V36" s="812"/>
      <c r="W36" s="812"/>
      <c r="X36" s="812"/>
      <c r="Y36" s="812"/>
      <c r="Z36" s="812"/>
      <c r="AA36" s="812"/>
      <c r="AB36" s="784"/>
      <c r="AC36" s="784"/>
      <c r="AD36" s="784"/>
      <c r="AE36" s="784"/>
      <c r="AF36" s="784"/>
      <c r="AG36" s="784"/>
      <c r="AH36" s="784"/>
      <c r="AI36" s="784"/>
      <c r="AJ36" s="784"/>
      <c r="AK36" s="784"/>
      <c r="AL36" s="784"/>
      <c r="AM36" s="784"/>
      <c r="AN36" s="784"/>
      <c r="AO36" s="784"/>
      <c r="AP36" s="784"/>
      <c r="AQ36" s="784"/>
      <c r="AR36" s="784"/>
      <c r="AS36" s="784"/>
      <c r="AT36" s="784"/>
      <c r="AU36" s="784"/>
      <c r="AV36" s="784"/>
      <c r="AW36" s="784"/>
      <c r="AX36" s="784"/>
      <c r="AY36" s="784"/>
      <c r="AZ36" s="784"/>
      <c r="BA36" s="784"/>
      <c r="BB36" s="784"/>
      <c r="BF36" s="801"/>
      <c r="BG36" s="801"/>
      <c r="BH36" s="801"/>
      <c r="BI36" s="801"/>
      <c r="BJ36" s="801"/>
      <c r="BK36" s="801"/>
      <c r="BL36" s="801"/>
      <c r="BM36" s="801"/>
      <c r="BN36" s="1913"/>
      <c r="BO36" s="777"/>
      <c r="BP36" s="777"/>
      <c r="BQ36" s="777"/>
      <c r="BR36" s="777"/>
      <c r="BS36" s="777"/>
      <c r="BT36" s="777"/>
      <c r="BU36" s="777"/>
      <c r="BV36" s="777"/>
      <c r="BW36" s="777"/>
      <c r="BX36" s="777"/>
      <c r="BY36" s="777"/>
      <c r="BZ36" s="777"/>
      <c r="CA36" s="777"/>
      <c r="CB36" s="777"/>
      <c r="CC36" s="777"/>
      <c r="CD36" s="777"/>
      <c r="CE36" s="777"/>
      <c r="CF36" s="777"/>
      <c r="CG36" s="777"/>
      <c r="CH36" s="828"/>
      <c r="CI36" s="828"/>
      <c r="CJ36" s="828"/>
      <c r="CK36" s="828"/>
      <c r="CL36" s="829"/>
    </row>
    <row r="37" spans="2:93" ht="21.75" customHeight="1" x14ac:dyDescent="0.4">
      <c r="B37" s="808"/>
      <c r="C37" s="808"/>
      <c r="D37" s="805"/>
      <c r="E37" s="805"/>
      <c r="F37" s="805"/>
      <c r="G37" s="805"/>
      <c r="H37" s="784"/>
      <c r="I37" s="784"/>
      <c r="J37" s="784"/>
      <c r="K37" s="784"/>
      <c r="L37" s="784"/>
      <c r="M37" s="784"/>
      <c r="N37" s="784"/>
      <c r="O37" s="784"/>
      <c r="P37" s="784"/>
      <c r="Q37" s="784"/>
      <c r="R37" s="784"/>
      <c r="S37" s="784"/>
      <c r="T37" s="784"/>
      <c r="V37" s="812"/>
      <c r="W37" s="812"/>
      <c r="X37" s="812"/>
      <c r="Y37" s="812"/>
      <c r="Z37" s="812"/>
      <c r="AA37" s="812"/>
      <c r="AB37" s="784"/>
      <c r="AC37" s="784"/>
      <c r="AD37" s="784"/>
      <c r="AE37" s="784"/>
      <c r="AF37" s="784"/>
      <c r="AG37" s="784"/>
      <c r="AH37" s="784"/>
      <c r="AI37" s="784"/>
      <c r="AJ37" s="784"/>
      <c r="AK37" s="784"/>
      <c r="AL37" s="784"/>
      <c r="AM37" s="784"/>
      <c r="AN37" s="784"/>
      <c r="AO37" s="784"/>
      <c r="AP37" s="784"/>
      <c r="AQ37" s="784"/>
      <c r="AR37" s="784"/>
      <c r="AS37" s="784"/>
      <c r="AT37" s="784"/>
      <c r="AU37" s="784"/>
      <c r="AV37" s="784"/>
      <c r="AW37" s="784"/>
      <c r="AX37" s="784"/>
      <c r="AY37" s="784"/>
      <c r="AZ37" s="784"/>
      <c r="BA37" s="784"/>
      <c r="BB37" s="784"/>
      <c r="BF37" s="801"/>
      <c r="BG37" s="801"/>
      <c r="BH37" s="801"/>
      <c r="BI37" s="801"/>
      <c r="BJ37" s="801"/>
      <c r="BK37" s="801"/>
      <c r="BL37" s="801"/>
      <c r="BM37" s="801"/>
      <c r="BN37" s="1917" t="s">
        <v>30</v>
      </c>
      <c r="BO37" s="2104"/>
      <c r="BP37" s="2105"/>
      <c r="BQ37" s="2105"/>
      <c r="BR37" s="2105"/>
      <c r="BS37" s="2106"/>
      <c r="BT37" s="1927" t="s">
        <v>31</v>
      </c>
      <c r="BU37" s="830"/>
      <c r="BV37" s="830"/>
      <c r="BW37" s="830"/>
      <c r="BX37" s="830"/>
      <c r="BY37" s="830"/>
      <c r="BZ37" s="830"/>
      <c r="CA37" s="830"/>
      <c r="CB37" s="830"/>
      <c r="CC37" s="830"/>
      <c r="CD37" s="830"/>
      <c r="CE37" s="830"/>
      <c r="CF37" s="830"/>
      <c r="CG37" s="1928" t="s">
        <v>32</v>
      </c>
      <c r="CH37" s="2104"/>
      <c r="CI37" s="2105"/>
      <c r="CJ37" s="2105"/>
      <c r="CK37" s="2105"/>
      <c r="CL37" s="2106"/>
    </row>
    <row r="38" spans="2:93" ht="21.75" customHeight="1" thickBot="1" x14ac:dyDescent="0.5">
      <c r="B38" s="808"/>
      <c r="C38" s="808"/>
      <c r="D38" s="805"/>
      <c r="E38" s="805"/>
      <c r="F38" s="805"/>
      <c r="G38" s="805"/>
      <c r="H38" s="784"/>
      <c r="I38" s="784"/>
      <c r="J38" s="784"/>
      <c r="K38" s="784"/>
      <c r="L38" s="784"/>
      <c r="M38" s="784"/>
      <c r="N38" s="784"/>
      <c r="O38" s="784"/>
      <c r="P38" s="784"/>
      <c r="Q38" s="784"/>
      <c r="R38" s="784"/>
      <c r="S38" s="784"/>
      <c r="T38" s="784"/>
      <c r="V38" s="812"/>
      <c r="W38" s="812"/>
      <c r="X38" s="812"/>
      <c r="Y38" s="812"/>
      <c r="Z38" s="812"/>
      <c r="AA38" s="812"/>
      <c r="AB38" s="784"/>
      <c r="AC38" s="784"/>
      <c r="AD38" s="784"/>
      <c r="AE38" s="784"/>
      <c r="AF38" s="784"/>
      <c r="AG38" s="784"/>
      <c r="AH38" s="784"/>
      <c r="AI38" s="784"/>
      <c r="AJ38" s="784"/>
      <c r="AK38" s="784"/>
      <c r="AL38" s="784"/>
      <c r="AM38" s="784"/>
      <c r="AN38" s="784"/>
      <c r="AO38" s="784"/>
      <c r="AP38" s="784"/>
      <c r="AQ38" s="784"/>
      <c r="AR38" s="784"/>
      <c r="AS38" s="784"/>
      <c r="AT38" s="784"/>
      <c r="AU38" s="784"/>
      <c r="AV38" s="784"/>
      <c r="AW38" s="784"/>
      <c r="AX38" s="784"/>
      <c r="AY38" s="784"/>
      <c r="AZ38" s="784"/>
      <c r="BA38" s="784"/>
      <c r="BB38" s="784"/>
      <c r="BF38" s="801"/>
      <c r="BG38" s="801"/>
      <c r="BH38" s="801"/>
      <c r="BI38" s="801"/>
      <c r="BJ38" s="801"/>
      <c r="BK38" s="1348" t="s">
        <v>223</v>
      </c>
      <c r="BL38" s="1401">
        <f>+MAX(BM5,BM3,BM38)</f>
        <v>136.86510655280685</v>
      </c>
      <c r="BM38" s="1347">
        <f>+IF(AND(CF38&gt;0,BT38&gt;0),BT38)</f>
        <v>131.1593783038864</v>
      </c>
      <c r="BN38" s="1918" t="s">
        <v>41</v>
      </c>
      <c r="BO38" s="2107"/>
      <c r="BP38" s="2108"/>
      <c r="BQ38" s="2108"/>
      <c r="BR38" s="2108"/>
      <c r="BS38" s="2109"/>
      <c r="BT38" s="2118">
        <f>+((E10-E11)/E10)*D22</f>
        <v>131.1593783038864</v>
      </c>
      <c r="BU38" s="2119"/>
      <c r="BV38" s="831"/>
      <c r="BW38" s="831"/>
      <c r="BX38" s="831"/>
      <c r="BY38" s="831"/>
      <c r="BZ38" s="831"/>
      <c r="CA38" s="831"/>
      <c r="CB38" s="831"/>
      <c r="CC38" s="831"/>
      <c r="CD38" s="831"/>
      <c r="CE38" s="831"/>
      <c r="CF38" s="2116">
        <f>+(E11/E10)*D22</f>
        <v>20.540621696113586</v>
      </c>
      <c r="CG38" s="2117"/>
      <c r="CH38" s="2107"/>
      <c r="CI38" s="2108"/>
      <c r="CJ38" s="2108"/>
      <c r="CK38" s="2108"/>
      <c r="CL38" s="2109"/>
      <c r="CM38" s="1352">
        <f>+IF(AND(BT38&gt;0,CF38&gt;0),CF38)</f>
        <v>20.540621696113586</v>
      </c>
      <c r="CN38" s="1401">
        <f>+MAX(CM5,CM3,CM38)</f>
        <v>56.973782336082024</v>
      </c>
      <c r="CO38" s="1348" t="s">
        <v>224</v>
      </c>
    </row>
    <row r="39" spans="2:93" ht="21.6" hidden="1" thickBot="1" x14ac:dyDescent="0.45">
      <c r="B39" s="808"/>
      <c r="C39" s="808"/>
      <c r="D39" s="805"/>
      <c r="E39" s="805"/>
      <c r="F39" s="805"/>
      <c r="G39" s="805"/>
      <c r="H39" s="784"/>
      <c r="I39" s="784"/>
      <c r="J39" s="784"/>
      <c r="K39" s="784"/>
      <c r="L39" s="784"/>
      <c r="M39" s="784"/>
      <c r="N39" s="784"/>
      <c r="O39" s="784"/>
      <c r="P39" s="784"/>
      <c r="Q39" s="784"/>
      <c r="R39" s="784"/>
      <c r="S39" s="784"/>
      <c r="T39" s="784"/>
      <c r="U39" s="812"/>
      <c r="V39" s="784"/>
      <c r="W39" s="784"/>
      <c r="X39" s="784"/>
      <c r="Y39" s="784"/>
      <c r="Z39" s="784"/>
      <c r="AA39" s="784"/>
      <c r="AB39" s="812"/>
      <c r="AC39" s="812"/>
      <c r="AD39" s="812"/>
      <c r="AE39" s="812"/>
      <c r="AF39" s="784"/>
      <c r="AG39" s="784"/>
      <c r="AH39" s="784"/>
      <c r="AI39" s="784"/>
      <c r="AJ39" s="784"/>
      <c r="AK39" s="784"/>
      <c r="AL39" s="784"/>
      <c r="AM39" s="784"/>
      <c r="AN39" s="784"/>
      <c r="AO39" s="784"/>
      <c r="AP39" s="784"/>
      <c r="AQ39" s="784"/>
      <c r="AR39" s="784"/>
      <c r="AS39" s="784"/>
      <c r="AT39" s="784"/>
      <c r="AU39" s="784"/>
      <c r="AV39" s="784"/>
      <c r="AW39" s="784"/>
      <c r="AX39" s="784"/>
      <c r="AY39" s="784"/>
      <c r="AZ39" s="784"/>
      <c r="BA39" s="784"/>
      <c r="BB39" s="784"/>
      <c r="BF39" s="801"/>
      <c r="BG39" s="801"/>
      <c r="BH39" s="801"/>
      <c r="BI39" s="801"/>
      <c r="BJ39" s="801"/>
      <c r="BK39" s="801"/>
      <c r="BL39" s="801"/>
      <c r="BM39" s="801"/>
      <c r="BN39" s="1919"/>
      <c r="BO39" s="832"/>
      <c r="BP39" s="833"/>
      <c r="BQ39" s="832"/>
      <c r="BR39" s="832"/>
      <c r="BS39" s="832"/>
      <c r="BT39" s="833"/>
      <c r="BU39" s="832"/>
      <c r="BV39" s="832"/>
      <c r="BW39" s="832"/>
      <c r="BX39" s="832"/>
      <c r="BY39" s="832"/>
      <c r="BZ39" s="832"/>
      <c r="CA39" s="832"/>
      <c r="CB39" s="832"/>
      <c r="CC39" s="832"/>
      <c r="CD39" s="832"/>
      <c r="CE39" s="834" t="b">
        <f>IF(CF54=10,9)</f>
        <v>0</v>
      </c>
      <c r="CF39" s="831"/>
      <c r="CG39" s="835" t="b">
        <f>IF(CF54=10,11)</f>
        <v>0</v>
      </c>
      <c r="CH39" s="828"/>
      <c r="CI39" s="828"/>
      <c r="CJ39" s="828"/>
      <c r="CK39" s="828"/>
      <c r="CL39" s="782"/>
    </row>
    <row r="40" spans="2:93" ht="21.6" hidden="1" thickBot="1" x14ac:dyDescent="0.45">
      <c r="B40" s="808"/>
      <c r="C40" s="808"/>
      <c r="D40" s="805"/>
      <c r="E40" s="805"/>
      <c r="F40" s="805"/>
      <c r="G40" s="805"/>
      <c r="H40" s="784"/>
      <c r="I40" s="784"/>
      <c r="J40" s="784"/>
      <c r="K40" s="784"/>
      <c r="L40" s="784"/>
      <c r="M40" s="784"/>
      <c r="N40" s="784"/>
      <c r="O40" s="784"/>
      <c r="P40" s="784"/>
      <c r="Q40" s="784"/>
      <c r="R40" s="784"/>
      <c r="S40" s="784"/>
      <c r="T40" s="784"/>
      <c r="U40" s="812"/>
      <c r="V40" s="784"/>
      <c r="W40" s="784"/>
      <c r="X40" s="784"/>
      <c r="Y40" s="784"/>
      <c r="Z40" s="784"/>
      <c r="AA40" s="784"/>
      <c r="AB40" s="812"/>
      <c r="AC40" s="812"/>
      <c r="AD40" s="812"/>
      <c r="AE40" s="812"/>
      <c r="AF40" s="784"/>
      <c r="AG40" s="784"/>
      <c r="AH40" s="784"/>
      <c r="AI40" s="784"/>
      <c r="AJ40" s="784"/>
      <c r="AK40" s="784"/>
      <c r="AL40" s="784"/>
      <c r="AM40" s="784"/>
      <c r="AN40" s="784"/>
      <c r="AO40" s="784"/>
      <c r="AP40" s="784"/>
      <c r="AQ40" s="784"/>
      <c r="AR40" s="784"/>
      <c r="AS40" s="784"/>
      <c r="AT40" s="784"/>
      <c r="AU40" s="784"/>
      <c r="AV40" s="784"/>
      <c r="AW40" s="784"/>
      <c r="AX40" s="784"/>
      <c r="AY40" s="784"/>
      <c r="AZ40" s="784"/>
      <c r="BA40" s="784"/>
      <c r="BB40" s="784"/>
      <c r="BF40" s="801"/>
      <c r="BG40" s="801"/>
      <c r="BH40" s="801"/>
      <c r="BI40" s="801"/>
      <c r="BJ40" s="801"/>
      <c r="BK40" s="801"/>
      <c r="BL40" s="801"/>
      <c r="BM40" s="801"/>
      <c r="BN40" s="1919"/>
      <c r="BO40" s="832"/>
      <c r="BP40" s="833"/>
      <c r="BQ40" s="832"/>
      <c r="BR40" s="832"/>
      <c r="BS40" s="832"/>
      <c r="BT40" s="833"/>
      <c r="BU40" s="832"/>
      <c r="BV40" s="832"/>
      <c r="BW40" s="832"/>
      <c r="BX40" s="832"/>
      <c r="BY40" s="832"/>
      <c r="BZ40" s="832"/>
      <c r="CA40" s="832"/>
      <c r="CB40" s="832"/>
      <c r="CC40" s="836" t="b">
        <f>IF(CE54=9,7)</f>
        <v>0</v>
      </c>
      <c r="CD40" s="837"/>
      <c r="CE40" s="837"/>
      <c r="CF40" s="837"/>
      <c r="CG40" s="838" t="b">
        <f>IF(CE54=9,11)</f>
        <v>0</v>
      </c>
      <c r="CH40" s="828"/>
      <c r="CI40" s="828"/>
      <c r="CJ40" s="828"/>
      <c r="CK40" s="828"/>
      <c r="CL40" s="782"/>
    </row>
    <row r="41" spans="2:93" ht="21.6" hidden="1" thickBot="1" x14ac:dyDescent="0.45">
      <c r="B41" s="808"/>
      <c r="C41" s="808"/>
      <c r="D41" s="805"/>
      <c r="E41" s="805"/>
      <c r="F41" s="805"/>
      <c r="G41" s="805"/>
      <c r="H41" s="784"/>
      <c r="I41" s="784"/>
      <c r="J41" s="784"/>
      <c r="K41" s="784"/>
      <c r="L41" s="784"/>
      <c r="M41" s="784"/>
      <c r="N41" s="784"/>
      <c r="O41" s="784"/>
      <c r="P41" s="784"/>
      <c r="Q41" s="784"/>
      <c r="R41" s="784"/>
      <c r="S41" s="784"/>
      <c r="T41" s="784"/>
      <c r="U41" s="812"/>
      <c r="V41" s="784"/>
      <c r="W41" s="784"/>
      <c r="X41" s="784"/>
      <c r="Y41" s="784"/>
      <c r="Z41" s="784"/>
      <c r="AA41" s="784"/>
      <c r="AB41" s="812"/>
      <c r="AC41" s="812"/>
      <c r="AD41" s="812"/>
      <c r="AE41" s="812"/>
      <c r="AF41" s="784"/>
      <c r="AG41" s="784"/>
      <c r="AH41" s="784"/>
      <c r="AI41" s="784"/>
      <c r="AJ41" s="784"/>
      <c r="AK41" s="784"/>
      <c r="AL41" s="784"/>
      <c r="AM41" s="784"/>
      <c r="AN41" s="784"/>
      <c r="AO41" s="784"/>
      <c r="AP41" s="784"/>
      <c r="AQ41" s="784"/>
      <c r="AR41" s="784"/>
      <c r="AS41" s="784"/>
      <c r="AT41" s="784"/>
      <c r="AU41" s="784"/>
      <c r="AV41" s="784"/>
      <c r="AW41" s="784"/>
      <c r="AX41" s="784"/>
      <c r="AY41" s="784"/>
      <c r="AZ41" s="784"/>
      <c r="BA41" s="784"/>
      <c r="BB41" s="784"/>
      <c r="BF41" s="801"/>
      <c r="BG41" s="801"/>
      <c r="BH41" s="801"/>
      <c r="BI41" s="801"/>
      <c r="BJ41" s="801"/>
      <c r="BK41" s="801"/>
      <c r="BL41" s="801"/>
      <c r="BM41" s="801"/>
      <c r="BN41" s="1919"/>
      <c r="BO41" s="832"/>
      <c r="BP41" s="833"/>
      <c r="BQ41" s="832"/>
      <c r="BR41" s="832"/>
      <c r="BS41" s="832"/>
      <c r="BT41" s="833"/>
      <c r="BU41" s="832"/>
      <c r="BV41" s="832"/>
      <c r="BW41" s="832"/>
      <c r="BX41" s="832"/>
      <c r="BY41" s="832"/>
      <c r="BZ41" s="832"/>
      <c r="CA41" s="832"/>
      <c r="CB41" s="832"/>
      <c r="CC41" s="834" t="b">
        <f>IF(CD54=8,7)</f>
        <v>0</v>
      </c>
      <c r="CD41" s="831"/>
      <c r="CE41" s="835" t="b">
        <f>IF(CD54=8,9)</f>
        <v>0</v>
      </c>
      <c r="CF41" s="832"/>
      <c r="CG41" s="780"/>
      <c r="CH41" s="828"/>
      <c r="CI41" s="828"/>
      <c r="CJ41" s="828"/>
      <c r="CK41" s="828"/>
      <c r="CL41" s="782"/>
    </row>
    <row r="42" spans="2:93" ht="21.6" hidden="1" thickBot="1" x14ac:dyDescent="0.45">
      <c r="B42" s="808"/>
      <c r="C42" s="808"/>
      <c r="D42" s="805"/>
      <c r="E42" s="805"/>
      <c r="F42" s="805"/>
      <c r="G42" s="805"/>
      <c r="H42" s="784"/>
      <c r="I42" s="784"/>
      <c r="J42" s="784"/>
      <c r="K42" s="784"/>
      <c r="L42" s="784"/>
      <c r="M42" s="784"/>
      <c r="N42" s="784"/>
      <c r="O42" s="784"/>
      <c r="P42" s="784"/>
      <c r="Q42" s="784"/>
      <c r="R42" s="784"/>
      <c r="S42" s="784"/>
      <c r="T42" s="784"/>
      <c r="U42" s="812"/>
      <c r="V42" s="784"/>
      <c r="W42" s="784"/>
      <c r="X42" s="784"/>
      <c r="Y42" s="784"/>
      <c r="Z42" s="784"/>
      <c r="AA42" s="784"/>
      <c r="AB42" s="812"/>
      <c r="AC42" s="812"/>
      <c r="AD42" s="812"/>
      <c r="AE42" s="812"/>
      <c r="AF42" s="784"/>
      <c r="AG42" s="784"/>
      <c r="AH42" s="784"/>
      <c r="AI42" s="784"/>
      <c r="AJ42" s="784"/>
      <c r="AK42" s="784"/>
      <c r="AL42" s="784"/>
      <c r="AM42" s="784"/>
      <c r="AN42" s="784"/>
      <c r="AO42" s="784"/>
      <c r="AP42" s="784"/>
      <c r="AQ42" s="784"/>
      <c r="AR42" s="784"/>
      <c r="AS42" s="784"/>
      <c r="AT42" s="784"/>
      <c r="AU42" s="784"/>
      <c r="AV42" s="784"/>
      <c r="AW42" s="784"/>
      <c r="AX42" s="784"/>
      <c r="AY42" s="784"/>
      <c r="AZ42" s="784"/>
      <c r="BA42" s="784"/>
      <c r="BB42" s="784"/>
      <c r="BF42" s="801"/>
      <c r="BG42" s="801"/>
      <c r="BH42" s="801"/>
      <c r="BI42" s="801"/>
      <c r="BJ42" s="801"/>
      <c r="BK42" s="801"/>
      <c r="BL42" s="801"/>
      <c r="BM42" s="801"/>
      <c r="BN42" s="1919"/>
      <c r="BO42" s="832"/>
      <c r="BP42" s="833"/>
      <c r="BQ42" s="832"/>
      <c r="BR42" s="832"/>
      <c r="BS42" s="832"/>
      <c r="BT42" s="833"/>
      <c r="BU42" s="832"/>
      <c r="BV42" s="832"/>
      <c r="BW42" s="832"/>
      <c r="BX42" s="832"/>
      <c r="BY42" s="836" t="b">
        <f>IF(CC54=7,6)</f>
        <v>0</v>
      </c>
      <c r="BZ42" s="837"/>
      <c r="CA42" s="837"/>
      <c r="CB42" s="837"/>
      <c r="CC42" s="837"/>
      <c r="CD42" s="837"/>
      <c r="CE42" s="837"/>
      <c r="CF42" s="837"/>
      <c r="CG42" s="838" t="b">
        <f>IF(CC54=7,11)</f>
        <v>0</v>
      </c>
      <c r="CH42" s="828"/>
      <c r="CI42" s="828"/>
      <c r="CJ42" s="828"/>
      <c r="CK42" s="828"/>
      <c r="CL42" s="782"/>
    </row>
    <row r="43" spans="2:93" ht="21.6" hidden="1" thickBot="1" x14ac:dyDescent="0.45">
      <c r="B43" s="808"/>
      <c r="C43" s="808"/>
      <c r="D43" s="805"/>
      <c r="E43" s="805"/>
      <c r="F43" s="805"/>
      <c r="G43" s="805"/>
      <c r="H43" s="784"/>
      <c r="I43" s="784"/>
      <c r="J43" s="784"/>
      <c r="K43" s="784"/>
      <c r="L43" s="784"/>
      <c r="M43" s="784"/>
      <c r="N43" s="784"/>
      <c r="O43" s="784"/>
      <c r="P43" s="784"/>
      <c r="Q43" s="784"/>
      <c r="R43" s="784"/>
      <c r="S43" s="784"/>
      <c r="T43" s="784"/>
      <c r="U43" s="812"/>
      <c r="V43" s="784"/>
      <c r="W43" s="784"/>
      <c r="X43" s="784"/>
      <c r="Y43" s="784"/>
      <c r="Z43" s="784"/>
      <c r="AA43" s="784"/>
      <c r="AB43" s="812"/>
      <c r="AC43" s="812"/>
      <c r="AD43" s="812"/>
      <c r="AE43" s="812"/>
      <c r="AF43" s="784"/>
      <c r="AG43" s="784"/>
      <c r="AH43" s="784"/>
      <c r="AI43" s="784"/>
      <c r="AJ43" s="784"/>
      <c r="AK43" s="784"/>
      <c r="AL43" s="784"/>
      <c r="AM43" s="784"/>
      <c r="AN43" s="784"/>
      <c r="AO43" s="784"/>
      <c r="AP43" s="784"/>
      <c r="AQ43" s="784"/>
      <c r="AR43" s="784"/>
      <c r="AS43" s="784"/>
      <c r="AT43" s="784"/>
      <c r="AU43" s="784"/>
      <c r="AV43" s="784"/>
      <c r="AW43" s="784"/>
      <c r="AX43" s="784"/>
      <c r="AY43" s="784"/>
      <c r="AZ43" s="784"/>
      <c r="BA43" s="784"/>
      <c r="BB43" s="784"/>
      <c r="BF43" s="801"/>
      <c r="BG43" s="801"/>
      <c r="BH43" s="801"/>
      <c r="BI43" s="801"/>
      <c r="BJ43" s="801"/>
      <c r="BK43" s="801"/>
      <c r="BL43" s="801"/>
      <c r="BM43" s="801"/>
      <c r="BN43" s="1919"/>
      <c r="BO43" s="832"/>
      <c r="BP43" s="833"/>
      <c r="BQ43" s="832"/>
      <c r="BR43" s="832"/>
      <c r="BS43" s="832"/>
      <c r="BT43" s="833"/>
      <c r="BU43" s="832"/>
      <c r="BV43" s="832"/>
      <c r="BW43" s="836" t="b">
        <f>IF(CB54=63,4)</f>
        <v>0</v>
      </c>
      <c r="BX43" s="837"/>
      <c r="BY43" s="837"/>
      <c r="BZ43" s="837"/>
      <c r="CA43" s="837"/>
      <c r="CB43" s="837"/>
      <c r="CC43" s="837"/>
      <c r="CD43" s="837"/>
      <c r="CE43" s="837"/>
      <c r="CF43" s="837"/>
      <c r="CG43" s="838" t="b">
        <f>IF(CB54=63,11)</f>
        <v>0</v>
      </c>
      <c r="CH43" s="828"/>
      <c r="CI43" s="828"/>
      <c r="CJ43" s="828"/>
      <c r="CK43" s="828"/>
      <c r="CL43" s="782"/>
    </row>
    <row r="44" spans="2:93" ht="21.6" hidden="1" thickBot="1" x14ac:dyDescent="0.45">
      <c r="B44" s="808"/>
      <c r="C44" s="808"/>
      <c r="D44" s="805"/>
      <c r="E44" s="805"/>
      <c r="F44" s="805"/>
      <c r="G44" s="805"/>
      <c r="H44" s="784"/>
      <c r="I44" s="784"/>
      <c r="J44" s="784"/>
      <c r="K44" s="784"/>
      <c r="L44" s="784"/>
      <c r="M44" s="784"/>
      <c r="N44" s="784"/>
      <c r="O44" s="784"/>
      <c r="P44" s="784"/>
      <c r="Q44" s="784"/>
      <c r="R44" s="784"/>
      <c r="S44" s="784"/>
      <c r="T44" s="784"/>
      <c r="U44" s="812"/>
      <c r="V44" s="784"/>
      <c r="W44" s="784"/>
      <c r="X44" s="784"/>
      <c r="Y44" s="784"/>
      <c r="Z44" s="784"/>
      <c r="AA44" s="784"/>
      <c r="AB44" s="812"/>
      <c r="AC44" s="812"/>
      <c r="AD44" s="812"/>
      <c r="AE44" s="812"/>
      <c r="AF44" s="784"/>
      <c r="AG44" s="784"/>
      <c r="AH44" s="784"/>
      <c r="AI44" s="784"/>
      <c r="AJ44" s="784"/>
      <c r="AK44" s="784"/>
      <c r="AL44" s="784"/>
      <c r="AM44" s="784"/>
      <c r="AN44" s="784"/>
      <c r="AO44" s="784"/>
      <c r="AP44" s="784"/>
      <c r="AQ44" s="784"/>
      <c r="AR44" s="784"/>
      <c r="AS44" s="784"/>
      <c r="AT44" s="784"/>
      <c r="AU44" s="784"/>
      <c r="AV44" s="784"/>
      <c r="AW44" s="784"/>
      <c r="AX44" s="784"/>
      <c r="AY44" s="784"/>
      <c r="AZ44" s="784"/>
      <c r="BA44" s="784"/>
      <c r="BB44" s="784"/>
      <c r="BF44" s="801"/>
      <c r="BG44" s="801"/>
      <c r="BH44" s="801"/>
      <c r="BI44" s="801"/>
      <c r="BJ44" s="801"/>
      <c r="BK44" s="801"/>
      <c r="BL44" s="801"/>
      <c r="BM44" s="801"/>
      <c r="BN44" s="1919"/>
      <c r="BO44" s="832"/>
      <c r="BP44" s="833"/>
      <c r="BQ44" s="832"/>
      <c r="BR44" s="832"/>
      <c r="BS44" s="832"/>
      <c r="BT44" s="833"/>
      <c r="BU44" s="836" t="b">
        <f>IF(CA54=62,2)</f>
        <v>0</v>
      </c>
      <c r="BV44" s="837"/>
      <c r="BW44" s="837"/>
      <c r="BX44" s="837"/>
      <c r="BY44" s="837"/>
      <c r="BZ44" s="837"/>
      <c r="CA44" s="837"/>
      <c r="CB44" s="837"/>
      <c r="CC44" s="837"/>
      <c r="CD44" s="837"/>
      <c r="CE44" s="837"/>
      <c r="CF44" s="837"/>
      <c r="CG44" s="838" t="b">
        <f>IF(CA54=62,11)</f>
        <v>0</v>
      </c>
      <c r="CH44" s="828"/>
      <c r="CI44" s="828"/>
      <c r="CJ44" s="828"/>
      <c r="CK44" s="828"/>
      <c r="CL44" s="782"/>
    </row>
    <row r="45" spans="2:93" ht="21.6" hidden="1" thickBot="1" x14ac:dyDescent="0.45">
      <c r="B45" s="808"/>
      <c r="C45" s="808"/>
      <c r="D45" s="805"/>
      <c r="E45" s="805"/>
      <c r="F45" s="805"/>
      <c r="G45" s="805"/>
      <c r="H45" s="784"/>
      <c r="I45" s="784"/>
      <c r="J45" s="784"/>
      <c r="K45" s="784"/>
      <c r="L45" s="784"/>
      <c r="M45" s="784"/>
      <c r="N45" s="784"/>
      <c r="O45" s="784"/>
      <c r="P45" s="784"/>
      <c r="Q45" s="784"/>
      <c r="R45" s="784"/>
      <c r="S45" s="784"/>
      <c r="T45" s="784"/>
      <c r="U45" s="812"/>
      <c r="V45" s="784"/>
      <c r="W45" s="784"/>
      <c r="X45" s="784"/>
      <c r="Y45" s="784"/>
      <c r="Z45" s="784"/>
      <c r="AA45" s="784"/>
      <c r="AB45" s="812"/>
      <c r="AC45" s="812"/>
      <c r="AD45" s="812"/>
      <c r="AE45" s="812"/>
      <c r="AF45" s="784"/>
      <c r="AG45" s="784"/>
      <c r="AH45" s="784"/>
      <c r="AI45" s="784"/>
      <c r="AJ45" s="784"/>
      <c r="AK45" s="784"/>
      <c r="AL45" s="784"/>
      <c r="AM45" s="784"/>
      <c r="AN45" s="784"/>
      <c r="AO45" s="784"/>
      <c r="AP45" s="784"/>
      <c r="AQ45" s="784"/>
      <c r="AR45" s="784"/>
      <c r="AS45" s="784"/>
      <c r="AT45" s="784"/>
      <c r="AU45" s="784"/>
      <c r="AV45" s="784"/>
      <c r="AW45" s="784"/>
      <c r="AX45" s="784"/>
      <c r="AY45" s="784"/>
      <c r="AZ45" s="784"/>
      <c r="BA45" s="784"/>
      <c r="BB45" s="784"/>
      <c r="BF45" s="801"/>
      <c r="BG45" s="801"/>
      <c r="BH45" s="801"/>
      <c r="BI45" s="801"/>
      <c r="BJ45" s="801"/>
      <c r="BK45" s="801"/>
      <c r="BL45" s="801"/>
      <c r="BM45" s="801"/>
      <c r="BN45" s="1919"/>
      <c r="BO45" s="832"/>
      <c r="BP45" s="833"/>
      <c r="BQ45" s="832"/>
      <c r="BR45" s="832"/>
      <c r="BS45" s="832"/>
      <c r="BT45" s="836" t="b">
        <f>IF(BZ54=61,1)</f>
        <v>0</v>
      </c>
      <c r="BU45" s="837"/>
      <c r="BV45" s="837"/>
      <c r="BW45" s="837"/>
      <c r="BX45" s="837"/>
      <c r="BY45" s="837"/>
      <c r="BZ45" s="837"/>
      <c r="CA45" s="837"/>
      <c r="CB45" s="837"/>
      <c r="CC45" s="837"/>
      <c r="CD45" s="837"/>
      <c r="CE45" s="837"/>
      <c r="CF45" s="838" t="b">
        <f>IF(BZ54=61,10)</f>
        <v>0</v>
      </c>
      <c r="CG45" s="833"/>
      <c r="CH45" s="828"/>
      <c r="CI45" s="828"/>
      <c r="CJ45" s="828"/>
      <c r="CK45" s="828"/>
      <c r="CL45" s="782"/>
    </row>
    <row r="46" spans="2:93" ht="21.6" hidden="1" thickBot="1" x14ac:dyDescent="0.45">
      <c r="B46" s="808"/>
      <c r="C46" s="808"/>
      <c r="D46" s="805"/>
      <c r="E46" s="805"/>
      <c r="F46" s="805"/>
      <c r="G46" s="805"/>
      <c r="H46" s="784"/>
      <c r="I46" s="784"/>
      <c r="J46" s="784"/>
      <c r="K46" s="784"/>
      <c r="L46" s="784"/>
      <c r="M46" s="784"/>
      <c r="N46" s="784"/>
      <c r="O46" s="784"/>
      <c r="P46" s="784"/>
      <c r="Q46" s="784"/>
      <c r="R46" s="784"/>
      <c r="S46" s="784"/>
      <c r="T46" s="784"/>
      <c r="U46" s="812"/>
      <c r="V46" s="784"/>
      <c r="W46" s="784"/>
      <c r="X46" s="784"/>
      <c r="Y46" s="784"/>
      <c r="Z46" s="784"/>
      <c r="AA46" s="784"/>
      <c r="AB46" s="812"/>
      <c r="AC46" s="812"/>
      <c r="AD46" s="812"/>
      <c r="AE46" s="812"/>
      <c r="AF46" s="784"/>
      <c r="AG46" s="784"/>
      <c r="AH46" s="784"/>
      <c r="AI46" s="784"/>
      <c r="AJ46" s="784"/>
      <c r="AK46" s="784"/>
      <c r="AL46" s="784"/>
      <c r="AM46" s="784"/>
      <c r="AN46" s="784"/>
      <c r="AO46" s="784"/>
      <c r="AP46" s="784"/>
      <c r="AQ46" s="784"/>
      <c r="AR46" s="784"/>
      <c r="AS46" s="784"/>
      <c r="AT46" s="784"/>
      <c r="AU46" s="784"/>
      <c r="AV46" s="784"/>
      <c r="AW46" s="784"/>
      <c r="AX46" s="784"/>
      <c r="AY46" s="784"/>
      <c r="AZ46" s="784"/>
      <c r="BA46" s="784"/>
      <c r="BB46" s="784"/>
      <c r="BF46" s="801"/>
      <c r="BG46" s="801"/>
      <c r="BH46" s="801"/>
      <c r="BI46" s="801"/>
      <c r="BJ46" s="801"/>
      <c r="BK46" s="801"/>
      <c r="BL46" s="801"/>
      <c r="BM46" s="801"/>
      <c r="BN46" s="1919"/>
      <c r="BO46" s="832"/>
      <c r="BP46" s="833"/>
      <c r="BQ46" s="832"/>
      <c r="BR46" s="832"/>
      <c r="BS46" s="832"/>
      <c r="BT46" s="834" t="b">
        <f>IF(BY54=6,1)</f>
        <v>0</v>
      </c>
      <c r="BU46" s="831"/>
      <c r="BV46" s="831"/>
      <c r="BW46" s="831"/>
      <c r="BX46" s="831"/>
      <c r="BY46" s="831"/>
      <c r="BZ46" s="831"/>
      <c r="CA46" s="831"/>
      <c r="CB46" s="831"/>
      <c r="CC46" s="831"/>
      <c r="CD46" s="835" t="b">
        <f>IF(BY54=6,8)</f>
        <v>0</v>
      </c>
      <c r="CE46" s="832"/>
      <c r="CF46" s="832"/>
      <c r="CG46" s="833"/>
      <c r="CH46" s="828"/>
      <c r="CI46" s="828"/>
      <c r="CJ46" s="828"/>
      <c r="CK46" s="828"/>
      <c r="CL46" s="782"/>
    </row>
    <row r="47" spans="2:93" ht="21.6" hidden="1" thickBot="1" x14ac:dyDescent="0.45">
      <c r="B47" s="808"/>
      <c r="C47" s="808"/>
      <c r="D47" s="805"/>
      <c r="E47" s="805"/>
      <c r="F47" s="805"/>
      <c r="G47" s="805"/>
      <c r="H47" s="784"/>
      <c r="I47" s="784"/>
      <c r="J47" s="784"/>
      <c r="K47" s="784"/>
      <c r="L47" s="784"/>
      <c r="M47" s="784"/>
      <c r="N47" s="784"/>
      <c r="O47" s="784"/>
      <c r="P47" s="784"/>
      <c r="Q47" s="784"/>
      <c r="R47" s="784"/>
      <c r="S47" s="784"/>
      <c r="T47" s="784"/>
      <c r="U47" s="812"/>
      <c r="V47" s="784"/>
      <c r="W47" s="784"/>
      <c r="X47" s="784"/>
      <c r="Y47" s="784"/>
      <c r="Z47" s="784"/>
      <c r="AA47" s="784"/>
      <c r="AB47" s="812"/>
      <c r="AC47" s="812"/>
      <c r="AD47" s="812"/>
      <c r="AE47" s="812"/>
      <c r="AF47" s="784"/>
      <c r="AG47" s="784"/>
      <c r="AH47" s="784"/>
      <c r="AI47" s="784"/>
      <c r="AJ47" s="784"/>
      <c r="AK47" s="784"/>
      <c r="AL47" s="784"/>
      <c r="AM47" s="784"/>
      <c r="AN47" s="784"/>
      <c r="AO47" s="784"/>
      <c r="AP47" s="784"/>
      <c r="AQ47" s="784"/>
      <c r="AR47" s="784"/>
      <c r="AS47" s="784"/>
      <c r="AT47" s="784"/>
      <c r="AU47" s="784"/>
      <c r="AV47" s="784"/>
      <c r="AW47" s="784"/>
      <c r="AX47" s="784"/>
      <c r="AY47" s="784"/>
      <c r="AZ47" s="784"/>
      <c r="BA47" s="784"/>
      <c r="BB47" s="784"/>
      <c r="BF47" s="801"/>
      <c r="BG47" s="801"/>
      <c r="BH47" s="801"/>
      <c r="BI47" s="801"/>
      <c r="BJ47" s="801"/>
      <c r="BK47" s="801"/>
      <c r="BL47" s="801"/>
      <c r="BM47" s="801"/>
      <c r="BN47" s="1919"/>
      <c r="BO47" s="832"/>
      <c r="BP47" s="833"/>
      <c r="BQ47" s="832"/>
      <c r="BR47" s="832"/>
      <c r="BS47" s="832"/>
      <c r="BT47" s="833"/>
      <c r="BU47" s="832"/>
      <c r="BV47" s="832"/>
      <c r="BW47" s="834" t="b">
        <f>IF(BX54=5,4)</f>
        <v>0</v>
      </c>
      <c r="BX47" s="831"/>
      <c r="BY47" s="835" t="b">
        <f>IF(BX54=5,6)</f>
        <v>0</v>
      </c>
      <c r="BZ47" s="832"/>
      <c r="CA47" s="832"/>
      <c r="CB47" s="832"/>
      <c r="CC47" s="832"/>
      <c r="CD47" s="832"/>
      <c r="CE47" s="832"/>
      <c r="CF47" s="832"/>
      <c r="CG47" s="833"/>
      <c r="CH47" s="828"/>
      <c r="CI47" s="828"/>
      <c r="CJ47" s="828"/>
      <c r="CK47" s="828"/>
      <c r="CL47" s="782"/>
    </row>
    <row r="48" spans="2:93" ht="21.6" hidden="1" thickBot="1" x14ac:dyDescent="0.45">
      <c r="B48" s="808"/>
      <c r="C48" s="808"/>
      <c r="D48" s="805"/>
      <c r="E48" s="805"/>
      <c r="F48" s="805"/>
      <c r="G48" s="805"/>
      <c r="H48" s="784"/>
      <c r="I48" s="784"/>
      <c r="J48" s="784"/>
      <c r="K48" s="784"/>
      <c r="L48" s="784"/>
      <c r="M48" s="784"/>
      <c r="N48" s="784"/>
      <c r="O48" s="784"/>
      <c r="P48" s="784"/>
      <c r="Q48" s="784"/>
      <c r="R48" s="784"/>
      <c r="S48" s="784"/>
      <c r="T48" s="784"/>
      <c r="U48" s="812"/>
      <c r="V48" s="784"/>
      <c r="W48" s="784"/>
      <c r="X48" s="784"/>
      <c r="Y48" s="784"/>
      <c r="Z48" s="784"/>
      <c r="AA48" s="784"/>
      <c r="AB48" s="812"/>
      <c r="AC48" s="812"/>
      <c r="AD48" s="812"/>
      <c r="AE48" s="812"/>
      <c r="AF48" s="784"/>
      <c r="AG48" s="784"/>
      <c r="AH48" s="784"/>
      <c r="AI48" s="784"/>
      <c r="AJ48" s="784"/>
      <c r="AK48" s="784"/>
      <c r="AL48" s="784"/>
      <c r="AM48" s="784"/>
      <c r="AN48" s="784"/>
      <c r="AO48" s="784"/>
      <c r="AP48" s="784"/>
      <c r="AQ48" s="784"/>
      <c r="AR48" s="784"/>
      <c r="AS48" s="784"/>
      <c r="AT48" s="784"/>
      <c r="AU48" s="784"/>
      <c r="AV48" s="784"/>
      <c r="AW48" s="784"/>
      <c r="AX48" s="784"/>
      <c r="AY48" s="784"/>
      <c r="AZ48" s="784"/>
      <c r="BA48" s="784"/>
      <c r="BB48" s="784"/>
      <c r="BF48" s="801"/>
      <c r="BG48" s="801"/>
      <c r="BH48" s="801"/>
      <c r="BI48" s="801"/>
      <c r="BJ48" s="801"/>
      <c r="BK48" s="801"/>
      <c r="BL48" s="801"/>
      <c r="BM48" s="801"/>
      <c r="BN48" s="1919"/>
      <c r="BO48" s="832"/>
      <c r="BP48" s="833"/>
      <c r="BQ48" s="832"/>
      <c r="BR48" s="832"/>
      <c r="BS48" s="832"/>
      <c r="BT48" s="833"/>
      <c r="BU48" s="836" t="b">
        <f>IF(BW54=4,2)</f>
        <v>0</v>
      </c>
      <c r="BV48" s="837"/>
      <c r="BW48" s="831"/>
      <c r="BX48" s="831"/>
      <c r="BY48" s="835" t="b">
        <f>IF(BW54=4,6)</f>
        <v>0</v>
      </c>
      <c r="BZ48" s="832"/>
      <c r="CA48" s="832"/>
      <c r="CB48" s="832"/>
      <c r="CC48" s="832"/>
      <c r="CD48" s="832"/>
      <c r="CE48" s="832"/>
      <c r="CF48" s="832"/>
      <c r="CG48" s="833"/>
      <c r="CH48" s="828"/>
      <c r="CI48" s="828"/>
      <c r="CJ48" s="828"/>
      <c r="CK48" s="828"/>
      <c r="CL48" s="782"/>
    </row>
    <row r="49" spans="2:92" ht="27" hidden="1" thickBot="1" x14ac:dyDescent="0.45">
      <c r="B49" s="822" t="s">
        <v>67</v>
      </c>
      <c r="C49" s="808"/>
      <c r="D49" s="805"/>
      <c r="E49" s="805"/>
      <c r="F49" s="805"/>
      <c r="G49" s="805"/>
      <c r="H49" s="784"/>
      <c r="I49" s="784"/>
      <c r="J49" s="784"/>
      <c r="K49" s="784"/>
      <c r="L49" s="784"/>
      <c r="M49" s="784"/>
      <c r="N49" s="784"/>
      <c r="O49" s="784"/>
      <c r="P49" s="784"/>
      <c r="Q49" s="784"/>
      <c r="R49" s="784"/>
      <c r="S49" s="784"/>
      <c r="T49" s="784"/>
      <c r="U49" s="812"/>
      <c r="V49" s="784"/>
      <c r="W49" s="784"/>
      <c r="X49" s="784"/>
      <c r="Y49" s="784"/>
      <c r="Z49" s="784"/>
      <c r="AA49" s="784"/>
      <c r="AB49" s="812"/>
      <c r="AC49" s="812"/>
      <c r="AD49" s="812"/>
      <c r="AE49" s="812"/>
      <c r="AF49" s="784"/>
      <c r="AG49" s="784"/>
      <c r="AH49" s="784"/>
      <c r="AI49" s="784"/>
      <c r="AJ49" s="784"/>
      <c r="AK49" s="784"/>
      <c r="AL49" s="784"/>
      <c r="AM49" s="784"/>
      <c r="AN49" s="784"/>
      <c r="AO49" s="784"/>
      <c r="AP49" s="784"/>
      <c r="AQ49" s="784"/>
      <c r="AR49" s="784"/>
      <c r="AS49" s="784"/>
      <c r="AT49" s="784"/>
      <c r="AU49" s="784"/>
      <c r="AV49" s="784"/>
      <c r="AW49" s="784"/>
      <c r="AX49" s="784"/>
      <c r="AY49" s="784"/>
      <c r="AZ49" s="784"/>
      <c r="BA49" s="784"/>
      <c r="BB49" s="784"/>
      <c r="BF49" s="801"/>
      <c r="BG49" s="801"/>
      <c r="BH49" s="801"/>
      <c r="BI49" s="801"/>
      <c r="BJ49" s="801"/>
      <c r="BK49" s="801"/>
      <c r="BL49" s="801"/>
      <c r="BM49" s="801"/>
      <c r="BN49" s="1919"/>
      <c r="BO49" s="832"/>
      <c r="BP49" s="833"/>
      <c r="BQ49" s="832"/>
      <c r="BR49" s="832"/>
      <c r="BS49" s="832"/>
      <c r="BT49" s="836">
        <f>IF(BV54=3,1)</f>
        <v>1</v>
      </c>
      <c r="BU49" s="831"/>
      <c r="BV49" s="831"/>
      <c r="BW49" s="831"/>
      <c r="BX49" s="835">
        <f>IF(BV54=3,5)</f>
        <v>5</v>
      </c>
      <c r="BY49" s="832"/>
      <c r="BZ49" s="832"/>
      <c r="CA49" s="832"/>
      <c r="CB49" s="832"/>
      <c r="CC49" s="832"/>
      <c r="CD49" s="832"/>
      <c r="CE49" s="832"/>
      <c r="CF49" s="832"/>
      <c r="CG49" s="833"/>
      <c r="CH49" s="828"/>
      <c r="CI49" s="828"/>
      <c r="CJ49" s="828"/>
      <c r="CK49" s="828"/>
      <c r="CL49" s="782"/>
    </row>
    <row r="50" spans="2:92" ht="21.6" hidden="1" thickBot="1" x14ac:dyDescent="0.45">
      <c r="B50" s="823">
        <f>+D30/BL38</f>
        <v>36.532320954069057</v>
      </c>
      <c r="C50" s="808"/>
      <c r="D50" s="824">
        <f>+F29/F32</f>
        <v>162.66652850127014</v>
      </c>
      <c r="E50" s="824">
        <f>+F29/BO1</f>
        <v>60.909690177982867</v>
      </c>
      <c r="F50" s="805"/>
      <c r="G50" s="805"/>
      <c r="H50" s="784"/>
      <c r="I50" s="784"/>
      <c r="J50" s="784"/>
      <c r="K50" s="784"/>
      <c r="L50" s="784"/>
      <c r="M50" s="784"/>
      <c r="N50" s="784"/>
      <c r="O50" s="784"/>
      <c r="P50" s="784"/>
      <c r="Q50" s="784"/>
      <c r="R50" s="784"/>
      <c r="S50" s="784"/>
      <c r="T50" s="784"/>
      <c r="U50" s="812"/>
      <c r="V50" s="784"/>
      <c r="W50" s="784"/>
      <c r="X50" s="784"/>
      <c r="Y50" s="784"/>
      <c r="Z50" s="784"/>
      <c r="AA50" s="784"/>
      <c r="AB50" s="812"/>
      <c r="AC50" s="812"/>
      <c r="AD50" s="812"/>
      <c r="AE50" s="812"/>
      <c r="AF50" s="784"/>
      <c r="AG50" s="784"/>
      <c r="AH50" s="784"/>
      <c r="AI50" s="784"/>
      <c r="AJ50" s="784"/>
      <c r="AK50" s="784"/>
      <c r="AL50" s="784"/>
      <c r="AM50" s="784"/>
      <c r="AN50" s="784"/>
      <c r="AO50" s="784"/>
      <c r="AP50" s="784"/>
      <c r="AQ50" s="784"/>
      <c r="AR50" s="784"/>
      <c r="AS50" s="784"/>
      <c r="AT50" s="784"/>
      <c r="AU50" s="784"/>
      <c r="AV50" s="784"/>
      <c r="AW50" s="784"/>
      <c r="AX50" s="784"/>
      <c r="AY50" s="784"/>
      <c r="AZ50" s="784"/>
      <c r="BA50" s="784"/>
      <c r="BB50" s="784"/>
      <c r="BF50" s="801"/>
      <c r="BG50" s="801"/>
      <c r="BH50" s="801"/>
      <c r="BI50" s="801"/>
      <c r="BJ50" s="801"/>
      <c r="BK50" s="801"/>
      <c r="BL50" s="801"/>
      <c r="BM50" s="801"/>
      <c r="BN50" s="1919"/>
      <c r="BO50" s="832"/>
      <c r="BP50" s="833"/>
      <c r="BQ50" s="832"/>
      <c r="BR50" s="832"/>
      <c r="BS50" s="832"/>
      <c r="BT50" s="834" t="b">
        <f>IF(BU54=2,1)</f>
        <v>0</v>
      </c>
      <c r="BU50" s="831"/>
      <c r="BV50" s="835" t="b">
        <f>IF(BU54=2,3)</f>
        <v>0</v>
      </c>
      <c r="BW50" s="832"/>
      <c r="BX50" s="832"/>
      <c r="BY50" s="832"/>
      <c r="BZ50" s="832"/>
      <c r="CA50" s="832"/>
      <c r="CB50" s="832"/>
      <c r="CC50" s="832"/>
      <c r="CD50" s="832"/>
      <c r="CE50" s="832"/>
      <c r="CF50" s="832"/>
      <c r="CG50" s="833"/>
      <c r="CH50" s="828"/>
      <c r="CI50" s="828"/>
      <c r="CJ50" s="828"/>
      <c r="CK50" s="828"/>
      <c r="CL50" s="782"/>
    </row>
    <row r="51" spans="2:92" ht="12" customHeight="1" thickBot="1" x14ac:dyDescent="0.45">
      <c r="B51" s="808"/>
      <c r="C51" s="808"/>
      <c r="D51" s="805"/>
      <c r="E51" s="805"/>
      <c r="F51" s="805"/>
      <c r="G51" s="805"/>
      <c r="H51" s="784"/>
      <c r="I51" s="784"/>
      <c r="J51" s="784"/>
      <c r="K51" s="784"/>
      <c r="L51" s="784"/>
      <c r="M51" s="784"/>
      <c r="N51" s="784"/>
      <c r="O51" s="784"/>
      <c r="P51" s="784"/>
      <c r="Q51" s="784"/>
      <c r="R51" s="784"/>
      <c r="S51" s="784"/>
      <c r="T51" s="784"/>
      <c r="U51" s="812"/>
      <c r="V51" s="784"/>
      <c r="W51" s="784"/>
      <c r="X51" s="784"/>
      <c r="Y51" s="784"/>
      <c r="Z51" s="784"/>
      <c r="AA51" s="784"/>
      <c r="AB51" s="812"/>
      <c r="AC51" s="812"/>
      <c r="AD51" s="812"/>
      <c r="AE51" s="812"/>
      <c r="AF51" s="784"/>
      <c r="AG51" s="784"/>
      <c r="AH51" s="784"/>
      <c r="AI51" s="784"/>
      <c r="AJ51" s="784"/>
      <c r="AK51" s="784"/>
      <c r="AL51" s="784"/>
      <c r="AM51" s="784"/>
      <c r="AN51" s="784"/>
      <c r="AO51" s="784"/>
      <c r="AP51" s="784"/>
      <c r="AQ51" s="784"/>
      <c r="AR51" s="784"/>
      <c r="AS51" s="784"/>
      <c r="AT51" s="784"/>
      <c r="AU51" s="784"/>
      <c r="AV51" s="784"/>
      <c r="AW51" s="784"/>
      <c r="AX51" s="784"/>
      <c r="AY51" s="784"/>
      <c r="AZ51" s="784"/>
      <c r="BA51" s="784"/>
      <c r="BB51" s="784"/>
      <c r="BF51" s="801"/>
      <c r="BG51" s="801"/>
      <c r="BH51" s="801"/>
      <c r="BI51" s="801"/>
      <c r="BJ51" s="801"/>
      <c r="BK51" s="801"/>
      <c r="BL51" s="801"/>
      <c r="BM51" s="801"/>
      <c r="BN51" s="1919"/>
      <c r="BO51" s="832"/>
      <c r="BP51" s="833"/>
      <c r="BQ51" s="832"/>
      <c r="BR51" s="832"/>
      <c r="BS51" s="832"/>
      <c r="BT51" s="780"/>
      <c r="BU51" s="832"/>
      <c r="BV51" s="832"/>
      <c r="BW51" s="832"/>
      <c r="BX51" s="832"/>
      <c r="BY51" s="832"/>
      <c r="BZ51" s="832"/>
      <c r="CA51" s="832"/>
      <c r="CB51" s="832"/>
      <c r="CC51" s="832"/>
      <c r="CD51" s="832"/>
      <c r="CE51" s="832"/>
      <c r="CF51" s="832"/>
      <c r="CG51" s="833"/>
      <c r="CH51" s="828"/>
      <c r="CI51" s="828"/>
      <c r="CJ51" s="828"/>
      <c r="CK51" s="828"/>
      <c r="CL51" s="782"/>
    </row>
    <row r="52" spans="2:92" ht="41.25" customHeight="1" thickBot="1" x14ac:dyDescent="0.45">
      <c r="B52" s="808"/>
      <c r="C52" s="808"/>
      <c r="D52" s="805"/>
      <c r="E52" s="805"/>
      <c r="F52" s="805"/>
      <c r="G52" s="805"/>
      <c r="H52" s="784"/>
      <c r="I52" s="784"/>
      <c r="J52" s="784"/>
      <c r="K52" s="784"/>
      <c r="L52" s="784"/>
      <c r="M52" s="784"/>
      <c r="N52" s="784"/>
      <c r="O52" s="784"/>
      <c r="P52" s="784"/>
      <c r="Q52" s="784"/>
      <c r="R52" s="784"/>
      <c r="S52" s="784"/>
      <c r="T52" s="784"/>
      <c r="U52" s="812"/>
      <c r="V52" s="784"/>
      <c r="W52" s="784"/>
      <c r="X52" s="784"/>
      <c r="Y52" s="784"/>
      <c r="Z52" s="784"/>
      <c r="AA52" s="784"/>
      <c r="AB52" s="812"/>
      <c r="AC52" s="812"/>
      <c r="AD52" s="812"/>
      <c r="AE52" s="812"/>
      <c r="AF52" s="784"/>
      <c r="AG52" s="784"/>
      <c r="AH52" s="784"/>
      <c r="AI52" s="784"/>
      <c r="AJ52" s="784"/>
      <c r="AK52" s="784"/>
      <c r="AL52" s="784"/>
      <c r="AM52" s="784"/>
      <c r="AN52" s="784"/>
      <c r="AO52" s="784"/>
      <c r="AP52" s="784"/>
      <c r="AQ52" s="784"/>
      <c r="AR52" s="784"/>
      <c r="AS52" s="784"/>
      <c r="AT52" s="784"/>
      <c r="AU52" s="784"/>
      <c r="AV52" s="784"/>
      <c r="AW52" s="784"/>
      <c r="AX52" s="784"/>
      <c r="AY52" s="784"/>
      <c r="AZ52" s="784"/>
      <c r="BA52" s="784"/>
      <c r="BB52" s="784"/>
      <c r="BF52" s="801"/>
      <c r="BG52" s="801"/>
      <c r="BH52" s="801"/>
      <c r="BI52" s="801"/>
      <c r="BJ52" s="801"/>
      <c r="BK52" s="801"/>
      <c r="BL52" s="801"/>
      <c r="BM52" s="801"/>
      <c r="BN52" s="1916" t="s">
        <v>209</v>
      </c>
      <c r="BO52" s="839"/>
      <c r="BP52" s="840"/>
      <c r="BQ52" s="839"/>
      <c r="BR52" s="839"/>
      <c r="BS52" s="839"/>
      <c r="BT52" s="841">
        <f t="shared" ref="BT52:CG52" si="3">SUM(BT39:BT51)</f>
        <v>1</v>
      </c>
      <c r="BU52" s="826">
        <f t="shared" si="3"/>
        <v>0</v>
      </c>
      <c r="BV52" s="826">
        <f t="shared" si="3"/>
        <v>0</v>
      </c>
      <c r="BW52" s="826">
        <f t="shared" si="3"/>
        <v>0</v>
      </c>
      <c r="BX52" s="826">
        <f t="shared" si="3"/>
        <v>5</v>
      </c>
      <c r="BY52" s="826">
        <f t="shared" si="3"/>
        <v>0</v>
      </c>
      <c r="BZ52" s="826">
        <f t="shared" si="3"/>
        <v>0</v>
      </c>
      <c r="CA52" s="826">
        <f t="shared" si="3"/>
        <v>0</v>
      </c>
      <c r="CB52" s="826">
        <f t="shared" si="3"/>
        <v>0</v>
      </c>
      <c r="CC52" s="826">
        <f t="shared" si="3"/>
        <v>0</v>
      </c>
      <c r="CD52" s="826">
        <f t="shared" si="3"/>
        <v>0</v>
      </c>
      <c r="CE52" s="826">
        <f t="shared" si="3"/>
        <v>0</v>
      </c>
      <c r="CF52" s="826">
        <f t="shared" si="3"/>
        <v>0</v>
      </c>
      <c r="CG52" s="827">
        <f t="shared" si="3"/>
        <v>0</v>
      </c>
      <c r="CH52" s="828"/>
      <c r="CI52" s="828"/>
      <c r="CJ52" s="828"/>
      <c r="CK52" s="828"/>
      <c r="CL52" s="782"/>
    </row>
    <row r="53" spans="2:92" ht="24" customHeight="1" thickTop="1" thickBot="1" x14ac:dyDescent="0.45">
      <c r="B53" s="1489" t="s">
        <v>190</v>
      </c>
      <c r="C53" s="1357"/>
      <c r="D53" s="1368"/>
      <c r="E53" s="1489" t="s">
        <v>191</v>
      </c>
      <c r="F53" s="805"/>
      <c r="G53" s="805"/>
      <c r="H53" s="784"/>
      <c r="I53" s="784"/>
      <c r="J53" s="784"/>
      <c r="K53" s="784"/>
      <c r="L53" s="784"/>
      <c r="M53" s="784"/>
      <c r="N53" s="784"/>
      <c r="O53" s="784"/>
      <c r="P53" s="784"/>
      <c r="Q53" s="784"/>
      <c r="R53" s="784"/>
      <c r="S53" s="784"/>
      <c r="T53" s="784"/>
      <c r="U53" s="812"/>
      <c r="V53" s="784"/>
      <c r="W53" s="784"/>
      <c r="X53" s="784"/>
      <c r="Y53" s="784"/>
      <c r="Z53" s="784"/>
      <c r="AA53" s="784"/>
      <c r="AB53" s="812"/>
      <c r="AC53" s="812"/>
      <c r="AD53" s="812"/>
      <c r="AE53" s="812"/>
      <c r="AF53" s="784"/>
      <c r="AG53" s="784"/>
      <c r="AH53" s="784"/>
      <c r="AI53" s="784"/>
      <c r="AJ53" s="784"/>
      <c r="AK53" s="784"/>
      <c r="AL53" s="784"/>
      <c r="AM53" s="784"/>
      <c r="AN53" s="784"/>
      <c r="AO53" s="784"/>
      <c r="AP53" s="784"/>
      <c r="AQ53" s="784"/>
      <c r="AR53" s="784"/>
      <c r="AS53" s="784"/>
      <c r="AT53" s="784"/>
      <c r="AU53" s="784"/>
      <c r="AV53" s="784"/>
      <c r="AW53" s="784"/>
      <c r="AX53" s="784"/>
      <c r="AY53" s="784"/>
      <c r="AZ53" s="784"/>
      <c r="BA53" s="784"/>
      <c r="BB53" s="784"/>
      <c r="BF53" s="801"/>
      <c r="BG53" s="801"/>
      <c r="BH53" s="801"/>
      <c r="BI53" s="801"/>
      <c r="BJ53" s="801"/>
      <c r="BK53" s="801"/>
      <c r="BL53" s="801"/>
      <c r="BM53" s="801"/>
      <c r="BN53" s="1920"/>
      <c r="BO53" s="828"/>
      <c r="BP53" s="829"/>
      <c r="BQ53" s="828"/>
      <c r="BR53" s="828"/>
      <c r="BS53" s="828"/>
      <c r="BT53" s="829"/>
      <c r="BU53" s="828"/>
      <c r="BV53" s="828"/>
      <c r="BW53" s="828"/>
      <c r="BX53" s="828"/>
      <c r="BY53" s="828"/>
      <c r="BZ53" s="828"/>
      <c r="CA53" s="828"/>
      <c r="CB53" s="828"/>
      <c r="CC53" s="828"/>
      <c r="CD53" s="828"/>
      <c r="CE53" s="828"/>
      <c r="CF53" s="828"/>
      <c r="CG53" s="828"/>
      <c r="CH53" s="828"/>
      <c r="CI53" s="828"/>
      <c r="CJ53" s="828"/>
      <c r="CK53" s="828"/>
      <c r="CL53" s="782"/>
    </row>
    <row r="54" spans="2:92" ht="22.2" hidden="1" thickTop="1" thickBot="1" x14ac:dyDescent="0.45">
      <c r="B54" s="1490"/>
      <c r="C54" s="1490"/>
      <c r="D54" s="973"/>
      <c r="E54" s="1491"/>
      <c r="F54" s="805"/>
      <c r="G54" s="805"/>
      <c r="H54" s="784"/>
      <c r="I54" s="784"/>
      <c r="J54" s="784"/>
      <c r="K54" s="784"/>
      <c r="L54" s="784"/>
      <c r="M54" s="784"/>
      <c r="N54" s="784"/>
      <c r="O54" s="784"/>
      <c r="P54" s="784"/>
      <c r="Q54" s="784"/>
      <c r="R54" s="784"/>
      <c r="S54" s="784"/>
      <c r="T54" s="784"/>
      <c r="U54" s="812"/>
      <c r="V54" s="784"/>
      <c r="W54" s="784"/>
      <c r="X54" s="784"/>
      <c r="Y54" s="784"/>
      <c r="Z54" s="784"/>
      <c r="AA54" s="784"/>
      <c r="AB54" s="812"/>
      <c r="AC54" s="812"/>
      <c r="AD54" s="812"/>
      <c r="AE54" s="812"/>
      <c r="AF54" s="784"/>
      <c r="AG54" s="784"/>
      <c r="AH54" s="784"/>
      <c r="AI54" s="784"/>
      <c r="AJ54" s="784"/>
      <c r="AK54" s="784"/>
      <c r="AL54" s="784"/>
      <c r="AM54" s="784"/>
      <c r="AN54" s="784"/>
      <c r="AO54" s="784"/>
      <c r="AP54" s="784"/>
      <c r="AQ54" s="784"/>
      <c r="AR54" s="784"/>
      <c r="AS54" s="784"/>
      <c r="AT54" s="784"/>
      <c r="AU54" s="784"/>
      <c r="AV54" s="784"/>
      <c r="AW54" s="784"/>
      <c r="AX54" s="784"/>
      <c r="AY54" s="784"/>
      <c r="AZ54" s="784"/>
      <c r="BA54" s="784"/>
      <c r="BB54" s="784"/>
      <c r="BF54" s="801"/>
      <c r="BG54" s="801"/>
      <c r="BH54" s="801"/>
      <c r="BI54" s="801"/>
      <c r="BJ54" s="801"/>
      <c r="BK54" s="801"/>
      <c r="BL54" s="801"/>
      <c r="BM54" s="801"/>
      <c r="BN54" s="1914"/>
      <c r="BO54" s="844" t="b">
        <f>+BI83</f>
        <v>0</v>
      </c>
      <c r="BP54" s="844" t="b">
        <f>+BI84</f>
        <v>0</v>
      </c>
      <c r="BQ54" s="844" t="b">
        <f>+BI85</f>
        <v>0</v>
      </c>
      <c r="BR54" s="844" t="b">
        <f>+BI86</f>
        <v>0</v>
      </c>
      <c r="BS54" s="844" t="b">
        <f>+BI87</f>
        <v>0</v>
      </c>
      <c r="BT54" s="844" t="b">
        <f>+BI88</f>
        <v>0</v>
      </c>
      <c r="BU54" s="844" t="b">
        <f>+BI89</f>
        <v>0</v>
      </c>
      <c r="BV54" s="844">
        <f>+BI90</f>
        <v>3</v>
      </c>
      <c r="BW54" s="844" t="b">
        <f>+BI91</f>
        <v>0</v>
      </c>
      <c r="BX54" s="844" t="b">
        <f>+BI92</f>
        <v>0</v>
      </c>
      <c r="BY54" s="844" t="b">
        <f>+BI93</f>
        <v>0</v>
      </c>
      <c r="BZ54" s="844" t="b">
        <f>+BI94</f>
        <v>0</v>
      </c>
      <c r="CA54" s="844" t="b">
        <f>+BI95</f>
        <v>0</v>
      </c>
      <c r="CB54" s="844" t="b">
        <f>+BI96</f>
        <v>0</v>
      </c>
      <c r="CC54" s="844" t="b">
        <f>+BI97</f>
        <v>0</v>
      </c>
      <c r="CD54" s="844" t="b">
        <f>+BI98</f>
        <v>0</v>
      </c>
      <c r="CE54" s="844" t="b">
        <f>+BI99</f>
        <v>0</v>
      </c>
      <c r="CF54" s="844" t="b">
        <f>+BI100</f>
        <v>0</v>
      </c>
      <c r="CG54" s="844" t="b">
        <f>+BI101</f>
        <v>0</v>
      </c>
      <c r="CH54" s="844" t="b">
        <f>+BI102</f>
        <v>0</v>
      </c>
      <c r="CI54" s="844" t="b">
        <f>+BI103</f>
        <v>0</v>
      </c>
      <c r="CJ54" s="844" t="b">
        <f>+BI104</f>
        <v>0</v>
      </c>
      <c r="CK54" s="844" t="b">
        <f>+BI105</f>
        <v>0</v>
      </c>
      <c r="CL54" s="844" t="b">
        <f>+BI106</f>
        <v>0</v>
      </c>
    </row>
    <row r="55" spans="2:92" ht="21.6" hidden="1" thickTop="1" thickBot="1" x14ac:dyDescent="0.4">
      <c r="B55" s="1490"/>
      <c r="C55" s="1490"/>
      <c r="D55" s="973"/>
      <c r="E55" s="1491"/>
      <c r="F55" s="805"/>
      <c r="G55" s="805"/>
      <c r="H55" s="784"/>
      <c r="I55" s="784"/>
      <c r="J55" s="784"/>
      <c r="K55" s="784"/>
      <c r="L55" s="784"/>
      <c r="M55" s="784"/>
      <c r="N55" s="784"/>
      <c r="O55" s="784"/>
      <c r="P55" s="784"/>
      <c r="Q55" s="784"/>
      <c r="R55" s="784"/>
      <c r="S55" s="784"/>
      <c r="T55" s="784"/>
      <c r="U55" s="812"/>
      <c r="V55" s="784"/>
      <c r="W55" s="784"/>
      <c r="X55" s="784"/>
      <c r="Y55" s="784"/>
      <c r="Z55" s="784"/>
      <c r="AA55" s="784"/>
      <c r="AB55" s="812"/>
      <c r="AC55" s="812"/>
      <c r="AD55" s="812"/>
      <c r="AE55" s="812"/>
      <c r="AF55" s="784"/>
      <c r="AG55" s="784"/>
      <c r="AH55" s="784"/>
      <c r="AI55" s="784"/>
      <c r="AJ55" s="784"/>
      <c r="AK55" s="784"/>
      <c r="AL55" s="784"/>
      <c r="AM55" s="784"/>
      <c r="AN55" s="784"/>
      <c r="AO55" s="784"/>
      <c r="AP55" s="784"/>
      <c r="AQ55" s="784"/>
      <c r="AR55" s="784"/>
      <c r="AS55" s="784"/>
      <c r="AT55" s="784"/>
      <c r="AU55" s="784"/>
      <c r="AV55" s="784"/>
      <c r="AW55" s="784"/>
      <c r="AX55" s="784"/>
      <c r="AY55" s="784"/>
      <c r="AZ55" s="784"/>
      <c r="BA55" s="784"/>
      <c r="BB55" s="784"/>
      <c r="BF55" s="801"/>
      <c r="BG55" s="801"/>
      <c r="BH55" s="801"/>
      <c r="BI55" s="801"/>
      <c r="BJ55" s="801"/>
      <c r="BK55" s="801"/>
      <c r="BL55" s="801"/>
      <c r="BM55" s="801"/>
      <c r="BN55" s="1921" t="s">
        <v>27</v>
      </c>
      <c r="BO55" s="844" t="b">
        <f t="shared" ref="BO55:CL56" si="4">+BO54</f>
        <v>0</v>
      </c>
      <c r="BP55" s="844" t="b">
        <f t="shared" si="4"/>
        <v>0</v>
      </c>
      <c r="BQ55" s="844" t="b">
        <f t="shared" si="4"/>
        <v>0</v>
      </c>
      <c r="BR55" s="844" t="b">
        <f t="shared" si="4"/>
        <v>0</v>
      </c>
      <c r="BS55" s="844" t="b">
        <f t="shared" si="4"/>
        <v>0</v>
      </c>
      <c r="BT55" s="844" t="b">
        <f t="shared" si="4"/>
        <v>0</v>
      </c>
      <c r="BU55" s="844" t="b">
        <f t="shared" si="4"/>
        <v>0</v>
      </c>
      <c r="BV55" s="844">
        <f t="shared" si="4"/>
        <v>3</v>
      </c>
      <c r="BW55" s="844" t="b">
        <f t="shared" si="4"/>
        <v>0</v>
      </c>
      <c r="BX55" s="844" t="b">
        <f t="shared" si="4"/>
        <v>0</v>
      </c>
      <c r="BY55" s="844" t="b">
        <f t="shared" si="4"/>
        <v>0</v>
      </c>
      <c r="BZ55" s="844" t="b">
        <f t="shared" si="4"/>
        <v>0</v>
      </c>
      <c r="CA55" s="844" t="b">
        <f t="shared" si="4"/>
        <v>0</v>
      </c>
      <c r="CB55" s="844" t="b">
        <f t="shared" si="4"/>
        <v>0</v>
      </c>
      <c r="CC55" s="844" t="b">
        <f t="shared" si="4"/>
        <v>0</v>
      </c>
      <c r="CD55" s="844" t="b">
        <f t="shared" si="4"/>
        <v>0</v>
      </c>
      <c r="CE55" s="844" t="b">
        <f t="shared" si="4"/>
        <v>0</v>
      </c>
      <c r="CF55" s="844" t="b">
        <f t="shared" si="4"/>
        <v>0</v>
      </c>
      <c r="CG55" s="844" t="b">
        <f t="shared" si="4"/>
        <v>0</v>
      </c>
      <c r="CH55" s="844" t="b">
        <f t="shared" si="4"/>
        <v>0</v>
      </c>
      <c r="CI55" s="844" t="b">
        <f t="shared" si="4"/>
        <v>0</v>
      </c>
      <c r="CJ55" s="844" t="b">
        <f t="shared" si="4"/>
        <v>0</v>
      </c>
      <c r="CK55" s="844" t="b">
        <f t="shared" si="4"/>
        <v>0</v>
      </c>
      <c r="CL55" s="844" t="b">
        <f t="shared" si="4"/>
        <v>0</v>
      </c>
    </row>
    <row r="56" spans="2:92" ht="29.25" customHeight="1" thickTop="1" thickBot="1" x14ac:dyDescent="0.45">
      <c r="B56" s="1361" t="str">
        <f>IF(D26=TRUE,"O K ","OVERLOAD")</f>
        <v xml:space="preserve">O K </v>
      </c>
      <c r="C56" s="1492"/>
      <c r="D56" s="1496"/>
      <c r="E56" s="1361" t="str">
        <f>IF(D57=TRUE,"O K ","OVERLOAD")</f>
        <v xml:space="preserve">O K </v>
      </c>
      <c r="F56" s="805"/>
      <c r="G56" s="805"/>
      <c r="H56" s="784"/>
      <c r="I56" s="784"/>
      <c r="J56" s="784"/>
      <c r="K56" s="784"/>
      <c r="L56" s="784"/>
      <c r="M56" s="784"/>
      <c r="N56" s="784"/>
      <c r="O56" s="784"/>
      <c r="P56" s="784"/>
      <c r="Q56" s="784"/>
      <c r="R56" s="784"/>
      <c r="S56" s="784"/>
      <c r="T56" s="784"/>
      <c r="U56" s="812"/>
      <c r="V56" s="784"/>
      <c r="W56" s="784"/>
      <c r="X56" s="784"/>
      <c r="Y56" s="784"/>
      <c r="Z56" s="784"/>
      <c r="AA56" s="784"/>
      <c r="AB56" s="812"/>
      <c r="AC56" s="812"/>
      <c r="AD56" s="812"/>
      <c r="AE56" s="812"/>
      <c r="AF56" s="784"/>
      <c r="AG56" s="784"/>
      <c r="AH56" s="784"/>
      <c r="AI56" s="784"/>
      <c r="AJ56" s="784"/>
      <c r="AK56" s="784"/>
      <c r="AL56" s="784"/>
      <c r="AM56" s="784"/>
      <c r="AN56" s="784"/>
      <c r="AO56" s="784"/>
      <c r="AP56" s="784"/>
      <c r="AQ56" s="784"/>
      <c r="AR56" s="784"/>
      <c r="AS56" s="784"/>
      <c r="AT56" s="784"/>
      <c r="AU56" s="784"/>
      <c r="AV56" s="784"/>
      <c r="AW56" s="784"/>
      <c r="AX56" s="784"/>
      <c r="AY56" s="784"/>
      <c r="AZ56" s="784"/>
      <c r="BA56" s="784"/>
      <c r="BB56" s="784"/>
      <c r="BF56" s="801"/>
      <c r="BG56" s="801"/>
      <c r="BH56" s="801"/>
      <c r="BI56" s="801"/>
      <c r="BJ56" s="801"/>
      <c r="BK56" s="801"/>
      <c r="BL56" s="801"/>
      <c r="BM56" s="801"/>
      <c r="BN56" s="1922" t="s">
        <v>27</v>
      </c>
      <c r="BO56" s="845" t="str">
        <f>IF(BO55=-5,"A ","")</f>
        <v/>
      </c>
      <c r="BP56" s="845" t="str">
        <f>IF(BP55=-4,"B ","")</f>
        <v/>
      </c>
      <c r="BQ56" s="845" t="str">
        <f>IF(BQ55=-3,"C ","")</f>
        <v/>
      </c>
      <c r="BR56" s="845" t="str">
        <f>IF(BR55=-2,"D ","")</f>
        <v/>
      </c>
      <c r="BS56" s="845" t="str">
        <f>IF(BS55=-1,"E ","")</f>
        <v/>
      </c>
      <c r="BT56" s="846" t="b">
        <f t="shared" si="4"/>
        <v>0</v>
      </c>
      <c r="BU56" s="846" t="b">
        <f t="shared" si="4"/>
        <v>0</v>
      </c>
      <c r="BV56" s="846">
        <f t="shared" si="4"/>
        <v>3</v>
      </c>
      <c r="BW56" s="846" t="b">
        <f t="shared" si="4"/>
        <v>0</v>
      </c>
      <c r="BX56" s="846" t="b">
        <f t="shared" si="4"/>
        <v>0</v>
      </c>
      <c r="BY56" s="846" t="b">
        <f t="shared" si="4"/>
        <v>0</v>
      </c>
      <c r="BZ56" s="845" t="str">
        <f>IF(BZ55=61,"B ","")</f>
        <v/>
      </c>
      <c r="CA56" s="845" t="str">
        <f>IF(CA55=62,"C ","")</f>
        <v/>
      </c>
      <c r="CB56" s="845" t="str">
        <f>IF(CB55=63,"D ","")</f>
        <v/>
      </c>
      <c r="CC56" s="846" t="b">
        <f>+CC55</f>
        <v>0</v>
      </c>
      <c r="CD56" s="846" t="b">
        <f>+CD55</f>
        <v>0</v>
      </c>
      <c r="CE56" s="846" t="b">
        <f>+CE55</f>
        <v>0</v>
      </c>
      <c r="CF56" s="846" t="b">
        <f>+CF55</f>
        <v>0</v>
      </c>
      <c r="CG56" s="846" t="b">
        <f>+CG55</f>
        <v>0</v>
      </c>
      <c r="CH56" s="845" t="str">
        <f>IF(CH55=-2,"E ","")</f>
        <v/>
      </c>
      <c r="CI56" s="845" t="str">
        <f>IF(CI55=-3,"D ","")</f>
        <v/>
      </c>
      <c r="CJ56" s="845" t="str">
        <f>IF(CJ55=-4,"C ","")</f>
        <v/>
      </c>
      <c r="CK56" s="845" t="str">
        <f>IF(CK55=-5,"B ","")</f>
        <v/>
      </c>
      <c r="CL56" s="847" t="str">
        <f>IF(CL55=-6,"A ","")</f>
        <v/>
      </c>
    </row>
    <row r="57" spans="2:92" ht="19.2" hidden="1" thickTop="1" thickBot="1" x14ac:dyDescent="0.4">
      <c r="B57" s="1490"/>
      <c r="C57" s="1490"/>
      <c r="D57" s="1493" t="b">
        <f>AND(B61&gt;=5,D61&gt;=5,E61&gt;=5,AZ83&gt;=5,BA83&gt;=5,AZ118&gt;=5,BA118&gt;=5)</f>
        <v>1</v>
      </c>
      <c r="E57" s="1491"/>
      <c r="F57" s="805"/>
      <c r="G57" s="805"/>
      <c r="H57" s="784"/>
      <c r="I57" s="784"/>
      <c r="J57" s="784"/>
      <c r="K57" s="784"/>
      <c r="L57" s="784"/>
      <c r="M57" s="784"/>
      <c r="N57" s="784"/>
      <c r="O57" s="784"/>
      <c r="P57" s="784"/>
      <c r="Q57" s="784"/>
      <c r="R57" s="784"/>
      <c r="S57" s="784"/>
      <c r="T57" s="784"/>
      <c r="U57" s="812"/>
      <c r="V57" s="784"/>
      <c r="W57" s="784"/>
      <c r="X57" s="784"/>
      <c r="Y57" s="784"/>
      <c r="Z57" s="784"/>
      <c r="AA57" s="784"/>
      <c r="AB57" s="812"/>
      <c r="AC57" s="812"/>
      <c r="AD57" s="812"/>
      <c r="AE57" s="812"/>
      <c r="AF57" s="784"/>
      <c r="AG57" s="784"/>
      <c r="AH57" s="784"/>
      <c r="AI57" s="784"/>
      <c r="AJ57" s="784"/>
      <c r="AK57" s="784"/>
      <c r="AL57" s="784"/>
      <c r="AM57" s="784"/>
      <c r="AN57" s="784"/>
      <c r="AO57" s="784"/>
      <c r="AP57" s="784"/>
      <c r="AQ57" s="784"/>
      <c r="AR57" s="784"/>
      <c r="AS57" s="784"/>
      <c r="AT57" s="784"/>
      <c r="AU57" s="784"/>
      <c r="AV57" s="784"/>
      <c r="AW57" s="784"/>
      <c r="AX57" s="784"/>
      <c r="AY57" s="784"/>
      <c r="AZ57" s="784"/>
      <c r="BA57" s="784"/>
      <c r="BB57" s="784"/>
      <c r="BF57" s="801"/>
      <c r="BG57" s="801"/>
      <c r="BH57" s="801"/>
      <c r="BI57" s="801"/>
      <c r="BJ57" s="801"/>
      <c r="BK57" s="801"/>
      <c r="BL57" s="801"/>
      <c r="BM57" s="801"/>
      <c r="BO57" s="848">
        <v>-5</v>
      </c>
      <c r="BP57" s="848">
        <v>-4</v>
      </c>
      <c r="BQ57" s="848">
        <v>-3</v>
      </c>
      <c r="BR57" s="848">
        <v>-2</v>
      </c>
      <c r="BS57" s="848">
        <v>-1</v>
      </c>
      <c r="BT57" s="848">
        <v>1</v>
      </c>
      <c r="BU57" s="801">
        <v>2</v>
      </c>
      <c r="BV57" s="801">
        <v>3</v>
      </c>
      <c r="BW57" s="801">
        <v>4</v>
      </c>
      <c r="BX57" s="801">
        <v>5</v>
      </c>
      <c r="BY57" s="801">
        <v>6</v>
      </c>
      <c r="BZ57" s="848">
        <v>61</v>
      </c>
      <c r="CA57" s="848">
        <v>62</v>
      </c>
      <c r="CB57" s="848">
        <v>63</v>
      </c>
      <c r="CC57" s="801">
        <v>7</v>
      </c>
      <c r="CD57" s="801">
        <v>8</v>
      </c>
      <c r="CE57" s="801">
        <v>9</v>
      </c>
      <c r="CF57" s="801">
        <v>10</v>
      </c>
      <c r="CG57" s="801">
        <v>-1</v>
      </c>
      <c r="CH57" s="801">
        <v>-2</v>
      </c>
      <c r="CI57" s="801">
        <v>-3</v>
      </c>
      <c r="CJ57" s="801">
        <v>-4</v>
      </c>
      <c r="CK57" s="801">
        <v>-5</v>
      </c>
      <c r="CL57" s="801">
        <v>-6</v>
      </c>
    </row>
    <row r="58" spans="2:92" ht="19.2" hidden="1" thickTop="1" thickBot="1" x14ac:dyDescent="0.4">
      <c r="B58" s="1490"/>
      <c r="C58" s="1490"/>
      <c r="D58" s="1493"/>
      <c r="E58" s="1491"/>
      <c r="F58" s="805"/>
      <c r="G58" s="805"/>
      <c r="H58" s="784"/>
      <c r="I58" s="784"/>
      <c r="J58" s="784"/>
      <c r="K58" s="784"/>
      <c r="L58" s="784"/>
      <c r="M58" s="784"/>
      <c r="N58" s="784"/>
      <c r="O58" s="784"/>
      <c r="P58" s="784"/>
      <c r="Q58" s="784"/>
      <c r="R58" s="784"/>
      <c r="S58" s="784"/>
      <c r="T58" s="784"/>
      <c r="U58" s="812"/>
      <c r="V58" s="784"/>
      <c r="W58" s="784"/>
      <c r="X58" s="784"/>
      <c r="Y58" s="784"/>
      <c r="Z58" s="784"/>
      <c r="AA58" s="784"/>
      <c r="AB58" s="812"/>
      <c r="AC58" s="812"/>
      <c r="AD58" s="812"/>
      <c r="AE58" s="812"/>
      <c r="AF58" s="784"/>
      <c r="AG58" s="784"/>
      <c r="AH58" s="784"/>
      <c r="AI58" s="784"/>
      <c r="AJ58" s="784"/>
      <c r="AK58" s="784"/>
      <c r="AL58" s="784"/>
      <c r="AM58" s="784"/>
      <c r="AN58" s="784"/>
      <c r="AO58" s="784"/>
      <c r="AP58" s="784"/>
      <c r="AQ58" s="784"/>
      <c r="AR58" s="784"/>
      <c r="AS58" s="784"/>
      <c r="AT58" s="784"/>
      <c r="AU58" s="784"/>
      <c r="AV58" s="784"/>
      <c r="AW58" s="784"/>
      <c r="AX58" s="784"/>
      <c r="AY58" s="784"/>
      <c r="AZ58" s="784"/>
      <c r="BA58" s="784"/>
      <c r="BB58" s="784"/>
      <c r="BF58" s="801"/>
      <c r="BG58" s="801"/>
      <c r="BH58" s="801"/>
      <c r="BI58" s="801"/>
      <c r="BJ58" s="801"/>
      <c r="BK58" s="801"/>
      <c r="BL58" s="801"/>
      <c r="BM58" s="801"/>
      <c r="BO58" s="848" t="s">
        <v>33</v>
      </c>
      <c r="BP58" s="848" t="s">
        <v>34</v>
      </c>
      <c r="BQ58" s="848" t="s">
        <v>35</v>
      </c>
      <c r="BR58" s="848" t="s">
        <v>36</v>
      </c>
      <c r="BS58" s="848" t="s">
        <v>37</v>
      </c>
      <c r="BT58" s="848">
        <v>1</v>
      </c>
      <c r="BU58" s="848">
        <v>2</v>
      </c>
      <c r="BV58" s="848">
        <v>3</v>
      </c>
      <c r="BW58" s="848">
        <v>4</v>
      </c>
      <c r="BX58" s="848">
        <v>5</v>
      </c>
      <c r="BY58" s="848">
        <v>6</v>
      </c>
      <c r="BZ58" s="848" t="s">
        <v>34</v>
      </c>
      <c r="CA58" s="848" t="s">
        <v>35</v>
      </c>
      <c r="CB58" s="848" t="s">
        <v>36</v>
      </c>
      <c r="CC58" s="848">
        <v>7</v>
      </c>
      <c r="CD58" s="848">
        <v>8</v>
      </c>
      <c r="CE58" s="848">
        <v>9</v>
      </c>
      <c r="CF58" s="848">
        <v>10</v>
      </c>
      <c r="CG58" s="848">
        <v>11</v>
      </c>
      <c r="CH58" s="848" t="s">
        <v>37</v>
      </c>
      <c r="CI58" s="848" t="s">
        <v>36</v>
      </c>
      <c r="CJ58" s="848" t="s">
        <v>35</v>
      </c>
      <c r="CK58" s="848" t="s">
        <v>34</v>
      </c>
      <c r="CL58" s="848" t="s">
        <v>33</v>
      </c>
    </row>
    <row r="59" spans="2:92" ht="29.25" customHeight="1" thickTop="1" thickBot="1" x14ac:dyDescent="0.4">
      <c r="B59" s="2128" t="s">
        <v>192</v>
      </c>
      <c r="C59" s="2128"/>
      <c r="D59" s="2128"/>
      <c r="E59" s="2128"/>
      <c r="F59" s="805"/>
      <c r="G59" s="805"/>
      <c r="H59" s="784"/>
      <c r="I59" s="784"/>
      <c r="J59" s="784"/>
      <c r="K59" s="784"/>
      <c r="L59" s="784"/>
      <c r="M59" s="784"/>
      <c r="N59" s="784"/>
      <c r="O59" s="784"/>
      <c r="P59" s="784"/>
      <c r="Q59" s="784"/>
      <c r="R59" s="784"/>
      <c r="S59" s="784"/>
      <c r="T59" s="784"/>
      <c r="U59" s="812"/>
      <c r="V59" s="784"/>
      <c r="W59" s="784"/>
      <c r="X59" s="784"/>
      <c r="Y59" s="784"/>
      <c r="Z59" s="784"/>
      <c r="AA59" s="784"/>
      <c r="AB59" s="812"/>
      <c r="AC59" s="812"/>
      <c r="AD59" s="812"/>
      <c r="AE59" s="812"/>
      <c r="AF59" s="784"/>
      <c r="AG59" s="784"/>
      <c r="AH59" s="784"/>
      <c r="AI59" s="784"/>
      <c r="AJ59" s="784"/>
      <c r="AK59" s="784"/>
      <c r="AL59" s="784"/>
      <c r="AM59" s="784"/>
      <c r="AN59" s="784"/>
      <c r="AO59" s="784"/>
      <c r="AP59" s="784"/>
      <c r="AQ59" s="784"/>
      <c r="AR59" s="784"/>
      <c r="AS59" s="784"/>
      <c r="AT59" s="784"/>
      <c r="AU59" s="784"/>
      <c r="AV59" s="784"/>
      <c r="AW59" s="784"/>
      <c r="AX59" s="784"/>
      <c r="AY59" s="784"/>
      <c r="AZ59" s="784"/>
      <c r="BA59" s="784"/>
      <c r="BB59" s="784"/>
      <c r="BF59" s="801"/>
      <c r="BG59" s="801"/>
      <c r="BH59" s="801"/>
      <c r="BI59" s="801"/>
      <c r="BJ59" s="801"/>
      <c r="BK59" s="801"/>
      <c r="BL59" s="801"/>
      <c r="BM59" s="801"/>
    </row>
    <row r="60" spans="2:92" ht="29.25" customHeight="1" thickTop="1" thickBot="1" x14ac:dyDescent="0.4">
      <c r="B60" s="1494" t="s">
        <v>170</v>
      </c>
      <c r="C60" s="1490"/>
      <c r="D60" s="1494" t="s">
        <v>193</v>
      </c>
      <c r="E60" s="1494" t="s">
        <v>168</v>
      </c>
      <c r="F60" s="805"/>
      <c r="G60" s="805"/>
      <c r="H60" s="784"/>
      <c r="I60" s="784"/>
      <c r="J60" s="784"/>
      <c r="K60" s="784"/>
      <c r="L60" s="784"/>
      <c r="M60" s="784"/>
      <c r="N60" s="784"/>
      <c r="O60" s="784"/>
      <c r="P60" s="784"/>
      <c r="Q60" s="784"/>
      <c r="R60" s="784"/>
      <c r="S60" s="784"/>
      <c r="T60" s="784"/>
      <c r="U60" s="812"/>
      <c r="V60" s="784"/>
      <c r="W60" s="784"/>
      <c r="X60" s="784"/>
      <c r="Y60" s="784"/>
      <c r="Z60" s="784"/>
      <c r="AA60" s="784"/>
      <c r="AB60" s="812"/>
      <c r="AC60" s="812"/>
      <c r="AD60" s="812"/>
      <c r="AE60" s="812"/>
      <c r="AF60" s="784"/>
      <c r="AG60" s="784"/>
      <c r="AH60" s="784"/>
      <c r="AI60" s="784"/>
      <c r="AJ60" s="784"/>
      <c r="AK60" s="784"/>
      <c r="AL60" s="784"/>
      <c r="AM60" s="784"/>
      <c r="AN60" s="784"/>
      <c r="AO60" s="784"/>
      <c r="AP60" s="784"/>
      <c r="AQ60" s="784"/>
      <c r="AR60" s="784"/>
      <c r="AS60" s="784"/>
      <c r="AT60" s="784"/>
      <c r="AU60" s="784"/>
      <c r="AV60" s="784"/>
      <c r="AW60" s="784"/>
      <c r="AX60" s="784"/>
      <c r="AY60" s="784"/>
      <c r="AZ60" s="784"/>
      <c r="BA60" s="784"/>
      <c r="BB60" s="784"/>
      <c r="BF60" s="801"/>
      <c r="BG60" s="801"/>
      <c r="BH60" s="801"/>
      <c r="BI60" s="801"/>
      <c r="BJ60" s="801"/>
      <c r="BK60" s="801"/>
      <c r="BL60" s="801"/>
      <c r="BM60" s="801"/>
      <c r="BN60" s="811"/>
      <c r="BO60" s="811"/>
      <c r="BP60" s="811"/>
      <c r="BQ60" s="811"/>
      <c r="BR60" s="811"/>
      <c r="BS60" s="811"/>
      <c r="BT60" s="849"/>
      <c r="BU60" s="849"/>
      <c r="BV60" s="849"/>
      <c r="BW60" s="849"/>
      <c r="BX60" s="849"/>
      <c r="BY60" s="849"/>
      <c r="BZ60" s="849"/>
      <c r="CA60" s="849"/>
      <c r="CB60" s="849"/>
      <c r="CC60" s="849"/>
      <c r="CD60" s="849"/>
      <c r="CE60" s="849"/>
      <c r="CF60" s="849"/>
      <c r="CG60" s="849"/>
      <c r="CH60" s="850"/>
    </row>
    <row r="61" spans="2:92" ht="29.25" customHeight="1" thickTop="1" thickBot="1" x14ac:dyDescent="0.4">
      <c r="B61" s="1495">
        <f>ABS(B50)</f>
        <v>36.532320954069057</v>
      </c>
      <c r="C61" s="1492"/>
      <c r="D61" s="1495">
        <f>+IF(B50&lt;&gt;TRUE,ABS(D50))</f>
        <v>162.66652850127014</v>
      </c>
      <c r="E61" s="1495">
        <f>+IF(AND(D50&lt;&gt;TRUE,B50&lt;&gt;TRUE),E50)</f>
        <v>60.909690177982867</v>
      </c>
      <c r="F61" s="805"/>
      <c r="G61" s="805"/>
      <c r="H61" s="784"/>
      <c r="I61" s="784"/>
      <c r="J61" s="784"/>
      <c r="K61" s="784"/>
      <c r="L61" s="784"/>
      <c r="M61" s="784"/>
      <c r="N61" s="784"/>
      <c r="O61" s="784"/>
      <c r="P61" s="784"/>
      <c r="Q61" s="784"/>
      <c r="R61" s="784"/>
      <c r="S61" s="784"/>
      <c r="T61" s="784"/>
      <c r="U61" s="812"/>
      <c r="V61" s="784"/>
      <c r="W61" s="784"/>
      <c r="X61" s="784"/>
      <c r="Y61" s="784"/>
      <c r="Z61" s="784"/>
      <c r="AA61" s="784"/>
      <c r="AB61" s="812"/>
      <c r="AC61" s="812"/>
      <c r="AD61" s="812"/>
      <c r="AE61" s="812"/>
      <c r="AF61" s="784"/>
      <c r="AG61" s="784"/>
      <c r="AH61" s="784"/>
      <c r="AI61" s="784"/>
      <c r="AJ61" s="784"/>
      <c r="AK61" s="784"/>
      <c r="AL61" s="784"/>
      <c r="AM61" s="784"/>
      <c r="AN61" s="784"/>
      <c r="AO61" s="784"/>
      <c r="AP61" s="784"/>
      <c r="AQ61" s="784"/>
      <c r="AR61" s="784"/>
      <c r="AS61" s="784"/>
      <c r="AT61" s="784"/>
      <c r="AU61" s="784"/>
      <c r="AV61" s="784"/>
      <c r="AW61" s="784"/>
      <c r="AX61" s="784"/>
      <c r="AY61" s="784"/>
      <c r="AZ61" s="784"/>
      <c r="BA61" s="784"/>
      <c r="BB61" s="784"/>
      <c r="BF61" s="801"/>
      <c r="BG61" s="801"/>
      <c r="BH61" s="801"/>
      <c r="BI61" s="801"/>
      <c r="BJ61" s="801"/>
      <c r="BK61" s="801"/>
      <c r="BL61" s="801"/>
      <c r="BM61" s="801"/>
      <c r="BN61" s="811"/>
      <c r="BO61" s="811"/>
      <c r="BP61" s="811"/>
      <c r="BQ61" s="811"/>
      <c r="BR61" s="811"/>
      <c r="BS61" s="811"/>
      <c r="BT61" s="849"/>
      <c r="BU61" s="849"/>
      <c r="BV61" s="849"/>
      <c r="BW61" s="849"/>
      <c r="BX61" s="849"/>
      <c r="BY61" s="849"/>
      <c r="BZ61" s="849"/>
      <c r="CA61" s="849"/>
      <c r="CB61" s="849"/>
      <c r="CC61" s="849"/>
      <c r="CD61" s="849"/>
      <c r="CE61" s="849"/>
      <c r="CF61" s="849"/>
      <c r="CG61" s="849"/>
      <c r="CH61" s="850"/>
    </row>
    <row r="62" spans="2:92" ht="18" hidden="1" thickTop="1" x14ac:dyDescent="0.3">
      <c r="B62" s="851"/>
      <c r="C62" s="851"/>
      <c r="D62" s="852"/>
      <c r="E62" s="852"/>
      <c r="F62" s="852"/>
      <c r="G62" s="852"/>
      <c r="BF62" s="801"/>
      <c r="BG62" s="801"/>
      <c r="BH62" s="801"/>
      <c r="BI62" s="801"/>
      <c r="BJ62" s="801"/>
      <c r="BK62" s="801"/>
      <c r="BL62" s="801"/>
      <c r="BM62" s="818" t="s">
        <v>133</v>
      </c>
      <c r="BN62" s="777"/>
      <c r="BQ62" s="811"/>
      <c r="BR62" s="811"/>
      <c r="BS62" s="811"/>
      <c r="BT62" s="849"/>
      <c r="BU62" s="849"/>
      <c r="BV62" s="849"/>
      <c r="BW62" s="849"/>
      <c r="BX62" s="849"/>
      <c r="BY62" s="849"/>
      <c r="BZ62" s="849"/>
      <c r="CA62" s="849"/>
      <c r="CB62" s="849"/>
      <c r="CC62" s="849"/>
      <c r="CD62" s="849"/>
      <c r="CE62" s="849"/>
      <c r="CF62" s="849"/>
      <c r="CG62" s="849"/>
      <c r="CH62" s="850"/>
      <c r="CN62" s="853" t="s">
        <v>133</v>
      </c>
    </row>
    <row r="63" spans="2:92" ht="17.399999999999999" hidden="1" x14ac:dyDescent="0.3">
      <c r="AZ63" s="854"/>
      <c r="BF63" s="855"/>
      <c r="BG63" s="855"/>
      <c r="BH63" s="855"/>
      <c r="BI63" s="855"/>
      <c r="BJ63" s="855"/>
      <c r="BK63" s="855"/>
      <c r="BL63" s="855"/>
      <c r="BM63" s="818">
        <f>-+BF83</f>
        <v>290.69022760795974</v>
      </c>
      <c r="BN63" s="777"/>
      <c r="BQ63" s="811"/>
      <c r="BR63" s="811"/>
      <c r="BS63" s="811"/>
      <c r="BT63" s="849"/>
      <c r="BU63" s="849"/>
      <c r="BV63" s="849"/>
      <c r="BW63" s="849"/>
      <c r="BX63" s="849"/>
      <c r="BY63" s="849"/>
      <c r="BZ63" s="849"/>
      <c r="CA63" s="849"/>
      <c r="CB63" s="849"/>
      <c r="CC63" s="849"/>
      <c r="CD63" s="849"/>
      <c r="CE63" s="849"/>
      <c r="CF63" s="849"/>
      <c r="CG63" s="849"/>
      <c r="CH63" s="850"/>
      <c r="CN63" s="853">
        <f>+-BF106</f>
        <v>-698.30977239204026</v>
      </c>
    </row>
    <row r="64" spans="2:92" hidden="1" x14ac:dyDescent="0.3">
      <c r="BF64" s="855"/>
      <c r="BG64" s="855"/>
      <c r="BH64" s="855"/>
      <c r="BI64" s="855"/>
      <c r="BJ64" s="855"/>
      <c r="BK64" s="855"/>
      <c r="BL64" s="855"/>
      <c r="BN64" s="811"/>
      <c r="BO64" s="811"/>
      <c r="BP64" s="811"/>
      <c r="BQ64" s="811"/>
      <c r="BR64" s="811"/>
      <c r="BS64" s="811"/>
      <c r="BT64" s="849"/>
      <c r="BU64" s="849"/>
      <c r="BV64" s="849"/>
      <c r="BW64" s="849"/>
      <c r="BX64" s="849"/>
      <c r="BY64" s="849"/>
      <c r="BZ64" s="849"/>
      <c r="CA64" s="849"/>
      <c r="CB64" s="849"/>
      <c r="CC64" s="849"/>
      <c r="CD64" s="849"/>
      <c r="CE64" s="849"/>
      <c r="CF64" s="849"/>
      <c r="CG64" s="849"/>
      <c r="CH64" s="850"/>
    </row>
    <row r="65" spans="2:90" hidden="1" x14ac:dyDescent="0.3">
      <c r="B65" s="856" t="s">
        <v>15</v>
      </c>
      <c r="C65" s="857"/>
      <c r="D65" s="858">
        <v>559</v>
      </c>
      <c r="E65" s="852"/>
      <c r="F65" s="852"/>
      <c r="G65" s="852"/>
      <c r="BF65" s="855"/>
      <c r="BG65" s="855"/>
      <c r="BH65" s="855"/>
      <c r="BI65" s="855"/>
      <c r="BJ65" s="855"/>
      <c r="BK65" s="855"/>
      <c r="BL65" s="855"/>
      <c r="BN65" s="811"/>
      <c r="BO65" s="811"/>
      <c r="BP65" s="811"/>
      <c r="BQ65" s="811"/>
      <c r="BR65" s="811"/>
      <c r="BS65" s="811"/>
      <c r="BT65" s="849"/>
      <c r="BU65" s="849"/>
      <c r="BV65" s="849"/>
      <c r="BW65" s="849"/>
      <c r="BX65" s="849"/>
      <c r="BY65" s="849"/>
      <c r="BZ65" s="849"/>
      <c r="CA65" s="849"/>
      <c r="CB65" s="849"/>
      <c r="CC65" s="849"/>
      <c r="CD65" s="849"/>
      <c r="CE65" s="849"/>
      <c r="CF65" s="849"/>
      <c r="CG65" s="849"/>
      <c r="CH65" s="850"/>
    </row>
    <row r="66" spans="2:90" ht="16.2" hidden="1" thickBot="1" x14ac:dyDescent="0.35">
      <c r="B66" s="859" t="s">
        <v>14</v>
      </c>
      <c r="C66" s="860"/>
      <c r="D66" s="861">
        <f>+D24-49</f>
        <v>75.69023853244974</v>
      </c>
      <c r="E66" s="852"/>
      <c r="F66" s="852"/>
      <c r="G66" s="852"/>
      <c r="H66" s="850"/>
      <c r="I66" s="850"/>
      <c r="J66" s="850"/>
      <c r="K66" s="850"/>
      <c r="L66" s="850"/>
      <c r="M66" s="850"/>
      <c r="N66" s="850"/>
      <c r="O66" s="850"/>
      <c r="P66" s="850"/>
      <c r="Q66" s="850"/>
      <c r="R66" s="850"/>
      <c r="S66" s="862"/>
      <c r="T66" s="862"/>
      <c r="AB66" s="850"/>
      <c r="AC66" s="850"/>
      <c r="AD66" s="850"/>
      <c r="AE66" s="850"/>
      <c r="AF66" s="850"/>
      <c r="AG66" s="850"/>
      <c r="AH66" s="850"/>
      <c r="AI66" s="850"/>
      <c r="AJ66" s="850"/>
      <c r="AK66" s="850"/>
      <c r="AL66" s="850"/>
      <c r="AM66" s="850"/>
      <c r="AN66" s="850"/>
      <c r="AO66" s="850"/>
      <c r="AP66" s="850"/>
      <c r="AQ66" s="850"/>
      <c r="AR66" s="850"/>
      <c r="AS66" s="850"/>
      <c r="AT66" s="850"/>
      <c r="AU66" s="850"/>
      <c r="AV66" s="850"/>
      <c r="AW66" s="850"/>
      <c r="AX66" s="850"/>
      <c r="AY66" s="850"/>
      <c r="AZ66" s="850"/>
      <c r="BA66" s="850"/>
      <c r="BB66" s="850"/>
      <c r="BF66" s="855"/>
      <c r="BG66" s="855"/>
      <c r="BH66" s="855"/>
      <c r="BI66" s="855"/>
      <c r="BJ66" s="855"/>
      <c r="BK66" s="855"/>
      <c r="BL66" s="855"/>
      <c r="BN66" s="811"/>
      <c r="BO66" s="811"/>
      <c r="BP66" s="811"/>
      <c r="BQ66" s="811"/>
      <c r="BR66" s="811"/>
      <c r="BS66" s="811"/>
      <c r="BT66" s="849"/>
      <c r="BU66" s="849"/>
      <c r="BV66" s="849"/>
      <c r="BW66" s="849"/>
      <c r="BX66" s="849"/>
      <c r="BY66" s="849"/>
      <c r="BZ66" s="849"/>
      <c r="CA66" s="849"/>
      <c r="CB66" s="849"/>
      <c r="CC66" s="849"/>
      <c r="CD66" s="849"/>
      <c r="CE66" s="849"/>
      <c r="CF66" s="849"/>
      <c r="CG66" s="849"/>
      <c r="CH66" s="850"/>
    </row>
    <row r="67" spans="2:90" hidden="1" x14ac:dyDescent="0.3">
      <c r="B67" s="842"/>
      <c r="C67" s="842"/>
      <c r="D67" s="843"/>
      <c r="E67" s="843"/>
      <c r="F67" s="843"/>
      <c r="G67" s="843"/>
      <c r="H67" s="850"/>
      <c r="I67" s="850"/>
      <c r="J67" s="850"/>
      <c r="K67" s="850"/>
      <c r="L67" s="850"/>
      <c r="M67" s="850"/>
      <c r="N67" s="850"/>
      <c r="O67" s="850"/>
      <c r="P67" s="850"/>
      <c r="Q67" s="850"/>
      <c r="R67" s="850"/>
      <c r="S67" s="862"/>
      <c r="T67" s="862"/>
      <c r="AF67" s="850"/>
      <c r="AG67" s="850"/>
      <c r="AH67" s="850"/>
      <c r="AI67" s="850"/>
      <c r="AJ67" s="850"/>
      <c r="AK67" s="850"/>
      <c r="AL67" s="850"/>
      <c r="AM67" s="850"/>
      <c r="AN67" s="850"/>
      <c r="AO67" s="850"/>
      <c r="AP67" s="850"/>
      <c r="AQ67" s="850"/>
      <c r="AR67" s="850"/>
      <c r="AS67" s="850"/>
      <c r="AT67" s="850"/>
      <c r="AU67" s="850"/>
      <c r="AV67" s="850"/>
      <c r="AW67" s="850"/>
      <c r="AX67" s="850"/>
      <c r="AY67" s="850"/>
      <c r="AZ67" s="850"/>
      <c r="BA67" s="850"/>
      <c r="BB67" s="850"/>
      <c r="BF67" s="855"/>
      <c r="BG67" s="855"/>
      <c r="BH67" s="855"/>
      <c r="BI67" s="855"/>
      <c r="BJ67" s="855"/>
      <c r="BK67" s="855"/>
      <c r="BL67" s="855"/>
      <c r="BM67" s="855"/>
      <c r="BN67" s="811"/>
      <c r="BO67" s="811"/>
      <c r="BP67" s="811"/>
      <c r="BQ67" s="811"/>
      <c r="BR67" s="811"/>
      <c r="BS67" s="811"/>
      <c r="BT67" s="849"/>
      <c r="BU67" s="849"/>
      <c r="BV67" s="849"/>
      <c r="BW67" s="849"/>
      <c r="BX67" s="849"/>
      <c r="BY67" s="849"/>
      <c r="BZ67" s="849"/>
      <c r="CA67" s="849"/>
      <c r="CB67" s="849"/>
      <c r="CC67" s="849"/>
      <c r="CD67" s="849"/>
      <c r="CE67" s="849"/>
      <c r="CF67" s="849"/>
      <c r="CG67" s="849"/>
      <c r="CH67" s="850"/>
    </row>
    <row r="68" spans="2:90" ht="16.8" thickTop="1" thickBot="1" x14ac:dyDescent="0.35">
      <c r="B68" s="863"/>
      <c r="C68" s="863"/>
      <c r="D68" s="843"/>
      <c r="E68" s="843"/>
      <c r="F68" s="843"/>
      <c r="G68" s="843"/>
      <c r="H68" s="850"/>
      <c r="I68" s="850"/>
      <c r="J68" s="850"/>
      <c r="K68" s="850"/>
      <c r="L68" s="850"/>
      <c r="M68" s="850"/>
      <c r="N68" s="850"/>
      <c r="O68" s="850"/>
      <c r="P68" s="850"/>
      <c r="Q68" s="850"/>
      <c r="R68" s="850"/>
      <c r="S68" s="862"/>
      <c r="T68" s="862"/>
      <c r="U68" s="811"/>
      <c r="V68" s="811"/>
      <c r="W68" s="811"/>
      <c r="X68" s="811"/>
      <c r="Y68" s="811"/>
      <c r="Z68" s="811"/>
      <c r="AA68" s="811"/>
      <c r="AF68" s="811"/>
      <c r="AG68" s="811"/>
      <c r="AH68" s="811"/>
      <c r="AI68" s="811"/>
      <c r="AJ68" s="811"/>
      <c r="AK68" s="811"/>
      <c r="AL68" s="811"/>
      <c r="AM68" s="811"/>
      <c r="AN68" s="811"/>
      <c r="AO68" s="811"/>
      <c r="AP68" s="811"/>
      <c r="AQ68" s="811"/>
      <c r="AR68" s="811"/>
      <c r="AS68" s="811"/>
      <c r="AT68" s="811"/>
      <c r="AU68" s="811"/>
      <c r="AV68" s="811"/>
      <c r="AW68" s="811"/>
      <c r="AX68" s="811"/>
      <c r="AY68" s="811"/>
      <c r="AZ68" s="811"/>
      <c r="BA68" s="811"/>
      <c r="BB68" s="811"/>
      <c r="BF68" s="855"/>
      <c r="BG68" s="855"/>
      <c r="BH68" s="855"/>
      <c r="BI68" s="855"/>
      <c r="BJ68" s="855"/>
      <c r="BK68" s="855"/>
      <c r="BL68" s="855"/>
      <c r="BM68" s="855"/>
      <c r="CG68" s="848"/>
      <c r="CH68" s="848"/>
      <c r="CI68" s="848"/>
      <c r="CJ68" s="848"/>
      <c r="CK68" s="848"/>
      <c r="CL68" s="848"/>
    </row>
    <row r="69" spans="2:90" ht="42" customHeight="1" thickBot="1" x14ac:dyDescent="0.4">
      <c r="B69" s="2112" t="s">
        <v>134</v>
      </c>
      <c r="C69" s="864"/>
      <c r="D69" s="865" t="str">
        <f>IF(BM63&gt;0," ","change the angle of frame or of cabinets")</f>
        <v xml:space="preserve"> </v>
      </c>
      <c r="E69" s="866"/>
      <c r="F69" s="866"/>
      <c r="G69" s="867"/>
      <c r="H69" s="850"/>
      <c r="I69" s="850"/>
      <c r="J69" s="850"/>
      <c r="K69" s="850"/>
      <c r="L69" s="850"/>
      <c r="M69" s="850"/>
      <c r="N69" s="850"/>
      <c r="O69" s="850"/>
      <c r="P69" s="850"/>
      <c r="Q69" s="850"/>
      <c r="R69" s="850"/>
      <c r="S69" s="862"/>
      <c r="T69" s="862"/>
      <c r="V69" s="850"/>
      <c r="W69" s="850"/>
      <c r="X69" s="850"/>
      <c r="Y69" s="850"/>
      <c r="Z69" s="850"/>
      <c r="AA69" s="850"/>
      <c r="AF69" s="850"/>
      <c r="AG69" s="850"/>
      <c r="AH69" s="850"/>
      <c r="AI69" s="850"/>
      <c r="AJ69" s="850"/>
      <c r="AK69" s="850"/>
      <c r="AL69" s="850"/>
      <c r="AM69" s="850"/>
      <c r="AN69" s="850"/>
      <c r="AO69" s="850"/>
      <c r="AP69" s="850"/>
      <c r="AQ69" s="850"/>
      <c r="AR69" s="850"/>
      <c r="AS69" s="850"/>
      <c r="AT69" s="850"/>
      <c r="AU69" s="850"/>
      <c r="AV69" s="850"/>
      <c r="AW69" s="850"/>
      <c r="AX69" s="850"/>
      <c r="AY69" s="850"/>
      <c r="AZ69" s="850"/>
      <c r="BA69" s="868"/>
      <c r="BB69" s="850"/>
      <c r="BF69" s="855"/>
      <c r="BG69" s="855"/>
      <c r="BH69" s="855"/>
      <c r="BI69" s="855"/>
      <c r="BJ69" s="855"/>
      <c r="BK69" s="855"/>
      <c r="BL69" s="855"/>
      <c r="BM69" s="855"/>
    </row>
    <row r="70" spans="2:90" ht="42" customHeight="1" thickBot="1" x14ac:dyDescent="0.4">
      <c r="B70" s="2113"/>
      <c r="C70" s="842"/>
      <c r="D70" s="869" t="str">
        <f>IF(CN63&lt;0," ","change the angle of frame or of cabinets")</f>
        <v xml:space="preserve"> </v>
      </c>
      <c r="E70" s="866"/>
      <c r="F70" s="866"/>
      <c r="G70" s="867"/>
      <c r="H70" s="850"/>
      <c r="I70" s="850"/>
      <c r="J70" s="850"/>
      <c r="K70" s="850"/>
      <c r="L70" s="850"/>
      <c r="M70" s="850"/>
      <c r="N70" s="850"/>
      <c r="O70" s="850"/>
      <c r="P70" s="850"/>
      <c r="Q70" s="850"/>
      <c r="R70" s="850"/>
      <c r="S70" s="862"/>
      <c r="T70" s="862"/>
      <c r="U70" s="870"/>
      <c r="V70" s="871"/>
      <c r="W70" s="872"/>
      <c r="X70" s="872"/>
      <c r="Y70" s="872"/>
      <c r="Z70" s="872"/>
      <c r="AA70" s="872"/>
      <c r="AF70" s="873"/>
      <c r="AG70" s="873"/>
      <c r="AH70" s="873"/>
      <c r="AI70" s="873"/>
      <c r="AJ70" s="873"/>
      <c r="AK70" s="873"/>
      <c r="AL70" s="873"/>
      <c r="AM70" s="873"/>
      <c r="AN70" s="873"/>
      <c r="AO70" s="873"/>
      <c r="AP70" s="873"/>
      <c r="AQ70" s="873"/>
      <c r="AR70" s="873"/>
      <c r="AS70" s="873"/>
      <c r="AT70" s="873"/>
      <c r="AU70" s="873"/>
      <c r="AV70" s="873"/>
      <c r="AW70" s="873"/>
      <c r="AX70" s="873"/>
      <c r="AY70" s="873"/>
      <c r="AZ70" s="873"/>
      <c r="BA70" s="873"/>
      <c r="BB70" s="873"/>
      <c r="BF70" s="855"/>
      <c r="BG70" s="855"/>
      <c r="BH70" s="855"/>
      <c r="BI70" s="855"/>
      <c r="BJ70" s="855"/>
      <c r="BK70" s="855"/>
      <c r="BL70" s="855"/>
      <c r="BM70" s="855"/>
    </row>
    <row r="71" spans="2:90" ht="42" customHeight="1" thickBot="1" x14ac:dyDescent="0.4">
      <c r="B71" s="2114"/>
      <c r="C71" s="1402"/>
      <c r="D71" s="1403" t="str">
        <f>IF(BM63&gt;(+COS(($B$72*-1)*3.14159265358979/180)*193.5)," ","USE EXBAR 12 AT THE FRONT")</f>
        <v xml:space="preserve"> </v>
      </c>
      <c r="E71" s="866"/>
      <c r="F71" s="866"/>
      <c r="G71" s="867"/>
      <c r="H71" s="850"/>
      <c r="I71" s="850"/>
      <c r="J71" s="850"/>
      <c r="K71" s="850"/>
      <c r="L71" s="850"/>
      <c r="M71" s="850"/>
      <c r="N71" s="850"/>
      <c r="O71" s="850"/>
      <c r="P71" s="850"/>
      <c r="Q71" s="850"/>
      <c r="R71" s="850"/>
      <c r="S71" s="862"/>
      <c r="T71" s="862"/>
      <c r="U71" s="811"/>
      <c r="V71" s="862"/>
      <c r="W71" s="862"/>
      <c r="X71" s="862"/>
      <c r="Y71" s="862"/>
      <c r="Z71" s="862"/>
      <c r="AA71" s="862"/>
      <c r="AB71" s="811"/>
      <c r="AC71" s="811"/>
      <c r="AD71" s="811"/>
      <c r="AE71" s="811"/>
      <c r="AF71" s="850"/>
      <c r="AG71" s="850"/>
      <c r="AH71" s="850"/>
      <c r="AI71" s="850"/>
      <c r="AJ71" s="850"/>
      <c r="AK71" s="850"/>
      <c r="AL71" s="850"/>
      <c r="AM71" s="850"/>
      <c r="AN71" s="850"/>
      <c r="AO71" s="850"/>
      <c r="AP71" s="850"/>
      <c r="AQ71" s="850"/>
      <c r="AR71" s="850"/>
      <c r="AS71" s="850"/>
      <c r="AT71" s="850"/>
      <c r="AU71" s="850"/>
      <c r="AV71" s="850"/>
      <c r="AW71" s="850"/>
      <c r="AX71" s="850"/>
      <c r="AY71" s="850"/>
      <c r="AZ71" s="850"/>
      <c r="BA71" s="850"/>
      <c r="BB71" s="850"/>
      <c r="BF71" s="855"/>
      <c r="BG71" s="855"/>
      <c r="BH71" s="855"/>
      <c r="BI71" s="855"/>
      <c r="BJ71" s="855"/>
      <c r="BK71" s="855"/>
      <c r="BL71" s="855"/>
      <c r="BM71" s="855"/>
    </row>
    <row r="72" spans="2:90" ht="42" customHeight="1" thickBot="1" x14ac:dyDescent="0.45">
      <c r="B72" s="462">
        <v>0</v>
      </c>
      <c r="C72" s="1402"/>
      <c r="D72" s="1404" t="str">
        <f>IF(CN63&lt;-(+COS(($B$72*-1)*3.14159265358979/180)*193.5)," ","USE EXBAR 12 AT THE BACK")</f>
        <v xml:space="preserve"> </v>
      </c>
      <c r="E72" s="866"/>
      <c r="F72" s="866"/>
      <c r="G72" s="867"/>
      <c r="AF72" s="850"/>
      <c r="AG72" s="850"/>
      <c r="AH72" s="850"/>
      <c r="AI72" s="850"/>
      <c r="AJ72" s="850"/>
      <c r="AK72" s="850"/>
      <c r="AL72" s="850"/>
      <c r="AM72" s="850"/>
      <c r="AN72" s="850"/>
      <c r="AO72" s="850"/>
      <c r="AP72" s="850"/>
      <c r="AQ72" s="850"/>
      <c r="AR72" s="850"/>
      <c r="AS72" s="850"/>
      <c r="AT72" s="850"/>
      <c r="AU72" s="850"/>
      <c r="AV72" s="850"/>
      <c r="AW72" s="850"/>
      <c r="AX72" s="850"/>
      <c r="AY72" s="850"/>
      <c r="AZ72" s="850"/>
      <c r="BA72" s="850"/>
      <c r="BB72" s="850"/>
      <c r="BF72" s="855"/>
      <c r="BG72" s="855"/>
      <c r="BH72" s="855"/>
      <c r="BI72" s="855"/>
      <c r="BJ72" s="855"/>
      <c r="BK72" s="855"/>
      <c r="BL72" s="855"/>
      <c r="BM72" s="855"/>
    </row>
    <row r="73" spans="2:90" ht="16.2" thickBot="1" x14ac:dyDescent="0.35">
      <c r="AF73" s="850"/>
      <c r="AG73" s="850"/>
      <c r="AH73" s="850"/>
      <c r="AI73" s="850"/>
      <c r="AJ73" s="850"/>
      <c r="AK73" s="850"/>
      <c r="AL73" s="850"/>
      <c r="AM73" s="850"/>
      <c r="AN73" s="850"/>
      <c r="AO73" s="850"/>
      <c r="AP73" s="850"/>
      <c r="AQ73" s="850"/>
      <c r="AR73" s="850"/>
      <c r="AS73" s="850"/>
      <c r="AT73" s="850"/>
      <c r="AU73" s="850"/>
      <c r="AV73" s="850"/>
      <c r="AW73" s="850"/>
      <c r="AX73" s="850"/>
      <c r="AY73" s="850"/>
      <c r="AZ73" s="850"/>
      <c r="BA73" s="850"/>
      <c r="BB73" s="850"/>
      <c r="BF73" s="855"/>
      <c r="BG73" s="855"/>
      <c r="BH73" s="855"/>
      <c r="BI73" s="855"/>
      <c r="BJ73" s="855"/>
      <c r="BK73" s="855"/>
      <c r="BL73" s="855"/>
      <c r="BM73" s="855"/>
    </row>
    <row r="74" spans="2:90" ht="18.600000000000001" hidden="1" thickBot="1" x14ac:dyDescent="0.4">
      <c r="B74" s="842"/>
      <c r="C74" s="842"/>
      <c r="D74" s="843"/>
      <c r="E74" s="843"/>
      <c r="F74" s="843"/>
      <c r="G74" s="843"/>
      <c r="H74" s="850"/>
      <c r="I74" s="850"/>
      <c r="J74" s="850"/>
      <c r="K74" s="850"/>
      <c r="L74" s="850"/>
      <c r="M74" s="850"/>
      <c r="N74" s="850"/>
      <c r="O74" s="850"/>
      <c r="P74" s="850"/>
      <c r="Q74" s="850"/>
      <c r="R74" s="850"/>
      <c r="S74" s="850"/>
      <c r="T74" s="850"/>
      <c r="U74" s="874"/>
      <c r="V74" s="850"/>
      <c r="W74" s="850"/>
      <c r="X74" s="850"/>
      <c r="Y74" s="850"/>
      <c r="Z74" s="850"/>
      <c r="AA74" s="850"/>
      <c r="AB74" s="850"/>
      <c r="AC74" s="850"/>
      <c r="AD74" s="850"/>
      <c r="AE74" s="850"/>
      <c r="AF74" s="850"/>
      <c r="AG74" s="875"/>
      <c r="AH74" s="876"/>
      <c r="AI74" s="850"/>
      <c r="AJ74" s="850"/>
      <c r="AK74" s="850"/>
      <c r="AL74" s="850"/>
      <c r="AM74" s="850"/>
      <c r="AN74" s="850"/>
      <c r="AO74" s="850"/>
      <c r="AP74" s="850"/>
      <c r="AQ74" s="850"/>
      <c r="AR74" s="850"/>
      <c r="AS74" s="850"/>
      <c r="AT74" s="850"/>
      <c r="AU74" s="850"/>
      <c r="AV74" s="850"/>
      <c r="AW74" s="850"/>
      <c r="AX74" s="850"/>
      <c r="AY74" s="850"/>
      <c r="AZ74" s="850"/>
      <c r="BA74" s="850"/>
      <c r="BB74" s="850"/>
      <c r="BC74" s="874"/>
      <c r="BG74" s="855"/>
      <c r="BH74" s="855"/>
      <c r="BI74" s="855"/>
      <c r="BJ74" s="855"/>
      <c r="BK74" s="855"/>
      <c r="BL74" s="855"/>
      <c r="BM74" s="855"/>
    </row>
    <row r="75" spans="2:90" ht="18.600000000000001" hidden="1" thickBot="1" x14ac:dyDescent="0.4">
      <c r="B75" s="877"/>
      <c r="C75" s="842"/>
      <c r="D75" s="843"/>
      <c r="E75" s="843"/>
      <c r="F75" s="843"/>
      <c r="G75" s="843"/>
      <c r="H75" s="850"/>
      <c r="I75" s="850"/>
      <c r="J75" s="850"/>
      <c r="K75" s="850"/>
      <c r="L75" s="850"/>
      <c r="M75" s="850"/>
      <c r="N75" s="850"/>
      <c r="O75" s="850"/>
      <c r="P75" s="850"/>
      <c r="Q75" s="850"/>
      <c r="R75" s="850"/>
      <c r="S75" s="850"/>
      <c r="T75" s="850"/>
      <c r="U75" s="874"/>
      <c r="V75" s="850"/>
      <c r="W75" s="850"/>
      <c r="X75" s="850"/>
      <c r="Y75" s="850"/>
      <c r="Z75" s="850"/>
      <c r="AA75" s="850"/>
      <c r="AB75" s="850"/>
      <c r="AC75" s="850"/>
      <c r="AD75" s="850"/>
      <c r="AE75" s="850"/>
      <c r="AF75" s="850"/>
      <c r="AG75" s="850"/>
      <c r="AH75" s="850"/>
      <c r="AI75" s="850"/>
      <c r="AJ75" s="850"/>
      <c r="AK75" s="850"/>
      <c r="AL75" s="850"/>
      <c r="AM75" s="850"/>
      <c r="AN75" s="850"/>
      <c r="AO75" s="850"/>
      <c r="AP75" s="850"/>
      <c r="AQ75" s="850"/>
      <c r="AR75" s="850"/>
      <c r="AS75" s="850"/>
      <c r="AT75" s="850"/>
      <c r="AU75" s="850"/>
      <c r="AV75" s="850"/>
      <c r="AW75" s="850"/>
      <c r="AX75" s="850"/>
      <c r="AY75" s="850"/>
      <c r="AZ75" s="850"/>
      <c r="BA75" s="850"/>
      <c r="BB75" s="850"/>
      <c r="BC75" s="874"/>
      <c r="BG75" s="855"/>
      <c r="BH75" s="855"/>
      <c r="BI75" s="855"/>
      <c r="BJ75" s="855"/>
      <c r="BK75" s="855"/>
      <c r="BL75" s="855"/>
      <c r="BM75" s="855"/>
    </row>
    <row r="76" spans="2:90" ht="16.2" hidden="1" thickBot="1" x14ac:dyDescent="0.35">
      <c r="B76" s="877"/>
      <c r="AB76" s="877"/>
      <c r="AC76" s="877"/>
      <c r="AD76" s="877"/>
      <c r="AE76" s="877"/>
      <c r="BF76" s="855"/>
      <c r="BG76" s="855"/>
      <c r="BH76" s="855"/>
      <c r="BI76" s="855"/>
      <c r="BJ76" s="855"/>
      <c r="BK76" s="855"/>
      <c r="BL76" s="855"/>
      <c r="BM76" s="855"/>
    </row>
    <row r="77" spans="2:90" ht="18" hidden="1" thickBot="1" x14ac:dyDescent="0.35">
      <c r="S77" s="870" t="s">
        <v>135</v>
      </c>
      <c r="T77" s="870">
        <f>+B80*67</f>
        <v>67</v>
      </c>
      <c r="V77" s="801" t="s">
        <v>136</v>
      </c>
      <c r="W77" s="2115" t="s">
        <v>194</v>
      </c>
      <c r="X77" s="2115"/>
      <c r="Y77" s="2115"/>
      <c r="Z77" s="2115"/>
      <c r="AA77" s="2115"/>
      <c r="AB77" s="801"/>
      <c r="AC77" s="801"/>
      <c r="AD77" s="801"/>
      <c r="AE77" s="801"/>
      <c r="AF77" s="801"/>
      <c r="AG77" s="801"/>
      <c r="AH77" s="801"/>
      <c r="AI77" s="801"/>
      <c r="AJ77" s="801"/>
      <c r="AK77" s="801"/>
      <c r="AL77" s="801"/>
      <c r="AM77" s="801"/>
      <c r="AN77" s="801"/>
      <c r="AO77" s="801"/>
      <c r="AP77" s="801"/>
      <c r="AQ77" s="801"/>
      <c r="AR77" s="801"/>
      <c r="AS77" s="801"/>
      <c r="AT77" s="801"/>
      <c r="AU77" s="801"/>
      <c r="AV77" s="801"/>
      <c r="AW77" s="801"/>
      <c r="AX77" s="801"/>
      <c r="AY77" s="801"/>
      <c r="AZ77" s="801"/>
      <c r="BA77" s="801"/>
      <c r="BB77" s="801"/>
      <c r="BG77" s="855"/>
      <c r="BH77" s="855"/>
      <c r="BI77" s="855"/>
      <c r="BJ77" s="855"/>
      <c r="BK77" s="855"/>
      <c r="BL77" s="855"/>
      <c r="BM77" s="855"/>
    </row>
    <row r="78" spans="2:90" ht="16.2" hidden="1" thickBot="1" x14ac:dyDescent="0.35">
      <c r="S78" s="870" t="s">
        <v>137</v>
      </c>
      <c r="T78" s="870">
        <v>332.6</v>
      </c>
      <c r="U78" s="784"/>
      <c r="V78" s="801"/>
      <c r="W78" s="801"/>
      <c r="X78" s="801"/>
      <c r="Y78" s="801"/>
      <c r="Z78" s="801"/>
      <c r="AA78" s="801"/>
      <c r="AB78" s="801"/>
      <c r="AC78" s="801"/>
      <c r="AD78" s="801"/>
      <c r="AE78" s="801"/>
      <c r="AF78" s="801"/>
      <c r="AG78" s="801"/>
      <c r="AH78" s="801"/>
      <c r="AI78" s="801"/>
      <c r="AJ78" s="801"/>
      <c r="AK78" s="801"/>
      <c r="AL78" s="801"/>
      <c r="AM78" s="801"/>
      <c r="AN78" s="801"/>
      <c r="AO78" s="801"/>
      <c r="AP78" s="801"/>
      <c r="AQ78" s="801"/>
      <c r="AR78" s="801"/>
      <c r="AS78" s="801"/>
      <c r="AT78" s="801"/>
      <c r="AU78" s="801"/>
      <c r="AV78" s="801"/>
      <c r="AW78" s="801"/>
      <c r="AX78" s="801"/>
      <c r="AY78" s="801"/>
      <c r="AZ78" s="801"/>
      <c r="BA78" s="801"/>
      <c r="BB78" s="801"/>
      <c r="BC78" s="784"/>
      <c r="BF78" s="855"/>
      <c r="BG78" s="855"/>
      <c r="BH78" s="855"/>
      <c r="BI78" s="855"/>
      <c r="BJ78" s="855"/>
      <c r="BK78" s="855"/>
      <c r="BL78" s="855"/>
      <c r="BM78" s="855"/>
    </row>
    <row r="79" spans="2:90" ht="61.5" customHeight="1" thickTop="1" thickBot="1" x14ac:dyDescent="0.45">
      <c r="B79" s="878" t="s">
        <v>42</v>
      </c>
      <c r="C79" s="879"/>
      <c r="D79" s="880"/>
      <c r="E79" s="881"/>
      <c r="F79" s="881"/>
      <c r="G79" s="881"/>
      <c r="H79" s="882"/>
      <c r="I79" s="882"/>
      <c r="J79" s="882"/>
      <c r="K79" s="882"/>
      <c r="L79" s="882"/>
      <c r="M79" s="882"/>
      <c r="N79" s="882"/>
      <c r="O79" s="882"/>
      <c r="P79" s="882"/>
      <c r="Q79" s="882"/>
      <c r="R79" s="882"/>
      <c r="S79" s="883" t="s">
        <v>138</v>
      </c>
      <c r="T79" s="884">
        <f>SUM(V83:V106)/B80</f>
        <v>135</v>
      </c>
      <c r="U79" s="885"/>
      <c r="V79" s="801"/>
      <c r="W79" s="1405" t="s">
        <v>195</v>
      </c>
      <c r="X79" s="1406" t="s">
        <v>179</v>
      </c>
      <c r="Y79" s="1405" t="s">
        <v>196</v>
      </c>
      <c r="Z79" s="1407" t="s">
        <v>180</v>
      </c>
      <c r="AA79" s="1407" t="s">
        <v>181</v>
      </c>
      <c r="AB79" s="801"/>
      <c r="AC79" s="801"/>
      <c r="AD79" s="801"/>
      <c r="AE79" s="801"/>
      <c r="AF79" s="801"/>
      <c r="AG79" s="801"/>
      <c r="AH79" s="801"/>
      <c r="AI79" s="801"/>
      <c r="AJ79" s="801"/>
      <c r="AK79" s="801"/>
      <c r="AL79" s="801"/>
      <c r="AM79" s="801"/>
      <c r="AN79" s="801"/>
      <c r="AO79" s="801"/>
      <c r="AP79" s="801"/>
      <c r="AQ79" s="801"/>
      <c r="AR79" s="801"/>
      <c r="AS79" s="801"/>
      <c r="AT79" s="801"/>
      <c r="AU79" s="801"/>
      <c r="AV79" s="801"/>
      <c r="AW79" s="801"/>
      <c r="AX79" s="801"/>
      <c r="AY79" s="801"/>
      <c r="AZ79" s="801"/>
      <c r="BA79" s="801"/>
      <c r="BB79" s="801"/>
      <c r="BC79" s="886"/>
      <c r="BD79" s="886"/>
      <c r="BE79" s="886"/>
      <c r="BF79" s="855"/>
      <c r="BG79" s="855"/>
      <c r="BH79" s="855"/>
      <c r="BI79" s="855"/>
      <c r="BJ79" s="855"/>
      <c r="BK79" s="855"/>
      <c r="BL79" s="855"/>
      <c r="BM79" s="855"/>
    </row>
    <row r="80" spans="2:90" ht="25.2" thickBot="1" x14ac:dyDescent="0.45">
      <c r="B80" s="1931">
        <v>1</v>
      </c>
      <c r="C80" s="1930"/>
      <c r="D80" s="1936" t="s">
        <v>139</v>
      </c>
      <c r="E80" s="965"/>
      <c r="F80" s="1929"/>
      <c r="G80" s="887"/>
      <c r="H80" s="887"/>
      <c r="I80" s="887"/>
      <c r="J80" s="887"/>
      <c r="K80" s="887"/>
      <c r="L80" s="887"/>
      <c r="M80" s="887"/>
      <c r="N80" s="887"/>
      <c r="O80" s="887"/>
      <c r="P80" s="887"/>
      <c r="Q80" s="887"/>
      <c r="R80" s="887"/>
      <c r="S80" s="887"/>
      <c r="T80" s="887"/>
      <c r="U80" s="888"/>
      <c r="V80" s="889"/>
      <c r="AB80" s="890"/>
      <c r="AC80" s="889"/>
      <c r="AD80" s="889"/>
      <c r="AE80" s="889"/>
      <c r="AF80" s="889"/>
      <c r="AG80" s="889"/>
      <c r="AH80" s="889"/>
      <c r="AI80" s="889"/>
      <c r="AJ80" s="889"/>
      <c r="AK80" s="889"/>
      <c r="AL80" s="889"/>
      <c r="AM80" s="889"/>
      <c r="AN80" s="889"/>
      <c r="AO80" s="889"/>
      <c r="AP80" s="889"/>
      <c r="AQ80" s="889"/>
      <c r="AR80" s="889"/>
      <c r="AS80" s="889"/>
      <c r="AT80" s="889"/>
      <c r="AU80" s="889"/>
      <c r="AV80" s="889"/>
      <c r="AW80" s="889"/>
      <c r="AX80" s="889"/>
      <c r="AY80" s="889"/>
      <c r="AZ80" s="2120" t="s">
        <v>68</v>
      </c>
      <c r="BA80" s="2121"/>
      <c r="BB80" s="889"/>
      <c r="BC80" s="891"/>
      <c r="BD80" s="891"/>
      <c r="BE80" s="891"/>
      <c r="BF80" s="855"/>
      <c r="BG80" s="855"/>
      <c r="BH80" s="855"/>
      <c r="BI80" s="855"/>
      <c r="BJ80" s="855"/>
      <c r="BK80" s="855"/>
      <c r="BL80" s="855"/>
      <c r="BM80" s="855"/>
    </row>
    <row r="81" spans="1:65" ht="28.2" hidden="1" thickTop="1" thickBot="1" x14ac:dyDescent="0.35">
      <c r="B81" s="892"/>
      <c r="C81" s="893"/>
      <c r="D81" s="1933" t="s">
        <v>13</v>
      </c>
      <c r="E81" s="843"/>
      <c r="F81" s="894"/>
      <c r="G81" s="894"/>
      <c r="H81" s="895" t="s">
        <v>4</v>
      </c>
      <c r="I81" s="896" t="s">
        <v>140</v>
      </c>
      <c r="J81" s="882" t="s">
        <v>0</v>
      </c>
      <c r="K81" s="882" t="s">
        <v>2</v>
      </c>
      <c r="L81" s="882" t="s">
        <v>3</v>
      </c>
      <c r="M81" s="882" t="s">
        <v>8</v>
      </c>
      <c r="N81" s="882" t="s">
        <v>5</v>
      </c>
      <c r="O81" s="882" t="s">
        <v>6</v>
      </c>
      <c r="P81" s="882" t="s">
        <v>7</v>
      </c>
      <c r="Q81" s="882" t="s">
        <v>9</v>
      </c>
      <c r="R81" s="882" t="s">
        <v>10</v>
      </c>
      <c r="S81" s="882" t="s">
        <v>11</v>
      </c>
      <c r="T81" s="897" t="s">
        <v>12</v>
      </c>
      <c r="U81" s="898"/>
      <c r="V81" s="899"/>
      <c r="W81" s="1408"/>
      <c r="X81" s="1408"/>
      <c r="Y81" s="1408"/>
      <c r="Z81" s="1408"/>
      <c r="AA81" s="1408"/>
      <c r="AB81" s="899"/>
      <c r="AC81" s="1409" t="s">
        <v>184</v>
      </c>
      <c r="AD81" s="1409"/>
      <c r="AE81" s="1409"/>
      <c r="AF81" s="899"/>
      <c r="AG81" s="899"/>
      <c r="AH81" s="899"/>
      <c r="AI81" s="899"/>
      <c r="AJ81" s="899"/>
      <c r="AK81" s="899"/>
      <c r="AL81" s="899"/>
      <c r="AM81" s="899"/>
      <c r="AN81" s="899"/>
      <c r="AO81" s="899" t="s">
        <v>141</v>
      </c>
      <c r="AP81" s="899"/>
      <c r="AQ81" s="899" t="s">
        <v>141</v>
      </c>
      <c r="AR81" s="899"/>
      <c r="AS81" s="899"/>
      <c r="AT81" s="899" t="s">
        <v>141</v>
      </c>
      <c r="AU81" s="899"/>
      <c r="AV81" s="899"/>
      <c r="AW81" s="899"/>
      <c r="AX81" s="877"/>
      <c r="AY81" s="899"/>
      <c r="AZ81" s="900"/>
      <c r="BA81" s="900"/>
      <c r="BB81" s="899"/>
      <c r="BC81" s="898"/>
      <c r="BD81" s="901"/>
      <c r="BE81" s="850"/>
      <c r="BF81" s="855"/>
      <c r="BG81" s="855"/>
      <c r="BH81" s="855"/>
      <c r="BI81" s="855"/>
      <c r="BJ81" s="855"/>
      <c r="BK81" s="855"/>
      <c r="BL81" s="855"/>
      <c r="BM81" s="855"/>
    </row>
    <row r="82" spans="1:65" ht="39" customHeight="1" thickBot="1" x14ac:dyDescent="0.35">
      <c r="B82" s="902"/>
      <c r="C82" s="903"/>
      <c r="D82" s="905" t="s">
        <v>24</v>
      </c>
      <c r="E82" s="904"/>
      <c r="F82" s="905" t="s">
        <v>58</v>
      </c>
      <c r="G82" s="906"/>
      <c r="H82" s="907"/>
      <c r="I82" s="908"/>
      <c r="J82" s="909"/>
      <c r="K82" s="909"/>
      <c r="L82" s="909"/>
      <c r="M82" s="909"/>
      <c r="N82" s="909"/>
      <c r="O82" s="909"/>
      <c r="P82" s="909"/>
      <c r="Q82" s="909"/>
      <c r="R82" s="909"/>
      <c r="S82" s="909"/>
      <c r="T82" s="910"/>
      <c r="U82" s="911"/>
      <c r="V82" s="912"/>
      <c r="W82" s="1410"/>
      <c r="X82" s="1410"/>
      <c r="Y82" s="1410"/>
      <c r="Z82" s="1410"/>
      <c r="AA82" s="1410"/>
      <c r="AB82" s="912"/>
      <c r="AC82" s="1411">
        <f>SUM(AC83:AC106)</f>
        <v>135</v>
      </c>
      <c r="AD82" s="1412"/>
      <c r="AE82" s="1412"/>
      <c r="AF82" s="913" t="s">
        <v>51</v>
      </c>
      <c r="AG82" s="913" t="s">
        <v>44</v>
      </c>
      <c r="AH82" s="913"/>
      <c r="AI82" s="913" t="s">
        <v>142</v>
      </c>
      <c r="AJ82" s="914" t="s">
        <v>45</v>
      </c>
      <c r="AK82" s="913" t="s">
        <v>46</v>
      </c>
      <c r="AL82" s="913" t="s">
        <v>143</v>
      </c>
      <c r="AM82" s="913" t="s">
        <v>47</v>
      </c>
      <c r="AN82" s="913" t="s">
        <v>48</v>
      </c>
      <c r="AO82" s="913" t="s">
        <v>61</v>
      </c>
      <c r="AP82" s="913" t="s">
        <v>49</v>
      </c>
      <c r="AQ82" s="913" t="s">
        <v>144</v>
      </c>
      <c r="AR82" s="913" t="s">
        <v>50</v>
      </c>
      <c r="AS82" s="913" t="s">
        <v>52</v>
      </c>
      <c r="AT82" s="913" t="s">
        <v>145</v>
      </c>
      <c r="AU82" s="913" t="s">
        <v>53</v>
      </c>
      <c r="AV82" s="915" t="s">
        <v>54</v>
      </c>
      <c r="AW82" s="915" t="s">
        <v>55</v>
      </c>
      <c r="AX82" s="916" t="s">
        <v>25</v>
      </c>
      <c r="AY82" s="916" t="s">
        <v>26</v>
      </c>
      <c r="AZ82" s="917" t="s">
        <v>25</v>
      </c>
      <c r="BA82" s="917" t="s">
        <v>26</v>
      </c>
      <c r="BB82" s="850"/>
      <c r="BE82" s="1413" t="s">
        <v>205</v>
      </c>
      <c r="BJ82" s="855"/>
      <c r="BK82" s="855"/>
      <c r="BL82" s="855"/>
      <c r="BM82" s="855"/>
    </row>
    <row r="83" spans="1:65" ht="21" customHeight="1" thickBot="1" x14ac:dyDescent="0.35">
      <c r="B83" s="918">
        <v>1</v>
      </c>
      <c r="C83" s="919">
        <f>+(B72*-1)+D83</f>
        <v>0</v>
      </c>
      <c r="D83" s="1934">
        <v>0</v>
      </c>
      <c r="E83" s="920" t="s">
        <v>146</v>
      </c>
      <c r="F83" s="921">
        <f>+G83</f>
        <v>0</v>
      </c>
      <c r="G83" s="921">
        <f>+D83</f>
        <v>0</v>
      </c>
      <c r="H83" s="922">
        <v>217.52600000000001</v>
      </c>
      <c r="I83" s="923">
        <v>103.27776</v>
      </c>
      <c r="J83" s="924">
        <f>+I83-C83</f>
        <v>103.27776</v>
      </c>
      <c r="K83" s="924">
        <f t="shared" ref="K83:K106" si="5">+J83/2</f>
        <v>51.63888</v>
      </c>
      <c r="L83" s="924">
        <f t="shared" ref="L83:L106" si="6">SIN(K83*3.14159265358979/180)</f>
        <v>0.78411477781089656</v>
      </c>
      <c r="M83" s="924">
        <f t="shared" ref="M83:M106" si="7">+L83*H83</f>
        <v>170.56535115809308</v>
      </c>
      <c r="N83" s="924">
        <f t="shared" ref="N83:N106" si="8">+M83*2</f>
        <v>341.13070231618616</v>
      </c>
      <c r="O83" s="924">
        <f>+C83/2</f>
        <v>0</v>
      </c>
      <c r="P83" s="924">
        <f t="shared" ref="P83:P106" si="9">SIN(O83*3.14159265358979/180)</f>
        <v>0</v>
      </c>
      <c r="Q83" s="924">
        <f t="shared" ref="Q83:Q106" si="10">+P83*N83</f>
        <v>0</v>
      </c>
      <c r="R83" s="924">
        <v>135</v>
      </c>
      <c r="S83" s="924">
        <f>+R83+Q83</f>
        <v>135</v>
      </c>
      <c r="T83" s="925">
        <f t="shared" ref="T83:T106" si="11">+S83</f>
        <v>135</v>
      </c>
      <c r="V83" s="926">
        <f t="shared" ref="V83:V106" si="12">IF(B83&lt;($B$80+1),T83,0)</f>
        <v>135</v>
      </c>
      <c r="W83" s="927">
        <v>51.638878849999998</v>
      </c>
      <c r="X83" s="928">
        <f>+W83+AH108</f>
        <v>51.638878849999998</v>
      </c>
      <c r="Y83" s="927">
        <v>217.52590000000001</v>
      </c>
      <c r="Z83" s="928">
        <f>+COS(X83*3.14159265358979/180)*Y83</f>
        <v>135.00002158525106</v>
      </c>
      <c r="AA83" s="929">
        <f>+AC82-Z83</f>
        <v>-2.1585251062106181E-5</v>
      </c>
      <c r="AB83" s="921" t="str">
        <f>IF(AY83&lt;0,"pin in groundstacking hole"," ")</f>
        <v xml:space="preserve"> </v>
      </c>
      <c r="AC83" s="930">
        <f>IF(AD83=1,AF83)</f>
        <v>135</v>
      </c>
      <c r="AD83" s="930">
        <f>MAX(AE$83:AE$106)</f>
        <v>1</v>
      </c>
      <c r="AE83" s="1412">
        <f>IF(V83=0,0,1)</f>
        <v>1</v>
      </c>
      <c r="AF83" s="926">
        <f>SUM(V83:V106)/($B$80)</f>
        <v>135</v>
      </c>
      <c r="AG83" s="876">
        <f>C83</f>
        <v>0</v>
      </c>
      <c r="AH83" s="931">
        <f t="shared" ref="AH83:AH106" si="13">IF(B83&lt;($B$80+1),AG83)</f>
        <v>0</v>
      </c>
      <c r="AI83" s="932">
        <f>58.15095-AG83</f>
        <v>58.150950000000002</v>
      </c>
      <c r="AJ83" s="933">
        <f t="shared" ref="AJ83:AJ106" si="14">SIN(AI83*3.14159265358979/180)</f>
        <v>0.84944126318315416</v>
      </c>
      <c r="AK83" s="934">
        <f>+AJ83*233.0944</f>
        <v>198.0000015769194</v>
      </c>
      <c r="AL83" s="935">
        <f>38.36112115+AG83</f>
        <v>38.361121150000002</v>
      </c>
      <c r="AM83" s="936">
        <f>SIN(AL83*3.14159265358979/180)</f>
        <v>0.62061585119404539</v>
      </c>
      <c r="AN83" s="937">
        <f>+AM83*217.5259</f>
        <v>135.00002158525081</v>
      </c>
      <c r="AO83" s="938">
        <f>+((AF83*AP83)+($AP$118*($AF$118+$AA$83)))/AQ83</f>
        <v>124.69023853244974</v>
      </c>
      <c r="AP83" s="939">
        <f>67*B80</f>
        <v>67</v>
      </c>
      <c r="AQ83" s="938">
        <f>+AP83+$AP$118+10</f>
        <v>102.5</v>
      </c>
      <c r="AR83" s="939">
        <f>+AN83+AK83</f>
        <v>333.00002316217024</v>
      </c>
      <c r="AS83" s="940">
        <f t="shared" ref="AS83:AS106" si="15">+V83-AN83</f>
        <v>-2.1585250806310796E-5</v>
      </c>
      <c r="AT83" s="941">
        <f>+AO83-AS83</f>
        <v>124.69026011770055</v>
      </c>
      <c r="AU83" s="940"/>
      <c r="AV83" s="942">
        <f>+((AR83-AT83)/AR83)*AQ83</f>
        <v>64.119367047791144</v>
      </c>
      <c r="AW83" s="942">
        <f>+(AT83/AR83)*AQ83</f>
        <v>38.380632952208863</v>
      </c>
      <c r="AX83" s="921">
        <f t="shared" ref="AX83:AX106" si="16">2*$D$30/AV83</f>
        <v>155.9591190684483</v>
      </c>
      <c r="AY83" s="921">
        <f t="shared" ref="AY83:AY106" si="17">$F$29/AW83</f>
        <v>240.74642050602827</v>
      </c>
      <c r="AZ83" s="943">
        <f>ABS(AX83)</f>
        <v>155.9591190684483</v>
      </c>
      <c r="BA83" s="943">
        <f>ABS(AY83)</f>
        <v>240.74642050602827</v>
      </c>
      <c r="BB83" s="924" t="s">
        <v>56</v>
      </c>
      <c r="BC83" s="944">
        <v>-5</v>
      </c>
      <c r="BD83" s="945">
        <v>-215</v>
      </c>
      <c r="BE83" s="1395">
        <f>+COS(($B$72*-1)*3.14159265358979/180)*BD83</f>
        <v>-215</v>
      </c>
      <c r="BF83" s="946">
        <f>+BE83-E$11</f>
        <v>-290.69022760795974</v>
      </c>
      <c r="BG83" s="947">
        <f t="shared" ref="BG83:BG106" si="18">ABS(BF83)</f>
        <v>290.69022760795974</v>
      </c>
      <c r="BH83" s="947">
        <f>MIN(BG83:BG106)</f>
        <v>10.30977239204023</v>
      </c>
      <c r="BI83" s="947" t="b">
        <f t="shared" ref="BI83:BI106" si="19">IF(BH83=BG83,BC83)</f>
        <v>0</v>
      </c>
      <c r="BJ83" s="855"/>
      <c r="BK83" s="855"/>
      <c r="BL83" s="855"/>
      <c r="BM83" s="855"/>
    </row>
    <row r="84" spans="1:65" ht="21" customHeight="1" thickBot="1" x14ac:dyDescent="0.35">
      <c r="B84" s="948">
        <v>2</v>
      </c>
      <c r="C84" s="919"/>
      <c r="D84" s="1907">
        <v>0</v>
      </c>
      <c r="E84" s="949" t="s">
        <v>147</v>
      </c>
      <c r="F84" s="950" t="e">
        <f>IF(G84=8.3,8,G84)</f>
        <v>#DIV/0!</v>
      </c>
      <c r="G84" s="950" t="e">
        <f t="shared" ref="G84:G106" si="20">+D84+BB84</f>
        <v>#DIV/0!</v>
      </c>
      <c r="H84" s="951">
        <v>217.52600000000001</v>
      </c>
      <c r="I84" s="952">
        <v>103.27776</v>
      </c>
      <c r="J84" s="924">
        <f t="shared" ref="J84:J106" si="21">+I84-D84</f>
        <v>103.27776</v>
      </c>
      <c r="K84" s="924">
        <f t="shared" si="5"/>
        <v>51.63888</v>
      </c>
      <c r="L84" s="924">
        <f t="shared" si="6"/>
        <v>0.78411477781089656</v>
      </c>
      <c r="M84" s="924">
        <f t="shared" si="7"/>
        <v>170.56535115809308</v>
      </c>
      <c r="N84" s="924">
        <f t="shared" si="8"/>
        <v>341.13070231618616</v>
      </c>
      <c r="O84" s="924">
        <f>+C83+(D84/2)</f>
        <v>0</v>
      </c>
      <c r="P84" s="924">
        <f t="shared" si="9"/>
        <v>0</v>
      </c>
      <c r="Q84" s="924">
        <f t="shared" si="10"/>
        <v>0</v>
      </c>
      <c r="R84" s="924">
        <f t="shared" ref="R84:R106" si="22">+T83</f>
        <v>135</v>
      </c>
      <c r="S84" s="924">
        <f>+R84+Q84</f>
        <v>135</v>
      </c>
      <c r="T84" s="925">
        <f t="shared" si="11"/>
        <v>135</v>
      </c>
      <c r="V84" s="926">
        <f t="shared" si="12"/>
        <v>0</v>
      </c>
      <c r="W84" s="926"/>
      <c r="X84" s="926"/>
      <c r="Y84" s="926"/>
      <c r="Z84" s="926"/>
      <c r="AA84" s="926"/>
      <c r="AB84" s="950" t="e">
        <f t="shared" ref="AB84:AB106" si="23">IF(AY84&lt;0,"pin in groundstacking hole"," ")</f>
        <v>#DIV/0!</v>
      </c>
      <c r="AC84" s="930" t="b">
        <f>IF(AD84=2,AF84)</f>
        <v>0</v>
      </c>
      <c r="AD84" s="930">
        <f t="shared" ref="AD84:AD106" si="24">MAX(AE$83:AE$106)</f>
        <v>1</v>
      </c>
      <c r="AE84" s="1412">
        <f>IF(V84=0,0,2)</f>
        <v>0</v>
      </c>
      <c r="AF84" s="926" t="e">
        <f>SUM(V84:V107)/($B$80-B83)</f>
        <v>#DIV/0!</v>
      </c>
      <c r="AG84" s="876">
        <f>SUM(D84)+$C$83</f>
        <v>0</v>
      </c>
      <c r="AH84" s="931" t="b">
        <f t="shared" si="13"/>
        <v>0</v>
      </c>
      <c r="AI84" s="875">
        <f>58.15095-AG84</f>
        <v>58.150950000000002</v>
      </c>
      <c r="AJ84" s="953">
        <f t="shared" si="14"/>
        <v>0.84944126318315416</v>
      </c>
      <c r="AK84" s="954">
        <f>+AJ84*233.0944</f>
        <v>198.0000015769194</v>
      </c>
      <c r="AL84" s="955">
        <f t="shared" ref="AL84:AL106" si="25">38.36112115+AG84</f>
        <v>38.361121150000002</v>
      </c>
      <c r="AM84" s="956">
        <f t="shared" ref="AM84:AM106" si="26">SIN(AL84*3.14159265358979/180)</f>
        <v>0.62061585119404539</v>
      </c>
      <c r="AN84" s="957">
        <f>+AM84*217.5259</f>
        <v>135.00002158525081</v>
      </c>
      <c r="AO84" s="938" t="e">
        <f t="shared" ref="AO84:AO106" si="27">+((AF84*AP84)+($AP$118*($AF$118+$AA$83)))/AQ84</f>
        <v>#DIV/0!</v>
      </c>
      <c r="AP84" s="958">
        <f t="shared" ref="AP84:AP106" si="28">67*($B$80-B83)</f>
        <v>0</v>
      </c>
      <c r="AQ84" s="959">
        <f t="shared" ref="AQ84:AQ106" si="29">+AP84+$AP$118+10</f>
        <v>35.5</v>
      </c>
      <c r="AR84" s="958">
        <f t="shared" ref="AR84:AR106" si="30">+AN84+AK84</f>
        <v>333.00002316217024</v>
      </c>
      <c r="AS84" s="940">
        <f t="shared" si="15"/>
        <v>-135.00002158525081</v>
      </c>
      <c r="AT84" s="941" t="e">
        <f t="shared" ref="AT84:AT106" si="31">+AO84-AS84</f>
        <v>#DIV/0!</v>
      </c>
      <c r="AU84" s="940"/>
      <c r="AV84" s="942" t="e">
        <f t="shared" ref="AV84:AV106" si="32">+((AR84-AT84)/AR84)*AQ84</f>
        <v>#DIV/0!</v>
      </c>
      <c r="AW84" s="942" t="e">
        <f t="shared" ref="AW84:AW106" si="33">+(AT84/AR84)*AQ84</f>
        <v>#DIV/0!</v>
      </c>
      <c r="AX84" s="950" t="e">
        <f t="shared" si="16"/>
        <v>#DIV/0!</v>
      </c>
      <c r="AY84" s="950" t="e">
        <f t="shared" si="17"/>
        <v>#DIV/0!</v>
      </c>
      <c r="AZ84" s="960" t="e">
        <f t="shared" ref="AZ84:BA106" si="34">ABS(AX84)</f>
        <v>#DIV/0!</v>
      </c>
      <c r="BA84" s="960" t="e">
        <f t="shared" si="34"/>
        <v>#DIV/0!</v>
      </c>
      <c r="BB84" s="785" t="e">
        <f t="shared" ref="BB84:BB106" si="35">IF(AY84&lt;0,0.3,0)</f>
        <v>#DIV/0!</v>
      </c>
      <c r="BC84" s="944">
        <v>-4</v>
      </c>
      <c r="BD84" s="945">
        <f>+BD83+43</f>
        <v>-172</v>
      </c>
      <c r="BE84" s="1395">
        <f>+BE83+$F$10</f>
        <v>-172</v>
      </c>
      <c r="BF84" s="946">
        <f t="shared" ref="BF84:BF106" si="36">+BE84-E$11</f>
        <v>-247.69022760795977</v>
      </c>
      <c r="BG84" s="947">
        <f t="shared" si="18"/>
        <v>247.69022760795977</v>
      </c>
      <c r="BH84" s="947">
        <f>+BH83</f>
        <v>10.30977239204023</v>
      </c>
      <c r="BI84" s="947" t="b">
        <f t="shared" si="19"/>
        <v>0</v>
      </c>
      <c r="BJ84" s="855"/>
      <c r="BK84" s="855"/>
      <c r="BL84" s="855"/>
      <c r="BM84" s="855"/>
    </row>
    <row r="85" spans="1:65" ht="21" customHeight="1" thickBot="1" x14ac:dyDescent="0.35">
      <c r="B85" s="948">
        <v>3</v>
      </c>
      <c r="C85" s="919"/>
      <c r="D85" s="1907">
        <v>0</v>
      </c>
      <c r="E85" s="949" t="s">
        <v>147</v>
      </c>
      <c r="F85" s="950">
        <f t="shared" ref="F85:F106" si="37">IF(G85=8.3,8,G85)</f>
        <v>0.3</v>
      </c>
      <c r="G85" s="950">
        <f t="shared" si="20"/>
        <v>0.3</v>
      </c>
      <c r="H85" s="951">
        <v>217.52600000000001</v>
      </c>
      <c r="I85" s="952">
        <v>103.27776</v>
      </c>
      <c r="J85" s="924">
        <f t="shared" si="21"/>
        <v>103.27776</v>
      </c>
      <c r="K85" s="924">
        <f t="shared" si="5"/>
        <v>51.63888</v>
      </c>
      <c r="L85" s="924">
        <f t="shared" si="6"/>
        <v>0.78411477781089656</v>
      </c>
      <c r="M85" s="924">
        <f t="shared" si="7"/>
        <v>170.56535115809308</v>
      </c>
      <c r="N85" s="924">
        <f t="shared" si="8"/>
        <v>341.13070231618616</v>
      </c>
      <c r="O85" s="924">
        <f>+C83+D84+(D85/2)</f>
        <v>0</v>
      </c>
      <c r="P85" s="924">
        <f t="shared" si="9"/>
        <v>0</v>
      </c>
      <c r="Q85" s="924">
        <f t="shared" si="10"/>
        <v>0</v>
      </c>
      <c r="R85" s="924">
        <f t="shared" si="22"/>
        <v>135</v>
      </c>
      <c r="S85" s="924">
        <f t="shared" ref="S85:S106" si="38">+S84+Q85</f>
        <v>135</v>
      </c>
      <c r="T85" s="925">
        <f t="shared" si="11"/>
        <v>135</v>
      </c>
      <c r="V85" s="926">
        <f t="shared" si="12"/>
        <v>0</v>
      </c>
      <c r="W85" s="926"/>
      <c r="X85" s="926"/>
      <c r="Y85" s="926"/>
      <c r="Z85" s="926"/>
      <c r="AA85" s="926"/>
      <c r="AB85" s="950" t="str">
        <f t="shared" si="23"/>
        <v>pin in groundstacking hole</v>
      </c>
      <c r="AC85" s="930" t="b">
        <f>IF(AD85=3,AF85)</f>
        <v>0</v>
      </c>
      <c r="AD85" s="930">
        <f t="shared" si="24"/>
        <v>1</v>
      </c>
      <c r="AE85" s="1412">
        <f>IF(V85=0,0,3)</f>
        <v>0</v>
      </c>
      <c r="AF85" s="926">
        <f>SUM(V85:V108)/($B$80-B84)</f>
        <v>0</v>
      </c>
      <c r="AG85" s="876">
        <f>SUM(D84:D85)+$C$83</f>
        <v>0</v>
      </c>
      <c r="AH85" s="931" t="b">
        <f t="shared" si="13"/>
        <v>0</v>
      </c>
      <c r="AI85" s="875">
        <f t="shared" ref="AI85:AI106" si="39">58.15095-AG85</f>
        <v>58.150950000000002</v>
      </c>
      <c r="AJ85" s="953">
        <f t="shared" si="14"/>
        <v>0.84944126318315416</v>
      </c>
      <c r="AK85" s="954">
        <f t="shared" ref="AK85:AK106" si="40">+AJ85*233.0944</f>
        <v>198.0000015769194</v>
      </c>
      <c r="AL85" s="955">
        <f t="shared" si="25"/>
        <v>38.361121150000002</v>
      </c>
      <c r="AM85" s="956">
        <f t="shared" si="26"/>
        <v>0.62061585119404539</v>
      </c>
      <c r="AN85" s="957">
        <f t="shared" ref="AN85:AN106" si="41">+AM85*217.5259</f>
        <v>135.00002158525081</v>
      </c>
      <c r="AO85" s="938">
        <f t="shared" si="27"/>
        <v>-118.59522062146343</v>
      </c>
      <c r="AP85" s="958">
        <f t="shared" si="28"/>
        <v>-67</v>
      </c>
      <c r="AQ85" s="959">
        <f t="shared" si="29"/>
        <v>-31.5</v>
      </c>
      <c r="AR85" s="958">
        <f t="shared" si="30"/>
        <v>333.00002316217024</v>
      </c>
      <c r="AS85" s="940">
        <f t="shared" si="15"/>
        <v>-135.00002158525081</v>
      </c>
      <c r="AT85" s="941">
        <f t="shared" si="31"/>
        <v>16.40480096378738</v>
      </c>
      <c r="AU85" s="940"/>
      <c r="AV85" s="942">
        <f t="shared" si="32"/>
        <v>-29.948194611363</v>
      </c>
      <c r="AW85" s="942">
        <f t="shared" si="33"/>
        <v>-1.5518053886370027</v>
      </c>
      <c r="AX85" s="950">
        <f t="shared" si="16"/>
        <v>-333.90994448145403</v>
      </c>
      <c r="AY85" s="950">
        <f t="shared" si="17"/>
        <v>-5954.3548873198397</v>
      </c>
      <c r="AZ85" s="960">
        <f t="shared" si="34"/>
        <v>333.90994448145403</v>
      </c>
      <c r="BA85" s="960">
        <f t="shared" si="34"/>
        <v>5954.3548873198397</v>
      </c>
      <c r="BB85" s="785">
        <f t="shared" si="35"/>
        <v>0.3</v>
      </c>
      <c r="BC85" s="944">
        <v>-3</v>
      </c>
      <c r="BD85" s="945">
        <f t="shared" ref="BD85:BD106" si="42">+BD84+43</f>
        <v>-129</v>
      </c>
      <c r="BE85" s="1395">
        <f t="shared" ref="BE85:BE106" si="43">+BE84+$F$10</f>
        <v>-129</v>
      </c>
      <c r="BF85" s="946">
        <f t="shared" si="36"/>
        <v>-204.69022760795977</v>
      </c>
      <c r="BG85" s="947">
        <f t="shared" si="18"/>
        <v>204.69022760795977</v>
      </c>
      <c r="BH85" s="947">
        <f t="shared" ref="BH85:BH106" si="44">+BH84</f>
        <v>10.30977239204023</v>
      </c>
      <c r="BI85" s="947" t="b">
        <f t="shared" si="19"/>
        <v>0</v>
      </c>
      <c r="BJ85" s="855"/>
      <c r="BK85" s="855"/>
      <c r="BL85" s="855"/>
      <c r="BM85" s="855"/>
    </row>
    <row r="86" spans="1:65" ht="21" customHeight="1" thickBot="1" x14ac:dyDescent="0.35">
      <c r="B86" s="948">
        <v>4</v>
      </c>
      <c r="C86" s="919"/>
      <c r="D86" s="1907">
        <v>0</v>
      </c>
      <c r="E86" s="949" t="s">
        <v>147</v>
      </c>
      <c r="F86" s="950">
        <f t="shared" si="37"/>
        <v>0.3</v>
      </c>
      <c r="G86" s="950">
        <f t="shared" si="20"/>
        <v>0.3</v>
      </c>
      <c r="H86" s="951">
        <v>217.52600000000001</v>
      </c>
      <c r="I86" s="952">
        <v>103.27776</v>
      </c>
      <c r="J86" s="924">
        <f t="shared" si="21"/>
        <v>103.27776</v>
      </c>
      <c r="K86" s="924">
        <f t="shared" si="5"/>
        <v>51.63888</v>
      </c>
      <c r="L86" s="924">
        <f t="shared" si="6"/>
        <v>0.78411477781089656</v>
      </c>
      <c r="M86" s="924">
        <f t="shared" si="7"/>
        <v>170.56535115809308</v>
      </c>
      <c r="N86" s="924">
        <f t="shared" si="8"/>
        <v>341.13070231618616</v>
      </c>
      <c r="O86" s="924">
        <f>+C83+D84+D85+(D86/2)</f>
        <v>0</v>
      </c>
      <c r="P86" s="924">
        <f t="shared" si="9"/>
        <v>0</v>
      </c>
      <c r="Q86" s="924">
        <f t="shared" si="10"/>
        <v>0</v>
      </c>
      <c r="R86" s="924">
        <f t="shared" si="22"/>
        <v>135</v>
      </c>
      <c r="S86" s="924">
        <f t="shared" si="38"/>
        <v>135</v>
      </c>
      <c r="T86" s="925">
        <f t="shared" si="11"/>
        <v>135</v>
      </c>
      <c r="V86" s="926">
        <f t="shared" si="12"/>
        <v>0</v>
      </c>
      <c r="W86" s="926"/>
      <c r="X86" s="926"/>
      <c r="Y86" s="926"/>
      <c r="Z86" s="926"/>
      <c r="AA86" s="926"/>
      <c r="AB86" s="950" t="str">
        <f t="shared" si="23"/>
        <v>pin in groundstacking hole</v>
      </c>
      <c r="AC86" s="930" t="b">
        <f>IF(AD86=4,AF86)</f>
        <v>0</v>
      </c>
      <c r="AD86" s="930">
        <f t="shared" si="24"/>
        <v>1</v>
      </c>
      <c r="AE86" s="1412">
        <f>IF(V86=0,0,4)</f>
        <v>0</v>
      </c>
      <c r="AF86" s="926">
        <f>SUM(V86:V106)/($B$80-B85)</f>
        <v>0</v>
      </c>
      <c r="AG86" s="876">
        <f>SUM(D84:D86)+$C$83</f>
        <v>0</v>
      </c>
      <c r="AH86" s="931" t="b">
        <f t="shared" si="13"/>
        <v>0</v>
      </c>
      <c r="AI86" s="875">
        <f t="shared" si="39"/>
        <v>58.150950000000002</v>
      </c>
      <c r="AJ86" s="953">
        <f t="shared" si="14"/>
        <v>0.84944126318315416</v>
      </c>
      <c r="AK86" s="954">
        <f t="shared" si="40"/>
        <v>198.0000015769194</v>
      </c>
      <c r="AL86" s="955">
        <f t="shared" si="25"/>
        <v>38.361121150000002</v>
      </c>
      <c r="AM86" s="956">
        <f t="shared" si="26"/>
        <v>0.62061585119404539</v>
      </c>
      <c r="AN86" s="957">
        <f t="shared" si="41"/>
        <v>135.00002158525081</v>
      </c>
      <c r="AO86" s="938">
        <f t="shared" si="27"/>
        <v>-37.926390351026377</v>
      </c>
      <c r="AP86" s="958">
        <f t="shared" si="28"/>
        <v>-134</v>
      </c>
      <c r="AQ86" s="959">
        <f t="shared" si="29"/>
        <v>-98.5</v>
      </c>
      <c r="AR86" s="958">
        <f t="shared" si="30"/>
        <v>333.00002316217024</v>
      </c>
      <c r="AS86" s="940">
        <f t="shared" si="15"/>
        <v>-135.00002158525081</v>
      </c>
      <c r="AT86" s="941">
        <f t="shared" si="31"/>
        <v>97.073631234224422</v>
      </c>
      <c r="AU86" s="940"/>
      <c r="AV86" s="942">
        <f t="shared" si="32"/>
        <v>-69.786029995515776</v>
      </c>
      <c r="AW86" s="942">
        <f t="shared" si="33"/>
        <v>-28.713970004484217</v>
      </c>
      <c r="AX86" s="950">
        <f t="shared" si="16"/>
        <v>-143.2951552143397</v>
      </c>
      <c r="AY86" s="950">
        <f t="shared" si="17"/>
        <v>-321.79458286530922</v>
      </c>
      <c r="AZ86" s="960">
        <f t="shared" si="34"/>
        <v>143.2951552143397</v>
      </c>
      <c r="BA86" s="960">
        <f t="shared" si="34"/>
        <v>321.79458286530922</v>
      </c>
      <c r="BB86" s="785">
        <f t="shared" si="35"/>
        <v>0.3</v>
      </c>
      <c r="BC86" s="944">
        <v>-2</v>
      </c>
      <c r="BD86" s="945">
        <f t="shared" si="42"/>
        <v>-86</v>
      </c>
      <c r="BE86" s="1395">
        <f t="shared" si="43"/>
        <v>-86</v>
      </c>
      <c r="BF86" s="946">
        <f t="shared" si="36"/>
        <v>-161.69022760795977</v>
      </c>
      <c r="BG86" s="947">
        <f t="shared" si="18"/>
        <v>161.69022760795977</v>
      </c>
      <c r="BH86" s="947">
        <f t="shared" si="44"/>
        <v>10.30977239204023</v>
      </c>
      <c r="BI86" s="947" t="b">
        <f t="shared" si="19"/>
        <v>0</v>
      </c>
      <c r="BJ86" s="855"/>
      <c r="BK86" s="855"/>
      <c r="BL86" s="855"/>
      <c r="BM86" s="855"/>
    </row>
    <row r="87" spans="1:65" ht="21" customHeight="1" thickBot="1" x14ac:dyDescent="0.35">
      <c r="B87" s="948">
        <v>5</v>
      </c>
      <c r="C87" s="919"/>
      <c r="D87" s="1907">
        <v>0</v>
      </c>
      <c r="E87" s="949" t="s">
        <v>147</v>
      </c>
      <c r="F87" s="950">
        <f t="shared" si="37"/>
        <v>0.3</v>
      </c>
      <c r="G87" s="950">
        <f t="shared" si="20"/>
        <v>0.3</v>
      </c>
      <c r="H87" s="951">
        <v>217.52600000000001</v>
      </c>
      <c r="I87" s="952">
        <v>103.27776</v>
      </c>
      <c r="J87" s="924">
        <f t="shared" si="21"/>
        <v>103.27776</v>
      </c>
      <c r="K87" s="924">
        <f t="shared" si="5"/>
        <v>51.63888</v>
      </c>
      <c r="L87" s="924">
        <f t="shared" si="6"/>
        <v>0.78411477781089656</v>
      </c>
      <c r="M87" s="924">
        <f t="shared" si="7"/>
        <v>170.56535115809308</v>
      </c>
      <c r="N87" s="924">
        <f t="shared" si="8"/>
        <v>341.13070231618616</v>
      </c>
      <c r="O87" s="924">
        <f>+C83+D84+D85+D86+(D87/2)</f>
        <v>0</v>
      </c>
      <c r="P87" s="924">
        <f t="shared" si="9"/>
        <v>0</v>
      </c>
      <c r="Q87" s="924">
        <f t="shared" si="10"/>
        <v>0</v>
      </c>
      <c r="R87" s="924">
        <f t="shared" si="22"/>
        <v>135</v>
      </c>
      <c r="S87" s="924">
        <f t="shared" si="38"/>
        <v>135</v>
      </c>
      <c r="T87" s="925">
        <f t="shared" si="11"/>
        <v>135</v>
      </c>
      <c r="V87" s="926">
        <f t="shared" si="12"/>
        <v>0</v>
      </c>
      <c r="W87" s="926"/>
      <c r="X87" s="926"/>
      <c r="Y87" s="926"/>
      <c r="Z87" s="926"/>
      <c r="AA87" s="926"/>
      <c r="AB87" s="950" t="str">
        <f t="shared" si="23"/>
        <v>pin in groundstacking hole</v>
      </c>
      <c r="AC87" s="930" t="b">
        <f>IF(AD87=5,AF87)</f>
        <v>0</v>
      </c>
      <c r="AD87" s="930">
        <f t="shared" si="24"/>
        <v>1</v>
      </c>
      <c r="AE87" s="1412">
        <f>IF(V87=0,0,5)</f>
        <v>0</v>
      </c>
      <c r="AF87" s="926">
        <f>SUM(V87:V106)/($B$80-B86)</f>
        <v>0</v>
      </c>
      <c r="AG87" s="876">
        <f>SUM(D84:D87)+$C$83</f>
        <v>0</v>
      </c>
      <c r="AH87" s="931" t="b">
        <f t="shared" si="13"/>
        <v>0</v>
      </c>
      <c r="AI87" s="875">
        <f t="shared" si="39"/>
        <v>58.150950000000002</v>
      </c>
      <c r="AJ87" s="953">
        <f t="shared" si="14"/>
        <v>0.84944126318315416</v>
      </c>
      <c r="AK87" s="954">
        <f t="shared" si="40"/>
        <v>198.0000015769194</v>
      </c>
      <c r="AL87" s="955">
        <f t="shared" si="25"/>
        <v>38.361121150000002</v>
      </c>
      <c r="AM87" s="956">
        <f t="shared" si="26"/>
        <v>0.62061585119404539</v>
      </c>
      <c r="AN87" s="957">
        <f t="shared" si="41"/>
        <v>135.00002158525081</v>
      </c>
      <c r="AO87" s="938">
        <f t="shared" si="27"/>
        <v>-22.572504227045908</v>
      </c>
      <c r="AP87" s="958">
        <f t="shared" si="28"/>
        <v>-201</v>
      </c>
      <c r="AQ87" s="959">
        <f t="shared" si="29"/>
        <v>-165.5</v>
      </c>
      <c r="AR87" s="958">
        <f t="shared" si="30"/>
        <v>333.00002316217024</v>
      </c>
      <c r="AS87" s="940">
        <f t="shared" si="15"/>
        <v>-135.00002158525081</v>
      </c>
      <c r="AT87" s="941">
        <f t="shared" si="31"/>
        <v>112.4275173582049</v>
      </c>
      <c r="AU87" s="940"/>
      <c r="AV87" s="942">
        <f t="shared" si="32"/>
        <v>-109.62386537966854</v>
      </c>
      <c r="AW87" s="942">
        <f t="shared" si="33"/>
        <v>-55.876134620331428</v>
      </c>
      <c r="AX87" s="950">
        <f t="shared" si="16"/>
        <v>-91.221012553847203</v>
      </c>
      <c r="AY87" s="950">
        <f t="shared" si="17"/>
        <v>-165.36576953263116</v>
      </c>
      <c r="AZ87" s="960">
        <f t="shared" si="34"/>
        <v>91.221012553847203</v>
      </c>
      <c r="BA87" s="960">
        <f t="shared" si="34"/>
        <v>165.36576953263116</v>
      </c>
      <c r="BB87" s="785">
        <f t="shared" si="35"/>
        <v>0.3</v>
      </c>
      <c r="BC87" s="944">
        <v>-1</v>
      </c>
      <c r="BD87" s="945">
        <f t="shared" si="42"/>
        <v>-43</v>
      </c>
      <c r="BE87" s="1395">
        <f t="shared" si="43"/>
        <v>-43</v>
      </c>
      <c r="BF87" s="946">
        <f t="shared" si="36"/>
        <v>-118.69022760795977</v>
      </c>
      <c r="BG87" s="947">
        <f t="shared" si="18"/>
        <v>118.69022760795977</v>
      </c>
      <c r="BH87" s="947">
        <f t="shared" si="44"/>
        <v>10.30977239204023</v>
      </c>
      <c r="BI87" s="947" t="b">
        <f t="shared" si="19"/>
        <v>0</v>
      </c>
      <c r="BJ87" s="855"/>
      <c r="BK87" s="855"/>
      <c r="BL87" s="855"/>
      <c r="BM87" s="855"/>
    </row>
    <row r="88" spans="1:65" ht="21" customHeight="1" thickBot="1" x14ac:dyDescent="0.35">
      <c r="B88" s="948">
        <v>6</v>
      </c>
      <c r="C88" s="919"/>
      <c r="D88" s="1907">
        <v>0</v>
      </c>
      <c r="E88" s="949" t="s">
        <v>147</v>
      </c>
      <c r="F88" s="950">
        <f t="shared" si="37"/>
        <v>0.3</v>
      </c>
      <c r="G88" s="950">
        <f t="shared" si="20"/>
        <v>0.3</v>
      </c>
      <c r="H88" s="951">
        <v>217.52600000000001</v>
      </c>
      <c r="I88" s="952">
        <v>103.27776</v>
      </c>
      <c r="J88" s="924">
        <f t="shared" si="21"/>
        <v>103.27776</v>
      </c>
      <c r="K88" s="924">
        <f t="shared" si="5"/>
        <v>51.63888</v>
      </c>
      <c r="L88" s="924">
        <f t="shared" si="6"/>
        <v>0.78411477781089656</v>
      </c>
      <c r="M88" s="924">
        <f t="shared" si="7"/>
        <v>170.56535115809308</v>
      </c>
      <c r="N88" s="924">
        <f t="shared" si="8"/>
        <v>341.13070231618616</v>
      </c>
      <c r="O88" s="924">
        <f>+C83+D84+D85+D86+D87+(D88/2)</f>
        <v>0</v>
      </c>
      <c r="P88" s="924">
        <f t="shared" si="9"/>
        <v>0</v>
      </c>
      <c r="Q88" s="924">
        <f t="shared" si="10"/>
        <v>0</v>
      </c>
      <c r="R88" s="924">
        <f t="shared" si="22"/>
        <v>135</v>
      </c>
      <c r="S88" s="924">
        <f t="shared" si="38"/>
        <v>135</v>
      </c>
      <c r="T88" s="925">
        <f t="shared" si="11"/>
        <v>135</v>
      </c>
      <c r="V88" s="926">
        <f t="shared" si="12"/>
        <v>0</v>
      </c>
      <c r="W88" s="926"/>
      <c r="X88" s="926"/>
      <c r="Y88" s="926"/>
      <c r="Z88" s="926"/>
      <c r="AA88" s="926"/>
      <c r="AB88" s="950" t="str">
        <f t="shared" si="23"/>
        <v>pin in groundstacking hole</v>
      </c>
      <c r="AC88" s="930" t="b">
        <f>IF(AD88=6,AF88)</f>
        <v>0</v>
      </c>
      <c r="AD88" s="930">
        <f t="shared" si="24"/>
        <v>1</v>
      </c>
      <c r="AE88" s="1412">
        <f>IF(V88=0,0,6)</f>
        <v>0</v>
      </c>
      <c r="AF88" s="926">
        <f>SUM(V88:V106)/($B$80-B87)</f>
        <v>0</v>
      </c>
      <c r="AG88" s="876">
        <f>SUM(D84:D88)+$C$83</f>
        <v>0</v>
      </c>
      <c r="AH88" s="931" t="b">
        <f t="shared" si="13"/>
        <v>0</v>
      </c>
      <c r="AI88" s="875">
        <f t="shared" si="39"/>
        <v>58.150950000000002</v>
      </c>
      <c r="AJ88" s="953">
        <f t="shared" si="14"/>
        <v>0.84944126318315416</v>
      </c>
      <c r="AK88" s="954">
        <f t="shared" si="40"/>
        <v>198.0000015769194</v>
      </c>
      <c r="AL88" s="955">
        <f t="shared" si="25"/>
        <v>38.361121150000002</v>
      </c>
      <c r="AM88" s="956">
        <f t="shared" si="26"/>
        <v>0.62061585119404539</v>
      </c>
      <c r="AN88" s="957">
        <f t="shared" si="41"/>
        <v>135.00002158525081</v>
      </c>
      <c r="AO88" s="938">
        <f t="shared" si="27"/>
        <v>-16.067739568069239</v>
      </c>
      <c r="AP88" s="958">
        <f t="shared" si="28"/>
        <v>-268</v>
      </c>
      <c r="AQ88" s="959">
        <f t="shared" si="29"/>
        <v>-232.5</v>
      </c>
      <c r="AR88" s="958">
        <f t="shared" si="30"/>
        <v>333.00002316217024</v>
      </c>
      <c r="AS88" s="940">
        <f t="shared" si="15"/>
        <v>-135.00002158525081</v>
      </c>
      <c r="AT88" s="941">
        <f t="shared" si="31"/>
        <v>118.93228201718156</v>
      </c>
      <c r="AU88" s="940"/>
      <c r="AV88" s="942">
        <f t="shared" si="32"/>
        <v>-149.46170076382134</v>
      </c>
      <c r="AW88" s="942">
        <f t="shared" si="33"/>
        <v>-83.038299236178645</v>
      </c>
      <c r="AX88" s="950">
        <f t="shared" si="16"/>
        <v>-66.906772429961521</v>
      </c>
      <c r="AY88" s="950">
        <f t="shared" si="17"/>
        <v>-111.27395533137629</v>
      </c>
      <c r="AZ88" s="960">
        <f t="shared" si="34"/>
        <v>66.906772429961521</v>
      </c>
      <c r="BA88" s="960">
        <f t="shared" si="34"/>
        <v>111.27395533137629</v>
      </c>
      <c r="BB88" s="785">
        <f t="shared" si="35"/>
        <v>0.3</v>
      </c>
      <c r="BC88" s="944">
        <v>1</v>
      </c>
      <c r="BD88" s="945">
        <f t="shared" si="42"/>
        <v>0</v>
      </c>
      <c r="BE88" s="1395">
        <f t="shared" si="43"/>
        <v>0</v>
      </c>
      <c r="BF88" s="946">
        <f t="shared" si="36"/>
        <v>-75.69022760795977</v>
      </c>
      <c r="BG88" s="947">
        <f t="shared" si="18"/>
        <v>75.69022760795977</v>
      </c>
      <c r="BH88" s="947">
        <f t="shared" si="44"/>
        <v>10.30977239204023</v>
      </c>
      <c r="BI88" s="947" t="b">
        <f t="shared" si="19"/>
        <v>0</v>
      </c>
      <c r="BJ88" s="855"/>
      <c r="BK88" s="855"/>
      <c r="BL88" s="855"/>
      <c r="BM88" s="855"/>
    </row>
    <row r="89" spans="1:65" ht="21" customHeight="1" thickBot="1" x14ac:dyDescent="0.35">
      <c r="B89" s="948">
        <v>7</v>
      </c>
      <c r="C89" s="919"/>
      <c r="D89" s="1907">
        <v>0</v>
      </c>
      <c r="E89" s="949" t="s">
        <v>147</v>
      </c>
      <c r="F89" s="950">
        <f t="shared" si="37"/>
        <v>0.3</v>
      </c>
      <c r="G89" s="950">
        <f t="shared" si="20"/>
        <v>0.3</v>
      </c>
      <c r="H89" s="951">
        <v>217.52600000000001</v>
      </c>
      <c r="I89" s="952">
        <v>103.27776</v>
      </c>
      <c r="J89" s="924">
        <f t="shared" si="21"/>
        <v>103.27776</v>
      </c>
      <c r="K89" s="924">
        <f t="shared" si="5"/>
        <v>51.63888</v>
      </c>
      <c r="L89" s="924">
        <f t="shared" si="6"/>
        <v>0.78411477781089656</v>
      </c>
      <c r="M89" s="924">
        <f t="shared" si="7"/>
        <v>170.56535115809308</v>
      </c>
      <c r="N89" s="924">
        <f t="shared" si="8"/>
        <v>341.13070231618616</v>
      </c>
      <c r="O89" s="924">
        <f>+C83+D84+D85+D86+D87+D88+(D89/2)</f>
        <v>0</v>
      </c>
      <c r="P89" s="924">
        <f t="shared" si="9"/>
        <v>0</v>
      </c>
      <c r="Q89" s="924">
        <f t="shared" si="10"/>
        <v>0</v>
      </c>
      <c r="R89" s="924">
        <f t="shared" si="22"/>
        <v>135</v>
      </c>
      <c r="S89" s="924">
        <f t="shared" si="38"/>
        <v>135</v>
      </c>
      <c r="T89" s="925">
        <f t="shared" si="11"/>
        <v>135</v>
      </c>
      <c r="V89" s="926">
        <f t="shared" si="12"/>
        <v>0</v>
      </c>
      <c r="W89" s="926"/>
      <c r="X89" s="926"/>
      <c r="Y89" s="926"/>
      <c r="Z89" s="926"/>
      <c r="AA89" s="926"/>
      <c r="AB89" s="950" t="str">
        <f t="shared" si="23"/>
        <v>pin in groundstacking hole</v>
      </c>
      <c r="AC89" s="930" t="b">
        <f>IF(AD89=7,AF89)</f>
        <v>0</v>
      </c>
      <c r="AD89" s="930">
        <f t="shared" si="24"/>
        <v>1</v>
      </c>
      <c r="AE89" s="1412">
        <f>IF(V89=0,0,7)</f>
        <v>0</v>
      </c>
      <c r="AF89" s="926">
        <f>SUM(V89:V106)/($B$80-B88)</f>
        <v>0</v>
      </c>
      <c r="AG89" s="876">
        <f>SUM(D84:D89)+$C$83</f>
        <v>0</v>
      </c>
      <c r="AH89" s="931" t="b">
        <f t="shared" si="13"/>
        <v>0</v>
      </c>
      <c r="AI89" s="875">
        <f t="shared" si="39"/>
        <v>58.150950000000002</v>
      </c>
      <c r="AJ89" s="953">
        <f t="shared" si="14"/>
        <v>0.84944126318315416</v>
      </c>
      <c r="AK89" s="954">
        <f t="shared" si="40"/>
        <v>198.0000015769194</v>
      </c>
      <c r="AL89" s="955">
        <f t="shared" si="25"/>
        <v>38.361121150000002</v>
      </c>
      <c r="AM89" s="956">
        <f t="shared" si="26"/>
        <v>0.62061585119404539</v>
      </c>
      <c r="AN89" s="957">
        <f t="shared" si="41"/>
        <v>135.00002158525081</v>
      </c>
      <c r="AO89" s="938">
        <f t="shared" si="27"/>
        <v>-12.473286976881797</v>
      </c>
      <c r="AP89" s="958">
        <f t="shared" si="28"/>
        <v>-335</v>
      </c>
      <c r="AQ89" s="959">
        <f t="shared" si="29"/>
        <v>-299.5</v>
      </c>
      <c r="AR89" s="958">
        <f t="shared" si="30"/>
        <v>333.00002316217024</v>
      </c>
      <c r="AS89" s="940">
        <f t="shared" si="15"/>
        <v>-135.00002158525081</v>
      </c>
      <c r="AT89" s="941">
        <f t="shared" si="31"/>
        <v>122.52673460836901</v>
      </c>
      <c r="AU89" s="940"/>
      <c r="AV89" s="942">
        <f t="shared" si="32"/>
        <v>-189.29953614797415</v>
      </c>
      <c r="AW89" s="942">
        <f t="shared" si="33"/>
        <v>-110.20046385202586</v>
      </c>
      <c r="AX89" s="950">
        <f t="shared" si="16"/>
        <v>-52.826331239306725</v>
      </c>
      <c r="AY89" s="950">
        <f t="shared" si="17"/>
        <v>-83.847196981014676</v>
      </c>
      <c r="AZ89" s="960">
        <f t="shared" si="34"/>
        <v>52.826331239306725</v>
      </c>
      <c r="BA89" s="960">
        <f t="shared" si="34"/>
        <v>83.847196981014676</v>
      </c>
      <c r="BB89" s="785">
        <f t="shared" si="35"/>
        <v>0.3</v>
      </c>
      <c r="BC89" s="944">
        <v>2</v>
      </c>
      <c r="BD89" s="945">
        <f t="shared" si="42"/>
        <v>43</v>
      </c>
      <c r="BE89" s="1395">
        <f t="shared" si="43"/>
        <v>43</v>
      </c>
      <c r="BF89" s="946">
        <f t="shared" si="36"/>
        <v>-32.69022760795977</v>
      </c>
      <c r="BG89" s="947">
        <f t="shared" si="18"/>
        <v>32.69022760795977</v>
      </c>
      <c r="BH89" s="947">
        <f t="shared" si="44"/>
        <v>10.30977239204023</v>
      </c>
      <c r="BI89" s="947" t="b">
        <f t="shared" si="19"/>
        <v>0</v>
      </c>
      <c r="BJ89" s="855"/>
      <c r="BK89" s="855"/>
      <c r="BL89" s="855"/>
      <c r="BM89" s="855"/>
    </row>
    <row r="90" spans="1:65" ht="21" customHeight="1" thickBot="1" x14ac:dyDescent="0.35">
      <c r="B90" s="948">
        <v>8</v>
      </c>
      <c r="C90" s="919"/>
      <c r="D90" s="1907">
        <v>0</v>
      </c>
      <c r="E90" s="949" t="s">
        <v>147</v>
      </c>
      <c r="F90" s="950">
        <f t="shared" si="37"/>
        <v>0.3</v>
      </c>
      <c r="G90" s="950">
        <f t="shared" si="20"/>
        <v>0.3</v>
      </c>
      <c r="H90" s="951">
        <v>217.52600000000001</v>
      </c>
      <c r="I90" s="952">
        <v>103.27776</v>
      </c>
      <c r="J90" s="924">
        <f t="shared" si="21"/>
        <v>103.27776</v>
      </c>
      <c r="K90" s="924">
        <f t="shared" si="5"/>
        <v>51.63888</v>
      </c>
      <c r="L90" s="924">
        <f t="shared" si="6"/>
        <v>0.78411477781089656</v>
      </c>
      <c r="M90" s="924">
        <f t="shared" si="7"/>
        <v>170.56535115809308</v>
      </c>
      <c r="N90" s="924">
        <f t="shared" si="8"/>
        <v>341.13070231618616</v>
      </c>
      <c r="O90" s="924">
        <f>+C83+D84+D85+D86+D87+D88+D89+(D90/2)</f>
        <v>0</v>
      </c>
      <c r="P90" s="924">
        <f t="shared" si="9"/>
        <v>0</v>
      </c>
      <c r="Q90" s="924">
        <f t="shared" si="10"/>
        <v>0</v>
      </c>
      <c r="R90" s="924">
        <f t="shared" si="22"/>
        <v>135</v>
      </c>
      <c r="S90" s="924">
        <f t="shared" si="38"/>
        <v>135</v>
      </c>
      <c r="T90" s="925">
        <f t="shared" si="11"/>
        <v>135</v>
      </c>
      <c r="V90" s="926">
        <f t="shared" si="12"/>
        <v>0</v>
      </c>
      <c r="W90" s="926"/>
      <c r="X90" s="926"/>
      <c r="Y90" s="926"/>
      <c r="Z90" s="926"/>
      <c r="AA90" s="926"/>
      <c r="AB90" s="950" t="str">
        <f t="shared" si="23"/>
        <v>pin in groundstacking hole</v>
      </c>
      <c r="AC90" s="930" t="b">
        <f>IF(AD90=8,AF90)</f>
        <v>0</v>
      </c>
      <c r="AD90" s="930">
        <f t="shared" si="24"/>
        <v>1</v>
      </c>
      <c r="AE90" s="1412">
        <f>IF(V90=0,0,8)</f>
        <v>0</v>
      </c>
      <c r="AF90" s="926">
        <f>SUM(V90:V106)/($B$80-B89)</f>
        <v>0</v>
      </c>
      <c r="AG90" s="876">
        <f>SUM(D84:D90)+$C$83</f>
        <v>0</v>
      </c>
      <c r="AH90" s="931" t="b">
        <f t="shared" si="13"/>
        <v>0</v>
      </c>
      <c r="AI90" s="875">
        <f t="shared" si="39"/>
        <v>58.150950000000002</v>
      </c>
      <c r="AJ90" s="953">
        <f t="shared" si="14"/>
        <v>0.84944126318315416</v>
      </c>
      <c r="AK90" s="954">
        <f t="shared" si="40"/>
        <v>198.0000015769194</v>
      </c>
      <c r="AL90" s="955">
        <f t="shared" si="25"/>
        <v>38.361121150000002</v>
      </c>
      <c r="AM90" s="956">
        <f t="shared" si="26"/>
        <v>0.62061585119404539</v>
      </c>
      <c r="AN90" s="957">
        <f t="shared" si="41"/>
        <v>135.00002158525081</v>
      </c>
      <c r="AO90" s="938">
        <f t="shared" si="27"/>
        <v>-10.193040790112136</v>
      </c>
      <c r="AP90" s="958">
        <f t="shared" si="28"/>
        <v>-402</v>
      </c>
      <c r="AQ90" s="959">
        <f t="shared" si="29"/>
        <v>-366.5</v>
      </c>
      <c r="AR90" s="958">
        <f t="shared" si="30"/>
        <v>333.00002316217024</v>
      </c>
      <c r="AS90" s="940">
        <f t="shared" si="15"/>
        <v>-135.00002158525081</v>
      </c>
      <c r="AT90" s="941">
        <f t="shared" si="31"/>
        <v>124.80698079513867</v>
      </c>
      <c r="AU90" s="940"/>
      <c r="AV90" s="942">
        <f t="shared" si="32"/>
        <v>-229.13737153212693</v>
      </c>
      <c r="AW90" s="942">
        <f t="shared" si="33"/>
        <v>-137.36262846787309</v>
      </c>
      <c r="AX90" s="950">
        <f t="shared" si="16"/>
        <v>-43.641942530522215</v>
      </c>
      <c r="AY90" s="950">
        <f t="shared" si="17"/>
        <v>-67.267204355812737</v>
      </c>
      <c r="AZ90" s="960">
        <f t="shared" si="34"/>
        <v>43.641942530522215</v>
      </c>
      <c r="BA90" s="960">
        <f t="shared" si="34"/>
        <v>67.267204355812737</v>
      </c>
      <c r="BB90" s="785">
        <f t="shared" si="35"/>
        <v>0.3</v>
      </c>
      <c r="BC90" s="930">
        <v>3</v>
      </c>
      <c r="BD90" s="945">
        <f t="shared" si="42"/>
        <v>86</v>
      </c>
      <c r="BE90" s="1395">
        <f t="shared" si="43"/>
        <v>86</v>
      </c>
      <c r="BF90" s="946">
        <f t="shared" si="36"/>
        <v>10.30977239204023</v>
      </c>
      <c r="BG90" s="947">
        <f t="shared" si="18"/>
        <v>10.30977239204023</v>
      </c>
      <c r="BH90" s="947">
        <f t="shared" si="44"/>
        <v>10.30977239204023</v>
      </c>
      <c r="BI90" s="947">
        <f t="shared" si="19"/>
        <v>3</v>
      </c>
      <c r="BJ90" s="855"/>
      <c r="BK90" s="855"/>
      <c r="BL90" s="855"/>
      <c r="BM90" s="855"/>
    </row>
    <row r="91" spans="1:65" ht="21" customHeight="1" thickBot="1" x14ac:dyDescent="0.35">
      <c r="B91" s="948">
        <v>9</v>
      </c>
      <c r="C91" s="919"/>
      <c r="D91" s="1907">
        <v>0</v>
      </c>
      <c r="E91" s="949" t="s">
        <v>147</v>
      </c>
      <c r="F91" s="950">
        <f t="shared" si="37"/>
        <v>0.3</v>
      </c>
      <c r="G91" s="950">
        <f t="shared" si="20"/>
        <v>0.3</v>
      </c>
      <c r="H91" s="951">
        <v>217.52600000000001</v>
      </c>
      <c r="I91" s="952">
        <v>103.27776</v>
      </c>
      <c r="J91" s="924">
        <f t="shared" si="21"/>
        <v>103.27776</v>
      </c>
      <c r="K91" s="924">
        <f t="shared" si="5"/>
        <v>51.63888</v>
      </c>
      <c r="L91" s="924">
        <f t="shared" si="6"/>
        <v>0.78411477781089656</v>
      </c>
      <c r="M91" s="924">
        <f t="shared" si="7"/>
        <v>170.56535115809308</v>
      </c>
      <c r="N91" s="924">
        <f t="shared" si="8"/>
        <v>341.13070231618616</v>
      </c>
      <c r="O91" s="924">
        <f>+C83+D84+D85+D86+D87+D88+D89+D90+(D91/2)</f>
        <v>0</v>
      </c>
      <c r="P91" s="924">
        <f t="shared" si="9"/>
        <v>0</v>
      </c>
      <c r="Q91" s="924">
        <f t="shared" si="10"/>
        <v>0</v>
      </c>
      <c r="R91" s="924">
        <f t="shared" si="22"/>
        <v>135</v>
      </c>
      <c r="S91" s="924">
        <f t="shared" si="38"/>
        <v>135</v>
      </c>
      <c r="T91" s="925">
        <f t="shared" si="11"/>
        <v>135</v>
      </c>
      <c r="V91" s="926">
        <f t="shared" si="12"/>
        <v>0</v>
      </c>
      <c r="W91" s="926"/>
      <c r="X91" s="926"/>
      <c r="Y91" s="926"/>
      <c r="Z91" s="926"/>
      <c r="AA91" s="926"/>
      <c r="AB91" s="950" t="str">
        <f t="shared" si="23"/>
        <v>pin in groundstacking hole</v>
      </c>
      <c r="AC91" s="930" t="b">
        <f>IF(AD91=9,AF91)</f>
        <v>0</v>
      </c>
      <c r="AD91" s="930">
        <f t="shared" si="24"/>
        <v>1</v>
      </c>
      <c r="AE91" s="1412">
        <f>IF(V91=0,0,9)</f>
        <v>0</v>
      </c>
      <c r="AF91" s="926">
        <f>SUM(V91:V106)/($B$80-B90)</f>
        <v>0</v>
      </c>
      <c r="AG91" s="876">
        <f>SUM(D84:D91)+$C$83</f>
        <v>0</v>
      </c>
      <c r="AH91" s="931" t="b">
        <f t="shared" si="13"/>
        <v>0</v>
      </c>
      <c r="AI91" s="875">
        <f t="shared" si="39"/>
        <v>58.150950000000002</v>
      </c>
      <c r="AJ91" s="953">
        <f t="shared" si="14"/>
        <v>0.84944126318315416</v>
      </c>
      <c r="AK91" s="954">
        <f t="shared" si="40"/>
        <v>198.0000015769194</v>
      </c>
      <c r="AL91" s="955">
        <f t="shared" si="25"/>
        <v>38.361121150000002</v>
      </c>
      <c r="AM91" s="956">
        <f t="shared" si="26"/>
        <v>0.62061585119404539</v>
      </c>
      <c r="AN91" s="957">
        <f t="shared" si="41"/>
        <v>135.00002158525081</v>
      </c>
      <c r="AO91" s="938">
        <f t="shared" si="27"/>
        <v>-8.6176457891028786</v>
      </c>
      <c r="AP91" s="958">
        <f t="shared" si="28"/>
        <v>-469</v>
      </c>
      <c r="AQ91" s="959">
        <f t="shared" si="29"/>
        <v>-433.5</v>
      </c>
      <c r="AR91" s="958">
        <f t="shared" si="30"/>
        <v>333.00002316217024</v>
      </c>
      <c r="AS91" s="940">
        <f t="shared" si="15"/>
        <v>-135.00002158525081</v>
      </c>
      <c r="AT91" s="941">
        <f t="shared" si="31"/>
        <v>126.38237579614793</v>
      </c>
      <c r="AU91" s="940"/>
      <c r="AV91" s="942">
        <f t="shared" si="32"/>
        <v>-268.97520691627972</v>
      </c>
      <c r="AW91" s="942">
        <f t="shared" si="33"/>
        <v>-164.52479308372031</v>
      </c>
      <c r="AX91" s="950">
        <f t="shared" si="16"/>
        <v>-37.178147810153241</v>
      </c>
      <c r="AY91" s="950">
        <f t="shared" si="17"/>
        <v>-56.161748188907438</v>
      </c>
      <c r="AZ91" s="960">
        <f t="shared" si="34"/>
        <v>37.178147810153241</v>
      </c>
      <c r="BA91" s="960">
        <f t="shared" si="34"/>
        <v>56.161748188907438</v>
      </c>
      <c r="BB91" s="785">
        <f t="shared" si="35"/>
        <v>0.3</v>
      </c>
      <c r="BC91" s="930">
        <v>4</v>
      </c>
      <c r="BD91" s="945">
        <f t="shared" si="42"/>
        <v>129</v>
      </c>
      <c r="BE91" s="1395">
        <f t="shared" si="43"/>
        <v>129</v>
      </c>
      <c r="BF91" s="946">
        <f t="shared" si="36"/>
        <v>53.30977239204023</v>
      </c>
      <c r="BG91" s="947">
        <f t="shared" si="18"/>
        <v>53.30977239204023</v>
      </c>
      <c r="BH91" s="947">
        <f t="shared" si="44"/>
        <v>10.30977239204023</v>
      </c>
      <c r="BI91" s="947" t="b">
        <f t="shared" si="19"/>
        <v>0</v>
      </c>
      <c r="BJ91" s="855"/>
      <c r="BK91" s="855"/>
      <c r="BL91" s="855"/>
      <c r="BM91" s="855"/>
    </row>
    <row r="92" spans="1:65" ht="21" customHeight="1" thickBot="1" x14ac:dyDescent="0.35">
      <c r="B92" s="948">
        <v>10</v>
      </c>
      <c r="C92" s="919"/>
      <c r="D92" s="1907">
        <v>0</v>
      </c>
      <c r="E92" s="949" t="s">
        <v>147</v>
      </c>
      <c r="F92" s="950">
        <f t="shared" si="37"/>
        <v>0.3</v>
      </c>
      <c r="G92" s="950">
        <f t="shared" si="20"/>
        <v>0.3</v>
      </c>
      <c r="H92" s="951">
        <v>217.52600000000001</v>
      </c>
      <c r="I92" s="952">
        <v>103.27776</v>
      </c>
      <c r="J92" s="924">
        <f t="shared" si="21"/>
        <v>103.27776</v>
      </c>
      <c r="K92" s="924">
        <f t="shared" si="5"/>
        <v>51.63888</v>
      </c>
      <c r="L92" s="924">
        <f t="shared" si="6"/>
        <v>0.78411477781089656</v>
      </c>
      <c r="M92" s="924">
        <f t="shared" si="7"/>
        <v>170.56535115809308</v>
      </c>
      <c r="N92" s="924">
        <f t="shared" si="8"/>
        <v>341.13070231618616</v>
      </c>
      <c r="O92" s="924">
        <f>+C83+D84+D85+D86+D87+D88+D89+D90+D91+(D92/2)</f>
        <v>0</v>
      </c>
      <c r="P92" s="924">
        <f t="shared" si="9"/>
        <v>0</v>
      </c>
      <c r="Q92" s="924">
        <f t="shared" si="10"/>
        <v>0</v>
      </c>
      <c r="R92" s="924">
        <f t="shared" si="22"/>
        <v>135</v>
      </c>
      <c r="S92" s="924">
        <f t="shared" si="38"/>
        <v>135</v>
      </c>
      <c r="T92" s="925">
        <f t="shared" si="11"/>
        <v>135</v>
      </c>
      <c r="V92" s="926">
        <f t="shared" si="12"/>
        <v>0</v>
      </c>
      <c r="W92" s="926"/>
      <c r="X92" s="926"/>
      <c r="Y92" s="926"/>
      <c r="Z92" s="926"/>
      <c r="AA92" s="926"/>
      <c r="AB92" s="950" t="str">
        <f t="shared" si="23"/>
        <v>pin in groundstacking hole</v>
      </c>
      <c r="AC92" s="930" t="b">
        <f>IF(AD92=10,AF92)</f>
        <v>0</v>
      </c>
      <c r="AD92" s="930">
        <f t="shared" si="24"/>
        <v>1</v>
      </c>
      <c r="AE92" s="1412">
        <f>IF(V92=0,0,10)</f>
        <v>0</v>
      </c>
      <c r="AF92" s="926">
        <f>SUM(V92:V107)/($B$80-B91)</f>
        <v>0</v>
      </c>
      <c r="AG92" s="876">
        <f>SUM(D84:D92)+$C$83</f>
        <v>0</v>
      </c>
      <c r="AH92" s="931" t="b">
        <f t="shared" si="13"/>
        <v>0</v>
      </c>
      <c r="AI92" s="875">
        <f t="shared" si="39"/>
        <v>58.150950000000002</v>
      </c>
      <c r="AJ92" s="953">
        <f t="shared" si="14"/>
        <v>0.84944126318315416</v>
      </c>
      <c r="AK92" s="954">
        <f t="shared" si="40"/>
        <v>198.0000015769194</v>
      </c>
      <c r="AL92" s="955">
        <f t="shared" si="25"/>
        <v>38.361121150000002</v>
      </c>
      <c r="AM92" s="956">
        <f t="shared" si="26"/>
        <v>0.62061585119404539</v>
      </c>
      <c r="AN92" s="957">
        <f t="shared" si="41"/>
        <v>135.00002158525081</v>
      </c>
      <c r="AO92" s="938">
        <f t="shared" si="27"/>
        <v>-7.4640348642879077</v>
      </c>
      <c r="AP92" s="958">
        <f t="shared" si="28"/>
        <v>-536</v>
      </c>
      <c r="AQ92" s="959">
        <f t="shared" si="29"/>
        <v>-500.5</v>
      </c>
      <c r="AR92" s="958">
        <f t="shared" si="30"/>
        <v>333.00002316217024</v>
      </c>
      <c r="AS92" s="940">
        <f t="shared" si="15"/>
        <v>-135.00002158525081</v>
      </c>
      <c r="AT92" s="941">
        <f t="shared" si="31"/>
        <v>127.5359867209629</v>
      </c>
      <c r="AU92" s="940"/>
      <c r="AV92" s="942">
        <f t="shared" si="32"/>
        <v>-308.81304230043247</v>
      </c>
      <c r="AW92" s="942">
        <f t="shared" si="33"/>
        <v>-191.68695769956753</v>
      </c>
      <c r="AX92" s="950">
        <f t="shared" si="16"/>
        <v>-32.382052019264719</v>
      </c>
      <c r="AY92" s="950">
        <f t="shared" si="17"/>
        <v>-48.203592518182298</v>
      </c>
      <c r="AZ92" s="960">
        <f t="shared" si="34"/>
        <v>32.382052019264719</v>
      </c>
      <c r="BA92" s="960">
        <f t="shared" si="34"/>
        <v>48.203592518182298</v>
      </c>
      <c r="BB92" s="785">
        <f t="shared" si="35"/>
        <v>0.3</v>
      </c>
      <c r="BC92" s="930">
        <v>5</v>
      </c>
      <c r="BD92" s="945">
        <f t="shared" si="42"/>
        <v>172</v>
      </c>
      <c r="BE92" s="1395">
        <f t="shared" si="43"/>
        <v>172</v>
      </c>
      <c r="BF92" s="946">
        <f t="shared" si="36"/>
        <v>96.30977239204023</v>
      </c>
      <c r="BG92" s="947">
        <f t="shared" si="18"/>
        <v>96.30977239204023</v>
      </c>
      <c r="BH92" s="947">
        <f t="shared" si="44"/>
        <v>10.30977239204023</v>
      </c>
      <c r="BI92" s="947" t="b">
        <f t="shared" si="19"/>
        <v>0</v>
      </c>
      <c r="BJ92" s="855"/>
      <c r="BK92" s="855"/>
      <c r="BL92" s="855"/>
      <c r="BM92" s="855"/>
    </row>
    <row r="93" spans="1:65" ht="21" customHeight="1" thickBot="1" x14ac:dyDescent="0.35">
      <c r="A93" s="961"/>
      <c r="B93" s="948">
        <v>11</v>
      </c>
      <c r="C93" s="919"/>
      <c r="D93" s="1907">
        <v>0</v>
      </c>
      <c r="E93" s="949" t="s">
        <v>147</v>
      </c>
      <c r="F93" s="950">
        <f t="shared" si="37"/>
        <v>0.3</v>
      </c>
      <c r="G93" s="950">
        <f t="shared" si="20"/>
        <v>0.3</v>
      </c>
      <c r="H93" s="951">
        <v>217.52600000000001</v>
      </c>
      <c r="I93" s="952">
        <v>103.27776</v>
      </c>
      <c r="J93" s="924">
        <f t="shared" si="21"/>
        <v>103.27776</v>
      </c>
      <c r="K93" s="924">
        <f t="shared" si="5"/>
        <v>51.63888</v>
      </c>
      <c r="L93" s="924">
        <f t="shared" si="6"/>
        <v>0.78411477781089656</v>
      </c>
      <c r="M93" s="924">
        <f t="shared" si="7"/>
        <v>170.56535115809308</v>
      </c>
      <c r="N93" s="924">
        <f t="shared" si="8"/>
        <v>341.13070231618616</v>
      </c>
      <c r="O93" s="924">
        <f>+C83+D84+D85+D86+D87+D88+D89+D90+D91+D92+(D93/2)</f>
        <v>0</v>
      </c>
      <c r="P93" s="924">
        <f t="shared" si="9"/>
        <v>0</v>
      </c>
      <c r="Q93" s="924">
        <f t="shared" si="10"/>
        <v>0</v>
      </c>
      <c r="R93" s="924">
        <f t="shared" si="22"/>
        <v>135</v>
      </c>
      <c r="S93" s="924">
        <f t="shared" si="38"/>
        <v>135</v>
      </c>
      <c r="T93" s="925">
        <f t="shared" si="11"/>
        <v>135</v>
      </c>
      <c r="V93" s="926">
        <f t="shared" si="12"/>
        <v>0</v>
      </c>
      <c r="W93" s="926"/>
      <c r="X93" s="926"/>
      <c r="Y93" s="926"/>
      <c r="Z93" s="926"/>
      <c r="AA93" s="926"/>
      <c r="AB93" s="950" t="str">
        <f t="shared" si="23"/>
        <v>pin in groundstacking hole</v>
      </c>
      <c r="AC93" s="930" t="b">
        <f>IF(AD93=11,AF93)</f>
        <v>0</v>
      </c>
      <c r="AD93" s="930">
        <f t="shared" si="24"/>
        <v>1</v>
      </c>
      <c r="AE93" s="1412">
        <f>IF(V93=0,0,11)</f>
        <v>0</v>
      </c>
      <c r="AF93" s="926">
        <f>SUM(V93:V107)/($B$80-B92)</f>
        <v>0</v>
      </c>
      <c r="AG93" s="876">
        <f>SUM(D84:D93)+$C$83</f>
        <v>0</v>
      </c>
      <c r="AH93" s="931" t="b">
        <f t="shared" si="13"/>
        <v>0</v>
      </c>
      <c r="AI93" s="875">
        <f t="shared" si="39"/>
        <v>58.150950000000002</v>
      </c>
      <c r="AJ93" s="953">
        <f t="shared" si="14"/>
        <v>0.84944126318315416</v>
      </c>
      <c r="AK93" s="954">
        <f t="shared" si="40"/>
        <v>198.0000015769194</v>
      </c>
      <c r="AL93" s="955">
        <f t="shared" si="25"/>
        <v>38.361121150000002</v>
      </c>
      <c r="AM93" s="956">
        <f t="shared" si="26"/>
        <v>0.62061585119404539</v>
      </c>
      <c r="AN93" s="957">
        <f t="shared" si="41"/>
        <v>135.00002158525081</v>
      </c>
      <c r="AO93" s="938">
        <f t="shared" si="27"/>
        <v>-6.5828184133499521</v>
      </c>
      <c r="AP93" s="958">
        <f t="shared" si="28"/>
        <v>-603</v>
      </c>
      <c r="AQ93" s="959">
        <f t="shared" si="29"/>
        <v>-567.5</v>
      </c>
      <c r="AR93" s="958">
        <f t="shared" si="30"/>
        <v>333.00002316217024</v>
      </c>
      <c r="AS93" s="940">
        <f t="shared" si="15"/>
        <v>-135.00002158525081</v>
      </c>
      <c r="AT93" s="941">
        <f t="shared" si="31"/>
        <v>128.41720317190087</v>
      </c>
      <c r="AU93" s="940"/>
      <c r="AV93" s="942">
        <f t="shared" si="32"/>
        <v>-348.65087768458523</v>
      </c>
      <c r="AW93" s="942">
        <f t="shared" si="33"/>
        <v>-218.84912231541477</v>
      </c>
      <c r="AX93" s="950">
        <f t="shared" si="16"/>
        <v>-28.681987168398074</v>
      </c>
      <c r="AY93" s="950">
        <f t="shared" si="17"/>
        <v>-42.220868433198078</v>
      </c>
      <c r="AZ93" s="960">
        <f t="shared" si="34"/>
        <v>28.681987168398074</v>
      </c>
      <c r="BA93" s="960">
        <f t="shared" si="34"/>
        <v>42.220868433198078</v>
      </c>
      <c r="BB93" s="785">
        <f t="shared" si="35"/>
        <v>0.3</v>
      </c>
      <c r="BC93" s="930">
        <v>6</v>
      </c>
      <c r="BD93" s="945">
        <f t="shared" si="42"/>
        <v>215</v>
      </c>
      <c r="BE93" s="1395">
        <f t="shared" si="43"/>
        <v>215</v>
      </c>
      <c r="BF93" s="946">
        <f t="shared" si="36"/>
        <v>139.30977239204023</v>
      </c>
      <c r="BG93" s="947">
        <f t="shared" si="18"/>
        <v>139.30977239204023</v>
      </c>
      <c r="BH93" s="947">
        <f t="shared" si="44"/>
        <v>10.30977239204023</v>
      </c>
      <c r="BI93" s="947" t="b">
        <f t="shared" si="19"/>
        <v>0</v>
      </c>
      <c r="BJ93" s="855"/>
      <c r="BK93" s="855"/>
      <c r="BL93" s="855"/>
      <c r="BM93" s="855"/>
    </row>
    <row r="94" spans="1:65" ht="21" customHeight="1" thickBot="1" x14ac:dyDescent="0.35">
      <c r="A94" s="961"/>
      <c r="B94" s="948">
        <v>12</v>
      </c>
      <c r="C94" s="919"/>
      <c r="D94" s="1907">
        <v>0</v>
      </c>
      <c r="E94" s="949" t="s">
        <v>147</v>
      </c>
      <c r="F94" s="950">
        <f t="shared" si="37"/>
        <v>0.3</v>
      </c>
      <c r="G94" s="950">
        <f t="shared" si="20"/>
        <v>0.3</v>
      </c>
      <c r="H94" s="951">
        <v>217.52600000000001</v>
      </c>
      <c r="I94" s="952">
        <v>103.27776</v>
      </c>
      <c r="J94" s="924">
        <f t="shared" si="21"/>
        <v>103.27776</v>
      </c>
      <c r="K94" s="924">
        <f t="shared" si="5"/>
        <v>51.63888</v>
      </c>
      <c r="L94" s="924">
        <f t="shared" si="6"/>
        <v>0.78411477781089656</v>
      </c>
      <c r="M94" s="924">
        <f t="shared" si="7"/>
        <v>170.56535115809308</v>
      </c>
      <c r="N94" s="924">
        <f t="shared" si="8"/>
        <v>341.13070231618616</v>
      </c>
      <c r="O94" s="924">
        <f>+C83+D84+D85+D86+D87+D88+D89+D90+D91+D92+D93+(D94/2)</f>
        <v>0</v>
      </c>
      <c r="P94" s="924">
        <f t="shared" si="9"/>
        <v>0</v>
      </c>
      <c r="Q94" s="924">
        <f t="shared" si="10"/>
        <v>0</v>
      </c>
      <c r="R94" s="924">
        <f t="shared" si="22"/>
        <v>135</v>
      </c>
      <c r="S94" s="924">
        <f t="shared" si="38"/>
        <v>135</v>
      </c>
      <c r="T94" s="925">
        <f t="shared" si="11"/>
        <v>135</v>
      </c>
      <c r="V94" s="926">
        <f t="shared" si="12"/>
        <v>0</v>
      </c>
      <c r="W94" s="926"/>
      <c r="X94" s="926"/>
      <c r="Y94" s="926"/>
      <c r="Z94" s="926"/>
      <c r="AA94" s="926"/>
      <c r="AB94" s="950" t="str">
        <f t="shared" si="23"/>
        <v>pin in groundstacking hole</v>
      </c>
      <c r="AC94" s="930" t="b">
        <f>IF(AD94=12,AF94)</f>
        <v>0</v>
      </c>
      <c r="AD94" s="930">
        <f t="shared" si="24"/>
        <v>1</v>
      </c>
      <c r="AE94" s="1412">
        <f>IF(V94=0,0,12)</f>
        <v>0</v>
      </c>
      <c r="AF94" s="926">
        <f>SUM(V94:V106)/($B$80-B93)</f>
        <v>0</v>
      </c>
      <c r="AG94" s="876">
        <f>SUM(D84:D94)+$C$83</f>
        <v>0</v>
      </c>
      <c r="AH94" s="931" t="b">
        <f t="shared" si="13"/>
        <v>0</v>
      </c>
      <c r="AI94" s="875">
        <f t="shared" si="39"/>
        <v>58.150950000000002</v>
      </c>
      <c r="AJ94" s="953">
        <f t="shared" si="14"/>
        <v>0.84944126318315416</v>
      </c>
      <c r="AK94" s="954">
        <f t="shared" si="40"/>
        <v>198.0000015769194</v>
      </c>
      <c r="AL94" s="955">
        <f t="shared" si="25"/>
        <v>38.361121150000002</v>
      </c>
      <c r="AM94" s="956">
        <f t="shared" si="26"/>
        <v>0.62061585119404539</v>
      </c>
      <c r="AN94" s="957">
        <f t="shared" si="41"/>
        <v>135.00002158525081</v>
      </c>
      <c r="AO94" s="938">
        <f t="shared" si="27"/>
        <v>-5.8877059882996026</v>
      </c>
      <c r="AP94" s="958">
        <f t="shared" si="28"/>
        <v>-670</v>
      </c>
      <c r="AQ94" s="959">
        <f t="shared" si="29"/>
        <v>-634.5</v>
      </c>
      <c r="AR94" s="958">
        <f t="shared" si="30"/>
        <v>333.00002316217024</v>
      </c>
      <c r="AS94" s="940">
        <f t="shared" si="15"/>
        <v>-135.00002158525081</v>
      </c>
      <c r="AT94" s="941">
        <f t="shared" si="31"/>
        <v>129.11231559695119</v>
      </c>
      <c r="AU94" s="940"/>
      <c r="AV94" s="942">
        <f t="shared" si="32"/>
        <v>-388.48871306873809</v>
      </c>
      <c r="AW94" s="942">
        <f t="shared" si="33"/>
        <v>-246.01128693126194</v>
      </c>
      <c r="AX94" s="950">
        <f t="shared" si="16"/>
        <v>-25.74077357616984</v>
      </c>
      <c r="AY94" s="950">
        <f t="shared" si="17"/>
        <v>-37.559252322360926</v>
      </c>
      <c r="AZ94" s="960">
        <f t="shared" si="34"/>
        <v>25.74077357616984</v>
      </c>
      <c r="BA94" s="960">
        <f t="shared" si="34"/>
        <v>37.559252322360926</v>
      </c>
      <c r="BB94" s="785">
        <f t="shared" si="35"/>
        <v>0.3</v>
      </c>
      <c r="BC94" s="930">
        <v>61</v>
      </c>
      <c r="BD94" s="945">
        <f t="shared" si="42"/>
        <v>258</v>
      </c>
      <c r="BE94" s="1395">
        <f t="shared" si="43"/>
        <v>258</v>
      </c>
      <c r="BF94" s="946">
        <f t="shared" si="36"/>
        <v>182.30977239204023</v>
      </c>
      <c r="BG94" s="947">
        <f t="shared" si="18"/>
        <v>182.30977239204023</v>
      </c>
      <c r="BH94" s="947">
        <f t="shared" si="44"/>
        <v>10.30977239204023</v>
      </c>
      <c r="BI94" s="947" t="b">
        <f t="shared" si="19"/>
        <v>0</v>
      </c>
      <c r="BJ94" s="855"/>
      <c r="BK94" s="855"/>
      <c r="BL94" s="855"/>
      <c r="BM94" s="855"/>
    </row>
    <row r="95" spans="1:65" ht="21" customHeight="1" thickBot="1" x14ac:dyDescent="0.35">
      <c r="B95" s="948">
        <v>13</v>
      </c>
      <c r="C95" s="919"/>
      <c r="D95" s="1907">
        <v>0</v>
      </c>
      <c r="E95" s="949" t="s">
        <v>147</v>
      </c>
      <c r="F95" s="950">
        <f t="shared" si="37"/>
        <v>0.3</v>
      </c>
      <c r="G95" s="950">
        <f t="shared" si="20"/>
        <v>0.3</v>
      </c>
      <c r="H95" s="951">
        <v>217.52600000000001</v>
      </c>
      <c r="I95" s="952">
        <v>103.27776</v>
      </c>
      <c r="J95" s="924">
        <f t="shared" si="21"/>
        <v>103.27776</v>
      </c>
      <c r="K95" s="924">
        <f t="shared" si="5"/>
        <v>51.63888</v>
      </c>
      <c r="L95" s="924">
        <f t="shared" si="6"/>
        <v>0.78411477781089656</v>
      </c>
      <c r="M95" s="924">
        <f t="shared" si="7"/>
        <v>170.56535115809308</v>
      </c>
      <c r="N95" s="924">
        <f t="shared" si="8"/>
        <v>341.13070231618616</v>
      </c>
      <c r="O95" s="924">
        <f>+C83+D84+D85+D86+D87+D88+D89+D90+D91+D92+D93+D94+(D95/2)</f>
        <v>0</v>
      </c>
      <c r="P95" s="924">
        <f t="shared" si="9"/>
        <v>0</v>
      </c>
      <c r="Q95" s="924">
        <f t="shared" si="10"/>
        <v>0</v>
      </c>
      <c r="R95" s="924">
        <f t="shared" si="22"/>
        <v>135</v>
      </c>
      <c r="S95" s="924">
        <f t="shared" si="38"/>
        <v>135</v>
      </c>
      <c r="T95" s="925">
        <f t="shared" si="11"/>
        <v>135</v>
      </c>
      <c r="V95" s="926">
        <f t="shared" si="12"/>
        <v>0</v>
      </c>
      <c r="W95" s="926"/>
      <c r="X95" s="926"/>
      <c r="Y95" s="926"/>
      <c r="Z95" s="926"/>
      <c r="AA95" s="926"/>
      <c r="AB95" s="950" t="str">
        <f t="shared" si="23"/>
        <v>pin in groundstacking hole</v>
      </c>
      <c r="AC95" s="930" t="b">
        <f>IF(AD95=13,AF95)</f>
        <v>0</v>
      </c>
      <c r="AD95" s="930">
        <f t="shared" si="24"/>
        <v>1</v>
      </c>
      <c r="AE95" s="1412">
        <f>IF(V95=0,0,13)</f>
        <v>0</v>
      </c>
      <c r="AF95" s="926">
        <f>SUM(V95:V106)/($B$80-B94)</f>
        <v>0</v>
      </c>
      <c r="AG95" s="876">
        <f>SUM(D84:D95)+$C$83</f>
        <v>0</v>
      </c>
      <c r="AH95" s="931" t="b">
        <f t="shared" si="13"/>
        <v>0</v>
      </c>
      <c r="AI95" s="875">
        <f t="shared" si="39"/>
        <v>58.150950000000002</v>
      </c>
      <c r="AJ95" s="953">
        <f t="shared" si="14"/>
        <v>0.84944126318315416</v>
      </c>
      <c r="AK95" s="954">
        <f t="shared" si="40"/>
        <v>198.0000015769194</v>
      </c>
      <c r="AL95" s="955">
        <f t="shared" si="25"/>
        <v>38.361121150000002</v>
      </c>
      <c r="AM95" s="956">
        <f t="shared" si="26"/>
        <v>0.62061585119404539</v>
      </c>
      <c r="AN95" s="957">
        <f t="shared" si="41"/>
        <v>135.00002158525081</v>
      </c>
      <c r="AO95" s="938">
        <f t="shared" si="27"/>
        <v>-5.3253734135083359</v>
      </c>
      <c r="AP95" s="958">
        <f t="shared" si="28"/>
        <v>-737</v>
      </c>
      <c r="AQ95" s="959">
        <f t="shared" si="29"/>
        <v>-701.5</v>
      </c>
      <c r="AR95" s="958">
        <f t="shared" si="30"/>
        <v>333.00002316217024</v>
      </c>
      <c r="AS95" s="940">
        <f t="shared" si="15"/>
        <v>-135.00002158525081</v>
      </c>
      <c r="AT95" s="941">
        <f t="shared" si="31"/>
        <v>129.67464817174246</v>
      </c>
      <c r="AU95" s="940"/>
      <c r="AV95" s="942">
        <f t="shared" si="32"/>
        <v>-428.32654845289085</v>
      </c>
      <c r="AW95" s="942">
        <f t="shared" si="33"/>
        <v>-273.17345154710915</v>
      </c>
      <c r="AX95" s="950">
        <f t="shared" si="16"/>
        <v>-23.346673317635464</v>
      </c>
      <c r="AY95" s="950">
        <f t="shared" si="17"/>
        <v>-33.824663222833529</v>
      </c>
      <c r="AZ95" s="960">
        <f t="shared" si="34"/>
        <v>23.346673317635464</v>
      </c>
      <c r="BA95" s="960">
        <f t="shared" si="34"/>
        <v>33.824663222833529</v>
      </c>
      <c r="BB95" s="785">
        <f t="shared" si="35"/>
        <v>0.3</v>
      </c>
      <c r="BC95" s="930">
        <v>62</v>
      </c>
      <c r="BD95" s="945">
        <f t="shared" si="42"/>
        <v>301</v>
      </c>
      <c r="BE95" s="1395">
        <f t="shared" si="43"/>
        <v>301</v>
      </c>
      <c r="BF95" s="946">
        <f t="shared" si="36"/>
        <v>225.30977239204023</v>
      </c>
      <c r="BG95" s="947">
        <f t="shared" si="18"/>
        <v>225.30977239204023</v>
      </c>
      <c r="BH95" s="947">
        <f t="shared" si="44"/>
        <v>10.30977239204023</v>
      </c>
      <c r="BI95" s="947" t="b">
        <f t="shared" si="19"/>
        <v>0</v>
      </c>
      <c r="BJ95" s="855"/>
      <c r="BK95" s="855"/>
      <c r="BL95" s="855"/>
      <c r="BM95" s="855"/>
    </row>
    <row r="96" spans="1:65" ht="21" customHeight="1" thickBot="1" x14ac:dyDescent="0.35">
      <c r="B96" s="948">
        <v>14</v>
      </c>
      <c r="C96" s="919"/>
      <c r="D96" s="1907">
        <v>0</v>
      </c>
      <c r="E96" s="949" t="s">
        <v>147</v>
      </c>
      <c r="F96" s="950">
        <f t="shared" si="37"/>
        <v>0.3</v>
      </c>
      <c r="G96" s="950">
        <f t="shared" si="20"/>
        <v>0.3</v>
      </c>
      <c r="H96" s="951">
        <v>217.52600000000001</v>
      </c>
      <c r="I96" s="952">
        <v>103.27776</v>
      </c>
      <c r="J96" s="924">
        <f t="shared" si="21"/>
        <v>103.27776</v>
      </c>
      <c r="K96" s="924">
        <f t="shared" si="5"/>
        <v>51.63888</v>
      </c>
      <c r="L96" s="924">
        <f t="shared" si="6"/>
        <v>0.78411477781089656</v>
      </c>
      <c r="M96" s="924">
        <f t="shared" si="7"/>
        <v>170.56535115809308</v>
      </c>
      <c r="N96" s="924">
        <f t="shared" si="8"/>
        <v>341.13070231618616</v>
      </c>
      <c r="O96" s="924">
        <f>+C83+D84+D85+D86+D87+D88+D89+D90+D91+D92+D93+D94+D95+(D96/2)</f>
        <v>0</v>
      </c>
      <c r="P96" s="924">
        <f t="shared" si="9"/>
        <v>0</v>
      </c>
      <c r="Q96" s="924">
        <f t="shared" si="10"/>
        <v>0</v>
      </c>
      <c r="R96" s="924">
        <f t="shared" si="22"/>
        <v>135</v>
      </c>
      <c r="S96" s="924">
        <f t="shared" si="38"/>
        <v>135</v>
      </c>
      <c r="T96" s="925">
        <f t="shared" si="11"/>
        <v>135</v>
      </c>
      <c r="V96" s="926">
        <f t="shared" si="12"/>
        <v>0</v>
      </c>
      <c r="W96" s="926"/>
      <c r="X96" s="926"/>
      <c r="Y96" s="926"/>
      <c r="Z96" s="926"/>
      <c r="AA96" s="926"/>
      <c r="AB96" s="950" t="str">
        <f t="shared" si="23"/>
        <v>pin in groundstacking hole</v>
      </c>
      <c r="AC96" s="930" t="b">
        <f>IF(AD96=14,AF96)</f>
        <v>0</v>
      </c>
      <c r="AD96" s="930">
        <f t="shared" si="24"/>
        <v>1</v>
      </c>
      <c r="AE96" s="1412">
        <f>IF(V96=0,0,14)</f>
        <v>0</v>
      </c>
      <c r="AF96" s="926">
        <f>SUM(V96:V106)/($B$80-B95)</f>
        <v>0</v>
      </c>
      <c r="AG96" s="876">
        <f>SUM(D84:D96)+$C$83</f>
        <v>0</v>
      </c>
      <c r="AH96" s="931" t="b">
        <f t="shared" si="13"/>
        <v>0</v>
      </c>
      <c r="AI96" s="875">
        <f t="shared" si="39"/>
        <v>58.150950000000002</v>
      </c>
      <c r="AJ96" s="953">
        <f t="shared" si="14"/>
        <v>0.84944126318315416</v>
      </c>
      <c r="AK96" s="954">
        <f t="shared" si="40"/>
        <v>198.0000015769194</v>
      </c>
      <c r="AL96" s="955">
        <f t="shared" si="25"/>
        <v>38.361121150000002</v>
      </c>
      <c r="AM96" s="956">
        <f t="shared" si="26"/>
        <v>0.62061585119404539</v>
      </c>
      <c r="AN96" s="957">
        <f t="shared" si="41"/>
        <v>135.00002158525081</v>
      </c>
      <c r="AO96" s="938">
        <f t="shared" si="27"/>
        <v>-4.8610923221549749</v>
      </c>
      <c r="AP96" s="958">
        <f t="shared" si="28"/>
        <v>-804</v>
      </c>
      <c r="AQ96" s="959">
        <f t="shared" si="29"/>
        <v>-768.5</v>
      </c>
      <c r="AR96" s="958">
        <f t="shared" si="30"/>
        <v>333.00002316217024</v>
      </c>
      <c r="AS96" s="940">
        <f t="shared" si="15"/>
        <v>-135.00002158525081</v>
      </c>
      <c r="AT96" s="941">
        <f t="shared" si="31"/>
        <v>130.13892926309583</v>
      </c>
      <c r="AU96" s="940"/>
      <c r="AV96" s="942">
        <f t="shared" si="32"/>
        <v>-468.1643838370436</v>
      </c>
      <c r="AW96" s="942">
        <f t="shared" si="33"/>
        <v>-300.3356161629564</v>
      </c>
      <c r="AX96" s="950">
        <f t="shared" si="16"/>
        <v>-21.360018714026634</v>
      </c>
      <c r="AY96" s="950">
        <f t="shared" si="17"/>
        <v>-30.765581911492479</v>
      </c>
      <c r="AZ96" s="960">
        <f t="shared" si="34"/>
        <v>21.360018714026634</v>
      </c>
      <c r="BA96" s="960">
        <f t="shared" si="34"/>
        <v>30.765581911492479</v>
      </c>
      <c r="BB96" s="785">
        <f t="shared" si="35"/>
        <v>0.3</v>
      </c>
      <c r="BC96" s="930">
        <v>63</v>
      </c>
      <c r="BD96" s="945">
        <f t="shared" si="42"/>
        <v>344</v>
      </c>
      <c r="BE96" s="1395">
        <f t="shared" si="43"/>
        <v>344</v>
      </c>
      <c r="BF96" s="946">
        <f t="shared" si="36"/>
        <v>268.30977239204026</v>
      </c>
      <c r="BG96" s="947">
        <f t="shared" si="18"/>
        <v>268.30977239204026</v>
      </c>
      <c r="BH96" s="947">
        <f t="shared" si="44"/>
        <v>10.30977239204023</v>
      </c>
      <c r="BI96" s="947" t="b">
        <f t="shared" si="19"/>
        <v>0</v>
      </c>
      <c r="BJ96" s="855"/>
      <c r="BK96" s="855"/>
      <c r="BL96" s="855"/>
      <c r="BM96" s="855"/>
    </row>
    <row r="97" spans="2:93" ht="21" customHeight="1" thickBot="1" x14ac:dyDescent="0.35">
      <c r="B97" s="948">
        <v>15</v>
      </c>
      <c r="C97" s="919"/>
      <c r="D97" s="1907">
        <v>0</v>
      </c>
      <c r="E97" s="949" t="s">
        <v>147</v>
      </c>
      <c r="F97" s="950">
        <f t="shared" si="37"/>
        <v>0.3</v>
      </c>
      <c r="G97" s="950">
        <f t="shared" si="20"/>
        <v>0.3</v>
      </c>
      <c r="H97" s="951">
        <v>217.52600000000001</v>
      </c>
      <c r="I97" s="952">
        <v>103.27776</v>
      </c>
      <c r="J97" s="924">
        <f t="shared" si="21"/>
        <v>103.27776</v>
      </c>
      <c r="K97" s="924">
        <f t="shared" si="5"/>
        <v>51.63888</v>
      </c>
      <c r="L97" s="924">
        <f t="shared" si="6"/>
        <v>0.78411477781089656</v>
      </c>
      <c r="M97" s="924">
        <f t="shared" si="7"/>
        <v>170.56535115809308</v>
      </c>
      <c r="N97" s="924">
        <f t="shared" si="8"/>
        <v>341.13070231618616</v>
      </c>
      <c r="O97" s="924">
        <f>+C83+D84+D85+D86+D87+D88+D89+D90+D91+D92+D93+D94+D95+D96+(D97/2)</f>
        <v>0</v>
      </c>
      <c r="P97" s="924">
        <f t="shared" si="9"/>
        <v>0</v>
      </c>
      <c r="Q97" s="924">
        <f t="shared" si="10"/>
        <v>0</v>
      </c>
      <c r="R97" s="924">
        <f t="shared" si="22"/>
        <v>135</v>
      </c>
      <c r="S97" s="924">
        <f t="shared" si="38"/>
        <v>135</v>
      </c>
      <c r="T97" s="925">
        <f t="shared" si="11"/>
        <v>135</v>
      </c>
      <c r="V97" s="926">
        <f t="shared" si="12"/>
        <v>0</v>
      </c>
      <c r="W97" s="926"/>
      <c r="X97" s="926"/>
      <c r="Y97" s="926"/>
      <c r="Z97" s="926"/>
      <c r="AA97" s="926"/>
      <c r="AB97" s="950" t="str">
        <f t="shared" si="23"/>
        <v>pin in groundstacking hole</v>
      </c>
      <c r="AC97" s="930" t="b">
        <f>IF(AD97=15,AF97)</f>
        <v>0</v>
      </c>
      <c r="AD97" s="930">
        <f t="shared" si="24"/>
        <v>1</v>
      </c>
      <c r="AE97" s="1412">
        <f>IF(V97=0,0,15)</f>
        <v>0</v>
      </c>
      <c r="AF97" s="926">
        <f>SUM(V97:V106)/($B$80-B96)</f>
        <v>0</v>
      </c>
      <c r="AG97" s="876">
        <f>SUM(D84:D97)+$C$83</f>
        <v>0</v>
      </c>
      <c r="AH97" s="931" t="b">
        <f t="shared" si="13"/>
        <v>0</v>
      </c>
      <c r="AI97" s="875">
        <f t="shared" si="39"/>
        <v>58.150950000000002</v>
      </c>
      <c r="AJ97" s="953">
        <f t="shared" si="14"/>
        <v>0.84944126318315416</v>
      </c>
      <c r="AK97" s="954">
        <f t="shared" si="40"/>
        <v>198.0000015769194</v>
      </c>
      <c r="AL97" s="955">
        <f t="shared" si="25"/>
        <v>38.361121150000002</v>
      </c>
      <c r="AM97" s="956">
        <f t="shared" si="26"/>
        <v>0.62061585119404539</v>
      </c>
      <c r="AN97" s="957">
        <f t="shared" si="41"/>
        <v>135.00002158525081</v>
      </c>
      <c r="AO97" s="938">
        <f t="shared" si="27"/>
        <v>-4.4712740270210629</v>
      </c>
      <c r="AP97" s="958">
        <f t="shared" si="28"/>
        <v>-871</v>
      </c>
      <c r="AQ97" s="959">
        <f t="shared" si="29"/>
        <v>-835.5</v>
      </c>
      <c r="AR97" s="958">
        <f t="shared" si="30"/>
        <v>333.00002316217024</v>
      </c>
      <c r="AS97" s="940">
        <f t="shared" si="15"/>
        <v>-135.00002158525081</v>
      </c>
      <c r="AT97" s="941">
        <f t="shared" si="31"/>
        <v>130.52874755822975</v>
      </c>
      <c r="AU97" s="940"/>
      <c r="AV97" s="942">
        <f t="shared" si="32"/>
        <v>-508.00221922119641</v>
      </c>
      <c r="AW97" s="942">
        <f t="shared" si="33"/>
        <v>-327.49778077880359</v>
      </c>
      <c r="AX97" s="950">
        <f t="shared" si="16"/>
        <v>-19.68495337546106</v>
      </c>
      <c r="AY97" s="950">
        <f t="shared" si="17"/>
        <v>-28.213931642611101</v>
      </c>
      <c r="AZ97" s="960">
        <f t="shared" si="34"/>
        <v>19.68495337546106</v>
      </c>
      <c r="BA97" s="960">
        <f t="shared" si="34"/>
        <v>28.213931642611101</v>
      </c>
      <c r="BB97" s="785">
        <f t="shared" si="35"/>
        <v>0.3</v>
      </c>
      <c r="BC97" s="930">
        <v>7</v>
      </c>
      <c r="BD97" s="945">
        <f t="shared" si="42"/>
        <v>387</v>
      </c>
      <c r="BE97" s="1395">
        <f t="shared" si="43"/>
        <v>387</v>
      </c>
      <c r="BF97" s="946">
        <f t="shared" si="36"/>
        <v>311.30977239204026</v>
      </c>
      <c r="BG97" s="947">
        <f t="shared" si="18"/>
        <v>311.30977239204026</v>
      </c>
      <c r="BH97" s="947">
        <f t="shared" si="44"/>
        <v>10.30977239204023</v>
      </c>
      <c r="BI97" s="947" t="b">
        <f t="shared" si="19"/>
        <v>0</v>
      </c>
      <c r="BJ97" s="855"/>
      <c r="BK97" s="855"/>
      <c r="BL97" s="855"/>
      <c r="BM97" s="855"/>
    </row>
    <row r="98" spans="2:93" ht="21" customHeight="1" thickBot="1" x14ac:dyDescent="0.35">
      <c r="B98" s="948">
        <v>16</v>
      </c>
      <c r="C98" s="919"/>
      <c r="D98" s="1907">
        <v>0</v>
      </c>
      <c r="E98" s="949" t="s">
        <v>147</v>
      </c>
      <c r="F98" s="950">
        <f t="shared" si="37"/>
        <v>0.3</v>
      </c>
      <c r="G98" s="950">
        <f t="shared" si="20"/>
        <v>0.3</v>
      </c>
      <c r="H98" s="951">
        <v>217.52600000000001</v>
      </c>
      <c r="I98" s="952">
        <v>103.27776</v>
      </c>
      <c r="J98" s="924">
        <f t="shared" si="21"/>
        <v>103.27776</v>
      </c>
      <c r="K98" s="924">
        <f t="shared" si="5"/>
        <v>51.63888</v>
      </c>
      <c r="L98" s="924">
        <f t="shared" si="6"/>
        <v>0.78411477781089656</v>
      </c>
      <c r="M98" s="924">
        <f t="shared" si="7"/>
        <v>170.56535115809308</v>
      </c>
      <c r="N98" s="924">
        <f t="shared" si="8"/>
        <v>341.13070231618616</v>
      </c>
      <c r="O98" s="924">
        <f>+C83+D84+D85+D86+D87+D88+D89+D90+D91+D92+D93+D94+D95+D96+D97+(D98/2)</f>
        <v>0</v>
      </c>
      <c r="P98" s="924">
        <f t="shared" si="9"/>
        <v>0</v>
      </c>
      <c r="Q98" s="924">
        <f t="shared" si="10"/>
        <v>0</v>
      </c>
      <c r="R98" s="924">
        <f t="shared" si="22"/>
        <v>135</v>
      </c>
      <c r="S98" s="924">
        <f t="shared" si="38"/>
        <v>135</v>
      </c>
      <c r="T98" s="925">
        <f t="shared" si="11"/>
        <v>135</v>
      </c>
      <c r="V98" s="926">
        <f t="shared" si="12"/>
        <v>0</v>
      </c>
      <c r="W98" s="926"/>
      <c r="X98" s="926"/>
      <c r="Y98" s="926"/>
      <c r="Z98" s="926"/>
      <c r="AA98" s="926"/>
      <c r="AB98" s="950" t="str">
        <f t="shared" si="23"/>
        <v>pin in groundstacking hole</v>
      </c>
      <c r="AC98" s="930" t="b">
        <f>IF(AD98=16,AF98)</f>
        <v>0</v>
      </c>
      <c r="AD98" s="930">
        <f t="shared" si="24"/>
        <v>1</v>
      </c>
      <c r="AE98" s="1412">
        <f>IF(V98=0,0,16)</f>
        <v>0</v>
      </c>
      <c r="AF98" s="926">
        <f>SUM(V98:V106)/($B$80-B97)</f>
        <v>0</v>
      </c>
      <c r="AG98" s="876">
        <f>SUM(D84:D98)+$C$83</f>
        <v>0</v>
      </c>
      <c r="AH98" s="931" t="b">
        <f t="shared" si="13"/>
        <v>0</v>
      </c>
      <c r="AI98" s="875">
        <f t="shared" si="39"/>
        <v>58.150950000000002</v>
      </c>
      <c r="AJ98" s="953">
        <f t="shared" si="14"/>
        <v>0.84944126318315416</v>
      </c>
      <c r="AK98" s="954">
        <f t="shared" si="40"/>
        <v>198.0000015769194</v>
      </c>
      <c r="AL98" s="955">
        <f t="shared" si="25"/>
        <v>38.361121150000002</v>
      </c>
      <c r="AM98" s="956">
        <f t="shared" si="26"/>
        <v>0.62061585119404539</v>
      </c>
      <c r="AN98" s="957">
        <f t="shared" si="41"/>
        <v>135.00002158525081</v>
      </c>
      <c r="AO98" s="938">
        <f t="shared" si="27"/>
        <v>-4.1393345701674216</v>
      </c>
      <c r="AP98" s="958">
        <f t="shared" si="28"/>
        <v>-938</v>
      </c>
      <c r="AQ98" s="959">
        <f t="shared" si="29"/>
        <v>-902.5</v>
      </c>
      <c r="AR98" s="958">
        <f t="shared" si="30"/>
        <v>333.00002316217024</v>
      </c>
      <c r="AS98" s="940">
        <f t="shared" si="15"/>
        <v>-135.00002158525081</v>
      </c>
      <c r="AT98" s="941">
        <f t="shared" si="31"/>
        <v>130.86068701508339</v>
      </c>
      <c r="AU98" s="940"/>
      <c r="AV98" s="942">
        <f t="shared" si="32"/>
        <v>-547.84005460534922</v>
      </c>
      <c r="AW98" s="942">
        <f t="shared" si="33"/>
        <v>-354.65994539465083</v>
      </c>
      <c r="AX98" s="950">
        <f t="shared" si="16"/>
        <v>-18.253502853499384</v>
      </c>
      <c r="AY98" s="950">
        <f t="shared" si="17"/>
        <v>-26.053125310550964</v>
      </c>
      <c r="AZ98" s="960">
        <f t="shared" si="34"/>
        <v>18.253502853499384</v>
      </c>
      <c r="BA98" s="960">
        <f t="shared" si="34"/>
        <v>26.053125310550964</v>
      </c>
      <c r="BB98" s="785">
        <f t="shared" si="35"/>
        <v>0.3</v>
      </c>
      <c r="BC98" s="930">
        <v>8</v>
      </c>
      <c r="BD98" s="945">
        <f t="shared" si="42"/>
        <v>430</v>
      </c>
      <c r="BE98" s="1395">
        <f t="shared" si="43"/>
        <v>430</v>
      </c>
      <c r="BF98" s="946">
        <f t="shared" si="36"/>
        <v>354.30977239204026</v>
      </c>
      <c r="BG98" s="947">
        <f t="shared" si="18"/>
        <v>354.30977239204026</v>
      </c>
      <c r="BH98" s="947">
        <f t="shared" si="44"/>
        <v>10.30977239204023</v>
      </c>
      <c r="BI98" s="947" t="b">
        <f t="shared" si="19"/>
        <v>0</v>
      </c>
      <c r="BJ98" s="855"/>
      <c r="BK98" s="855"/>
      <c r="BL98" s="855"/>
      <c r="BM98" s="855"/>
    </row>
    <row r="99" spans="2:93" ht="21" customHeight="1" thickBot="1" x14ac:dyDescent="0.35">
      <c r="B99" s="948">
        <v>17</v>
      </c>
      <c r="C99" s="919"/>
      <c r="D99" s="1907">
        <v>0</v>
      </c>
      <c r="E99" s="949" t="s">
        <v>147</v>
      </c>
      <c r="F99" s="950">
        <f t="shared" si="37"/>
        <v>0.3</v>
      </c>
      <c r="G99" s="950">
        <f t="shared" si="20"/>
        <v>0.3</v>
      </c>
      <c r="H99" s="951">
        <v>217.52600000000001</v>
      </c>
      <c r="I99" s="952">
        <v>103.27776</v>
      </c>
      <c r="J99" s="924">
        <f t="shared" si="21"/>
        <v>103.27776</v>
      </c>
      <c r="K99" s="924">
        <f t="shared" si="5"/>
        <v>51.63888</v>
      </c>
      <c r="L99" s="924">
        <f t="shared" si="6"/>
        <v>0.78411477781089656</v>
      </c>
      <c r="M99" s="924">
        <f t="shared" si="7"/>
        <v>170.56535115809308</v>
      </c>
      <c r="N99" s="924">
        <f t="shared" si="8"/>
        <v>341.13070231618616</v>
      </c>
      <c r="O99" s="924">
        <f>+C83+D84+D85+D86+D87+D88+D89+D90+D91+D92+D93+D94+D95+D96+D97+D98+(D99/2)</f>
        <v>0</v>
      </c>
      <c r="P99" s="924">
        <f t="shared" si="9"/>
        <v>0</v>
      </c>
      <c r="Q99" s="924">
        <f t="shared" si="10"/>
        <v>0</v>
      </c>
      <c r="R99" s="924">
        <f t="shared" si="22"/>
        <v>135</v>
      </c>
      <c r="S99" s="924">
        <f t="shared" si="38"/>
        <v>135</v>
      </c>
      <c r="T99" s="925">
        <f t="shared" si="11"/>
        <v>135</v>
      </c>
      <c r="V99" s="926">
        <f t="shared" si="12"/>
        <v>0</v>
      </c>
      <c r="W99" s="926"/>
      <c r="X99" s="926"/>
      <c r="Y99" s="926"/>
      <c r="Z99" s="926"/>
      <c r="AA99" s="926"/>
      <c r="AB99" s="950" t="str">
        <f t="shared" si="23"/>
        <v>pin in groundstacking hole</v>
      </c>
      <c r="AC99" s="930" t="b">
        <f>IF(AD99=17,AF99)</f>
        <v>0</v>
      </c>
      <c r="AD99" s="930">
        <f t="shared" si="24"/>
        <v>1</v>
      </c>
      <c r="AE99" s="1412">
        <f>IF(V99=0,0,17)</f>
        <v>0</v>
      </c>
      <c r="AF99" s="926">
        <f>SUM(V99:V106)/($B$80-B98)</f>
        <v>0</v>
      </c>
      <c r="AG99" s="876">
        <f>SUM(D84:D99)+$C$83</f>
        <v>0</v>
      </c>
      <c r="AH99" s="931" t="b">
        <f t="shared" si="13"/>
        <v>0</v>
      </c>
      <c r="AI99" s="875">
        <f t="shared" si="39"/>
        <v>58.150950000000002</v>
      </c>
      <c r="AJ99" s="953">
        <f t="shared" si="14"/>
        <v>0.84944126318315416</v>
      </c>
      <c r="AK99" s="954">
        <f t="shared" si="40"/>
        <v>198.0000015769194</v>
      </c>
      <c r="AL99" s="955">
        <f t="shared" si="25"/>
        <v>38.361121150000002</v>
      </c>
      <c r="AM99" s="956">
        <f t="shared" si="26"/>
        <v>0.62061585119404539</v>
      </c>
      <c r="AN99" s="957">
        <f t="shared" si="41"/>
        <v>135.00002158525081</v>
      </c>
      <c r="AO99" s="938">
        <f t="shared" si="27"/>
        <v>-3.8532743162208334</v>
      </c>
      <c r="AP99" s="958">
        <f t="shared" si="28"/>
        <v>-1005</v>
      </c>
      <c r="AQ99" s="959">
        <f t="shared" si="29"/>
        <v>-969.5</v>
      </c>
      <c r="AR99" s="958">
        <f t="shared" si="30"/>
        <v>333.00002316217024</v>
      </c>
      <c r="AS99" s="940">
        <f t="shared" si="15"/>
        <v>-135.00002158525081</v>
      </c>
      <c r="AT99" s="941">
        <f t="shared" si="31"/>
        <v>131.14674726902996</v>
      </c>
      <c r="AU99" s="940"/>
      <c r="AV99" s="942">
        <f t="shared" si="32"/>
        <v>-587.67788998950198</v>
      </c>
      <c r="AW99" s="942">
        <f t="shared" si="33"/>
        <v>-381.82211001049802</v>
      </c>
      <c r="AX99" s="950">
        <f t="shared" si="16"/>
        <v>-17.016124258441366</v>
      </c>
      <c r="AY99" s="950">
        <f t="shared" si="17"/>
        <v>-24.199751029991297</v>
      </c>
      <c r="AZ99" s="960">
        <f t="shared" si="34"/>
        <v>17.016124258441366</v>
      </c>
      <c r="BA99" s="960">
        <f t="shared" si="34"/>
        <v>24.199751029991297</v>
      </c>
      <c r="BB99" s="785">
        <f t="shared" si="35"/>
        <v>0.3</v>
      </c>
      <c r="BC99" s="930">
        <v>9</v>
      </c>
      <c r="BD99" s="945">
        <f t="shared" si="42"/>
        <v>473</v>
      </c>
      <c r="BE99" s="1395">
        <f t="shared" si="43"/>
        <v>473</v>
      </c>
      <c r="BF99" s="946">
        <f t="shared" si="36"/>
        <v>397.30977239204026</v>
      </c>
      <c r="BG99" s="947">
        <f t="shared" si="18"/>
        <v>397.30977239204026</v>
      </c>
      <c r="BH99" s="947">
        <f t="shared" si="44"/>
        <v>10.30977239204023</v>
      </c>
      <c r="BI99" s="947" t="b">
        <f t="shared" si="19"/>
        <v>0</v>
      </c>
      <c r="BJ99" s="855"/>
      <c r="BK99" s="855"/>
      <c r="BL99" s="855"/>
      <c r="BM99" s="855"/>
    </row>
    <row r="100" spans="2:93" ht="21" customHeight="1" thickBot="1" x14ac:dyDescent="0.35">
      <c r="B100" s="948">
        <v>18</v>
      </c>
      <c r="C100" s="919"/>
      <c r="D100" s="1907">
        <v>0</v>
      </c>
      <c r="E100" s="949" t="s">
        <v>147</v>
      </c>
      <c r="F100" s="950">
        <f t="shared" si="37"/>
        <v>0.3</v>
      </c>
      <c r="G100" s="950">
        <f t="shared" si="20"/>
        <v>0.3</v>
      </c>
      <c r="H100" s="951">
        <v>217.52600000000001</v>
      </c>
      <c r="I100" s="952">
        <v>103.27776</v>
      </c>
      <c r="J100" s="924">
        <f t="shared" si="21"/>
        <v>103.27776</v>
      </c>
      <c r="K100" s="924">
        <f t="shared" si="5"/>
        <v>51.63888</v>
      </c>
      <c r="L100" s="924">
        <f t="shared" si="6"/>
        <v>0.78411477781089656</v>
      </c>
      <c r="M100" s="924">
        <f t="shared" si="7"/>
        <v>170.56535115809308</v>
      </c>
      <c r="N100" s="924">
        <f t="shared" si="8"/>
        <v>341.13070231618616</v>
      </c>
      <c r="O100" s="924">
        <f>+C83+D84+D85+D86+D87+D88+D89+D90+D91+D92+D93+D94+D95+D96+D97+D98+D99+(D100/2)</f>
        <v>0</v>
      </c>
      <c r="P100" s="924">
        <f t="shared" si="9"/>
        <v>0</v>
      </c>
      <c r="Q100" s="924">
        <f t="shared" si="10"/>
        <v>0</v>
      </c>
      <c r="R100" s="924">
        <f t="shared" si="22"/>
        <v>135</v>
      </c>
      <c r="S100" s="924">
        <f t="shared" si="38"/>
        <v>135</v>
      </c>
      <c r="T100" s="925">
        <f t="shared" si="11"/>
        <v>135</v>
      </c>
      <c r="V100" s="926">
        <f t="shared" si="12"/>
        <v>0</v>
      </c>
      <c r="W100" s="926"/>
      <c r="X100" s="926"/>
      <c r="Y100" s="926"/>
      <c r="Z100" s="926"/>
      <c r="AA100" s="926"/>
      <c r="AB100" s="950" t="str">
        <f t="shared" si="23"/>
        <v>pin in groundstacking hole</v>
      </c>
      <c r="AC100" s="930" t="b">
        <f>IF(AD100=18,AF100)</f>
        <v>0</v>
      </c>
      <c r="AD100" s="930">
        <f t="shared" si="24"/>
        <v>1</v>
      </c>
      <c r="AE100" s="1412">
        <f>IF(V100=0,0,18)</f>
        <v>0</v>
      </c>
      <c r="AF100" s="926">
        <f>SUM(V100:V106)/($B$80-B99)</f>
        <v>0</v>
      </c>
      <c r="AG100" s="876">
        <f>SUM(D84:D100)+$C$83</f>
        <v>0</v>
      </c>
      <c r="AH100" s="931" t="b">
        <f t="shared" si="13"/>
        <v>0</v>
      </c>
      <c r="AI100" s="875">
        <f t="shared" si="39"/>
        <v>58.150950000000002</v>
      </c>
      <c r="AJ100" s="953">
        <f t="shared" si="14"/>
        <v>0.84944126318315416</v>
      </c>
      <c r="AK100" s="954">
        <f t="shared" si="40"/>
        <v>198.0000015769194</v>
      </c>
      <c r="AL100" s="955">
        <f t="shared" si="25"/>
        <v>38.361121150000002</v>
      </c>
      <c r="AM100" s="956">
        <f t="shared" si="26"/>
        <v>0.62061585119404539</v>
      </c>
      <c r="AN100" s="957">
        <f t="shared" si="41"/>
        <v>135.00002158525081</v>
      </c>
      <c r="AO100" s="938">
        <f t="shared" si="27"/>
        <v>-3.6041962851674847</v>
      </c>
      <c r="AP100" s="958">
        <f t="shared" si="28"/>
        <v>-1072</v>
      </c>
      <c r="AQ100" s="959">
        <f t="shared" si="29"/>
        <v>-1036.5</v>
      </c>
      <c r="AR100" s="958">
        <f t="shared" si="30"/>
        <v>333.00002316217024</v>
      </c>
      <c r="AS100" s="940">
        <f t="shared" si="15"/>
        <v>-135.00002158525081</v>
      </c>
      <c r="AT100" s="941">
        <f t="shared" si="31"/>
        <v>131.39582530008332</v>
      </c>
      <c r="AU100" s="940"/>
      <c r="AV100" s="942">
        <f t="shared" si="32"/>
        <v>-627.51572537365473</v>
      </c>
      <c r="AW100" s="942">
        <f t="shared" si="33"/>
        <v>-408.98427462634521</v>
      </c>
      <c r="AX100" s="950">
        <f t="shared" si="16"/>
        <v>-15.935855621857909</v>
      </c>
      <c r="AY100" s="950">
        <f t="shared" si="17"/>
        <v>-22.592555687970684</v>
      </c>
      <c r="AZ100" s="960">
        <f t="shared" si="34"/>
        <v>15.935855621857909</v>
      </c>
      <c r="BA100" s="960">
        <f t="shared" si="34"/>
        <v>22.592555687970684</v>
      </c>
      <c r="BB100" s="785">
        <f t="shared" si="35"/>
        <v>0.3</v>
      </c>
      <c r="BC100" s="930">
        <v>10</v>
      </c>
      <c r="BD100" s="945">
        <f t="shared" si="42"/>
        <v>516</v>
      </c>
      <c r="BE100" s="1395">
        <f t="shared" si="43"/>
        <v>516</v>
      </c>
      <c r="BF100" s="946">
        <f t="shared" si="36"/>
        <v>440.30977239204026</v>
      </c>
      <c r="BG100" s="947">
        <f t="shared" si="18"/>
        <v>440.30977239204026</v>
      </c>
      <c r="BH100" s="947">
        <f t="shared" si="44"/>
        <v>10.30977239204023</v>
      </c>
      <c r="BI100" s="947" t="b">
        <f t="shared" si="19"/>
        <v>0</v>
      </c>
      <c r="BJ100" s="855"/>
      <c r="BK100" s="855"/>
      <c r="BL100" s="855"/>
      <c r="BM100" s="855"/>
    </row>
    <row r="101" spans="2:93" ht="21" customHeight="1" thickBot="1" x14ac:dyDescent="0.35">
      <c r="B101" s="948">
        <v>19</v>
      </c>
      <c r="C101" s="919"/>
      <c r="D101" s="1907">
        <v>0</v>
      </c>
      <c r="E101" s="949" t="s">
        <v>147</v>
      </c>
      <c r="F101" s="950">
        <f t="shared" si="37"/>
        <v>0.3</v>
      </c>
      <c r="G101" s="950">
        <f t="shared" si="20"/>
        <v>0.3</v>
      </c>
      <c r="H101" s="951">
        <v>217.52600000000001</v>
      </c>
      <c r="I101" s="952">
        <v>103.27776</v>
      </c>
      <c r="J101" s="924">
        <f t="shared" si="21"/>
        <v>103.27776</v>
      </c>
      <c r="K101" s="924">
        <f t="shared" si="5"/>
        <v>51.63888</v>
      </c>
      <c r="L101" s="924">
        <f t="shared" si="6"/>
        <v>0.78411477781089656</v>
      </c>
      <c r="M101" s="924">
        <f t="shared" si="7"/>
        <v>170.56535115809308</v>
      </c>
      <c r="N101" s="924">
        <f t="shared" si="8"/>
        <v>341.13070231618616</v>
      </c>
      <c r="O101" s="924">
        <f>+C83+D84+D85+D86+D87+D88+D89+D90+D91+D92+D93+D94+D95+D96+D97+D98+D99+D100+(D101/2)</f>
        <v>0</v>
      </c>
      <c r="P101" s="924">
        <f t="shared" si="9"/>
        <v>0</v>
      </c>
      <c r="Q101" s="924">
        <f t="shared" si="10"/>
        <v>0</v>
      </c>
      <c r="R101" s="924">
        <f t="shared" si="22"/>
        <v>135</v>
      </c>
      <c r="S101" s="924">
        <f t="shared" si="38"/>
        <v>135</v>
      </c>
      <c r="T101" s="925">
        <f t="shared" si="11"/>
        <v>135</v>
      </c>
      <c r="V101" s="926">
        <f t="shared" si="12"/>
        <v>0</v>
      </c>
      <c r="W101" s="926"/>
      <c r="X101" s="926"/>
      <c r="Y101" s="926"/>
      <c r="Z101" s="926"/>
      <c r="AA101" s="926"/>
      <c r="AB101" s="950" t="str">
        <f t="shared" si="23"/>
        <v>pin in groundstacking hole</v>
      </c>
      <c r="AC101" s="930" t="b">
        <f>IF(AD101=19,AF101)</f>
        <v>0</v>
      </c>
      <c r="AD101" s="930">
        <f t="shared" si="24"/>
        <v>1</v>
      </c>
      <c r="AE101" s="1412">
        <f>IF(V101=0,0,19)</f>
        <v>0</v>
      </c>
      <c r="AF101" s="926">
        <f>SUM(V101:V106)/($B$80-B100)</f>
        <v>0</v>
      </c>
      <c r="AG101" s="876">
        <f>SUM(D83:D101)+$C$83</f>
        <v>0</v>
      </c>
      <c r="AH101" s="931" t="b">
        <f t="shared" si="13"/>
        <v>0</v>
      </c>
      <c r="AI101" s="875">
        <f t="shared" si="39"/>
        <v>58.150950000000002</v>
      </c>
      <c r="AJ101" s="953">
        <f t="shared" si="14"/>
        <v>0.84944126318315416</v>
      </c>
      <c r="AK101" s="954">
        <f t="shared" si="40"/>
        <v>198.0000015769194</v>
      </c>
      <c r="AL101" s="955">
        <f t="shared" si="25"/>
        <v>38.361121150000002</v>
      </c>
      <c r="AM101" s="956">
        <f t="shared" si="26"/>
        <v>0.62061585119404539</v>
      </c>
      <c r="AN101" s="957">
        <f t="shared" si="41"/>
        <v>135.00002158525081</v>
      </c>
      <c r="AO101" s="938">
        <f t="shared" si="27"/>
        <v>-3.3853642497291325</v>
      </c>
      <c r="AP101" s="958">
        <f t="shared" si="28"/>
        <v>-1139</v>
      </c>
      <c r="AQ101" s="959">
        <f t="shared" si="29"/>
        <v>-1103.5</v>
      </c>
      <c r="AR101" s="958">
        <f t="shared" si="30"/>
        <v>333.00002316217024</v>
      </c>
      <c r="AS101" s="940">
        <f t="shared" si="15"/>
        <v>-135.00002158525081</v>
      </c>
      <c r="AT101" s="941">
        <f t="shared" si="31"/>
        <v>131.61465733552168</v>
      </c>
      <c r="AU101" s="940"/>
      <c r="AV101" s="942">
        <f t="shared" si="32"/>
        <v>-667.35356075780749</v>
      </c>
      <c r="AW101" s="942">
        <f t="shared" si="33"/>
        <v>-436.14643924219251</v>
      </c>
      <c r="AX101" s="950">
        <f t="shared" si="16"/>
        <v>-14.984560790601893</v>
      </c>
      <c r="AY101" s="950">
        <f t="shared" si="17"/>
        <v>-21.185544965251957</v>
      </c>
      <c r="AZ101" s="960">
        <f t="shared" si="34"/>
        <v>14.984560790601893</v>
      </c>
      <c r="BA101" s="960">
        <f t="shared" si="34"/>
        <v>21.185544965251957</v>
      </c>
      <c r="BB101" s="785">
        <f t="shared" si="35"/>
        <v>0.3</v>
      </c>
      <c r="BC101" s="930">
        <v>-1</v>
      </c>
      <c r="BD101" s="945">
        <f t="shared" si="42"/>
        <v>559</v>
      </c>
      <c r="BE101" s="1395">
        <f t="shared" si="43"/>
        <v>559</v>
      </c>
      <c r="BF101" s="946">
        <f t="shared" si="36"/>
        <v>483.30977239204026</v>
      </c>
      <c r="BG101" s="947">
        <f t="shared" si="18"/>
        <v>483.30977239204026</v>
      </c>
      <c r="BH101" s="947">
        <f t="shared" si="44"/>
        <v>10.30977239204023</v>
      </c>
      <c r="BI101" s="947" t="b">
        <f t="shared" si="19"/>
        <v>0</v>
      </c>
      <c r="BJ101" s="855"/>
      <c r="BK101" s="855"/>
      <c r="BL101" s="855"/>
      <c r="BM101" s="855"/>
    </row>
    <row r="102" spans="2:93" ht="21" customHeight="1" thickBot="1" x14ac:dyDescent="0.35">
      <c r="B102" s="948">
        <v>20</v>
      </c>
      <c r="C102" s="919"/>
      <c r="D102" s="1907">
        <v>0</v>
      </c>
      <c r="E102" s="949" t="s">
        <v>147</v>
      </c>
      <c r="F102" s="950">
        <f t="shared" si="37"/>
        <v>0.3</v>
      </c>
      <c r="G102" s="950">
        <f t="shared" si="20"/>
        <v>0.3</v>
      </c>
      <c r="H102" s="951">
        <v>217.52600000000001</v>
      </c>
      <c r="I102" s="952">
        <v>103.27776</v>
      </c>
      <c r="J102" s="924">
        <f t="shared" si="21"/>
        <v>103.27776</v>
      </c>
      <c r="K102" s="924">
        <f t="shared" si="5"/>
        <v>51.63888</v>
      </c>
      <c r="L102" s="924">
        <f t="shared" si="6"/>
        <v>0.78411477781089656</v>
      </c>
      <c r="M102" s="924">
        <f t="shared" si="7"/>
        <v>170.56535115809308</v>
      </c>
      <c r="N102" s="924">
        <f t="shared" si="8"/>
        <v>341.13070231618616</v>
      </c>
      <c r="O102" s="924">
        <f>+C83+D84+D85+D86+D87+D88+D89+D90+D91+D92+D93+D94+D95+D96+D97+D98+D99+D100+D101+(D102/2)</f>
        <v>0</v>
      </c>
      <c r="P102" s="924">
        <f t="shared" si="9"/>
        <v>0</v>
      </c>
      <c r="Q102" s="924">
        <f t="shared" si="10"/>
        <v>0</v>
      </c>
      <c r="R102" s="924">
        <f t="shared" si="22"/>
        <v>135</v>
      </c>
      <c r="S102" s="924">
        <f t="shared" si="38"/>
        <v>135</v>
      </c>
      <c r="T102" s="925">
        <f t="shared" si="11"/>
        <v>135</v>
      </c>
      <c r="V102" s="926">
        <f t="shared" si="12"/>
        <v>0</v>
      </c>
      <c r="W102" s="926"/>
      <c r="X102" s="926"/>
      <c r="Y102" s="926"/>
      <c r="Z102" s="926"/>
      <c r="AA102" s="926"/>
      <c r="AB102" s="950" t="str">
        <f t="shared" si="23"/>
        <v>pin in groundstacking hole</v>
      </c>
      <c r="AC102" s="930" t="b">
        <f>IF(AD102=20,AF102)</f>
        <v>0</v>
      </c>
      <c r="AD102" s="930">
        <f t="shared" si="24"/>
        <v>1</v>
      </c>
      <c r="AE102" s="1412">
        <f>IF(V102=0,0,20)</f>
        <v>0</v>
      </c>
      <c r="AF102" s="926">
        <f>SUM(V102:V106)/($B$80-B101)</f>
        <v>0</v>
      </c>
      <c r="AG102" s="876">
        <f>SUM(D84:D102)+$C$83</f>
        <v>0</v>
      </c>
      <c r="AH102" s="931" t="b">
        <f t="shared" si="13"/>
        <v>0</v>
      </c>
      <c r="AI102" s="875">
        <f t="shared" si="39"/>
        <v>58.150950000000002</v>
      </c>
      <c r="AJ102" s="953">
        <f t="shared" si="14"/>
        <v>0.84944126318315416</v>
      </c>
      <c r="AK102" s="954">
        <f t="shared" si="40"/>
        <v>198.0000015769194</v>
      </c>
      <c r="AL102" s="955">
        <f t="shared" si="25"/>
        <v>38.361121150000002</v>
      </c>
      <c r="AM102" s="956">
        <f t="shared" si="26"/>
        <v>0.62061585119404539</v>
      </c>
      <c r="AN102" s="957">
        <f t="shared" si="41"/>
        <v>135.00002158525081</v>
      </c>
      <c r="AO102" s="938">
        <f t="shared" si="27"/>
        <v>-3.1915843225767602</v>
      </c>
      <c r="AP102" s="958">
        <f t="shared" si="28"/>
        <v>-1206</v>
      </c>
      <c r="AQ102" s="959">
        <f t="shared" si="29"/>
        <v>-1170.5</v>
      </c>
      <c r="AR102" s="958">
        <f t="shared" si="30"/>
        <v>333.00002316217024</v>
      </c>
      <c r="AS102" s="940">
        <f t="shared" si="15"/>
        <v>-135.00002158525081</v>
      </c>
      <c r="AT102" s="941">
        <f t="shared" si="31"/>
        <v>131.80843726267403</v>
      </c>
      <c r="AU102" s="940"/>
      <c r="AV102" s="942">
        <f t="shared" si="32"/>
        <v>-707.19139614196035</v>
      </c>
      <c r="AW102" s="942">
        <f t="shared" si="33"/>
        <v>-463.30860385803965</v>
      </c>
      <c r="AX102" s="950">
        <f t="shared" si="16"/>
        <v>-14.140443527105097</v>
      </c>
      <c r="AY102" s="950">
        <f t="shared" si="17"/>
        <v>-19.943510487517706</v>
      </c>
      <c r="AZ102" s="960">
        <f t="shared" si="34"/>
        <v>14.140443527105097</v>
      </c>
      <c r="BA102" s="960">
        <f t="shared" si="34"/>
        <v>19.943510487517706</v>
      </c>
      <c r="BB102" s="785">
        <f t="shared" si="35"/>
        <v>0.3</v>
      </c>
      <c r="BC102" s="930">
        <v>-2</v>
      </c>
      <c r="BD102" s="945">
        <f t="shared" si="42"/>
        <v>602</v>
      </c>
      <c r="BE102" s="1395">
        <f t="shared" si="43"/>
        <v>602</v>
      </c>
      <c r="BF102" s="946">
        <f t="shared" si="36"/>
        <v>526.30977239204026</v>
      </c>
      <c r="BG102" s="947">
        <f t="shared" si="18"/>
        <v>526.30977239204026</v>
      </c>
      <c r="BH102" s="947">
        <f t="shared" si="44"/>
        <v>10.30977239204023</v>
      </c>
      <c r="BI102" s="947" t="b">
        <f t="shared" si="19"/>
        <v>0</v>
      </c>
      <c r="BJ102" s="855"/>
      <c r="BK102" s="855"/>
      <c r="BL102" s="855"/>
      <c r="BM102" s="855"/>
    </row>
    <row r="103" spans="2:93" ht="21" customHeight="1" thickBot="1" x14ac:dyDescent="0.35">
      <c r="B103" s="948">
        <v>21</v>
      </c>
      <c r="C103" s="919"/>
      <c r="D103" s="1907">
        <v>0</v>
      </c>
      <c r="E103" s="949" t="s">
        <v>147</v>
      </c>
      <c r="F103" s="950">
        <f t="shared" si="37"/>
        <v>0.3</v>
      </c>
      <c r="G103" s="950">
        <f t="shared" si="20"/>
        <v>0.3</v>
      </c>
      <c r="H103" s="951">
        <v>217.52600000000001</v>
      </c>
      <c r="I103" s="952">
        <v>103.27776</v>
      </c>
      <c r="J103" s="924">
        <f t="shared" si="21"/>
        <v>103.27776</v>
      </c>
      <c r="K103" s="924">
        <f t="shared" si="5"/>
        <v>51.63888</v>
      </c>
      <c r="L103" s="924">
        <f t="shared" si="6"/>
        <v>0.78411477781089656</v>
      </c>
      <c r="M103" s="924">
        <f t="shared" si="7"/>
        <v>170.56535115809308</v>
      </c>
      <c r="N103" s="924">
        <f t="shared" si="8"/>
        <v>341.13070231618616</v>
      </c>
      <c r="O103" s="924">
        <f>+C83+D84+D85+D86+D87+D88+D89+D90+D91+D92+D93+D94+D95+D96+D97+D98+D99+D100+D101+D102+(D103/2)</f>
        <v>0</v>
      </c>
      <c r="P103" s="924">
        <f t="shared" si="9"/>
        <v>0</v>
      </c>
      <c r="Q103" s="924">
        <f t="shared" si="10"/>
        <v>0</v>
      </c>
      <c r="R103" s="924">
        <f t="shared" si="22"/>
        <v>135</v>
      </c>
      <c r="S103" s="924">
        <f t="shared" si="38"/>
        <v>135</v>
      </c>
      <c r="T103" s="925">
        <f t="shared" si="11"/>
        <v>135</v>
      </c>
      <c r="V103" s="926">
        <f t="shared" si="12"/>
        <v>0</v>
      </c>
      <c r="W103" s="926"/>
      <c r="X103" s="926"/>
      <c r="Y103" s="926"/>
      <c r="Z103" s="926"/>
      <c r="AA103" s="926"/>
      <c r="AB103" s="950" t="str">
        <f t="shared" si="23"/>
        <v>pin in groundstacking hole</v>
      </c>
      <c r="AC103" s="930" t="b">
        <f>IF(AD103=21,AF103)</f>
        <v>0</v>
      </c>
      <c r="AD103" s="930">
        <f t="shared" si="24"/>
        <v>1</v>
      </c>
      <c r="AE103" s="1412">
        <f>IF(V103=0,0,21)</f>
        <v>0</v>
      </c>
      <c r="AF103" s="926">
        <f>SUM(V103:V106)/($B$80-B102)</f>
        <v>0</v>
      </c>
      <c r="AG103" s="876">
        <f>SUM(D84:D103)+$C$83</f>
        <v>0</v>
      </c>
      <c r="AH103" s="931" t="b">
        <f t="shared" si="13"/>
        <v>0</v>
      </c>
      <c r="AI103" s="875">
        <f t="shared" si="39"/>
        <v>58.150950000000002</v>
      </c>
      <c r="AJ103" s="953">
        <f t="shared" si="14"/>
        <v>0.84944126318315416</v>
      </c>
      <c r="AK103" s="954">
        <f t="shared" si="40"/>
        <v>198.0000015769194</v>
      </c>
      <c r="AL103" s="955">
        <f t="shared" si="25"/>
        <v>38.361121150000002</v>
      </c>
      <c r="AM103" s="956">
        <f t="shared" si="26"/>
        <v>0.62061585119404539</v>
      </c>
      <c r="AN103" s="957">
        <f t="shared" si="41"/>
        <v>135.00002158525081</v>
      </c>
      <c r="AO103" s="938">
        <f t="shared" si="27"/>
        <v>-3.0187874340008873</v>
      </c>
      <c r="AP103" s="958">
        <f t="shared" si="28"/>
        <v>-1273</v>
      </c>
      <c r="AQ103" s="959">
        <f t="shared" si="29"/>
        <v>-1237.5</v>
      </c>
      <c r="AR103" s="958">
        <f t="shared" si="30"/>
        <v>333.00002316217024</v>
      </c>
      <c r="AS103" s="940">
        <f t="shared" si="15"/>
        <v>-135.00002158525081</v>
      </c>
      <c r="AT103" s="941">
        <f t="shared" si="31"/>
        <v>131.98123415124991</v>
      </c>
      <c r="AU103" s="940"/>
      <c r="AV103" s="942">
        <f t="shared" si="32"/>
        <v>-747.02923152611311</v>
      </c>
      <c r="AW103" s="942">
        <f t="shared" si="33"/>
        <v>-490.47076847388689</v>
      </c>
      <c r="AX103" s="950">
        <f t="shared" si="16"/>
        <v>-13.386357023233087</v>
      </c>
      <c r="AY103" s="950">
        <f t="shared" si="17"/>
        <v>-18.839043208936815</v>
      </c>
      <c r="AZ103" s="960">
        <f t="shared" si="34"/>
        <v>13.386357023233087</v>
      </c>
      <c r="BA103" s="960">
        <f t="shared" si="34"/>
        <v>18.839043208936815</v>
      </c>
      <c r="BB103" s="785">
        <f t="shared" si="35"/>
        <v>0.3</v>
      </c>
      <c r="BC103" s="930">
        <v>-3</v>
      </c>
      <c r="BD103" s="945">
        <f t="shared" si="42"/>
        <v>645</v>
      </c>
      <c r="BE103" s="1395">
        <f t="shared" si="43"/>
        <v>645</v>
      </c>
      <c r="BF103" s="946">
        <f t="shared" si="36"/>
        <v>569.30977239204026</v>
      </c>
      <c r="BG103" s="947">
        <f t="shared" si="18"/>
        <v>569.30977239204026</v>
      </c>
      <c r="BH103" s="947">
        <f t="shared" si="44"/>
        <v>10.30977239204023</v>
      </c>
      <c r="BI103" s="947" t="b">
        <f t="shared" si="19"/>
        <v>0</v>
      </c>
      <c r="BJ103" s="855"/>
      <c r="BK103" s="855"/>
      <c r="BL103" s="855"/>
      <c r="BM103" s="855"/>
    </row>
    <row r="104" spans="2:93" ht="21" customHeight="1" thickBot="1" x14ac:dyDescent="0.35">
      <c r="B104" s="948">
        <v>22</v>
      </c>
      <c r="C104" s="919"/>
      <c r="D104" s="1907">
        <v>0</v>
      </c>
      <c r="E104" s="949" t="s">
        <v>147</v>
      </c>
      <c r="F104" s="950">
        <f t="shared" si="37"/>
        <v>0.3</v>
      </c>
      <c r="G104" s="950">
        <f t="shared" si="20"/>
        <v>0.3</v>
      </c>
      <c r="H104" s="951">
        <v>217.52600000000001</v>
      </c>
      <c r="I104" s="952">
        <v>103.27776</v>
      </c>
      <c r="J104" s="924">
        <f t="shared" si="21"/>
        <v>103.27776</v>
      </c>
      <c r="K104" s="924">
        <f t="shared" si="5"/>
        <v>51.63888</v>
      </c>
      <c r="L104" s="924">
        <f t="shared" si="6"/>
        <v>0.78411477781089656</v>
      </c>
      <c r="M104" s="924">
        <f t="shared" si="7"/>
        <v>170.56535115809308</v>
      </c>
      <c r="N104" s="924">
        <f t="shared" si="8"/>
        <v>341.13070231618616</v>
      </c>
      <c r="O104" s="924">
        <f>+C83+D84+D85+D86+D87+D88+D89+D90+D91+D92+D93+D94+D95+D96+D97+D98+D99+D100+D101+D102+D103+(D104/2)</f>
        <v>0</v>
      </c>
      <c r="P104" s="924">
        <f t="shared" si="9"/>
        <v>0</v>
      </c>
      <c r="Q104" s="924">
        <f t="shared" si="10"/>
        <v>0</v>
      </c>
      <c r="R104" s="924">
        <f t="shared" si="22"/>
        <v>135</v>
      </c>
      <c r="S104" s="924">
        <f t="shared" si="38"/>
        <v>135</v>
      </c>
      <c r="T104" s="925">
        <f t="shared" si="11"/>
        <v>135</v>
      </c>
      <c r="V104" s="926">
        <f t="shared" si="12"/>
        <v>0</v>
      </c>
      <c r="W104" s="926"/>
      <c r="X104" s="926"/>
      <c r="Y104" s="926"/>
      <c r="Z104" s="926"/>
      <c r="AA104" s="926"/>
      <c r="AB104" s="950" t="str">
        <f t="shared" si="23"/>
        <v>pin in groundstacking hole</v>
      </c>
      <c r="AC104" s="930" t="b">
        <f>IF(AD104=22,AF104)</f>
        <v>0</v>
      </c>
      <c r="AD104" s="930">
        <f t="shared" si="24"/>
        <v>1</v>
      </c>
      <c r="AE104" s="1412">
        <f>IF(V104=0,0,22)</f>
        <v>0</v>
      </c>
      <c r="AF104" s="926">
        <f>SUM(V104:V106)/($B$80-B103)</f>
        <v>0</v>
      </c>
      <c r="AG104" s="876">
        <f>SUM(D84:D104)+$C$83</f>
        <v>0</v>
      </c>
      <c r="AH104" s="931" t="b">
        <f t="shared" si="13"/>
        <v>0</v>
      </c>
      <c r="AI104" s="875">
        <f t="shared" si="39"/>
        <v>58.150950000000002</v>
      </c>
      <c r="AJ104" s="953">
        <f t="shared" si="14"/>
        <v>0.84944126318315416</v>
      </c>
      <c r="AK104" s="954">
        <f t="shared" si="40"/>
        <v>198.0000015769194</v>
      </c>
      <c r="AL104" s="955">
        <f t="shared" si="25"/>
        <v>38.361121150000002</v>
      </c>
      <c r="AM104" s="956">
        <f t="shared" si="26"/>
        <v>0.62061585119404539</v>
      </c>
      <c r="AN104" s="957">
        <f t="shared" si="41"/>
        <v>135.00002158525081</v>
      </c>
      <c r="AO104" s="938">
        <f t="shared" si="27"/>
        <v>-2.8637404749529307</v>
      </c>
      <c r="AP104" s="958">
        <f t="shared" si="28"/>
        <v>-1340</v>
      </c>
      <c r="AQ104" s="959">
        <f t="shared" si="29"/>
        <v>-1304.5</v>
      </c>
      <c r="AR104" s="958">
        <f t="shared" si="30"/>
        <v>333.00002316217024</v>
      </c>
      <c r="AS104" s="940">
        <f t="shared" si="15"/>
        <v>-135.00002158525081</v>
      </c>
      <c r="AT104" s="941">
        <f t="shared" si="31"/>
        <v>132.13628111029789</v>
      </c>
      <c r="AU104" s="940"/>
      <c r="AV104" s="942">
        <f t="shared" si="32"/>
        <v>-786.86706691026575</v>
      </c>
      <c r="AW104" s="942">
        <f t="shared" si="33"/>
        <v>-517.63293308973414</v>
      </c>
      <c r="AX104" s="950">
        <f t="shared" si="16"/>
        <v>-12.708626933982991</v>
      </c>
      <c r="AY104" s="950">
        <f t="shared" si="17"/>
        <v>-17.850487110328821</v>
      </c>
      <c r="AZ104" s="960">
        <f t="shared" si="34"/>
        <v>12.708626933982991</v>
      </c>
      <c r="BA104" s="960">
        <f t="shared" si="34"/>
        <v>17.850487110328821</v>
      </c>
      <c r="BB104" s="785">
        <f t="shared" si="35"/>
        <v>0.3</v>
      </c>
      <c r="BC104" s="930">
        <v>-4</v>
      </c>
      <c r="BD104" s="945">
        <f t="shared" si="42"/>
        <v>688</v>
      </c>
      <c r="BE104" s="1395">
        <f t="shared" si="43"/>
        <v>688</v>
      </c>
      <c r="BF104" s="946">
        <f t="shared" si="36"/>
        <v>612.30977239204026</v>
      </c>
      <c r="BG104" s="947">
        <f t="shared" si="18"/>
        <v>612.30977239204026</v>
      </c>
      <c r="BH104" s="947">
        <f t="shared" si="44"/>
        <v>10.30977239204023</v>
      </c>
      <c r="BI104" s="947" t="b">
        <f t="shared" si="19"/>
        <v>0</v>
      </c>
      <c r="BJ104" s="855"/>
      <c r="BK104" s="855"/>
      <c r="BL104" s="855"/>
      <c r="BM104" s="855"/>
    </row>
    <row r="105" spans="2:93" ht="21" customHeight="1" thickBot="1" x14ac:dyDescent="0.35">
      <c r="B105" s="948">
        <v>23</v>
      </c>
      <c r="C105" s="919"/>
      <c r="D105" s="1907">
        <v>0</v>
      </c>
      <c r="E105" s="949" t="s">
        <v>147</v>
      </c>
      <c r="F105" s="950">
        <f t="shared" si="37"/>
        <v>0.3</v>
      </c>
      <c r="G105" s="950">
        <f t="shared" si="20"/>
        <v>0.3</v>
      </c>
      <c r="H105" s="951">
        <v>217.52600000000001</v>
      </c>
      <c r="I105" s="952">
        <v>103.27776</v>
      </c>
      <c r="J105" s="924">
        <f t="shared" si="21"/>
        <v>103.27776</v>
      </c>
      <c r="K105" s="924">
        <f t="shared" si="5"/>
        <v>51.63888</v>
      </c>
      <c r="L105" s="924">
        <f t="shared" si="6"/>
        <v>0.78411477781089656</v>
      </c>
      <c r="M105" s="924">
        <f t="shared" si="7"/>
        <v>170.56535115809308</v>
      </c>
      <c r="N105" s="924">
        <f t="shared" si="8"/>
        <v>341.13070231618616</v>
      </c>
      <c r="O105" s="924">
        <f>+C83+D84+D85+D86+D87+D88+D89+D90+D91+D92+D93+D94+D95+D96+D97+D98+D99+D100+D101+D102+D103+D104+(D105/2)</f>
        <v>0</v>
      </c>
      <c r="P105" s="924">
        <f t="shared" si="9"/>
        <v>0</v>
      </c>
      <c r="Q105" s="924">
        <f t="shared" si="10"/>
        <v>0</v>
      </c>
      <c r="R105" s="924">
        <f t="shared" si="22"/>
        <v>135</v>
      </c>
      <c r="S105" s="924">
        <f t="shared" si="38"/>
        <v>135</v>
      </c>
      <c r="T105" s="925">
        <f t="shared" si="11"/>
        <v>135</v>
      </c>
      <c r="V105" s="926">
        <f t="shared" si="12"/>
        <v>0</v>
      </c>
      <c r="W105" s="926"/>
      <c r="X105" s="926"/>
      <c r="Y105" s="926"/>
      <c r="Z105" s="926"/>
      <c r="AA105" s="926"/>
      <c r="AB105" s="950" t="str">
        <f t="shared" si="23"/>
        <v>pin in groundstacking hole</v>
      </c>
      <c r="AC105" s="930" t="b">
        <f>IF(AD105=23,AF105)</f>
        <v>0</v>
      </c>
      <c r="AD105" s="930">
        <f t="shared" si="24"/>
        <v>1</v>
      </c>
      <c r="AE105" s="1412">
        <f>IF(V105=0,0,23)</f>
        <v>0</v>
      </c>
      <c r="AF105" s="926">
        <f>SUM(V105:V106)/($B$80-B104)</f>
        <v>0</v>
      </c>
      <c r="AG105" s="876">
        <f>SUM(D84:D105)+$C$83</f>
        <v>0</v>
      </c>
      <c r="AH105" s="931" t="b">
        <f t="shared" si="13"/>
        <v>0</v>
      </c>
      <c r="AI105" s="875">
        <f t="shared" si="39"/>
        <v>58.150950000000002</v>
      </c>
      <c r="AJ105" s="953">
        <f t="shared" si="14"/>
        <v>0.84944126318315416</v>
      </c>
      <c r="AK105" s="954">
        <f t="shared" si="40"/>
        <v>198.0000015769194</v>
      </c>
      <c r="AL105" s="955">
        <f t="shared" si="25"/>
        <v>38.361121150000002</v>
      </c>
      <c r="AM105" s="956">
        <f t="shared" si="26"/>
        <v>0.62061585119404539</v>
      </c>
      <c r="AN105" s="957">
        <f t="shared" si="41"/>
        <v>135.00002158525081</v>
      </c>
      <c r="AO105" s="938">
        <f t="shared" si="27"/>
        <v>-2.7238421068728385</v>
      </c>
      <c r="AP105" s="958">
        <f t="shared" si="28"/>
        <v>-1407</v>
      </c>
      <c r="AQ105" s="959">
        <f t="shared" si="29"/>
        <v>-1371.5</v>
      </c>
      <c r="AR105" s="958">
        <f t="shared" si="30"/>
        <v>333.00002316217024</v>
      </c>
      <c r="AS105" s="940">
        <f t="shared" si="15"/>
        <v>-135.00002158525081</v>
      </c>
      <c r="AT105" s="941">
        <f t="shared" si="31"/>
        <v>132.27617947837797</v>
      </c>
      <c r="AU105" s="940"/>
      <c r="AV105" s="942">
        <f t="shared" si="32"/>
        <v>-826.70490229441873</v>
      </c>
      <c r="AW105" s="942">
        <f t="shared" si="33"/>
        <v>-544.79509770558127</v>
      </c>
      <c r="AX105" s="950">
        <f t="shared" si="16"/>
        <v>-12.096214710044924</v>
      </c>
      <c r="AY105" s="950">
        <f t="shared" si="17"/>
        <v>-16.960505039260632</v>
      </c>
      <c r="AZ105" s="960">
        <f t="shared" si="34"/>
        <v>12.096214710044924</v>
      </c>
      <c r="BA105" s="960">
        <f t="shared" si="34"/>
        <v>16.960505039260632</v>
      </c>
      <c r="BB105" s="785">
        <f t="shared" si="35"/>
        <v>0.3</v>
      </c>
      <c r="BC105" s="930">
        <v>-5</v>
      </c>
      <c r="BD105" s="945">
        <f t="shared" si="42"/>
        <v>731</v>
      </c>
      <c r="BE105" s="1395">
        <f t="shared" si="43"/>
        <v>731</v>
      </c>
      <c r="BF105" s="946">
        <f t="shared" si="36"/>
        <v>655.30977239204026</v>
      </c>
      <c r="BG105" s="947">
        <f t="shared" si="18"/>
        <v>655.30977239204026</v>
      </c>
      <c r="BH105" s="947">
        <f t="shared" si="44"/>
        <v>10.30977239204023</v>
      </c>
      <c r="BI105" s="947" t="b">
        <f t="shared" si="19"/>
        <v>0</v>
      </c>
      <c r="BJ105" s="855"/>
      <c r="BK105" s="855"/>
      <c r="BL105" s="855"/>
      <c r="BM105" s="855"/>
    </row>
    <row r="106" spans="2:93" ht="21" customHeight="1" thickBot="1" x14ac:dyDescent="0.35">
      <c r="B106" s="948">
        <v>24</v>
      </c>
      <c r="C106" s="919"/>
      <c r="D106" s="1907">
        <v>0</v>
      </c>
      <c r="E106" s="949" t="s">
        <v>147</v>
      </c>
      <c r="F106" s="950">
        <f t="shared" si="37"/>
        <v>0.3</v>
      </c>
      <c r="G106" s="950">
        <f t="shared" si="20"/>
        <v>0.3</v>
      </c>
      <c r="H106" s="951">
        <v>217.52600000000001</v>
      </c>
      <c r="I106" s="952">
        <v>103.27776</v>
      </c>
      <c r="J106" s="924">
        <f t="shared" si="21"/>
        <v>103.27776</v>
      </c>
      <c r="K106" s="924">
        <f t="shared" si="5"/>
        <v>51.63888</v>
      </c>
      <c r="L106" s="924">
        <f t="shared" si="6"/>
        <v>0.78411477781089656</v>
      </c>
      <c r="M106" s="924">
        <f t="shared" si="7"/>
        <v>170.56535115809308</v>
      </c>
      <c r="N106" s="924">
        <f t="shared" si="8"/>
        <v>341.13070231618616</v>
      </c>
      <c r="O106" s="924">
        <f>+SUM(D84:D105)+(D106/2)+C83</f>
        <v>0</v>
      </c>
      <c r="P106" s="924">
        <f t="shared" si="9"/>
        <v>0</v>
      </c>
      <c r="Q106" s="924">
        <f t="shared" si="10"/>
        <v>0</v>
      </c>
      <c r="R106" s="924">
        <f t="shared" si="22"/>
        <v>135</v>
      </c>
      <c r="S106" s="924">
        <f t="shared" si="38"/>
        <v>135</v>
      </c>
      <c r="T106" s="925">
        <f t="shared" si="11"/>
        <v>135</v>
      </c>
      <c r="V106" s="926">
        <f t="shared" si="12"/>
        <v>0</v>
      </c>
      <c r="W106" s="926"/>
      <c r="X106" s="926"/>
      <c r="Y106" s="926"/>
      <c r="Z106" s="926"/>
      <c r="AA106" s="926"/>
      <c r="AB106" s="950" t="str">
        <f t="shared" si="23"/>
        <v>pin in groundstacking hole</v>
      </c>
      <c r="AC106" s="930" t="b">
        <f>IF(AD106=24,AF106)</f>
        <v>0</v>
      </c>
      <c r="AD106" s="930">
        <f t="shared" si="24"/>
        <v>1</v>
      </c>
      <c r="AE106" s="1412">
        <f>IF(V106=0,0,24)</f>
        <v>0</v>
      </c>
      <c r="AF106" s="926">
        <f>SUM(V106)/($B$80-B105)</f>
        <v>0</v>
      </c>
      <c r="AG106" s="876">
        <f>SUM(D84:D106)+$C$83</f>
        <v>0</v>
      </c>
      <c r="AH106" s="931" t="b">
        <f t="shared" si="13"/>
        <v>0</v>
      </c>
      <c r="AI106" s="875">
        <f t="shared" si="39"/>
        <v>58.150950000000002</v>
      </c>
      <c r="AJ106" s="953">
        <f t="shared" si="14"/>
        <v>0.84944126318315416</v>
      </c>
      <c r="AK106" s="954">
        <f t="shared" si="40"/>
        <v>198.0000015769194</v>
      </c>
      <c r="AL106" s="955">
        <f t="shared" si="25"/>
        <v>38.361121150000002</v>
      </c>
      <c r="AM106" s="956">
        <f t="shared" si="26"/>
        <v>0.62061585119404539</v>
      </c>
      <c r="AN106" s="937">
        <f t="shared" si="41"/>
        <v>135.00002158525081</v>
      </c>
      <c r="AO106" s="938">
        <f t="shared" si="27"/>
        <v>-2.5969756340466446</v>
      </c>
      <c r="AP106" s="958">
        <f t="shared" si="28"/>
        <v>-1474</v>
      </c>
      <c r="AQ106" s="959">
        <f t="shared" si="29"/>
        <v>-1438.5</v>
      </c>
      <c r="AR106" s="958">
        <f t="shared" si="30"/>
        <v>333.00002316217024</v>
      </c>
      <c r="AS106" s="940">
        <f t="shared" si="15"/>
        <v>-135.00002158525081</v>
      </c>
      <c r="AT106" s="941">
        <f t="shared" si="31"/>
        <v>132.40304595120415</v>
      </c>
      <c r="AU106" s="940"/>
      <c r="AV106" s="942">
        <f t="shared" si="32"/>
        <v>-866.5427376785716</v>
      </c>
      <c r="AW106" s="942">
        <f t="shared" si="33"/>
        <v>-571.95726232142852</v>
      </c>
      <c r="AX106" s="950">
        <f t="shared" si="16"/>
        <v>-11.540111716577931</v>
      </c>
      <c r="AY106" s="950">
        <f t="shared" si="17"/>
        <v>-16.155053198375693</v>
      </c>
      <c r="AZ106" s="960">
        <f t="shared" si="34"/>
        <v>11.540111716577931</v>
      </c>
      <c r="BA106" s="960">
        <f t="shared" si="34"/>
        <v>16.155053198375693</v>
      </c>
      <c r="BB106" s="785">
        <f t="shared" si="35"/>
        <v>0.3</v>
      </c>
      <c r="BC106" s="930">
        <v>-6</v>
      </c>
      <c r="BD106" s="945">
        <f t="shared" si="42"/>
        <v>774</v>
      </c>
      <c r="BE106" s="1395">
        <f t="shared" si="43"/>
        <v>774</v>
      </c>
      <c r="BF106" s="946">
        <f t="shared" si="36"/>
        <v>698.30977239204026</v>
      </c>
      <c r="BG106" s="947">
        <f t="shared" si="18"/>
        <v>698.30977239204026</v>
      </c>
      <c r="BH106" s="947">
        <f t="shared" si="44"/>
        <v>10.30977239204023</v>
      </c>
      <c r="BI106" s="947" t="b">
        <f t="shared" si="19"/>
        <v>0</v>
      </c>
      <c r="BJ106" s="855"/>
      <c r="BK106" s="855"/>
      <c r="BL106" s="855"/>
      <c r="BM106" s="855"/>
    </row>
    <row r="107" spans="2:93" ht="17.399999999999999" x14ac:dyDescent="0.3">
      <c r="BF107" s="855"/>
      <c r="BG107" s="855"/>
      <c r="BH107" s="855"/>
      <c r="BI107" s="855"/>
      <c r="BJ107" s="855"/>
      <c r="BK107" s="855"/>
      <c r="CO107" s="777"/>
    </row>
    <row r="108" spans="2:93" ht="18" hidden="1" thickBot="1" x14ac:dyDescent="0.35">
      <c r="AF108" s="962"/>
      <c r="AG108" s="962" t="s">
        <v>125</v>
      </c>
      <c r="AH108" s="963">
        <f>MAX(AH83:AH106)</f>
        <v>0</v>
      </c>
      <c r="BF108" s="855"/>
      <c r="BG108" s="855"/>
      <c r="BH108" s="855"/>
      <c r="BI108" s="855"/>
      <c r="BJ108" s="855"/>
      <c r="BK108" s="855"/>
      <c r="BL108" s="964"/>
      <c r="CO108" s="777"/>
    </row>
    <row r="109" spans="2:93" hidden="1" x14ac:dyDescent="0.3">
      <c r="BF109" s="855"/>
      <c r="BG109" s="855"/>
      <c r="BH109" s="855"/>
      <c r="BI109" s="855"/>
      <c r="BJ109" s="855"/>
      <c r="BK109" s="855"/>
      <c r="BL109" s="855"/>
      <c r="BM109" s="855"/>
    </row>
    <row r="110" spans="2:93" ht="21" hidden="1" x14ac:dyDescent="0.4">
      <c r="B110" s="965"/>
      <c r="BF110" s="966"/>
      <c r="BG110" s="966"/>
      <c r="BH110" s="966"/>
      <c r="BI110" s="966"/>
      <c r="BJ110" s="966"/>
      <c r="BK110" s="966"/>
      <c r="BL110" s="966"/>
      <c r="BM110" s="966"/>
    </row>
    <row r="111" spans="2:93" ht="21" hidden="1" x14ac:dyDescent="0.4">
      <c r="B111" s="965"/>
      <c r="S111" s="870"/>
      <c r="T111" s="870"/>
      <c r="BF111" s="891"/>
      <c r="BG111" s="891"/>
      <c r="BH111" s="891"/>
      <c r="BI111" s="891"/>
      <c r="BJ111" s="891"/>
      <c r="BK111" s="891"/>
      <c r="BL111" s="891"/>
      <c r="BM111" s="891"/>
    </row>
    <row r="112" spans="2:93" ht="21" hidden="1" x14ac:dyDescent="0.4">
      <c r="B112" s="965"/>
      <c r="S112" s="870"/>
      <c r="T112" s="870"/>
      <c r="BF112" s="891"/>
      <c r="BG112" s="891"/>
      <c r="BH112" s="891"/>
      <c r="BI112" s="891"/>
      <c r="BJ112" s="891"/>
      <c r="BK112" s="891"/>
      <c r="BL112" s="891"/>
      <c r="BM112" s="891"/>
    </row>
    <row r="113" spans="2:65" ht="16.2" thickBot="1" x14ac:dyDescent="0.35">
      <c r="S113" s="870"/>
      <c r="T113" s="870"/>
    </row>
    <row r="114" spans="2:65" ht="63.6" thickBot="1" x14ac:dyDescent="0.45">
      <c r="B114" s="1932" t="s">
        <v>42</v>
      </c>
      <c r="C114" s="1935"/>
      <c r="D114" s="967"/>
      <c r="E114" s="881"/>
      <c r="F114" s="881"/>
      <c r="G114" s="881"/>
      <c r="H114" s="882"/>
      <c r="I114" s="882"/>
      <c r="J114" s="882"/>
      <c r="K114" s="882"/>
      <c r="L114" s="882"/>
      <c r="M114" s="882"/>
      <c r="N114" s="882"/>
      <c r="O114" s="882"/>
      <c r="P114" s="882"/>
      <c r="Q114" s="882"/>
      <c r="R114" s="882"/>
      <c r="S114" s="883" t="s">
        <v>149</v>
      </c>
      <c r="T114" s="884">
        <f>SUM(V118:V141)/B115</f>
        <v>146.5</v>
      </c>
      <c r="U114" s="885"/>
      <c r="V114" s="801"/>
      <c r="W114" s="801"/>
      <c r="X114" s="801"/>
      <c r="Y114" s="801"/>
      <c r="Z114" s="801"/>
      <c r="AA114" s="801"/>
      <c r="BF114" s="968"/>
    </row>
    <row r="115" spans="2:65" ht="25.2" thickBot="1" x14ac:dyDescent="0.45">
      <c r="B115" s="1931">
        <v>1</v>
      </c>
      <c r="C115" s="1930"/>
      <c r="D115" s="1936" t="s">
        <v>71</v>
      </c>
      <c r="E115" s="969"/>
      <c r="F115" s="970"/>
      <c r="G115" s="970"/>
      <c r="H115" s="970"/>
      <c r="I115" s="970"/>
      <c r="J115" s="970"/>
      <c r="K115" s="970"/>
      <c r="L115" s="970"/>
      <c r="M115" s="970"/>
      <c r="N115" s="970"/>
      <c r="O115" s="970"/>
      <c r="P115" s="970"/>
      <c r="Q115" s="970"/>
      <c r="R115" s="970"/>
      <c r="S115" s="970"/>
      <c r="T115" s="970"/>
      <c r="U115" s="873"/>
      <c r="V115" s="889"/>
      <c r="W115" s="889"/>
      <c r="X115" s="889"/>
      <c r="Y115" s="889"/>
      <c r="Z115" s="889"/>
      <c r="AA115" s="889"/>
      <c r="AX115" s="877" t="s">
        <v>65</v>
      </c>
      <c r="AZ115" s="2100" t="s">
        <v>68</v>
      </c>
      <c r="BA115" s="2101"/>
      <c r="BM115" s="971"/>
    </row>
    <row r="116" spans="2:65" ht="28.2" hidden="1" thickTop="1" thickBot="1" x14ac:dyDescent="0.35">
      <c r="B116" s="972"/>
      <c r="C116" s="893"/>
      <c r="D116" s="973" t="s">
        <v>13</v>
      </c>
      <c r="E116" s="843"/>
      <c r="F116" s="843"/>
      <c r="G116" s="843"/>
      <c r="H116" s="974" t="s">
        <v>4</v>
      </c>
      <c r="I116" s="974" t="s">
        <v>1</v>
      </c>
      <c r="J116" s="850" t="s">
        <v>0</v>
      </c>
      <c r="K116" s="850" t="s">
        <v>2</v>
      </c>
      <c r="L116" s="850" t="s">
        <v>3</v>
      </c>
      <c r="M116" s="850" t="s">
        <v>8</v>
      </c>
      <c r="N116" s="850" t="s">
        <v>5</v>
      </c>
      <c r="O116" s="850" t="s">
        <v>6</v>
      </c>
      <c r="P116" s="850" t="s">
        <v>7</v>
      </c>
      <c r="Q116" s="850" t="s">
        <v>9</v>
      </c>
      <c r="R116" s="975" t="s">
        <v>10</v>
      </c>
      <c r="S116" s="850" t="s">
        <v>11</v>
      </c>
      <c r="T116" s="976" t="s">
        <v>12</v>
      </c>
      <c r="U116" s="898"/>
      <c r="V116" s="899"/>
      <c r="W116" s="899"/>
      <c r="X116" s="899"/>
      <c r="Y116" s="899"/>
      <c r="Z116" s="899"/>
      <c r="AA116" s="899"/>
      <c r="AZ116" s="977"/>
      <c r="BA116" s="978"/>
      <c r="BM116" s="971"/>
    </row>
    <row r="117" spans="2:65" ht="38.25" customHeight="1" thickBot="1" x14ac:dyDescent="0.35">
      <c r="B117" s="902"/>
      <c r="C117" s="903"/>
      <c r="D117" s="905" t="s">
        <v>24</v>
      </c>
      <c r="E117" s="906"/>
      <c r="F117" s="905" t="s">
        <v>58</v>
      </c>
      <c r="G117" s="906"/>
      <c r="H117" s="907"/>
      <c r="I117" s="908"/>
      <c r="J117" s="909"/>
      <c r="K117" s="909"/>
      <c r="L117" s="909"/>
      <c r="M117" s="909"/>
      <c r="N117" s="909"/>
      <c r="O117" s="909"/>
      <c r="P117" s="909"/>
      <c r="Q117" s="909"/>
      <c r="R117" s="979"/>
      <c r="S117" s="909"/>
      <c r="T117" s="910"/>
      <c r="U117" s="911"/>
      <c r="V117" s="912"/>
      <c r="W117" s="912"/>
      <c r="X117" s="912"/>
      <c r="Y117" s="912"/>
      <c r="Z117" s="912"/>
      <c r="AA117" s="912"/>
      <c r="AB117" s="909"/>
      <c r="AC117" s="914"/>
      <c r="AD117" s="914"/>
      <c r="AE117" s="914"/>
      <c r="AF117" s="913" t="s">
        <v>51</v>
      </c>
      <c r="AG117" s="913" t="s">
        <v>44</v>
      </c>
      <c r="AH117" s="913"/>
      <c r="AI117" s="980" t="s">
        <v>96</v>
      </c>
      <c r="AJ117" s="914" t="s">
        <v>45</v>
      </c>
      <c r="AK117" s="981" t="s">
        <v>46</v>
      </c>
      <c r="AL117" s="980" t="s">
        <v>97</v>
      </c>
      <c r="AM117" s="913" t="s">
        <v>47</v>
      </c>
      <c r="AN117" s="981" t="s">
        <v>48</v>
      </c>
      <c r="AO117" s="913"/>
      <c r="AP117" s="982" t="s">
        <v>49</v>
      </c>
      <c r="AQ117" s="913"/>
      <c r="AR117" s="913" t="s">
        <v>50</v>
      </c>
      <c r="AS117" s="913" t="s">
        <v>52</v>
      </c>
      <c r="AT117" s="913"/>
      <c r="AU117" s="913" t="s">
        <v>53</v>
      </c>
      <c r="AV117" s="915" t="s">
        <v>54</v>
      </c>
      <c r="AW117" s="915" t="s">
        <v>55</v>
      </c>
      <c r="AX117" s="916" t="s">
        <v>25</v>
      </c>
      <c r="AY117" s="916" t="s">
        <v>26</v>
      </c>
      <c r="AZ117" s="917" t="s">
        <v>25</v>
      </c>
      <c r="BA117" s="917" t="s">
        <v>26</v>
      </c>
      <c r="BB117" s="850"/>
      <c r="BM117" s="971"/>
    </row>
    <row r="118" spans="2:65" ht="21" customHeight="1" thickBot="1" x14ac:dyDescent="0.35">
      <c r="B118" s="918">
        <v>1</v>
      </c>
      <c r="C118" s="919">
        <f>+D118+AH108</f>
        <v>0</v>
      </c>
      <c r="D118" s="1934">
        <v>0</v>
      </c>
      <c r="E118" s="920" t="s">
        <v>150</v>
      </c>
      <c r="F118" s="983">
        <f>+G118</f>
        <v>0</v>
      </c>
      <c r="G118" s="921">
        <f>+D118</f>
        <v>0</v>
      </c>
      <c r="H118" s="984">
        <v>190.76</v>
      </c>
      <c r="I118" s="985">
        <v>79.651040199999997</v>
      </c>
      <c r="J118" s="924">
        <f>+I118-C118</f>
        <v>79.651040199999997</v>
      </c>
      <c r="K118" s="924">
        <f t="shared" ref="K118:K141" si="45">+J118/2</f>
        <v>39.825520099999999</v>
      </c>
      <c r="L118" s="924">
        <f t="shared" ref="L118:L141" si="46">SIN(K118*3.14159265358979/180)</f>
        <v>0.64045183696587837</v>
      </c>
      <c r="M118" s="924">
        <f t="shared" ref="M118:M141" si="47">+L118*H118</f>
        <v>122.17259241961095</v>
      </c>
      <c r="N118" s="924">
        <f t="shared" ref="N118:N141" si="48">+M118*2</f>
        <v>244.3451848392219</v>
      </c>
      <c r="O118" s="924">
        <f>+C118/2</f>
        <v>0</v>
      </c>
      <c r="P118" s="924">
        <f t="shared" ref="P118:P141" si="49">SIN(O118*3.14159265358979/180)</f>
        <v>0</v>
      </c>
      <c r="Q118" s="924">
        <f t="shared" ref="Q118:Q141" si="50">+P118*N118</f>
        <v>0</v>
      </c>
      <c r="R118" s="986">
        <v>146.5</v>
      </c>
      <c r="S118" s="924">
        <f>+R118+Q118</f>
        <v>146.5</v>
      </c>
      <c r="T118" s="925">
        <f t="shared" ref="T118:T141" si="51">+S118</f>
        <v>146.5</v>
      </c>
      <c r="V118" s="926">
        <f>IF(B118&lt;($B$115+1),T118,0)</f>
        <v>146.5</v>
      </c>
      <c r="W118" s="926"/>
      <c r="X118" s="926"/>
      <c r="Y118" s="926"/>
      <c r="Z118" s="926"/>
      <c r="AA118" s="926"/>
      <c r="AB118" s="921" t="str">
        <f>IF(AY118&lt;0,"pin in groundstacking hole"," ")</f>
        <v xml:space="preserve"> </v>
      </c>
      <c r="AC118" s="987"/>
      <c r="AD118" s="987"/>
      <c r="AE118" s="987"/>
      <c r="AF118" s="926">
        <f>SUM(V118:V141)/($B$115)</f>
        <v>146.5</v>
      </c>
      <c r="AG118" s="876">
        <f>C118</f>
        <v>0</v>
      </c>
      <c r="AH118" s="876"/>
      <c r="AI118" s="927">
        <f>69.3447148-AG118</f>
        <v>69.344714800000006</v>
      </c>
      <c r="AJ118" s="933">
        <f t="shared" ref="AJ118:AJ141" si="52">SIN(AI118*3.14159265358979/180)</f>
        <v>0.93571960494171247</v>
      </c>
      <c r="AK118" s="988">
        <f>+AJ118*192.42</f>
        <v>180.0511663828843</v>
      </c>
      <c r="AL118" s="927">
        <f>50.1744799+AG118</f>
        <v>50.174479900000001</v>
      </c>
      <c r="AM118" s="936">
        <f>SIN(AL118*3.14159265358979/180)</f>
        <v>0.76799833627881664</v>
      </c>
      <c r="AN118" s="988">
        <f>+AM118*190.76</f>
        <v>146.50336262854705</v>
      </c>
      <c r="AO118" s="937"/>
      <c r="AP118" s="988">
        <f>25.5*B115</f>
        <v>25.5</v>
      </c>
      <c r="AQ118" s="939"/>
      <c r="AR118" s="939">
        <f>+AN118+AK118</f>
        <v>326.55452901143133</v>
      </c>
      <c r="AS118" s="940">
        <f t="shared" ref="AS118:AS141" si="53">+V118-AN118</f>
        <v>-3.3626285470518269E-3</v>
      </c>
      <c r="AT118" s="940"/>
      <c r="AU118" s="940">
        <f t="shared" ref="AU118:AU141" si="54">+AF118-AS118</f>
        <v>146.50336262854705</v>
      </c>
      <c r="AV118" s="942">
        <f>+((AR118-AU118)/AR118)*AP118</f>
        <v>14.059840960291279</v>
      </c>
      <c r="AW118" s="942">
        <f>+(AU118/AR118)*AP118</f>
        <v>11.440159039708721</v>
      </c>
      <c r="AX118" s="989">
        <f>2*$D$28/AV118</f>
        <v>825.04489437408847</v>
      </c>
      <c r="AY118" s="989">
        <f>$F$28/AW118</f>
        <v>874.11372213358766</v>
      </c>
      <c r="AZ118" s="943">
        <f>ABS(AX118)</f>
        <v>825.04489437408847</v>
      </c>
      <c r="BA118" s="943">
        <f>ABS(AY118)</f>
        <v>874.11372213358766</v>
      </c>
      <c r="BB118" s="924" t="s">
        <v>56</v>
      </c>
      <c r="BM118" s="971"/>
    </row>
    <row r="119" spans="2:65" ht="21" customHeight="1" thickBot="1" x14ac:dyDescent="0.35">
      <c r="B119" s="990">
        <v>2</v>
      </c>
      <c r="C119" s="919"/>
      <c r="D119" s="1907">
        <v>0</v>
      </c>
      <c r="E119" s="949" t="s">
        <v>72</v>
      </c>
      <c r="F119" s="983" t="e">
        <f t="shared" ref="F119:F141" si="55">+G119</f>
        <v>#DIV/0!</v>
      </c>
      <c r="G119" s="950" t="e">
        <f t="shared" ref="G119:G141" si="56">+D119+BB119</f>
        <v>#DIV/0!</v>
      </c>
      <c r="H119" s="991">
        <v>190.76</v>
      </c>
      <c r="I119" s="992">
        <v>79.651040199999997</v>
      </c>
      <c r="J119" s="924">
        <f t="shared" ref="J119:J141" si="57">+I119-D119</f>
        <v>79.651040199999997</v>
      </c>
      <c r="K119" s="924">
        <f t="shared" si="45"/>
        <v>39.825520099999999</v>
      </c>
      <c r="L119" s="924">
        <f t="shared" si="46"/>
        <v>0.64045183696587837</v>
      </c>
      <c r="M119" s="924">
        <f t="shared" si="47"/>
        <v>122.17259241961095</v>
      </c>
      <c r="N119" s="924">
        <f t="shared" si="48"/>
        <v>244.3451848392219</v>
      </c>
      <c r="O119" s="924">
        <f>+C118+(D119/2)</f>
        <v>0</v>
      </c>
      <c r="P119" s="924">
        <f t="shared" si="49"/>
        <v>0</v>
      </c>
      <c r="Q119" s="924">
        <f t="shared" si="50"/>
        <v>0</v>
      </c>
      <c r="R119" s="986">
        <f t="shared" ref="R119:R141" si="58">+T118</f>
        <v>146.5</v>
      </c>
      <c r="S119" s="924">
        <f>+R119+Q119</f>
        <v>146.5</v>
      </c>
      <c r="T119" s="925">
        <f t="shared" si="51"/>
        <v>146.5</v>
      </c>
      <c r="V119" s="926">
        <f t="shared" ref="V119:V141" si="59">IF(B119&lt;($B$115+1),T119,0)</f>
        <v>0</v>
      </c>
      <c r="W119" s="926"/>
      <c r="X119" s="926"/>
      <c r="Y119" s="926"/>
      <c r="Z119" s="926"/>
      <c r="AA119" s="926"/>
      <c r="AB119" s="950" t="e">
        <f t="shared" ref="AB119:AB141" si="60">IF(AY119&lt;0,"pin in groundstacking hole"," ")</f>
        <v>#DIV/0!</v>
      </c>
      <c r="AC119" s="987"/>
      <c r="AD119" s="987"/>
      <c r="AE119" s="987"/>
      <c r="AF119" s="926">
        <f>SUM(V119:V141)/($B$115)</f>
        <v>0</v>
      </c>
      <c r="AG119" s="876">
        <f>SUM(D119)+$C$118</f>
        <v>0</v>
      </c>
      <c r="AH119" s="876"/>
      <c r="AI119" s="927">
        <f t="shared" ref="AI119:AI141" si="61">69.3447148-AG119</f>
        <v>69.344714800000006</v>
      </c>
      <c r="AJ119" s="953">
        <f t="shared" si="52"/>
        <v>0.93571960494171247</v>
      </c>
      <c r="AK119" s="988">
        <f t="shared" ref="AK119:AK141" si="62">+AJ119*192.42</f>
        <v>180.0511663828843</v>
      </c>
      <c r="AL119" s="927">
        <f t="shared" ref="AL119:AL141" si="63">50.1744799+AG119</f>
        <v>50.174479900000001</v>
      </c>
      <c r="AM119" s="956">
        <f t="shared" ref="AM119:AM141" si="64">SIN(AL119*3.14159265358979/180)</f>
        <v>0.76799833627881664</v>
      </c>
      <c r="AN119" s="988">
        <f t="shared" ref="AN119:AN141" si="65">+AM119*190.76</f>
        <v>146.50336262854705</v>
      </c>
      <c r="AO119" s="957"/>
      <c r="AP119" s="988">
        <f t="shared" ref="AP119:AP141" si="66">25.5*($B$115-B118)</f>
        <v>0</v>
      </c>
      <c r="AQ119" s="958"/>
      <c r="AR119" s="958">
        <f t="shared" ref="AR119:AR141" si="67">+AN119+AK119</f>
        <v>326.55452901143133</v>
      </c>
      <c r="AS119" s="940">
        <f t="shared" si="53"/>
        <v>-146.50336262854705</v>
      </c>
      <c r="AT119" s="940"/>
      <c r="AU119" s="940">
        <f t="shared" si="54"/>
        <v>146.50336262854705</v>
      </c>
      <c r="AV119" s="942">
        <f t="shared" ref="AV119:AV141" si="68">+((AR119-AU119)/AR119)*AP119</f>
        <v>0</v>
      </c>
      <c r="AW119" s="942">
        <f t="shared" ref="AW119:AW141" si="69">+(AU119/AR119)*AP119</f>
        <v>0</v>
      </c>
      <c r="AX119" s="993" t="e">
        <f t="shared" ref="AX119:AX141" si="70">2*$D$28/AV119</f>
        <v>#DIV/0!</v>
      </c>
      <c r="AY119" s="993" t="e">
        <f t="shared" ref="AY119:AY141" si="71">$F$28/AW119</f>
        <v>#DIV/0!</v>
      </c>
      <c r="AZ119" s="960" t="e">
        <f t="shared" ref="AZ119:BA141" si="72">ABS(AX119)</f>
        <v>#DIV/0!</v>
      </c>
      <c r="BA119" s="960" t="e">
        <f t="shared" si="72"/>
        <v>#DIV/0!</v>
      </c>
      <c r="BB119" s="785" t="e">
        <f t="shared" ref="BB119:BB141" si="73">IF(AY119&lt;0,0.3,0)</f>
        <v>#DIV/0!</v>
      </c>
      <c r="BM119" s="971"/>
    </row>
    <row r="120" spans="2:65" ht="21" customHeight="1" thickBot="1" x14ac:dyDescent="0.35">
      <c r="B120" s="990">
        <v>3</v>
      </c>
      <c r="C120" s="919"/>
      <c r="D120" s="1907">
        <v>0</v>
      </c>
      <c r="E120" s="949" t="s">
        <v>72</v>
      </c>
      <c r="F120" s="983">
        <f t="shared" si="55"/>
        <v>0.3</v>
      </c>
      <c r="G120" s="950">
        <f t="shared" si="56"/>
        <v>0.3</v>
      </c>
      <c r="H120" s="991">
        <v>190.76</v>
      </c>
      <c r="I120" s="992">
        <v>79.651040199999997</v>
      </c>
      <c r="J120" s="924">
        <f t="shared" si="57"/>
        <v>79.651040199999997</v>
      </c>
      <c r="K120" s="924">
        <f t="shared" si="45"/>
        <v>39.825520099999999</v>
      </c>
      <c r="L120" s="924">
        <f t="shared" si="46"/>
        <v>0.64045183696587837</v>
      </c>
      <c r="M120" s="924">
        <f t="shared" si="47"/>
        <v>122.17259241961095</v>
      </c>
      <c r="N120" s="924">
        <f t="shared" si="48"/>
        <v>244.3451848392219</v>
      </c>
      <c r="O120" s="924">
        <f>+C118+D119+(D120/2)</f>
        <v>0</v>
      </c>
      <c r="P120" s="924">
        <f t="shared" si="49"/>
        <v>0</v>
      </c>
      <c r="Q120" s="924">
        <f t="shared" si="50"/>
        <v>0</v>
      </c>
      <c r="R120" s="986">
        <f t="shared" si="58"/>
        <v>146.5</v>
      </c>
      <c r="S120" s="924">
        <f t="shared" ref="S120:S141" si="74">+S119+Q120</f>
        <v>146.5</v>
      </c>
      <c r="T120" s="925">
        <f t="shared" si="51"/>
        <v>146.5</v>
      </c>
      <c r="V120" s="926">
        <f t="shared" si="59"/>
        <v>0</v>
      </c>
      <c r="W120" s="926"/>
      <c r="X120" s="926"/>
      <c r="Y120" s="926"/>
      <c r="Z120" s="926"/>
      <c r="AA120" s="926"/>
      <c r="AB120" s="950" t="str">
        <f t="shared" si="60"/>
        <v>pin in groundstacking hole</v>
      </c>
      <c r="AC120" s="987"/>
      <c r="AD120" s="987"/>
      <c r="AE120" s="987"/>
      <c r="AF120" s="926">
        <f>SUM(V120:V141)/($B$115)</f>
        <v>0</v>
      </c>
      <c r="AG120" s="876">
        <f>SUM(D119:D120)+$C$118</f>
        <v>0</v>
      </c>
      <c r="AH120" s="876"/>
      <c r="AI120" s="927">
        <f t="shared" si="61"/>
        <v>69.344714800000006</v>
      </c>
      <c r="AJ120" s="953">
        <f t="shared" si="52"/>
        <v>0.93571960494171247</v>
      </c>
      <c r="AK120" s="988">
        <f t="shared" si="62"/>
        <v>180.0511663828843</v>
      </c>
      <c r="AL120" s="927">
        <f t="shared" si="63"/>
        <v>50.174479900000001</v>
      </c>
      <c r="AM120" s="956">
        <f t="shared" si="64"/>
        <v>0.76799833627881664</v>
      </c>
      <c r="AN120" s="988">
        <f t="shared" si="65"/>
        <v>146.50336262854705</v>
      </c>
      <c r="AO120" s="957"/>
      <c r="AP120" s="988">
        <f t="shared" si="66"/>
        <v>-25.5</v>
      </c>
      <c r="AQ120" s="958"/>
      <c r="AR120" s="958">
        <f t="shared" si="67"/>
        <v>326.55452901143133</v>
      </c>
      <c r="AS120" s="940">
        <f t="shared" si="53"/>
        <v>-146.50336262854705</v>
      </c>
      <c r="AT120" s="940"/>
      <c r="AU120" s="940">
        <f t="shared" si="54"/>
        <v>146.50336262854705</v>
      </c>
      <c r="AV120" s="942">
        <f t="shared" si="68"/>
        <v>-14.059840960291279</v>
      </c>
      <c r="AW120" s="942">
        <f t="shared" si="69"/>
        <v>-11.440159039708721</v>
      </c>
      <c r="AX120" s="993">
        <f t="shared" si="70"/>
        <v>-825.04489437408847</v>
      </c>
      <c r="AY120" s="993">
        <f t="shared" si="71"/>
        <v>-874.11372213358766</v>
      </c>
      <c r="AZ120" s="960">
        <f t="shared" si="72"/>
        <v>825.04489437408847</v>
      </c>
      <c r="BA120" s="960">
        <f t="shared" si="72"/>
        <v>874.11372213358766</v>
      </c>
      <c r="BB120" s="785">
        <f t="shared" si="73"/>
        <v>0.3</v>
      </c>
      <c r="BM120" s="971"/>
    </row>
    <row r="121" spans="2:65" ht="21" customHeight="1" thickBot="1" x14ac:dyDescent="0.35">
      <c r="B121" s="990">
        <v>4</v>
      </c>
      <c r="C121" s="919"/>
      <c r="D121" s="1907">
        <v>0</v>
      </c>
      <c r="E121" s="949" t="s">
        <v>72</v>
      </c>
      <c r="F121" s="983">
        <f t="shared" si="55"/>
        <v>0.3</v>
      </c>
      <c r="G121" s="950">
        <f t="shared" si="56"/>
        <v>0.3</v>
      </c>
      <c r="H121" s="991">
        <v>190.76</v>
      </c>
      <c r="I121" s="992">
        <v>79.651040199999997</v>
      </c>
      <c r="J121" s="924">
        <f t="shared" si="57"/>
        <v>79.651040199999997</v>
      </c>
      <c r="K121" s="924">
        <f t="shared" si="45"/>
        <v>39.825520099999999</v>
      </c>
      <c r="L121" s="924">
        <f t="shared" si="46"/>
        <v>0.64045183696587837</v>
      </c>
      <c r="M121" s="924">
        <f t="shared" si="47"/>
        <v>122.17259241961095</v>
      </c>
      <c r="N121" s="924">
        <f t="shared" si="48"/>
        <v>244.3451848392219</v>
      </c>
      <c r="O121" s="924">
        <f>+C118+D119+D120+(D121/2)</f>
        <v>0</v>
      </c>
      <c r="P121" s="924">
        <f t="shared" si="49"/>
        <v>0</v>
      </c>
      <c r="Q121" s="924">
        <f t="shared" si="50"/>
        <v>0</v>
      </c>
      <c r="R121" s="986">
        <f t="shared" si="58"/>
        <v>146.5</v>
      </c>
      <c r="S121" s="924">
        <f t="shared" si="74"/>
        <v>146.5</v>
      </c>
      <c r="T121" s="925">
        <f t="shared" si="51"/>
        <v>146.5</v>
      </c>
      <c r="V121" s="926">
        <f t="shared" si="59"/>
        <v>0</v>
      </c>
      <c r="W121" s="926"/>
      <c r="X121" s="926"/>
      <c r="Y121" s="926"/>
      <c r="Z121" s="926"/>
      <c r="AA121" s="926"/>
      <c r="AB121" s="950" t="str">
        <f t="shared" si="60"/>
        <v>pin in groundstacking hole</v>
      </c>
      <c r="AC121" s="987"/>
      <c r="AD121" s="987"/>
      <c r="AE121" s="987"/>
      <c r="AF121" s="926">
        <f>SUM(V121:V141)/($B$115)</f>
        <v>0</v>
      </c>
      <c r="AG121" s="876">
        <f>SUM(D119:D121)+$C$118</f>
        <v>0</v>
      </c>
      <c r="AH121" s="876"/>
      <c r="AI121" s="927">
        <f t="shared" si="61"/>
        <v>69.344714800000006</v>
      </c>
      <c r="AJ121" s="953">
        <f t="shared" si="52"/>
        <v>0.93571960494171247</v>
      </c>
      <c r="AK121" s="988">
        <f t="shared" si="62"/>
        <v>180.0511663828843</v>
      </c>
      <c r="AL121" s="927">
        <f t="shared" si="63"/>
        <v>50.174479900000001</v>
      </c>
      <c r="AM121" s="956">
        <f t="shared" si="64"/>
        <v>0.76799833627881664</v>
      </c>
      <c r="AN121" s="988">
        <f t="shared" si="65"/>
        <v>146.50336262854705</v>
      </c>
      <c r="AO121" s="957"/>
      <c r="AP121" s="988">
        <f t="shared" si="66"/>
        <v>-51</v>
      </c>
      <c r="AQ121" s="958"/>
      <c r="AR121" s="958">
        <f t="shared" si="67"/>
        <v>326.55452901143133</v>
      </c>
      <c r="AS121" s="940">
        <f t="shared" si="53"/>
        <v>-146.50336262854705</v>
      </c>
      <c r="AT121" s="940"/>
      <c r="AU121" s="940">
        <f t="shared" si="54"/>
        <v>146.50336262854705</v>
      </c>
      <c r="AV121" s="942">
        <f t="shared" si="68"/>
        <v>-28.119681920582558</v>
      </c>
      <c r="AW121" s="942">
        <f t="shared" si="69"/>
        <v>-22.880318079417442</v>
      </c>
      <c r="AX121" s="993">
        <f t="shared" si="70"/>
        <v>-412.52244718704424</v>
      </c>
      <c r="AY121" s="993">
        <f t="shared" si="71"/>
        <v>-437.05686106679383</v>
      </c>
      <c r="AZ121" s="960">
        <f t="shared" si="72"/>
        <v>412.52244718704424</v>
      </c>
      <c r="BA121" s="960">
        <f t="shared" si="72"/>
        <v>437.05686106679383</v>
      </c>
      <c r="BB121" s="785">
        <f t="shared" si="73"/>
        <v>0.3</v>
      </c>
      <c r="BM121" s="971"/>
    </row>
    <row r="122" spans="2:65" ht="21" customHeight="1" thickBot="1" x14ac:dyDescent="0.35">
      <c r="B122" s="990">
        <v>5</v>
      </c>
      <c r="C122" s="919"/>
      <c r="D122" s="1907">
        <v>0</v>
      </c>
      <c r="E122" s="949" t="s">
        <v>72</v>
      </c>
      <c r="F122" s="983">
        <f t="shared" si="55"/>
        <v>0.3</v>
      </c>
      <c r="G122" s="950">
        <f t="shared" si="56"/>
        <v>0.3</v>
      </c>
      <c r="H122" s="991">
        <v>190.76</v>
      </c>
      <c r="I122" s="992">
        <v>79.651040199999997</v>
      </c>
      <c r="J122" s="924">
        <f t="shared" si="57"/>
        <v>79.651040199999997</v>
      </c>
      <c r="K122" s="924">
        <f t="shared" si="45"/>
        <v>39.825520099999999</v>
      </c>
      <c r="L122" s="924">
        <f t="shared" si="46"/>
        <v>0.64045183696587837</v>
      </c>
      <c r="M122" s="924">
        <f t="shared" si="47"/>
        <v>122.17259241961095</v>
      </c>
      <c r="N122" s="924">
        <f t="shared" si="48"/>
        <v>244.3451848392219</v>
      </c>
      <c r="O122" s="924">
        <f>+C118+D119+D120+D121+(D122/2)</f>
        <v>0</v>
      </c>
      <c r="P122" s="924">
        <f t="shared" si="49"/>
        <v>0</v>
      </c>
      <c r="Q122" s="924">
        <f t="shared" si="50"/>
        <v>0</v>
      </c>
      <c r="R122" s="986">
        <f t="shared" si="58"/>
        <v>146.5</v>
      </c>
      <c r="S122" s="924">
        <f t="shared" si="74"/>
        <v>146.5</v>
      </c>
      <c r="T122" s="925">
        <f t="shared" si="51"/>
        <v>146.5</v>
      </c>
      <c r="V122" s="926">
        <f t="shared" si="59"/>
        <v>0</v>
      </c>
      <c r="W122" s="926"/>
      <c r="X122" s="926"/>
      <c r="Y122" s="926"/>
      <c r="Z122" s="926"/>
      <c r="AA122" s="926"/>
      <c r="AB122" s="950" t="str">
        <f t="shared" si="60"/>
        <v>pin in groundstacking hole</v>
      </c>
      <c r="AC122" s="987"/>
      <c r="AD122" s="987"/>
      <c r="AE122" s="987"/>
      <c r="AF122" s="926">
        <f>SUM(V122:V141)/($B$115)</f>
        <v>0</v>
      </c>
      <c r="AG122" s="876">
        <f>SUM(D119:D122)+$C$118</f>
        <v>0</v>
      </c>
      <c r="AH122" s="876"/>
      <c r="AI122" s="927">
        <f t="shared" si="61"/>
        <v>69.344714800000006</v>
      </c>
      <c r="AJ122" s="953">
        <f t="shared" si="52"/>
        <v>0.93571960494171247</v>
      </c>
      <c r="AK122" s="988">
        <f t="shared" si="62"/>
        <v>180.0511663828843</v>
      </c>
      <c r="AL122" s="927">
        <f t="shared" si="63"/>
        <v>50.174479900000001</v>
      </c>
      <c r="AM122" s="956">
        <f t="shared" si="64"/>
        <v>0.76799833627881664</v>
      </c>
      <c r="AN122" s="988">
        <f t="shared" si="65"/>
        <v>146.50336262854705</v>
      </c>
      <c r="AO122" s="957"/>
      <c r="AP122" s="988">
        <f t="shared" si="66"/>
        <v>-76.5</v>
      </c>
      <c r="AQ122" s="958"/>
      <c r="AR122" s="958">
        <f t="shared" si="67"/>
        <v>326.55452901143133</v>
      </c>
      <c r="AS122" s="940">
        <f t="shared" si="53"/>
        <v>-146.50336262854705</v>
      </c>
      <c r="AT122" s="940"/>
      <c r="AU122" s="940">
        <f t="shared" si="54"/>
        <v>146.50336262854705</v>
      </c>
      <c r="AV122" s="942">
        <f t="shared" si="68"/>
        <v>-42.17952288087384</v>
      </c>
      <c r="AW122" s="942">
        <f t="shared" si="69"/>
        <v>-34.32047711912616</v>
      </c>
      <c r="AX122" s="993">
        <f t="shared" si="70"/>
        <v>-275.01496479136279</v>
      </c>
      <c r="AY122" s="993">
        <f t="shared" si="71"/>
        <v>-291.37124071119592</v>
      </c>
      <c r="AZ122" s="960">
        <f t="shared" si="72"/>
        <v>275.01496479136279</v>
      </c>
      <c r="BA122" s="960">
        <f t="shared" si="72"/>
        <v>291.37124071119592</v>
      </c>
      <c r="BB122" s="785">
        <f t="shared" si="73"/>
        <v>0.3</v>
      </c>
    </row>
    <row r="123" spans="2:65" ht="21" customHeight="1" thickBot="1" x14ac:dyDescent="0.35">
      <c r="B123" s="990">
        <v>6</v>
      </c>
      <c r="C123" s="919"/>
      <c r="D123" s="1907">
        <v>0</v>
      </c>
      <c r="E123" s="949" t="s">
        <v>72</v>
      </c>
      <c r="F123" s="983">
        <f t="shared" si="55"/>
        <v>0.3</v>
      </c>
      <c r="G123" s="950">
        <f t="shared" si="56"/>
        <v>0.3</v>
      </c>
      <c r="H123" s="991">
        <v>190.76</v>
      </c>
      <c r="I123" s="992">
        <v>79.651040199999997</v>
      </c>
      <c r="J123" s="924">
        <f t="shared" si="57"/>
        <v>79.651040199999997</v>
      </c>
      <c r="K123" s="924">
        <f t="shared" si="45"/>
        <v>39.825520099999999</v>
      </c>
      <c r="L123" s="924">
        <f t="shared" si="46"/>
        <v>0.64045183696587837</v>
      </c>
      <c r="M123" s="924">
        <f t="shared" si="47"/>
        <v>122.17259241961095</v>
      </c>
      <c r="N123" s="924">
        <f t="shared" si="48"/>
        <v>244.3451848392219</v>
      </c>
      <c r="O123" s="924">
        <f>+C118+D119+D120+D121+D122+(D123/2)</f>
        <v>0</v>
      </c>
      <c r="P123" s="924">
        <f t="shared" si="49"/>
        <v>0</v>
      </c>
      <c r="Q123" s="924">
        <f t="shared" si="50"/>
        <v>0</v>
      </c>
      <c r="R123" s="986">
        <f t="shared" si="58"/>
        <v>146.5</v>
      </c>
      <c r="S123" s="924">
        <f t="shared" si="74"/>
        <v>146.5</v>
      </c>
      <c r="T123" s="925">
        <f t="shared" si="51"/>
        <v>146.5</v>
      </c>
      <c r="V123" s="926">
        <f t="shared" si="59"/>
        <v>0</v>
      </c>
      <c r="W123" s="926"/>
      <c r="X123" s="926"/>
      <c r="Y123" s="926"/>
      <c r="Z123" s="926"/>
      <c r="AA123" s="926"/>
      <c r="AB123" s="950" t="str">
        <f t="shared" si="60"/>
        <v>pin in groundstacking hole</v>
      </c>
      <c r="AC123" s="987"/>
      <c r="AD123" s="987"/>
      <c r="AE123" s="987"/>
      <c r="AF123" s="926">
        <f>SUM(V123:V141)/($B$115)</f>
        <v>0</v>
      </c>
      <c r="AG123" s="876">
        <f>SUM(D119:D123)+$C$118</f>
        <v>0</v>
      </c>
      <c r="AH123" s="876"/>
      <c r="AI123" s="927">
        <f t="shared" si="61"/>
        <v>69.344714800000006</v>
      </c>
      <c r="AJ123" s="953">
        <f t="shared" si="52"/>
        <v>0.93571960494171247</v>
      </c>
      <c r="AK123" s="988">
        <f t="shared" si="62"/>
        <v>180.0511663828843</v>
      </c>
      <c r="AL123" s="927">
        <f t="shared" si="63"/>
        <v>50.174479900000001</v>
      </c>
      <c r="AM123" s="956">
        <f t="shared" si="64"/>
        <v>0.76799833627881664</v>
      </c>
      <c r="AN123" s="988">
        <f t="shared" si="65"/>
        <v>146.50336262854705</v>
      </c>
      <c r="AO123" s="957"/>
      <c r="AP123" s="988">
        <f t="shared" si="66"/>
        <v>-102</v>
      </c>
      <c r="AQ123" s="958"/>
      <c r="AR123" s="958">
        <f t="shared" si="67"/>
        <v>326.55452901143133</v>
      </c>
      <c r="AS123" s="940">
        <f t="shared" si="53"/>
        <v>-146.50336262854705</v>
      </c>
      <c r="AT123" s="940"/>
      <c r="AU123" s="940">
        <f t="shared" si="54"/>
        <v>146.50336262854705</v>
      </c>
      <c r="AV123" s="942">
        <f t="shared" si="68"/>
        <v>-56.239363841165115</v>
      </c>
      <c r="AW123" s="942">
        <f t="shared" si="69"/>
        <v>-45.760636158834885</v>
      </c>
      <c r="AX123" s="993">
        <f t="shared" si="70"/>
        <v>-206.26122359352212</v>
      </c>
      <c r="AY123" s="993">
        <f t="shared" si="71"/>
        <v>-218.52843053339691</v>
      </c>
      <c r="AZ123" s="960">
        <f t="shared" si="72"/>
        <v>206.26122359352212</v>
      </c>
      <c r="BA123" s="960">
        <f t="shared" si="72"/>
        <v>218.52843053339691</v>
      </c>
      <c r="BB123" s="785">
        <f t="shared" si="73"/>
        <v>0.3</v>
      </c>
    </row>
    <row r="124" spans="2:65" ht="21" customHeight="1" thickBot="1" x14ac:dyDescent="0.35">
      <c r="B124" s="990">
        <v>7</v>
      </c>
      <c r="C124" s="919"/>
      <c r="D124" s="1907">
        <v>0</v>
      </c>
      <c r="E124" s="949" t="s">
        <v>72</v>
      </c>
      <c r="F124" s="983">
        <f t="shared" si="55"/>
        <v>0.3</v>
      </c>
      <c r="G124" s="950">
        <f t="shared" si="56"/>
        <v>0.3</v>
      </c>
      <c r="H124" s="991">
        <v>190.76</v>
      </c>
      <c r="I124" s="992">
        <v>79.651040199999997</v>
      </c>
      <c r="J124" s="924">
        <f t="shared" si="57"/>
        <v>79.651040199999997</v>
      </c>
      <c r="K124" s="924">
        <f t="shared" si="45"/>
        <v>39.825520099999999</v>
      </c>
      <c r="L124" s="924">
        <f t="shared" si="46"/>
        <v>0.64045183696587837</v>
      </c>
      <c r="M124" s="924">
        <f t="shared" si="47"/>
        <v>122.17259241961095</v>
      </c>
      <c r="N124" s="924">
        <f t="shared" si="48"/>
        <v>244.3451848392219</v>
      </c>
      <c r="O124" s="924">
        <f>+C118+D119+D120+D121+D122+D123+(D124/2)</f>
        <v>0</v>
      </c>
      <c r="P124" s="924">
        <f t="shared" si="49"/>
        <v>0</v>
      </c>
      <c r="Q124" s="924">
        <f t="shared" si="50"/>
        <v>0</v>
      </c>
      <c r="R124" s="986">
        <f t="shared" si="58"/>
        <v>146.5</v>
      </c>
      <c r="S124" s="924">
        <f t="shared" si="74"/>
        <v>146.5</v>
      </c>
      <c r="T124" s="925">
        <f t="shared" si="51"/>
        <v>146.5</v>
      </c>
      <c r="V124" s="926">
        <f t="shared" si="59"/>
        <v>0</v>
      </c>
      <c r="W124" s="926"/>
      <c r="X124" s="926"/>
      <c r="Y124" s="926"/>
      <c r="Z124" s="926"/>
      <c r="AA124" s="926"/>
      <c r="AB124" s="950" t="str">
        <f t="shared" si="60"/>
        <v>pin in groundstacking hole</v>
      </c>
      <c r="AC124" s="987"/>
      <c r="AD124" s="987"/>
      <c r="AE124" s="987"/>
      <c r="AF124" s="926">
        <f>SUM(V124:V141)/($B$115)</f>
        <v>0</v>
      </c>
      <c r="AG124" s="876">
        <f>SUM(D119:D124)+$C$118</f>
        <v>0</v>
      </c>
      <c r="AH124" s="876"/>
      <c r="AI124" s="927">
        <f t="shared" si="61"/>
        <v>69.344714800000006</v>
      </c>
      <c r="AJ124" s="953">
        <f t="shared" si="52"/>
        <v>0.93571960494171247</v>
      </c>
      <c r="AK124" s="988">
        <f t="shared" si="62"/>
        <v>180.0511663828843</v>
      </c>
      <c r="AL124" s="927">
        <f t="shared" si="63"/>
        <v>50.174479900000001</v>
      </c>
      <c r="AM124" s="956">
        <f t="shared" si="64"/>
        <v>0.76799833627881664</v>
      </c>
      <c r="AN124" s="988">
        <f t="shared" si="65"/>
        <v>146.50336262854705</v>
      </c>
      <c r="AO124" s="957"/>
      <c r="AP124" s="988">
        <f t="shared" si="66"/>
        <v>-127.5</v>
      </c>
      <c r="AQ124" s="958"/>
      <c r="AR124" s="958">
        <f t="shared" si="67"/>
        <v>326.55452901143133</v>
      </c>
      <c r="AS124" s="940">
        <f t="shared" si="53"/>
        <v>-146.50336262854705</v>
      </c>
      <c r="AT124" s="940"/>
      <c r="AU124" s="940">
        <f t="shared" si="54"/>
        <v>146.50336262854705</v>
      </c>
      <c r="AV124" s="942">
        <f t="shared" si="68"/>
        <v>-70.299204801456398</v>
      </c>
      <c r="AW124" s="942">
        <f t="shared" si="69"/>
        <v>-57.200795198543602</v>
      </c>
      <c r="AX124" s="993">
        <f t="shared" si="70"/>
        <v>-165.00897887481767</v>
      </c>
      <c r="AY124" s="993">
        <f t="shared" si="71"/>
        <v>-174.82274442671755</v>
      </c>
      <c r="AZ124" s="960">
        <f t="shared" si="72"/>
        <v>165.00897887481767</v>
      </c>
      <c r="BA124" s="960">
        <f t="shared" si="72"/>
        <v>174.82274442671755</v>
      </c>
      <c r="BB124" s="785">
        <f t="shared" si="73"/>
        <v>0.3</v>
      </c>
    </row>
    <row r="125" spans="2:65" ht="21" customHeight="1" thickBot="1" x14ac:dyDescent="0.35">
      <c r="B125" s="990">
        <v>8</v>
      </c>
      <c r="C125" s="919"/>
      <c r="D125" s="1907">
        <v>0</v>
      </c>
      <c r="E125" s="949" t="s">
        <v>72</v>
      </c>
      <c r="F125" s="983">
        <f t="shared" si="55"/>
        <v>0.3</v>
      </c>
      <c r="G125" s="950">
        <f t="shared" si="56"/>
        <v>0.3</v>
      </c>
      <c r="H125" s="991">
        <v>190.76</v>
      </c>
      <c r="I125" s="992">
        <v>79.651040199999997</v>
      </c>
      <c r="J125" s="924">
        <f t="shared" si="57"/>
        <v>79.651040199999997</v>
      </c>
      <c r="K125" s="924">
        <f t="shared" si="45"/>
        <v>39.825520099999999</v>
      </c>
      <c r="L125" s="924">
        <f t="shared" si="46"/>
        <v>0.64045183696587837</v>
      </c>
      <c r="M125" s="924">
        <f t="shared" si="47"/>
        <v>122.17259241961095</v>
      </c>
      <c r="N125" s="924">
        <f t="shared" si="48"/>
        <v>244.3451848392219</v>
      </c>
      <c r="O125" s="924">
        <f>+C118+D119+D120+D121+D122+D123+D124+(D125/2)</f>
        <v>0</v>
      </c>
      <c r="P125" s="924">
        <f t="shared" si="49"/>
        <v>0</v>
      </c>
      <c r="Q125" s="924">
        <f t="shared" si="50"/>
        <v>0</v>
      </c>
      <c r="R125" s="986">
        <f t="shared" si="58"/>
        <v>146.5</v>
      </c>
      <c r="S125" s="924">
        <f t="shared" si="74"/>
        <v>146.5</v>
      </c>
      <c r="T125" s="925">
        <f t="shared" si="51"/>
        <v>146.5</v>
      </c>
      <c r="V125" s="926">
        <f t="shared" si="59"/>
        <v>0</v>
      </c>
      <c r="W125" s="926"/>
      <c r="X125" s="926"/>
      <c r="Y125" s="926"/>
      <c r="Z125" s="926"/>
      <c r="AA125" s="926"/>
      <c r="AB125" s="950" t="str">
        <f t="shared" si="60"/>
        <v>pin in groundstacking hole</v>
      </c>
      <c r="AC125" s="987"/>
      <c r="AD125" s="987"/>
      <c r="AE125" s="987"/>
      <c r="AF125" s="926">
        <f>SUM(V125:V141)/($B$115)</f>
        <v>0</v>
      </c>
      <c r="AG125" s="876">
        <f>SUM(D119:D125)+$C$118</f>
        <v>0</v>
      </c>
      <c r="AH125" s="876"/>
      <c r="AI125" s="927">
        <f t="shared" si="61"/>
        <v>69.344714800000006</v>
      </c>
      <c r="AJ125" s="953">
        <f t="shared" si="52"/>
        <v>0.93571960494171247</v>
      </c>
      <c r="AK125" s="988">
        <f t="shared" si="62"/>
        <v>180.0511663828843</v>
      </c>
      <c r="AL125" s="927">
        <f t="shared" si="63"/>
        <v>50.174479900000001</v>
      </c>
      <c r="AM125" s="956">
        <f t="shared" si="64"/>
        <v>0.76799833627881664</v>
      </c>
      <c r="AN125" s="988">
        <f t="shared" si="65"/>
        <v>146.50336262854705</v>
      </c>
      <c r="AO125" s="957"/>
      <c r="AP125" s="988">
        <f t="shared" si="66"/>
        <v>-153</v>
      </c>
      <c r="AQ125" s="958"/>
      <c r="AR125" s="958">
        <f t="shared" si="67"/>
        <v>326.55452901143133</v>
      </c>
      <c r="AS125" s="940">
        <f t="shared" si="53"/>
        <v>-146.50336262854705</v>
      </c>
      <c r="AT125" s="940"/>
      <c r="AU125" s="940">
        <f t="shared" si="54"/>
        <v>146.50336262854705</v>
      </c>
      <c r="AV125" s="942">
        <f t="shared" si="68"/>
        <v>-84.35904576174768</v>
      </c>
      <c r="AW125" s="942">
        <f t="shared" si="69"/>
        <v>-68.64095423825232</v>
      </c>
      <c r="AX125" s="993">
        <f t="shared" si="70"/>
        <v>-137.50748239568139</v>
      </c>
      <c r="AY125" s="993">
        <f t="shared" si="71"/>
        <v>-145.68562035559796</v>
      </c>
      <c r="AZ125" s="960">
        <f t="shared" si="72"/>
        <v>137.50748239568139</v>
      </c>
      <c r="BA125" s="960">
        <f t="shared" si="72"/>
        <v>145.68562035559796</v>
      </c>
      <c r="BB125" s="785">
        <f t="shared" si="73"/>
        <v>0.3</v>
      </c>
    </row>
    <row r="126" spans="2:65" ht="21" customHeight="1" thickBot="1" x14ac:dyDescent="0.35">
      <c r="B126" s="990">
        <v>9</v>
      </c>
      <c r="C126" s="919"/>
      <c r="D126" s="1907">
        <v>0</v>
      </c>
      <c r="E126" s="949" t="s">
        <v>72</v>
      </c>
      <c r="F126" s="983">
        <f t="shared" si="55"/>
        <v>0.3</v>
      </c>
      <c r="G126" s="950">
        <f t="shared" si="56"/>
        <v>0.3</v>
      </c>
      <c r="H126" s="991">
        <v>190.76</v>
      </c>
      <c r="I126" s="992">
        <v>79.651040199999997</v>
      </c>
      <c r="J126" s="924">
        <f t="shared" si="57"/>
        <v>79.651040199999997</v>
      </c>
      <c r="K126" s="924">
        <f t="shared" si="45"/>
        <v>39.825520099999999</v>
      </c>
      <c r="L126" s="924">
        <f t="shared" si="46"/>
        <v>0.64045183696587837</v>
      </c>
      <c r="M126" s="924">
        <f t="shared" si="47"/>
        <v>122.17259241961095</v>
      </c>
      <c r="N126" s="924">
        <f t="shared" si="48"/>
        <v>244.3451848392219</v>
      </c>
      <c r="O126" s="924">
        <f>+C118+D119+D120+D121+D122+D123+D124+D125+(D126/2)</f>
        <v>0</v>
      </c>
      <c r="P126" s="924">
        <f t="shared" si="49"/>
        <v>0</v>
      </c>
      <c r="Q126" s="924">
        <f t="shared" si="50"/>
        <v>0</v>
      </c>
      <c r="R126" s="986">
        <f t="shared" si="58"/>
        <v>146.5</v>
      </c>
      <c r="S126" s="924">
        <f t="shared" si="74"/>
        <v>146.5</v>
      </c>
      <c r="T126" s="925">
        <f t="shared" si="51"/>
        <v>146.5</v>
      </c>
      <c r="V126" s="926">
        <f t="shared" si="59"/>
        <v>0</v>
      </c>
      <c r="W126" s="926"/>
      <c r="X126" s="926"/>
      <c r="Y126" s="926"/>
      <c r="Z126" s="926"/>
      <c r="AA126" s="926"/>
      <c r="AB126" s="950" t="str">
        <f t="shared" si="60"/>
        <v>pin in groundstacking hole</v>
      </c>
      <c r="AC126" s="987"/>
      <c r="AD126" s="987"/>
      <c r="AE126" s="987"/>
      <c r="AF126" s="926">
        <f>SUM(V126:V141)/($B$115)</f>
        <v>0</v>
      </c>
      <c r="AG126" s="876">
        <f>SUM(D119:D126)+$C$118</f>
        <v>0</v>
      </c>
      <c r="AH126" s="876"/>
      <c r="AI126" s="927">
        <f t="shared" si="61"/>
        <v>69.344714800000006</v>
      </c>
      <c r="AJ126" s="953">
        <f t="shared" si="52"/>
        <v>0.93571960494171247</v>
      </c>
      <c r="AK126" s="988">
        <f t="shared" si="62"/>
        <v>180.0511663828843</v>
      </c>
      <c r="AL126" s="927">
        <f t="shared" si="63"/>
        <v>50.174479900000001</v>
      </c>
      <c r="AM126" s="956">
        <f t="shared" si="64"/>
        <v>0.76799833627881664</v>
      </c>
      <c r="AN126" s="988">
        <f t="shared" si="65"/>
        <v>146.50336262854705</v>
      </c>
      <c r="AO126" s="957"/>
      <c r="AP126" s="988">
        <f t="shared" si="66"/>
        <v>-178.5</v>
      </c>
      <c r="AQ126" s="958"/>
      <c r="AR126" s="958">
        <f t="shared" si="67"/>
        <v>326.55452901143133</v>
      </c>
      <c r="AS126" s="940">
        <f t="shared" si="53"/>
        <v>-146.50336262854705</v>
      </c>
      <c r="AT126" s="940"/>
      <c r="AU126" s="940">
        <f t="shared" si="54"/>
        <v>146.50336262854705</v>
      </c>
      <c r="AV126" s="942">
        <f t="shared" si="68"/>
        <v>-98.418886722038962</v>
      </c>
      <c r="AW126" s="942">
        <f t="shared" si="69"/>
        <v>-80.081113277961038</v>
      </c>
      <c r="AX126" s="993">
        <f t="shared" si="70"/>
        <v>-117.86355633915548</v>
      </c>
      <c r="AY126" s="993">
        <f t="shared" si="71"/>
        <v>-124.87338887622683</v>
      </c>
      <c r="AZ126" s="960">
        <f t="shared" si="72"/>
        <v>117.86355633915548</v>
      </c>
      <c r="BA126" s="960">
        <f t="shared" si="72"/>
        <v>124.87338887622683</v>
      </c>
      <c r="BB126" s="785">
        <f t="shared" si="73"/>
        <v>0.3</v>
      </c>
    </row>
    <row r="127" spans="2:65" ht="21" customHeight="1" thickBot="1" x14ac:dyDescent="0.35">
      <c r="B127" s="990">
        <v>10</v>
      </c>
      <c r="C127" s="919"/>
      <c r="D127" s="1907">
        <v>0</v>
      </c>
      <c r="E127" s="949" t="s">
        <v>72</v>
      </c>
      <c r="F127" s="983">
        <f t="shared" si="55"/>
        <v>0.3</v>
      </c>
      <c r="G127" s="950">
        <f t="shared" si="56"/>
        <v>0.3</v>
      </c>
      <c r="H127" s="991">
        <v>190.76</v>
      </c>
      <c r="I127" s="992">
        <v>79.651040199999997</v>
      </c>
      <c r="J127" s="924">
        <f t="shared" si="57"/>
        <v>79.651040199999997</v>
      </c>
      <c r="K127" s="924">
        <f t="shared" si="45"/>
        <v>39.825520099999999</v>
      </c>
      <c r="L127" s="924">
        <f t="shared" si="46"/>
        <v>0.64045183696587837</v>
      </c>
      <c r="M127" s="924">
        <f t="shared" si="47"/>
        <v>122.17259241961095</v>
      </c>
      <c r="N127" s="924">
        <f t="shared" si="48"/>
        <v>244.3451848392219</v>
      </c>
      <c r="O127" s="924">
        <f>+C118+D119+D120+D121+D122+D123+D124+D125+D126+(D127/2)</f>
        <v>0</v>
      </c>
      <c r="P127" s="924">
        <f t="shared" si="49"/>
        <v>0</v>
      </c>
      <c r="Q127" s="924">
        <f t="shared" si="50"/>
        <v>0</v>
      </c>
      <c r="R127" s="986">
        <f t="shared" si="58"/>
        <v>146.5</v>
      </c>
      <c r="S127" s="924">
        <f t="shared" si="74"/>
        <v>146.5</v>
      </c>
      <c r="T127" s="925">
        <f t="shared" si="51"/>
        <v>146.5</v>
      </c>
      <c r="V127" s="926">
        <f t="shared" si="59"/>
        <v>0</v>
      </c>
      <c r="W127" s="926"/>
      <c r="X127" s="926"/>
      <c r="Y127" s="926"/>
      <c r="Z127" s="926"/>
      <c r="AA127" s="926"/>
      <c r="AB127" s="950" t="str">
        <f t="shared" si="60"/>
        <v>pin in groundstacking hole</v>
      </c>
      <c r="AC127" s="987"/>
      <c r="AD127" s="987"/>
      <c r="AE127" s="987"/>
      <c r="AF127" s="926">
        <f>SUM(V127:V141)/($B$115)</f>
        <v>0</v>
      </c>
      <c r="AG127" s="876">
        <f>SUM(D119:D127)+$C$118</f>
        <v>0</v>
      </c>
      <c r="AH127" s="876"/>
      <c r="AI127" s="927">
        <f t="shared" si="61"/>
        <v>69.344714800000006</v>
      </c>
      <c r="AJ127" s="953">
        <f t="shared" si="52"/>
        <v>0.93571960494171247</v>
      </c>
      <c r="AK127" s="988">
        <f t="shared" si="62"/>
        <v>180.0511663828843</v>
      </c>
      <c r="AL127" s="927">
        <f t="shared" si="63"/>
        <v>50.174479900000001</v>
      </c>
      <c r="AM127" s="956">
        <f t="shared" si="64"/>
        <v>0.76799833627881664</v>
      </c>
      <c r="AN127" s="988">
        <f t="shared" si="65"/>
        <v>146.50336262854705</v>
      </c>
      <c r="AO127" s="957"/>
      <c r="AP127" s="988">
        <f t="shared" si="66"/>
        <v>-204</v>
      </c>
      <c r="AQ127" s="958"/>
      <c r="AR127" s="958">
        <f t="shared" si="67"/>
        <v>326.55452901143133</v>
      </c>
      <c r="AS127" s="940">
        <f t="shared" si="53"/>
        <v>-146.50336262854705</v>
      </c>
      <c r="AT127" s="940"/>
      <c r="AU127" s="940">
        <f t="shared" si="54"/>
        <v>146.50336262854705</v>
      </c>
      <c r="AV127" s="942">
        <f t="shared" si="68"/>
        <v>-112.47872768233023</v>
      </c>
      <c r="AW127" s="942">
        <f t="shared" si="69"/>
        <v>-91.521272317669769</v>
      </c>
      <c r="AX127" s="993">
        <f t="shared" si="70"/>
        <v>-103.13061179676106</v>
      </c>
      <c r="AY127" s="993">
        <f t="shared" si="71"/>
        <v>-109.26421526669846</v>
      </c>
      <c r="AZ127" s="960">
        <f t="shared" si="72"/>
        <v>103.13061179676106</v>
      </c>
      <c r="BA127" s="960">
        <f t="shared" si="72"/>
        <v>109.26421526669846</v>
      </c>
      <c r="BB127" s="785">
        <f t="shared" si="73"/>
        <v>0.3</v>
      </c>
    </row>
    <row r="128" spans="2:65" ht="21" customHeight="1" thickBot="1" x14ac:dyDescent="0.35">
      <c r="B128" s="990">
        <v>11</v>
      </c>
      <c r="C128" s="919"/>
      <c r="D128" s="1907">
        <v>0</v>
      </c>
      <c r="E128" s="949" t="s">
        <v>72</v>
      </c>
      <c r="F128" s="983">
        <f t="shared" si="55"/>
        <v>0.3</v>
      </c>
      <c r="G128" s="950">
        <f t="shared" si="56"/>
        <v>0.3</v>
      </c>
      <c r="H128" s="991">
        <v>190.76</v>
      </c>
      <c r="I128" s="992">
        <v>79.651040199999997</v>
      </c>
      <c r="J128" s="924">
        <f t="shared" si="57"/>
        <v>79.651040199999997</v>
      </c>
      <c r="K128" s="924">
        <f t="shared" si="45"/>
        <v>39.825520099999999</v>
      </c>
      <c r="L128" s="924">
        <f t="shared" si="46"/>
        <v>0.64045183696587837</v>
      </c>
      <c r="M128" s="924">
        <f t="shared" si="47"/>
        <v>122.17259241961095</v>
      </c>
      <c r="N128" s="924">
        <f t="shared" si="48"/>
        <v>244.3451848392219</v>
      </c>
      <c r="O128" s="924">
        <f>+C118+D119+D120+D121+D122+D123+D124+D125+D126+D127+(D128/2)</f>
        <v>0</v>
      </c>
      <c r="P128" s="924">
        <f t="shared" si="49"/>
        <v>0</v>
      </c>
      <c r="Q128" s="924">
        <f t="shared" si="50"/>
        <v>0</v>
      </c>
      <c r="R128" s="986">
        <f t="shared" si="58"/>
        <v>146.5</v>
      </c>
      <c r="S128" s="924">
        <f t="shared" si="74"/>
        <v>146.5</v>
      </c>
      <c r="T128" s="925">
        <f t="shared" si="51"/>
        <v>146.5</v>
      </c>
      <c r="V128" s="926">
        <f t="shared" si="59"/>
        <v>0</v>
      </c>
      <c r="W128" s="926"/>
      <c r="X128" s="926"/>
      <c r="Y128" s="926"/>
      <c r="Z128" s="926"/>
      <c r="AA128" s="926"/>
      <c r="AB128" s="950" t="str">
        <f t="shared" si="60"/>
        <v>pin in groundstacking hole</v>
      </c>
      <c r="AC128" s="987"/>
      <c r="AD128" s="987"/>
      <c r="AE128" s="987"/>
      <c r="AF128" s="926">
        <f>SUM(V128:V141)/($B$115)</f>
        <v>0</v>
      </c>
      <c r="AG128" s="876">
        <f>SUM(D119:D128)+$C$118</f>
        <v>0</v>
      </c>
      <c r="AH128" s="876"/>
      <c r="AI128" s="927">
        <f t="shared" si="61"/>
        <v>69.344714800000006</v>
      </c>
      <c r="AJ128" s="953">
        <f t="shared" si="52"/>
        <v>0.93571960494171247</v>
      </c>
      <c r="AK128" s="988">
        <f t="shared" si="62"/>
        <v>180.0511663828843</v>
      </c>
      <c r="AL128" s="927">
        <f t="shared" si="63"/>
        <v>50.174479900000001</v>
      </c>
      <c r="AM128" s="956">
        <f t="shared" si="64"/>
        <v>0.76799833627881664</v>
      </c>
      <c r="AN128" s="988">
        <f t="shared" si="65"/>
        <v>146.50336262854705</v>
      </c>
      <c r="AO128" s="957"/>
      <c r="AP128" s="988">
        <f t="shared" si="66"/>
        <v>-229.5</v>
      </c>
      <c r="AQ128" s="958"/>
      <c r="AR128" s="958">
        <f t="shared" si="67"/>
        <v>326.55452901143133</v>
      </c>
      <c r="AS128" s="940">
        <f t="shared" si="53"/>
        <v>-146.50336262854705</v>
      </c>
      <c r="AT128" s="940"/>
      <c r="AU128" s="940">
        <f t="shared" si="54"/>
        <v>146.50336262854705</v>
      </c>
      <c r="AV128" s="942">
        <f t="shared" si="68"/>
        <v>-126.53856864262151</v>
      </c>
      <c r="AW128" s="942">
        <f t="shared" si="69"/>
        <v>-102.96143135737849</v>
      </c>
      <c r="AX128" s="993">
        <f t="shared" si="70"/>
        <v>-91.671654930454267</v>
      </c>
      <c r="AY128" s="993">
        <f t="shared" si="71"/>
        <v>-97.12374690373197</v>
      </c>
      <c r="AZ128" s="960">
        <f t="shared" si="72"/>
        <v>91.671654930454267</v>
      </c>
      <c r="BA128" s="960">
        <f t="shared" si="72"/>
        <v>97.12374690373197</v>
      </c>
      <c r="BB128" s="785">
        <f t="shared" si="73"/>
        <v>0.3</v>
      </c>
    </row>
    <row r="129" spans="2:54" ht="21" customHeight="1" thickBot="1" x14ac:dyDescent="0.35">
      <c r="B129" s="990">
        <v>12</v>
      </c>
      <c r="C129" s="919"/>
      <c r="D129" s="1907">
        <v>0</v>
      </c>
      <c r="E129" s="949" t="s">
        <v>72</v>
      </c>
      <c r="F129" s="983">
        <f t="shared" si="55"/>
        <v>0.3</v>
      </c>
      <c r="G129" s="950">
        <f t="shared" si="56"/>
        <v>0.3</v>
      </c>
      <c r="H129" s="991">
        <v>190.76</v>
      </c>
      <c r="I129" s="992">
        <v>79.651040199999997</v>
      </c>
      <c r="J129" s="924">
        <f t="shared" si="57"/>
        <v>79.651040199999997</v>
      </c>
      <c r="K129" s="924">
        <f t="shared" si="45"/>
        <v>39.825520099999999</v>
      </c>
      <c r="L129" s="924">
        <f t="shared" si="46"/>
        <v>0.64045183696587837</v>
      </c>
      <c r="M129" s="924">
        <f t="shared" si="47"/>
        <v>122.17259241961095</v>
      </c>
      <c r="N129" s="924">
        <f t="shared" si="48"/>
        <v>244.3451848392219</v>
      </c>
      <c r="O129" s="924">
        <f>+C118+D119+D120+D121+D122+D123+D124+D125+D126+D127+D128+(D129/2)</f>
        <v>0</v>
      </c>
      <c r="P129" s="924">
        <f t="shared" si="49"/>
        <v>0</v>
      </c>
      <c r="Q129" s="924">
        <f t="shared" si="50"/>
        <v>0</v>
      </c>
      <c r="R129" s="986">
        <f t="shared" si="58"/>
        <v>146.5</v>
      </c>
      <c r="S129" s="924">
        <f t="shared" si="74"/>
        <v>146.5</v>
      </c>
      <c r="T129" s="925">
        <f t="shared" si="51"/>
        <v>146.5</v>
      </c>
      <c r="V129" s="926">
        <f t="shared" si="59"/>
        <v>0</v>
      </c>
      <c r="W129" s="926"/>
      <c r="X129" s="926"/>
      <c r="Y129" s="926"/>
      <c r="Z129" s="926"/>
      <c r="AA129" s="926"/>
      <c r="AB129" s="950" t="str">
        <f t="shared" si="60"/>
        <v>pin in groundstacking hole</v>
      </c>
      <c r="AC129" s="987"/>
      <c r="AD129" s="987"/>
      <c r="AE129" s="987"/>
      <c r="AF129" s="926">
        <f>SUM(V129:V141)/($B$115)</f>
        <v>0</v>
      </c>
      <c r="AG129" s="876">
        <f>SUM(D119:D129)+$C$118</f>
        <v>0</v>
      </c>
      <c r="AH129" s="876"/>
      <c r="AI129" s="927">
        <f t="shared" si="61"/>
        <v>69.344714800000006</v>
      </c>
      <c r="AJ129" s="953">
        <f t="shared" si="52"/>
        <v>0.93571960494171247</v>
      </c>
      <c r="AK129" s="988">
        <f t="shared" si="62"/>
        <v>180.0511663828843</v>
      </c>
      <c r="AL129" s="927">
        <f t="shared" si="63"/>
        <v>50.174479900000001</v>
      </c>
      <c r="AM129" s="956">
        <f t="shared" si="64"/>
        <v>0.76799833627881664</v>
      </c>
      <c r="AN129" s="988">
        <f t="shared" si="65"/>
        <v>146.50336262854705</v>
      </c>
      <c r="AO129" s="957"/>
      <c r="AP129" s="988">
        <f t="shared" si="66"/>
        <v>-255</v>
      </c>
      <c r="AQ129" s="958"/>
      <c r="AR129" s="958">
        <f t="shared" si="67"/>
        <v>326.55452901143133</v>
      </c>
      <c r="AS129" s="940">
        <f t="shared" si="53"/>
        <v>-146.50336262854705</v>
      </c>
      <c r="AT129" s="940"/>
      <c r="AU129" s="940">
        <f t="shared" si="54"/>
        <v>146.50336262854705</v>
      </c>
      <c r="AV129" s="942">
        <f t="shared" si="68"/>
        <v>-140.5984096029128</v>
      </c>
      <c r="AW129" s="942">
        <f t="shared" si="69"/>
        <v>-114.4015903970872</v>
      </c>
      <c r="AX129" s="993">
        <f t="shared" si="70"/>
        <v>-82.504489437408836</v>
      </c>
      <c r="AY129" s="993">
        <f t="shared" si="71"/>
        <v>-87.411372213358774</v>
      </c>
      <c r="AZ129" s="960">
        <f t="shared" si="72"/>
        <v>82.504489437408836</v>
      </c>
      <c r="BA129" s="960">
        <f t="shared" si="72"/>
        <v>87.411372213358774</v>
      </c>
      <c r="BB129" s="785">
        <f t="shared" si="73"/>
        <v>0.3</v>
      </c>
    </row>
    <row r="130" spans="2:54" ht="21" customHeight="1" thickBot="1" x14ac:dyDescent="0.35">
      <c r="B130" s="990">
        <v>13</v>
      </c>
      <c r="C130" s="919"/>
      <c r="D130" s="1907">
        <v>0</v>
      </c>
      <c r="E130" s="949" t="s">
        <v>72</v>
      </c>
      <c r="F130" s="983">
        <f t="shared" si="55"/>
        <v>0.3</v>
      </c>
      <c r="G130" s="950">
        <f t="shared" si="56"/>
        <v>0.3</v>
      </c>
      <c r="H130" s="991">
        <v>190.76</v>
      </c>
      <c r="I130" s="992">
        <v>79.651040199999997</v>
      </c>
      <c r="J130" s="924">
        <f t="shared" si="57"/>
        <v>79.651040199999997</v>
      </c>
      <c r="K130" s="924">
        <f t="shared" si="45"/>
        <v>39.825520099999999</v>
      </c>
      <c r="L130" s="924">
        <f t="shared" si="46"/>
        <v>0.64045183696587837</v>
      </c>
      <c r="M130" s="924">
        <f t="shared" si="47"/>
        <v>122.17259241961095</v>
      </c>
      <c r="N130" s="924">
        <f t="shared" si="48"/>
        <v>244.3451848392219</v>
      </c>
      <c r="O130" s="924">
        <f>+C118+SUM(D119:D130)</f>
        <v>0</v>
      </c>
      <c r="P130" s="924">
        <f t="shared" si="49"/>
        <v>0</v>
      </c>
      <c r="Q130" s="924">
        <f t="shared" si="50"/>
        <v>0</v>
      </c>
      <c r="R130" s="986">
        <f t="shared" si="58"/>
        <v>146.5</v>
      </c>
      <c r="S130" s="924">
        <f t="shared" si="74"/>
        <v>146.5</v>
      </c>
      <c r="T130" s="925">
        <f t="shared" si="51"/>
        <v>146.5</v>
      </c>
      <c r="V130" s="926">
        <f t="shared" si="59"/>
        <v>0</v>
      </c>
      <c r="W130" s="926"/>
      <c r="X130" s="926"/>
      <c r="Y130" s="926"/>
      <c r="Z130" s="926"/>
      <c r="AA130" s="926"/>
      <c r="AB130" s="950" t="str">
        <f t="shared" si="60"/>
        <v>pin in groundstacking hole</v>
      </c>
      <c r="AC130" s="987"/>
      <c r="AD130" s="987"/>
      <c r="AE130" s="987"/>
      <c r="AF130" s="926">
        <f>SUM(V130:V141)/($B$115)</f>
        <v>0</v>
      </c>
      <c r="AG130" s="876">
        <f>SUM(D119:D130)+$C$118</f>
        <v>0</v>
      </c>
      <c r="AH130" s="876"/>
      <c r="AI130" s="927">
        <f t="shared" si="61"/>
        <v>69.344714800000006</v>
      </c>
      <c r="AJ130" s="953">
        <f t="shared" si="52"/>
        <v>0.93571960494171247</v>
      </c>
      <c r="AK130" s="988">
        <f t="shared" si="62"/>
        <v>180.0511663828843</v>
      </c>
      <c r="AL130" s="927">
        <f t="shared" si="63"/>
        <v>50.174479900000001</v>
      </c>
      <c r="AM130" s="956">
        <f t="shared" si="64"/>
        <v>0.76799833627881664</v>
      </c>
      <c r="AN130" s="988">
        <f t="shared" si="65"/>
        <v>146.50336262854705</v>
      </c>
      <c r="AO130" s="957"/>
      <c r="AP130" s="988">
        <f t="shared" si="66"/>
        <v>-280.5</v>
      </c>
      <c r="AQ130" s="958"/>
      <c r="AR130" s="958">
        <f t="shared" si="67"/>
        <v>326.55452901143133</v>
      </c>
      <c r="AS130" s="940">
        <f t="shared" si="53"/>
        <v>-146.50336262854705</v>
      </c>
      <c r="AT130" s="940"/>
      <c r="AU130" s="940">
        <f t="shared" si="54"/>
        <v>146.50336262854705</v>
      </c>
      <c r="AV130" s="942">
        <f t="shared" si="68"/>
        <v>-154.65825056320406</v>
      </c>
      <c r="AW130" s="942">
        <f t="shared" si="69"/>
        <v>-125.84174943679592</v>
      </c>
      <c r="AX130" s="993">
        <f t="shared" si="70"/>
        <v>-75.004081306735316</v>
      </c>
      <c r="AY130" s="993">
        <f t="shared" si="71"/>
        <v>-79.464883830326158</v>
      </c>
      <c r="AZ130" s="960">
        <f t="shared" si="72"/>
        <v>75.004081306735316</v>
      </c>
      <c r="BA130" s="960">
        <f t="shared" si="72"/>
        <v>79.464883830326158</v>
      </c>
      <c r="BB130" s="785">
        <f t="shared" si="73"/>
        <v>0.3</v>
      </c>
    </row>
    <row r="131" spans="2:54" ht="21" customHeight="1" thickBot="1" x14ac:dyDescent="0.35">
      <c r="B131" s="990">
        <v>14</v>
      </c>
      <c r="C131" s="919"/>
      <c r="D131" s="1907">
        <v>0</v>
      </c>
      <c r="E131" s="949" t="s">
        <v>72</v>
      </c>
      <c r="F131" s="983">
        <f t="shared" si="55"/>
        <v>0.3</v>
      </c>
      <c r="G131" s="950">
        <f t="shared" si="56"/>
        <v>0.3</v>
      </c>
      <c r="H131" s="991">
        <v>190.76</v>
      </c>
      <c r="I131" s="992">
        <v>79.651040199999997</v>
      </c>
      <c r="J131" s="924">
        <f t="shared" si="57"/>
        <v>79.651040199999997</v>
      </c>
      <c r="K131" s="924">
        <f t="shared" si="45"/>
        <v>39.825520099999999</v>
      </c>
      <c r="L131" s="924">
        <f t="shared" si="46"/>
        <v>0.64045183696587837</v>
      </c>
      <c r="M131" s="924">
        <f t="shared" si="47"/>
        <v>122.17259241961095</v>
      </c>
      <c r="N131" s="924">
        <f t="shared" si="48"/>
        <v>244.3451848392219</v>
      </c>
      <c r="O131" s="924">
        <f>+C118+SUM(D119:D131)</f>
        <v>0</v>
      </c>
      <c r="P131" s="924">
        <f t="shared" si="49"/>
        <v>0</v>
      </c>
      <c r="Q131" s="924">
        <f t="shared" si="50"/>
        <v>0</v>
      </c>
      <c r="R131" s="986">
        <f t="shared" si="58"/>
        <v>146.5</v>
      </c>
      <c r="S131" s="924">
        <f t="shared" si="74"/>
        <v>146.5</v>
      </c>
      <c r="T131" s="925">
        <f t="shared" si="51"/>
        <v>146.5</v>
      </c>
      <c r="V131" s="926">
        <f t="shared" si="59"/>
        <v>0</v>
      </c>
      <c r="W131" s="926"/>
      <c r="X131" s="926"/>
      <c r="Y131" s="926"/>
      <c r="Z131" s="926"/>
      <c r="AA131" s="926"/>
      <c r="AB131" s="950" t="str">
        <f t="shared" si="60"/>
        <v>pin in groundstacking hole</v>
      </c>
      <c r="AC131" s="987"/>
      <c r="AD131" s="987"/>
      <c r="AE131" s="987"/>
      <c r="AF131" s="926">
        <f>SUM(V131:V141)/($B$115)</f>
        <v>0</v>
      </c>
      <c r="AG131" s="876">
        <f>SUM(D119:D131)+$C$118</f>
        <v>0</v>
      </c>
      <c r="AH131" s="876"/>
      <c r="AI131" s="927">
        <f t="shared" si="61"/>
        <v>69.344714800000006</v>
      </c>
      <c r="AJ131" s="953">
        <f t="shared" si="52"/>
        <v>0.93571960494171247</v>
      </c>
      <c r="AK131" s="988">
        <f t="shared" si="62"/>
        <v>180.0511663828843</v>
      </c>
      <c r="AL131" s="927">
        <f t="shared" si="63"/>
        <v>50.174479900000001</v>
      </c>
      <c r="AM131" s="956">
        <f t="shared" si="64"/>
        <v>0.76799833627881664</v>
      </c>
      <c r="AN131" s="988">
        <f t="shared" si="65"/>
        <v>146.50336262854705</v>
      </c>
      <c r="AO131" s="957"/>
      <c r="AP131" s="988">
        <f t="shared" si="66"/>
        <v>-306</v>
      </c>
      <c r="AQ131" s="958"/>
      <c r="AR131" s="958">
        <f t="shared" si="67"/>
        <v>326.55452901143133</v>
      </c>
      <c r="AS131" s="940">
        <f t="shared" si="53"/>
        <v>-146.50336262854705</v>
      </c>
      <c r="AT131" s="940"/>
      <c r="AU131" s="940">
        <f t="shared" si="54"/>
        <v>146.50336262854705</v>
      </c>
      <c r="AV131" s="942">
        <f t="shared" si="68"/>
        <v>-168.71809152349536</v>
      </c>
      <c r="AW131" s="942">
        <f t="shared" si="69"/>
        <v>-137.28190847650464</v>
      </c>
      <c r="AX131" s="993">
        <f t="shared" si="70"/>
        <v>-68.753741197840696</v>
      </c>
      <c r="AY131" s="993">
        <f t="shared" si="71"/>
        <v>-72.842810177798981</v>
      </c>
      <c r="AZ131" s="960">
        <f t="shared" si="72"/>
        <v>68.753741197840696</v>
      </c>
      <c r="BA131" s="960">
        <f t="shared" si="72"/>
        <v>72.842810177798981</v>
      </c>
      <c r="BB131" s="785">
        <f t="shared" si="73"/>
        <v>0.3</v>
      </c>
    </row>
    <row r="132" spans="2:54" ht="21" customHeight="1" thickBot="1" x14ac:dyDescent="0.35">
      <c r="B132" s="990">
        <v>15</v>
      </c>
      <c r="C132" s="919"/>
      <c r="D132" s="1907">
        <v>0</v>
      </c>
      <c r="E132" s="949" t="s">
        <v>72</v>
      </c>
      <c r="F132" s="983">
        <f t="shared" si="55"/>
        <v>0.3</v>
      </c>
      <c r="G132" s="950">
        <f t="shared" si="56"/>
        <v>0.3</v>
      </c>
      <c r="H132" s="991">
        <v>190.76</v>
      </c>
      <c r="I132" s="992">
        <v>79.651040199999997</v>
      </c>
      <c r="J132" s="924">
        <f t="shared" si="57"/>
        <v>79.651040199999997</v>
      </c>
      <c r="K132" s="924">
        <f t="shared" si="45"/>
        <v>39.825520099999999</v>
      </c>
      <c r="L132" s="924">
        <f t="shared" si="46"/>
        <v>0.64045183696587837</v>
      </c>
      <c r="M132" s="924">
        <f t="shared" si="47"/>
        <v>122.17259241961095</v>
      </c>
      <c r="N132" s="924">
        <f t="shared" si="48"/>
        <v>244.3451848392219</v>
      </c>
      <c r="O132" s="924">
        <f>+C118+SUM(D119:D132)</f>
        <v>0</v>
      </c>
      <c r="P132" s="924">
        <f t="shared" si="49"/>
        <v>0</v>
      </c>
      <c r="Q132" s="924">
        <f t="shared" si="50"/>
        <v>0</v>
      </c>
      <c r="R132" s="986">
        <f t="shared" si="58"/>
        <v>146.5</v>
      </c>
      <c r="S132" s="924">
        <f t="shared" si="74"/>
        <v>146.5</v>
      </c>
      <c r="T132" s="925">
        <f t="shared" si="51"/>
        <v>146.5</v>
      </c>
      <c r="V132" s="926">
        <f t="shared" si="59"/>
        <v>0</v>
      </c>
      <c r="W132" s="926"/>
      <c r="X132" s="926"/>
      <c r="Y132" s="926"/>
      <c r="Z132" s="926"/>
      <c r="AA132" s="926"/>
      <c r="AB132" s="950" t="str">
        <f t="shared" si="60"/>
        <v>pin in groundstacking hole</v>
      </c>
      <c r="AC132" s="987"/>
      <c r="AD132" s="987"/>
      <c r="AE132" s="987"/>
      <c r="AF132" s="926">
        <f>SUM(V132:V141)/($B$115)</f>
        <v>0</v>
      </c>
      <c r="AG132" s="876">
        <f>SUM(D119:D132)+$C$118</f>
        <v>0</v>
      </c>
      <c r="AH132" s="876"/>
      <c r="AI132" s="927">
        <f t="shared" si="61"/>
        <v>69.344714800000006</v>
      </c>
      <c r="AJ132" s="953">
        <f t="shared" si="52"/>
        <v>0.93571960494171247</v>
      </c>
      <c r="AK132" s="988">
        <f t="shared" si="62"/>
        <v>180.0511663828843</v>
      </c>
      <c r="AL132" s="927">
        <f t="shared" si="63"/>
        <v>50.174479900000001</v>
      </c>
      <c r="AM132" s="956">
        <f t="shared" si="64"/>
        <v>0.76799833627881664</v>
      </c>
      <c r="AN132" s="988">
        <f t="shared" si="65"/>
        <v>146.50336262854705</v>
      </c>
      <c r="AO132" s="957"/>
      <c r="AP132" s="988">
        <f t="shared" si="66"/>
        <v>-331.5</v>
      </c>
      <c r="AQ132" s="958"/>
      <c r="AR132" s="958">
        <f t="shared" si="67"/>
        <v>326.55452901143133</v>
      </c>
      <c r="AS132" s="940">
        <f t="shared" si="53"/>
        <v>-146.50336262854705</v>
      </c>
      <c r="AT132" s="940"/>
      <c r="AU132" s="940">
        <f t="shared" si="54"/>
        <v>146.50336262854705</v>
      </c>
      <c r="AV132" s="942">
        <f t="shared" si="68"/>
        <v>-182.77793248378663</v>
      </c>
      <c r="AW132" s="942">
        <f t="shared" si="69"/>
        <v>-148.72206751621337</v>
      </c>
      <c r="AX132" s="993">
        <f t="shared" si="70"/>
        <v>-63.464991874929879</v>
      </c>
      <c r="AY132" s="993">
        <f t="shared" si="71"/>
        <v>-67.239517087199047</v>
      </c>
      <c r="AZ132" s="960">
        <f t="shared" si="72"/>
        <v>63.464991874929879</v>
      </c>
      <c r="BA132" s="960">
        <f t="shared" si="72"/>
        <v>67.239517087199047</v>
      </c>
      <c r="BB132" s="785">
        <f t="shared" si="73"/>
        <v>0.3</v>
      </c>
    </row>
    <row r="133" spans="2:54" ht="21" customHeight="1" thickBot="1" x14ac:dyDescent="0.35">
      <c r="B133" s="990">
        <v>16</v>
      </c>
      <c r="C133" s="919"/>
      <c r="D133" s="1907">
        <v>0</v>
      </c>
      <c r="E133" s="949" t="s">
        <v>72</v>
      </c>
      <c r="F133" s="983">
        <f t="shared" si="55"/>
        <v>0.3</v>
      </c>
      <c r="G133" s="950">
        <f t="shared" si="56"/>
        <v>0.3</v>
      </c>
      <c r="H133" s="991">
        <v>190.76</v>
      </c>
      <c r="I133" s="992">
        <v>79.651040199999997</v>
      </c>
      <c r="J133" s="924">
        <f t="shared" si="57"/>
        <v>79.651040199999997</v>
      </c>
      <c r="K133" s="924">
        <f t="shared" si="45"/>
        <v>39.825520099999999</v>
      </c>
      <c r="L133" s="924">
        <f t="shared" si="46"/>
        <v>0.64045183696587837</v>
      </c>
      <c r="M133" s="924">
        <f t="shared" si="47"/>
        <v>122.17259241961095</v>
      </c>
      <c r="N133" s="924">
        <f t="shared" si="48"/>
        <v>244.3451848392219</v>
      </c>
      <c r="O133" s="924">
        <f>+C118+SUM(D119:D133)</f>
        <v>0</v>
      </c>
      <c r="P133" s="924">
        <f t="shared" si="49"/>
        <v>0</v>
      </c>
      <c r="Q133" s="924">
        <f t="shared" si="50"/>
        <v>0</v>
      </c>
      <c r="R133" s="986">
        <f t="shared" si="58"/>
        <v>146.5</v>
      </c>
      <c r="S133" s="924">
        <f t="shared" si="74"/>
        <v>146.5</v>
      </c>
      <c r="T133" s="925">
        <f t="shared" si="51"/>
        <v>146.5</v>
      </c>
      <c r="V133" s="926">
        <f t="shared" si="59"/>
        <v>0</v>
      </c>
      <c r="W133" s="926"/>
      <c r="X133" s="926"/>
      <c r="Y133" s="926"/>
      <c r="Z133" s="926"/>
      <c r="AA133" s="926"/>
      <c r="AB133" s="950" t="str">
        <f t="shared" si="60"/>
        <v>pin in groundstacking hole</v>
      </c>
      <c r="AC133" s="987"/>
      <c r="AD133" s="987"/>
      <c r="AE133" s="987"/>
      <c r="AF133" s="926">
        <f>SUM(V133:V141)/($B$115)</f>
        <v>0</v>
      </c>
      <c r="AG133" s="876">
        <f>SUM(D119:D133)+$C$118</f>
        <v>0</v>
      </c>
      <c r="AH133" s="876"/>
      <c r="AI133" s="927">
        <f t="shared" si="61"/>
        <v>69.344714800000006</v>
      </c>
      <c r="AJ133" s="953">
        <f t="shared" si="52"/>
        <v>0.93571960494171247</v>
      </c>
      <c r="AK133" s="988">
        <f t="shared" si="62"/>
        <v>180.0511663828843</v>
      </c>
      <c r="AL133" s="927">
        <f t="shared" si="63"/>
        <v>50.174479900000001</v>
      </c>
      <c r="AM133" s="956">
        <f t="shared" si="64"/>
        <v>0.76799833627881664</v>
      </c>
      <c r="AN133" s="988">
        <f t="shared" si="65"/>
        <v>146.50336262854705</v>
      </c>
      <c r="AO133" s="957"/>
      <c r="AP133" s="988">
        <f t="shared" si="66"/>
        <v>-357</v>
      </c>
      <c r="AQ133" s="958"/>
      <c r="AR133" s="958">
        <f t="shared" si="67"/>
        <v>326.55452901143133</v>
      </c>
      <c r="AS133" s="940">
        <f t="shared" si="53"/>
        <v>-146.50336262854705</v>
      </c>
      <c r="AT133" s="940"/>
      <c r="AU133" s="940">
        <f t="shared" si="54"/>
        <v>146.50336262854705</v>
      </c>
      <c r="AV133" s="942">
        <f t="shared" si="68"/>
        <v>-196.83777344407792</v>
      </c>
      <c r="AW133" s="942">
        <f t="shared" si="69"/>
        <v>-160.16222655592208</v>
      </c>
      <c r="AX133" s="993">
        <f t="shared" si="70"/>
        <v>-58.93177816957774</v>
      </c>
      <c r="AY133" s="993">
        <f t="shared" si="71"/>
        <v>-62.436694438113413</v>
      </c>
      <c r="AZ133" s="960">
        <f t="shared" si="72"/>
        <v>58.93177816957774</v>
      </c>
      <c r="BA133" s="960">
        <f t="shared" si="72"/>
        <v>62.436694438113413</v>
      </c>
      <c r="BB133" s="785">
        <f t="shared" si="73"/>
        <v>0.3</v>
      </c>
    </row>
    <row r="134" spans="2:54" ht="21" customHeight="1" thickBot="1" x14ac:dyDescent="0.35">
      <c r="B134" s="990">
        <v>17</v>
      </c>
      <c r="C134" s="919"/>
      <c r="D134" s="1907">
        <v>0</v>
      </c>
      <c r="E134" s="949" t="s">
        <v>72</v>
      </c>
      <c r="F134" s="983">
        <f t="shared" si="55"/>
        <v>0.3</v>
      </c>
      <c r="G134" s="950">
        <f t="shared" si="56"/>
        <v>0.3</v>
      </c>
      <c r="H134" s="991">
        <v>190.76</v>
      </c>
      <c r="I134" s="992">
        <v>79.651040199999997</v>
      </c>
      <c r="J134" s="924">
        <f t="shared" si="57"/>
        <v>79.651040199999997</v>
      </c>
      <c r="K134" s="924">
        <f t="shared" si="45"/>
        <v>39.825520099999999</v>
      </c>
      <c r="L134" s="924">
        <f t="shared" si="46"/>
        <v>0.64045183696587837</v>
      </c>
      <c r="M134" s="924">
        <f t="shared" si="47"/>
        <v>122.17259241961095</v>
      </c>
      <c r="N134" s="924">
        <f t="shared" si="48"/>
        <v>244.3451848392219</v>
      </c>
      <c r="O134" s="924">
        <f>+C118+SUM(D119:D134)</f>
        <v>0</v>
      </c>
      <c r="P134" s="924">
        <f t="shared" si="49"/>
        <v>0</v>
      </c>
      <c r="Q134" s="924">
        <f t="shared" si="50"/>
        <v>0</v>
      </c>
      <c r="R134" s="986">
        <f t="shared" si="58"/>
        <v>146.5</v>
      </c>
      <c r="S134" s="924">
        <f t="shared" si="74"/>
        <v>146.5</v>
      </c>
      <c r="T134" s="925">
        <f t="shared" si="51"/>
        <v>146.5</v>
      </c>
      <c r="V134" s="926">
        <f t="shared" si="59"/>
        <v>0</v>
      </c>
      <c r="W134" s="926"/>
      <c r="X134" s="926"/>
      <c r="Y134" s="926"/>
      <c r="Z134" s="926"/>
      <c r="AA134" s="926"/>
      <c r="AB134" s="950" t="str">
        <f t="shared" si="60"/>
        <v>pin in groundstacking hole</v>
      </c>
      <c r="AC134" s="987"/>
      <c r="AD134" s="987"/>
      <c r="AE134" s="987"/>
      <c r="AF134" s="926">
        <f>SUM(V134:V141)/($B$115)</f>
        <v>0</v>
      </c>
      <c r="AG134" s="876">
        <f>SUM(D119:D134)+$C$118</f>
        <v>0</v>
      </c>
      <c r="AH134" s="876"/>
      <c r="AI134" s="927">
        <f t="shared" si="61"/>
        <v>69.344714800000006</v>
      </c>
      <c r="AJ134" s="953">
        <f t="shared" si="52"/>
        <v>0.93571960494171247</v>
      </c>
      <c r="AK134" s="988">
        <f t="shared" si="62"/>
        <v>180.0511663828843</v>
      </c>
      <c r="AL134" s="927">
        <f t="shared" si="63"/>
        <v>50.174479900000001</v>
      </c>
      <c r="AM134" s="956">
        <f t="shared" si="64"/>
        <v>0.76799833627881664</v>
      </c>
      <c r="AN134" s="988">
        <f t="shared" si="65"/>
        <v>146.50336262854705</v>
      </c>
      <c r="AO134" s="957"/>
      <c r="AP134" s="988">
        <f t="shared" si="66"/>
        <v>-382.5</v>
      </c>
      <c r="AQ134" s="958"/>
      <c r="AR134" s="958">
        <f t="shared" si="67"/>
        <v>326.55452901143133</v>
      </c>
      <c r="AS134" s="940">
        <f t="shared" si="53"/>
        <v>-146.50336262854705</v>
      </c>
      <c r="AT134" s="940"/>
      <c r="AU134" s="940">
        <f t="shared" si="54"/>
        <v>146.50336262854705</v>
      </c>
      <c r="AV134" s="942">
        <f t="shared" si="68"/>
        <v>-210.89761440436919</v>
      </c>
      <c r="AW134" s="942">
        <f t="shared" si="69"/>
        <v>-171.60238559563081</v>
      </c>
      <c r="AX134" s="993">
        <f t="shared" si="70"/>
        <v>-55.002992958272557</v>
      </c>
      <c r="AY134" s="993">
        <f t="shared" si="71"/>
        <v>-58.27424814223918</v>
      </c>
      <c r="AZ134" s="960">
        <f t="shared" si="72"/>
        <v>55.002992958272557</v>
      </c>
      <c r="BA134" s="960">
        <f t="shared" si="72"/>
        <v>58.27424814223918</v>
      </c>
      <c r="BB134" s="785">
        <f t="shared" si="73"/>
        <v>0.3</v>
      </c>
    </row>
    <row r="135" spans="2:54" ht="21" customHeight="1" thickBot="1" x14ac:dyDescent="0.35">
      <c r="B135" s="990">
        <v>18</v>
      </c>
      <c r="C135" s="919"/>
      <c r="D135" s="1907">
        <v>0</v>
      </c>
      <c r="E135" s="949" t="s">
        <v>72</v>
      </c>
      <c r="F135" s="983">
        <f t="shared" si="55"/>
        <v>0.3</v>
      </c>
      <c r="G135" s="950">
        <f t="shared" si="56"/>
        <v>0.3</v>
      </c>
      <c r="H135" s="991">
        <v>190.76</v>
      </c>
      <c r="I135" s="992">
        <v>79.651040199999997</v>
      </c>
      <c r="J135" s="924">
        <f t="shared" si="57"/>
        <v>79.651040199999997</v>
      </c>
      <c r="K135" s="924">
        <f t="shared" si="45"/>
        <v>39.825520099999999</v>
      </c>
      <c r="L135" s="924">
        <f t="shared" si="46"/>
        <v>0.64045183696587837</v>
      </c>
      <c r="M135" s="924">
        <f t="shared" si="47"/>
        <v>122.17259241961095</v>
      </c>
      <c r="N135" s="924">
        <f t="shared" si="48"/>
        <v>244.3451848392219</v>
      </c>
      <c r="O135" s="924">
        <f>+C118+SUM(D119:D135)</f>
        <v>0</v>
      </c>
      <c r="P135" s="924">
        <f t="shared" si="49"/>
        <v>0</v>
      </c>
      <c r="Q135" s="924">
        <f t="shared" si="50"/>
        <v>0</v>
      </c>
      <c r="R135" s="986">
        <f t="shared" si="58"/>
        <v>146.5</v>
      </c>
      <c r="S135" s="924">
        <f t="shared" si="74"/>
        <v>146.5</v>
      </c>
      <c r="T135" s="925">
        <f t="shared" si="51"/>
        <v>146.5</v>
      </c>
      <c r="V135" s="926">
        <f t="shared" si="59"/>
        <v>0</v>
      </c>
      <c r="W135" s="926"/>
      <c r="X135" s="926"/>
      <c r="Y135" s="926"/>
      <c r="Z135" s="926"/>
      <c r="AA135" s="926"/>
      <c r="AB135" s="950" t="str">
        <f t="shared" si="60"/>
        <v>pin in groundstacking hole</v>
      </c>
      <c r="AC135" s="987"/>
      <c r="AD135" s="987"/>
      <c r="AE135" s="987"/>
      <c r="AF135" s="926">
        <f>SUM(V135:V141)/($B$115)</f>
        <v>0</v>
      </c>
      <c r="AG135" s="876">
        <f>SUM(D119:D135)+$C$118</f>
        <v>0</v>
      </c>
      <c r="AH135" s="876"/>
      <c r="AI135" s="927">
        <f t="shared" si="61"/>
        <v>69.344714800000006</v>
      </c>
      <c r="AJ135" s="953">
        <f t="shared" si="52"/>
        <v>0.93571960494171247</v>
      </c>
      <c r="AK135" s="988">
        <f t="shared" si="62"/>
        <v>180.0511663828843</v>
      </c>
      <c r="AL135" s="927">
        <f t="shared" si="63"/>
        <v>50.174479900000001</v>
      </c>
      <c r="AM135" s="956">
        <f t="shared" si="64"/>
        <v>0.76799833627881664</v>
      </c>
      <c r="AN135" s="988">
        <f t="shared" si="65"/>
        <v>146.50336262854705</v>
      </c>
      <c r="AO135" s="957"/>
      <c r="AP135" s="988">
        <f t="shared" si="66"/>
        <v>-408</v>
      </c>
      <c r="AQ135" s="958"/>
      <c r="AR135" s="958">
        <f t="shared" si="67"/>
        <v>326.55452901143133</v>
      </c>
      <c r="AS135" s="940">
        <f t="shared" si="53"/>
        <v>-146.50336262854705</v>
      </c>
      <c r="AT135" s="940"/>
      <c r="AU135" s="940">
        <f t="shared" si="54"/>
        <v>146.50336262854705</v>
      </c>
      <c r="AV135" s="942">
        <f t="shared" si="68"/>
        <v>-224.95745536466046</v>
      </c>
      <c r="AW135" s="942">
        <f t="shared" si="69"/>
        <v>-183.04254463533954</v>
      </c>
      <c r="AX135" s="993">
        <f t="shared" si="70"/>
        <v>-51.565305898380529</v>
      </c>
      <c r="AY135" s="993">
        <f t="shared" si="71"/>
        <v>-54.632107633349229</v>
      </c>
      <c r="AZ135" s="960">
        <f t="shared" si="72"/>
        <v>51.565305898380529</v>
      </c>
      <c r="BA135" s="960">
        <f t="shared" si="72"/>
        <v>54.632107633349229</v>
      </c>
      <c r="BB135" s="785">
        <f t="shared" si="73"/>
        <v>0.3</v>
      </c>
    </row>
    <row r="136" spans="2:54" ht="21" customHeight="1" thickBot="1" x14ac:dyDescent="0.35">
      <c r="B136" s="990">
        <v>19</v>
      </c>
      <c r="C136" s="919"/>
      <c r="D136" s="1907">
        <v>0</v>
      </c>
      <c r="E136" s="949" t="s">
        <v>72</v>
      </c>
      <c r="F136" s="983">
        <f t="shared" si="55"/>
        <v>0.3</v>
      </c>
      <c r="G136" s="950">
        <f t="shared" si="56"/>
        <v>0.3</v>
      </c>
      <c r="H136" s="991">
        <v>190.76</v>
      </c>
      <c r="I136" s="992">
        <v>79.651040199999997</v>
      </c>
      <c r="J136" s="924">
        <f t="shared" si="57"/>
        <v>79.651040199999997</v>
      </c>
      <c r="K136" s="924">
        <f t="shared" si="45"/>
        <v>39.825520099999999</v>
      </c>
      <c r="L136" s="924">
        <f t="shared" si="46"/>
        <v>0.64045183696587837</v>
      </c>
      <c r="M136" s="924">
        <f t="shared" si="47"/>
        <v>122.17259241961095</v>
      </c>
      <c r="N136" s="924">
        <f t="shared" si="48"/>
        <v>244.3451848392219</v>
      </c>
      <c r="O136" s="924">
        <f>+C118+SUM(D119:D136)</f>
        <v>0</v>
      </c>
      <c r="P136" s="924">
        <f t="shared" si="49"/>
        <v>0</v>
      </c>
      <c r="Q136" s="924">
        <f t="shared" si="50"/>
        <v>0</v>
      </c>
      <c r="R136" s="986">
        <f t="shared" si="58"/>
        <v>146.5</v>
      </c>
      <c r="S136" s="924">
        <f t="shared" si="74"/>
        <v>146.5</v>
      </c>
      <c r="T136" s="925">
        <f t="shared" si="51"/>
        <v>146.5</v>
      </c>
      <c r="V136" s="926">
        <f t="shared" si="59"/>
        <v>0</v>
      </c>
      <c r="W136" s="926"/>
      <c r="X136" s="926"/>
      <c r="Y136" s="926"/>
      <c r="Z136" s="926"/>
      <c r="AA136" s="926"/>
      <c r="AB136" s="950" t="str">
        <f t="shared" si="60"/>
        <v>pin in groundstacking hole</v>
      </c>
      <c r="AC136" s="987"/>
      <c r="AD136" s="987"/>
      <c r="AE136" s="987"/>
      <c r="AF136" s="926">
        <f>SUM(V136:V141)/($B$115)</f>
        <v>0</v>
      </c>
      <c r="AG136" s="876">
        <f>SUM(D119:D136)+$C$118</f>
        <v>0</v>
      </c>
      <c r="AH136" s="876"/>
      <c r="AI136" s="927">
        <f t="shared" si="61"/>
        <v>69.344714800000006</v>
      </c>
      <c r="AJ136" s="953">
        <f t="shared" si="52"/>
        <v>0.93571960494171247</v>
      </c>
      <c r="AK136" s="988">
        <f t="shared" si="62"/>
        <v>180.0511663828843</v>
      </c>
      <c r="AL136" s="927">
        <f t="shared" si="63"/>
        <v>50.174479900000001</v>
      </c>
      <c r="AM136" s="956">
        <f t="shared" si="64"/>
        <v>0.76799833627881664</v>
      </c>
      <c r="AN136" s="988">
        <f t="shared" si="65"/>
        <v>146.50336262854705</v>
      </c>
      <c r="AO136" s="957"/>
      <c r="AP136" s="988">
        <f t="shared" si="66"/>
        <v>-433.5</v>
      </c>
      <c r="AQ136" s="958"/>
      <c r="AR136" s="958">
        <f t="shared" si="67"/>
        <v>326.55452901143133</v>
      </c>
      <c r="AS136" s="940">
        <f t="shared" si="53"/>
        <v>-146.50336262854705</v>
      </c>
      <c r="AT136" s="940"/>
      <c r="AU136" s="940">
        <f t="shared" si="54"/>
        <v>146.50336262854705</v>
      </c>
      <c r="AV136" s="942">
        <f t="shared" si="68"/>
        <v>-239.01729632495176</v>
      </c>
      <c r="AW136" s="942">
        <f t="shared" si="69"/>
        <v>-194.48270367504824</v>
      </c>
      <c r="AX136" s="993">
        <f t="shared" si="70"/>
        <v>-48.532052610240491</v>
      </c>
      <c r="AY136" s="993">
        <f t="shared" si="71"/>
        <v>-51.418454243152219</v>
      </c>
      <c r="AZ136" s="960">
        <f t="shared" si="72"/>
        <v>48.532052610240491</v>
      </c>
      <c r="BA136" s="960">
        <f t="shared" si="72"/>
        <v>51.418454243152219</v>
      </c>
      <c r="BB136" s="785">
        <f t="shared" si="73"/>
        <v>0.3</v>
      </c>
    </row>
    <row r="137" spans="2:54" ht="21" customHeight="1" thickBot="1" x14ac:dyDescent="0.35">
      <c r="B137" s="990">
        <v>20</v>
      </c>
      <c r="C137" s="919"/>
      <c r="D137" s="1907">
        <v>0</v>
      </c>
      <c r="E137" s="949" t="s">
        <v>72</v>
      </c>
      <c r="F137" s="983">
        <f t="shared" si="55"/>
        <v>0.3</v>
      </c>
      <c r="G137" s="950">
        <f t="shared" si="56"/>
        <v>0.3</v>
      </c>
      <c r="H137" s="991">
        <v>190.76</v>
      </c>
      <c r="I137" s="992">
        <v>79.651040199999997</v>
      </c>
      <c r="J137" s="924">
        <f t="shared" si="57"/>
        <v>79.651040199999997</v>
      </c>
      <c r="K137" s="924">
        <f t="shared" si="45"/>
        <v>39.825520099999999</v>
      </c>
      <c r="L137" s="924">
        <f t="shared" si="46"/>
        <v>0.64045183696587837</v>
      </c>
      <c r="M137" s="924">
        <f t="shared" si="47"/>
        <v>122.17259241961095</v>
      </c>
      <c r="N137" s="924">
        <f t="shared" si="48"/>
        <v>244.3451848392219</v>
      </c>
      <c r="O137" s="924">
        <f>+C118+SUM(D119:D137)</f>
        <v>0</v>
      </c>
      <c r="P137" s="924">
        <f t="shared" si="49"/>
        <v>0</v>
      </c>
      <c r="Q137" s="924">
        <f t="shared" si="50"/>
        <v>0</v>
      </c>
      <c r="R137" s="986">
        <f t="shared" si="58"/>
        <v>146.5</v>
      </c>
      <c r="S137" s="924">
        <f t="shared" si="74"/>
        <v>146.5</v>
      </c>
      <c r="T137" s="925">
        <f t="shared" si="51"/>
        <v>146.5</v>
      </c>
      <c r="V137" s="926">
        <f t="shared" si="59"/>
        <v>0</v>
      </c>
      <c r="W137" s="926"/>
      <c r="X137" s="926"/>
      <c r="Y137" s="926"/>
      <c r="Z137" s="926"/>
      <c r="AA137" s="926"/>
      <c r="AB137" s="950" t="str">
        <f t="shared" si="60"/>
        <v>pin in groundstacking hole</v>
      </c>
      <c r="AC137" s="987"/>
      <c r="AD137" s="987"/>
      <c r="AE137" s="987"/>
      <c r="AF137" s="926">
        <f>SUM(V137:V141)/($B$115)</f>
        <v>0</v>
      </c>
      <c r="AG137" s="876">
        <f>SUM(D119:D137)+$C$118</f>
        <v>0</v>
      </c>
      <c r="AH137" s="876"/>
      <c r="AI137" s="927">
        <f t="shared" si="61"/>
        <v>69.344714800000006</v>
      </c>
      <c r="AJ137" s="953">
        <f t="shared" si="52"/>
        <v>0.93571960494171247</v>
      </c>
      <c r="AK137" s="988">
        <f t="shared" si="62"/>
        <v>180.0511663828843</v>
      </c>
      <c r="AL137" s="927">
        <f t="shared" si="63"/>
        <v>50.174479900000001</v>
      </c>
      <c r="AM137" s="956">
        <f t="shared" si="64"/>
        <v>0.76799833627881664</v>
      </c>
      <c r="AN137" s="988">
        <f t="shared" si="65"/>
        <v>146.50336262854705</v>
      </c>
      <c r="AO137" s="957"/>
      <c r="AP137" s="988">
        <f t="shared" si="66"/>
        <v>-459</v>
      </c>
      <c r="AQ137" s="958"/>
      <c r="AR137" s="958">
        <f t="shared" si="67"/>
        <v>326.55452901143133</v>
      </c>
      <c r="AS137" s="940">
        <f t="shared" si="53"/>
        <v>-146.50336262854705</v>
      </c>
      <c r="AT137" s="940"/>
      <c r="AU137" s="940">
        <f t="shared" si="54"/>
        <v>146.50336262854705</v>
      </c>
      <c r="AV137" s="942">
        <f t="shared" si="68"/>
        <v>-253.07713728524303</v>
      </c>
      <c r="AW137" s="942">
        <f t="shared" si="69"/>
        <v>-205.92286271475697</v>
      </c>
      <c r="AX137" s="993">
        <f t="shared" si="70"/>
        <v>-45.835827465227133</v>
      </c>
      <c r="AY137" s="993">
        <f t="shared" si="71"/>
        <v>-48.561873451865985</v>
      </c>
      <c r="AZ137" s="960">
        <f t="shared" si="72"/>
        <v>45.835827465227133</v>
      </c>
      <c r="BA137" s="960">
        <f t="shared" si="72"/>
        <v>48.561873451865985</v>
      </c>
      <c r="BB137" s="785">
        <f t="shared" si="73"/>
        <v>0.3</v>
      </c>
    </row>
    <row r="138" spans="2:54" ht="21" customHeight="1" thickBot="1" x14ac:dyDescent="0.35">
      <c r="B138" s="990">
        <v>21</v>
      </c>
      <c r="C138" s="919"/>
      <c r="D138" s="1907">
        <v>0</v>
      </c>
      <c r="E138" s="949" t="s">
        <v>72</v>
      </c>
      <c r="F138" s="983">
        <f t="shared" si="55"/>
        <v>0.3</v>
      </c>
      <c r="G138" s="950">
        <f t="shared" si="56"/>
        <v>0.3</v>
      </c>
      <c r="H138" s="991">
        <v>190.76</v>
      </c>
      <c r="I138" s="992">
        <v>79.651040199999997</v>
      </c>
      <c r="J138" s="924">
        <f t="shared" si="57"/>
        <v>79.651040199999997</v>
      </c>
      <c r="K138" s="924">
        <f t="shared" si="45"/>
        <v>39.825520099999999</v>
      </c>
      <c r="L138" s="924">
        <f t="shared" si="46"/>
        <v>0.64045183696587837</v>
      </c>
      <c r="M138" s="924">
        <f t="shared" si="47"/>
        <v>122.17259241961095</v>
      </c>
      <c r="N138" s="924">
        <f t="shared" si="48"/>
        <v>244.3451848392219</v>
      </c>
      <c r="O138" s="924">
        <f>+C118+SUM(D119:D138)</f>
        <v>0</v>
      </c>
      <c r="P138" s="924">
        <f t="shared" si="49"/>
        <v>0</v>
      </c>
      <c r="Q138" s="924">
        <f t="shared" si="50"/>
        <v>0</v>
      </c>
      <c r="R138" s="986">
        <f t="shared" si="58"/>
        <v>146.5</v>
      </c>
      <c r="S138" s="924">
        <f t="shared" si="74"/>
        <v>146.5</v>
      </c>
      <c r="T138" s="925">
        <f t="shared" si="51"/>
        <v>146.5</v>
      </c>
      <c r="V138" s="926">
        <f t="shared" si="59"/>
        <v>0</v>
      </c>
      <c r="W138" s="926"/>
      <c r="X138" s="926"/>
      <c r="Y138" s="926"/>
      <c r="Z138" s="926"/>
      <c r="AA138" s="926"/>
      <c r="AB138" s="950" t="str">
        <f t="shared" si="60"/>
        <v>pin in groundstacking hole</v>
      </c>
      <c r="AC138" s="987"/>
      <c r="AD138" s="987"/>
      <c r="AE138" s="987"/>
      <c r="AF138" s="926">
        <f>SUM(V138:V141)/($B$115)</f>
        <v>0</v>
      </c>
      <c r="AG138" s="876">
        <f>SUM(D119:D138)+$C$118</f>
        <v>0</v>
      </c>
      <c r="AH138" s="876"/>
      <c r="AI138" s="927">
        <f t="shared" si="61"/>
        <v>69.344714800000006</v>
      </c>
      <c r="AJ138" s="953">
        <f t="shared" si="52"/>
        <v>0.93571960494171247</v>
      </c>
      <c r="AK138" s="988">
        <f t="shared" si="62"/>
        <v>180.0511663828843</v>
      </c>
      <c r="AL138" s="927">
        <f t="shared" si="63"/>
        <v>50.174479900000001</v>
      </c>
      <c r="AM138" s="956">
        <f t="shared" si="64"/>
        <v>0.76799833627881664</v>
      </c>
      <c r="AN138" s="988">
        <f t="shared" si="65"/>
        <v>146.50336262854705</v>
      </c>
      <c r="AO138" s="957"/>
      <c r="AP138" s="988">
        <f t="shared" si="66"/>
        <v>-484.5</v>
      </c>
      <c r="AQ138" s="958"/>
      <c r="AR138" s="958">
        <f t="shared" si="67"/>
        <v>326.55452901143133</v>
      </c>
      <c r="AS138" s="940">
        <f t="shared" si="53"/>
        <v>-146.50336262854705</v>
      </c>
      <c r="AT138" s="940"/>
      <c r="AU138" s="940">
        <f t="shared" si="54"/>
        <v>146.50336262854705</v>
      </c>
      <c r="AV138" s="942">
        <f t="shared" si="68"/>
        <v>-267.13697824553429</v>
      </c>
      <c r="AW138" s="942">
        <f t="shared" si="69"/>
        <v>-217.36302175446571</v>
      </c>
      <c r="AX138" s="993">
        <f t="shared" si="70"/>
        <v>-43.423415493373078</v>
      </c>
      <c r="AY138" s="993">
        <f t="shared" si="71"/>
        <v>-46.005985375451978</v>
      </c>
      <c r="AZ138" s="960">
        <f t="shared" si="72"/>
        <v>43.423415493373078</v>
      </c>
      <c r="BA138" s="960">
        <f t="shared" si="72"/>
        <v>46.005985375451978</v>
      </c>
      <c r="BB138" s="785">
        <f t="shared" si="73"/>
        <v>0.3</v>
      </c>
    </row>
    <row r="139" spans="2:54" ht="21" customHeight="1" thickBot="1" x14ac:dyDescent="0.35">
      <c r="B139" s="990">
        <v>22</v>
      </c>
      <c r="C139" s="919"/>
      <c r="D139" s="1907">
        <v>0</v>
      </c>
      <c r="E139" s="949" t="s">
        <v>72</v>
      </c>
      <c r="F139" s="983">
        <f t="shared" si="55"/>
        <v>0.3</v>
      </c>
      <c r="G139" s="950">
        <f t="shared" si="56"/>
        <v>0.3</v>
      </c>
      <c r="H139" s="991">
        <v>190.76</v>
      </c>
      <c r="I139" s="992">
        <v>79.651040199999997</v>
      </c>
      <c r="J139" s="924">
        <f t="shared" si="57"/>
        <v>79.651040199999997</v>
      </c>
      <c r="K139" s="924">
        <f t="shared" si="45"/>
        <v>39.825520099999999</v>
      </c>
      <c r="L139" s="924">
        <f t="shared" si="46"/>
        <v>0.64045183696587837</v>
      </c>
      <c r="M139" s="924">
        <f t="shared" si="47"/>
        <v>122.17259241961095</v>
      </c>
      <c r="N139" s="924">
        <f t="shared" si="48"/>
        <v>244.3451848392219</v>
      </c>
      <c r="O139" s="924">
        <f>+C118+SUM(D119:D139)</f>
        <v>0</v>
      </c>
      <c r="P139" s="924">
        <f t="shared" si="49"/>
        <v>0</v>
      </c>
      <c r="Q139" s="924">
        <f t="shared" si="50"/>
        <v>0</v>
      </c>
      <c r="R139" s="986">
        <f t="shared" si="58"/>
        <v>146.5</v>
      </c>
      <c r="S139" s="924">
        <f t="shared" si="74"/>
        <v>146.5</v>
      </c>
      <c r="T139" s="925">
        <f t="shared" si="51"/>
        <v>146.5</v>
      </c>
      <c r="V139" s="926">
        <f t="shared" si="59"/>
        <v>0</v>
      </c>
      <c r="W139" s="926"/>
      <c r="X139" s="926"/>
      <c r="Y139" s="926"/>
      <c r="Z139" s="926"/>
      <c r="AA139" s="926"/>
      <c r="AB139" s="950" t="str">
        <f t="shared" si="60"/>
        <v>pin in groundstacking hole</v>
      </c>
      <c r="AC139" s="987"/>
      <c r="AD139" s="987"/>
      <c r="AE139" s="987"/>
      <c r="AF139" s="926">
        <f>SUM(V139:V141)/($B$115)</f>
        <v>0</v>
      </c>
      <c r="AG139" s="876">
        <f>SUM(D119:D139)+$C$118</f>
        <v>0</v>
      </c>
      <c r="AH139" s="876"/>
      <c r="AI139" s="927">
        <f t="shared" si="61"/>
        <v>69.344714800000006</v>
      </c>
      <c r="AJ139" s="953">
        <f t="shared" si="52"/>
        <v>0.93571960494171247</v>
      </c>
      <c r="AK139" s="988">
        <f t="shared" si="62"/>
        <v>180.0511663828843</v>
      </c>
      <c r="AL139" s="927">
        <f t="shared" si="63"/>
        <v>50.174479900000001</v>
      </c>
      <c r="AM139" s="956">
        <f t="shared" si="64"/>
        <v>0.76799833627881664</v>
      </c>
      <c r="AN139" s="988">
        <f t="shared" si="65"/>
        <v>146.50336262854705</v>
      </c>
      <c r="AO139" s="957"/>
      <c r="AP139" s="988">
        <f t="shared" si="66"/>
        <v>-510</v>
      </c>
      <c r="AQ139" s="958"/>
      <c r="AR139" s="958">
        <f t="shared" si="67"/>
        <v>326.55452901143133</v>
      </c>
      <c r="AS139" s="940">
        <f t="shared" si="53"/>
        <v>-146.50336262854705</v>
      </c>
      <c r="AT139" s="940"/>
      <c r="AU139" s="940">
        <f t="shared" si="54"/>
        <v>146.50336262854705</v>
      </c>
      <c r="AV139" s="942">
        <f t="shared" si="68"/>
        <v>-281.19681920582559</v>
      </c>
      <c r="AW139" s="942">
        <f t="shared" si="69"/>
        <v>-228.80318079417441</v>
      </c>
      <c r="AX139" s="993">
        <f t="shared" si="70"/>
        <v>-41.252244718704418</v>
      </c>
      <c r="AY139" s="993">
        <f t="shared" si="71"/>
        <v>-43.705686106679387</v>
      </c>
      <c r="AZ139" s="960">
        <f t="shared" si="72"/>
        <v>41.252244718704418</v>
      </c>
      <c r="BA139" s="960">
        <f t="shared" si="72"/>
        <v>43.705686106679387</v>
      </c>
      <c r="BB139" s="785">
        <f t="shared" si="73"/>
        <v>0.3</v>
      </c>
    </row>
    <row r="140" spans="2:54" ht="21" customHeight="1" thickBot="1" x14ac:dyDescent="0.35">
      <c r="B140" s="990">
        <v>23</v>
      </c>
      <c r="C140" s="919"/>
      <c r="D140" s="1907">
        <v>0</v>
      </c>
      <c r="E140" s="949" t="s">
        <v>72</v>
      </c>
      <c r="F140" s="983">
        <f t="shared" si="55"/>
        <v>0.3</v>
      </c>
      <c r="G140" s="950">
        <f t="shared" si="56"/>
        <v>0.3</v>
      </c>
      <c r="H140" s="991">
        <v>190.76</v>
      </c>
      <c r="I140" s="992">
        <v>79.651040199999997</v>
      </c>
      <c r="J140" s="924">
        <f t="shared" si="57"/>
        <v>79.651040199999997</v>
      </c>
      <c r="K140" s="924">
        <f t="shared" si="45"/>
        <v>39.825520099999999</v>
      </c>
      <c r="L140" s="924">
        <f t="shared" si="46"/>
        <v>0.64045183696587837</v>
      </c>
      <c r="M140" s="924">
        <f t="shared" si="47"/>
        <v>122.17259241961095</v>
      </c>
      <c r="N140" s="924">
        <f t="shared" si="48"/>
        <v>244.3451848392219</v>
      </c>
      <c r="O140" s="924">
        <f>+C118+SUM(D119:D140)</f>
        <v>0</v>
      </c>
      <c r="P140" s="924">
        <f t="shared" si="49"/>
        <v>0</v>
      </c>
      <c r="Q140" s="924">
        <f t="shared" si="50"/>
        <v>0</v>
      </c>
      <c r="R140" s="986">
        <f t="shared" si="58"/>
        <v>146.5</v>
      </c>
      <c r="S140" s="924">
        <f t="shared" si="74"/>
        <v>146.5</v>
      </c>
      <c r="T140" s="925">
        <f t="shared" si="51"/>
        <v>146.5</v>
      </c>
      <c r="V140" s="926">
        <f t="shared" si="59"/>
        <v>0</v>
      </c>
      <c r="W140" s="926"/>
      <c r="X140" s="926"/>
      <c r="Y140" s="926"/>
      <c r="Z140" s="926"/>
      <c r="AA140" s="926"/>
      <c r="AB140" s="950" t="str">
        <f t="shared" si="60"/>
        <v>pin in groundstacking hole</v>
      </c>
      <c r="AC140" s="987"/>
      <c r="AD140" s="987"/>
      <c r="AE140" s="987"/>
      <c r="AF140" s="926">
        <f>SUM(V140:V141)/($B$115)</f>
        <v>0</v>
      </c>
      <c r="AG140" s="876">
        <f>SUM(D119:D140)+$C$118</f>
        <v>0</v>
      </c>
      <c r="AH140" s="876"/>
      <c r="AI140" s="927">
        <f t="shared" si="61"/>
        <v>69.344714800000006</v>
      </c>
      <c r="AJ140" s="953">
        <f t="shared" si="52"/>
        <v>0.93571960494171247</v>
      </c>
      <c r="AK140" s="988">
        <f t="shared" si="62"/>
        <v>180.0511663828843</v>
      </c>
      <c r="AL140" s="927">
        <f t="shared" si="63"/>
        <v>50.174479900000001</v>
      </c>
      <c r="AM140" s="956">
        <f t="shared" si="64"/>
        <v>0.76799833627881664</v>
      </c>
      <c r="AN140" s="988">
        <f t="shared" si="65"/>
        <v>146.50336262854705</v>
      </c>
      <c r="AO140" s="957"/>
      <c r="AP140" s="988">
        <f t="shared" si="66"/>
        <v>-535.5</v>
      </c>
      <c r="AQ140" s="958"/>
      <c r="AR140" s="958">
        <f t="shared" si="67"/>
        <v>326.55452901143133</v>
      </c>
      <c r="AS140" s="940">
        <f t="shared" si="53"/>
        <v>-146.50336262854705</v>
      </c>
      <c r="AT140" s="940"/>
      <c r="AU140" s="940">
        <f t="shared" si="54"/>
        <v>146.50336262854705</v>
      </c>
      <c r="AV140" s="942">
        <f t="shared" si="68"/>
        <v>-295.25666016611689</v>
      </c>
      <c r="AW140" s="942">
        <f t="shared" si="69"/>
        <v>-240.24333983388314</v>
      </c>
      <c r="AX140" s="993">
        <f t="shared" si="70"/>
        <v>-39.287852113051827</v>
      </c>
      <c r="AY140" s="993">
        <f t="shared" si="71"/>
        <v>-41.624462958742271</v>
      </c>
      <c r="AZ140" s="960">
        <f t="shared" si="72"/>
        <v>39.287852113051827</v>
      </c>
      <c r="BA140" s="960">
        <f t="shared" si="72"/>
        <v>41.624462958742271</v>
      </c>
      <c r="BB140" s="785">
        <f t="shared" si="73"/>
        <v>0.3</v>
      </c>
    </row>
    <row r="141" spans="2:54" ht="21" customHeight="1" thickBot="1" x14ac:dyDescent="0.35">
      <c r="B141" s="990">
        <v>24</v>
      </c>
      <c r="C141" s="919"/>
      <c r="D141" s="1907">
        <v>0</v>
      </c>
      <c r="E141" s="949" t="s">
        <v>72</v>
      </c>
      <c r="F141" s="983">
        <f t="shared" si="55"/>
        <v>0.3</v>
      </c>
      <c r="G141" s="950">
        <f t="shared" si="56"/>
        <v>0.3</v>
      </c>
      <c r="H141" s="991">
        <v>190.76</v>
      </c>
      <c r="I141" s="992">
        <v>79.651040199999997</v>
      </c>
      <c r="J141" s="924">
        <f t="shared" si="57"/>
        <v>79.651040199999997</v>
      </c>
      <c r="K141" s="924">
        <f t="shared" si="45"/>
        <v>39.825520099999999</v>
      </c>
      <c r="L141" s="924">
        <f t="shared" si="46"/>
        <v>0.64045183696587837</v>
      </c>
      <c r="M141" s="924">
        <f t="shared" si="47"/>
        <v>122.17259241961095</v>
      </c>
      <c r="N141" s="924">
        <f t="shared" si="48"/>
        <v>244.3451848392219</v>
      </c>
      <c r="O141" s="924">
        <f>+C118+SUM(D119:D141)</f>
        <v>0</v>
      </c>
      <c r="P141" s="924">
        <f t="shared" si="49"/>
        <v>0</v>
      </c>
      <c r="Q141" s="924">
        <f t="shared" si="50"/>
        <v>0</v>
      </c>
      <c r="R141" s="986">
        <f t="shared" si="58"/>
        <v>146.5</v>
      </c>
      <c r="S141" s="924">
        <f t="shared" si="74"/>
        <v>146.5</v>
      </c>
      <c r="T141" s="925">
        <f t="shared" si="51"/>
        <v>146.5</v>
      </c>
      <c r="V141" s="926">
        <f t="shared" si="59"/>
        <v>0</v>
      </c>
      <c r="W141" s="926"/>
      <c r="X141" s="926"/>
      <c r="Y141" s="926"/>
      <c r="Z141" s="926"/>
      <c r="AA141" s="926"/>
      <c r="AB141" s="950" t="str">
        <f t="shared" si="60"/>
        <v>pin in groundstacking hole</v>
      </c>
      <c r="AC141" s="987"/>
      <c r="AD141" s="987"/>
      <c r="AE141" s="987"/>
      <c r="AF141" s="926">
        <f>SUM(V141)/($B$115)</f>
        <v>0</v>
      </c>
      <c r="AG141" s="876">
        <f>SUM(D119:D141)+$C$118</f>
        <v>0</v>
      </c>
      <c r="AH141" s="876"/>
      <c r="AI141" s="927">
        <f t="shared" si="61"/>
        <v>69.344714800000006</v>
      </c>
      <c r="AJ141" s="953">
        <f t="shared" si="52"/>
        <v>0.93571960494171247</v>
      </c>
      <c r="AK141" s="988">
        <f t="shared" si="62"/>
        <v>180.0511663828843</v>
      </c>
      <c r="AL141" s="927">
        <f t="shared" si="63"/>
        <v>50.174479900000001</v>
      </c>
      <c r="AM141" s="956">
        <f t="shared" si="64"/>
        <v>0.76799833627881664</v>
      </c>
      <c r="AN141" s="988">
        <f t="shared" si="65"/>
        <v>146.50336262854705</v>
      </c>
      <c r="AO141" s="957"/>
      <c r="AP141" s="988">
        <f t="shared" si="66"/>
        <v>-561</v>
      </c>
      <c r="AQ141" s="958"/>
      <c r="AR141" s="958">
        <f t="shared" si="67"/>
        <v>326.55452901143133</v>
      </c>
      <c r="AS141" s="940">
        <f t="shared" si="53"/>
        <v>-146.50336262854705</v>
      </c>
      <c r="AT141" s="940"/>
      <c r="AU141" s="940">
        <f t="shared" si="54"/>
        <v>146.50336262854705</v>
      </c>
      <c r="AV141" s="942">
        <f t="shared" si="68"/>
        <v>-309.31650112640813</v>
      </c>
      <c r="AW141" s="942">
        <f t="shared" si="69"/>
        <v>-251.68349887359184</v>
      </c>
      <c r="AX141" s="993">
        <f t="shared" si="70"/>
        <v>-37.502040653367658</v>
      </c>
      <c r="AY141" s="993">
        <f t="shared" si="71"/>
        <v>-39.732441915163079</v>
      </c>
      <c r="AZ141" s="960">
        <f t="shared" si="72"/>
        <v>37.502040653367658</v>
      </c>
      <c r="BA141" s="960">
        <f t="shared" si="72"/>
        <v>39.732441915163079</v>
      </c>
      <c r="BB141" s="785">
        <f t="shared" si="73"/>
        <v>0.3</v>
      </c>
    </row>
    <row r="145" spans="73:91" ht="15.75" customHeight="1" x14ac:dyDescent="0.3"/>
    <row r="146" spans="73:91" ht="15.75" customHeight="1" x14ac:dyDescent="0.3"/>
    <row r="147" spans="73:91" ht="15.75" customHeight="1" x14ac:dyDescent="0.3"/>
    <row r="148" spans="73:91" ht="15.75" customHeight="1" x14ac:dyDescent="0.3"/>
    <row r="149" spans="73:91" ht="15.75" customHeight="1" x14ac:dyDescent="0.3"/>
    <row r="150" spans="73:91" ht="15.75" customHeight="1" x14ac:dyDescent="0.3"/>
    <row r="151" spans="73:91" ht="15.75" customHeight="1" x14ac:dyDescent="0.3"/>
    <row r="152" spans="73:91" ht="15.75" customHeight="1" x14ac:dyDescent="0.3"/>
    <row r="153" spans="73:91" ht="15.75" customHeight="1" x14ac:dyDescent="0.3"/>
    <row r="154" spans="73:91" ht="15.75" customHeight="1" x14ac:dyDescent="0.3"/>
    <row r="155" spans="73:91" ht="15.75" customHeight="1" x14ac:dyDescent="0.3"/>
    <row r="156" spans="73:91" ht="15.75" customHeight="1" x14ac:dyDescent="0.3"/>
    <row r="157" spans="73:91" ht="15.75" customHeight="1" x14ac:dyDescent="0.3"/>
    <row r="158" spans="73:91" ht="15.75" customHeight="1" x14ac:dyDescent="0.3"/>
    <row r="159" spans="73:91" ht="15.75" customHeight="1" x14ac:dyDescent="0.3">
      <c r="BU159" s="994"/>
      <c r="BV159" s="994"/>
      <c r="BW159" s="811"/>
      <c r="BX159" s="850"/>
      <c r="BY159" s="850"/>
      <c r="BZ159" s="850"/>
      <c r="CA159" s="850"/>
      <c r="CB159" s="850"/>
      <c r="CC159" s="850"/>
      <c r="CD159" s="850"/>
      <c r="CE159" s="850"/>
      <c r="CF159" s="850"/>
      <c r="CG159" s="850"/>
      <c r="CH159" s="850"/>
      <c r="CI159" s="850"/>
      <c r="CJ159" s="850"/>
      <c r="CK159" s="850"/>
      <c r="CL159" s="850"/>
      <c r="CM159" s="850"/>
    </row>
    <row r="160" spans="73:91" ht="15.75" customHeight="1" x14ac:dyDescent="0.3">
      <c r="BU160" s="850"/>
      <c r="BV160" s="850"/>
      <c r="BW160" s="850"/>
      <c r="BX160" s="850"/>
      <c r="BY160" s="850"/>
      <c r="BZ160" s="850"/>
      <c r="CA160" s="850"/>
      <c r="CB160" s="850"/>
      <c r="CC160" s="850"/>
      <c r="CD160" s="850"/>
      <c r="CE160" s="850"/>
      <c r="CF160" s="850"/>
      <c r="CG160" s="995"/>
      <c r="CH160" s="850"/>
      <c r="CI160" s="850"/>
      <c r="CJ160" s="850"/>
      <c r="CK160" s="850"/>
      <c r="CL160" s="850"/>
      <c r="CM160" s="850"/>
    </row>
    <row r="161" spans="66:91" ht="15.75" customHeight="1" x14ac:dyDescent="0.3">
      <c r="BU161" s="996"/>
      <c r="BV161" s="850"/>
      <c r="BW161" s="850"/>
      <c r="BX161" s="850"/>
      <c r="BY161" s="850"/>
      <c r="BZ161" s="850"/>
      <c r="CA161" s="850"/>
      <c r="CB161" s="850"/>
      <c r="CC161" s="850"/>
      <c r="CD161" s="850"/>
      <c r="CE161" s="850"/>
      <c r="CF161" s="2102"/>
      <c r="CG161" s="2102"/>
      <c r="CH161" s="850"/>
      <c r="CI161" s="850"/>
      <c r="CJ161" s="850"/>
      <c r="CK161" s="850"/>
      <c r="CL161" s="850"/>
      <c r="CM161" s="850"/>
    </row>
    <row r="162" spans="66:91" ht="15.75" customHeight="1" x14ac:dyDescent="0.3">
      <c r="BU162" s="850"/>
      <c r="BV162" s="850"/>
      <c r="BW162" s="850"/>
      <c r="BX162" s="850"/>
      <c r="BY162" s="850"/>
      <c r="BZ162" s="850"/>
      <c r="CA162" s="850"/>
      <c r="CB162" s="850"/>
      <c r="CC162" s="850"/>
      <c r="CD162" s="850"/>
      <c r="CE162" s="850"/>
      <c r="CF162" s="850"/>
      <c r="CG162" s="850"/>
      <c r="CH162" s="850"/>
      <c r="CI162" s="850"/>
      <c r="CJ162" s="850"/>
      <c r="CK162" s="850"/>
      <c r="CL162" s="850"/>
      <c r="CM162" s="850"/>
    </row>
    <row r="163" spans="66:91" ht="15.75" customHeight="1" x14ac:dyDescent="0.3">
      <c r="BU163" s="850"/>
      <c r="BV163" s="850"/>
      <c r="BW163" s="850"/>
      <c r="BX163" s="850"/>
      <c r="BY163" s="850"/>
      <c r="BZ163" s="850"/>
      <c r="CA163" s="850"/>
      <c r="CB163" s="850"/>
      <c r="CC163" s="850"/>
      <c r="CD163" s="850"/>
      <c r="CE163" s="850"/>
      <c r="CF163" s="850"/>
      <c r="CG163" s="850"/>
      <c r="CH163" s="850"/>
      <c r="CI163" s="850"/>
      <c r="CJ163" s="850"/>
      <c r="CK163" s="850"/>
      <c r="CL163" s="850"/>
      <c r="CM163" s="850"/>
    </row>
    <row r="164" spans="66:91" ht="15.75" customHeight="1" x14ac:dyDescent="0.3">
      <c r="BU164" s="850"/>
      <c r="BV164" s="850"/>
      <c r="BW164" s="850"/>
      <c r="BX164" s="850"/>
      <c r="BY164" s="850"/>
      <c r="BZ164" s="850"/>
      <c r="CA164" s="850"/>
      <c r="CB164" s="850"/>
      <c r="CC164" s="850"/>
      <c r="CD164" s="850"/>
      <c r="CE164" s="850"/>
      <c r="CF164" s="850"/>
      <c r="CG164" s="850"/>
      <c r="CH164" s="850"/>
      <c r="CI164" s="850"/>
      <c r="CJ164" s="850"/>
      <c r="CK164" s="850"/>
      <c r="CL164" s="850"/>
      <c r="CM164" s="850"/>
    </row>
    <row r="165" spans="66:91" ht="15.75" customHeight="1" x14ac:dyDescent="0.3">
      <c r="BU165" s="850"/>
      <c r="BV165" s="850"/>
      <c r="BW165" s="850"/>
      <c r="BX165" s="850"/>
      <c r="BY165" s="850"/>
      <c r="BZ165" s="850"/>
      <c r="CA165" s="850"/>
      <c r="CB165" s="850"/>
      <c r="CC165" s="850"/>
      <c r="CD165" s="850"/>
      <c r="CE165" s="850"/>
      <c r="CF165" s="850"/>
      <c r="CG165" s="850"/>
      <c r="CH165" s="850"/>
      <c r="CI165" s="850"/>
      <c r="CJ165" s="850"/>
      <c r="CK165" s="850"/>
      <c r="CL165" s="850"/>
      <c r="CM165" s="850"/>
    </row>
    <row r="166" spans="66:91" ht="15.75" customHeight="1" x14ac:dyDescent="0.3">
      <c r="BU166" s="850"/>
      <c r="BV166" s="850"/>
      <c r="BW166" s="850"/>
      <c r="BX166" s="850"/>
      <c r="BY166" s="850"/>
      <c r="BZ166" s="850"/>
      <c r="CA166" s="850"/>
      <c r="CB166" s="850"/>
      <c r="CC166" s="850"/>
      <c r="CD166" s="850"/>
      <c r="CE166" s="850"/>
      <c r="CF166" s="850"/>
      <c r="CG166" s="850"/>
      <c r="CH166" s="850"/>
      <c r="CI166" s="850"/>
      <c r="CJ166" s="850"/>
      <c r="CK166" s="850"/>
      <c r="CL166" s="850"/>
      <c r="CM166" s="850"/>
    </row>
    <row r="167" spans="66:91" ht="15.75" customHeight="1" x14ac:dyDescent="0.3">
      <c r="BU167" s="850"/>
      <c r="BV167" s="850"/>
      <c r="BW167" s="850"/>
      <c r="BX167" s="850"/>
      <c r="BY167" s="850"/>
      <c r="BZ167" s="850"/>
      <c r="CA167" s="850"/>
      <c r="CB167" s="850"/>
      <c r="CC167" s="850"/>
      <c r="CD167" s="850"/>
      <c r="CE167" s="850"/>
      <c r="CF167" s="850"/>
      <c r="CG167" s="850"/>
      <c r="CH167" s="850"/>
      <c r="CI167" s="850"/>
      <c r="CJ167" s="850"/>
      <c r="CK167" s="850"/>
      <c r="CL167" s="850"/>
      <c r="CM167" s="850"/>
    </row>
    <row r="168" spans="66:91" ht="15.75" customHeight="1" x14ac:dyDescent="0.3">
      <c r="BU168" s="850"/>
      <c r="BV168" s="850"/>
      <c r="BW168" s="850"/>
      <c r="BX168" s="850"/>
      <c r="BY168" s="850"/>
      <c r="BZ168" s="850"/>
      <c r="CA168" s="850"/>
      <c r="CB168" s="850"/>
      <c r="CC168" s="850"/>
      <c r="CD168" s="850"/>
      <c r="CE168" s="850"/>
      <c r="CF168" s="850"/>
      <c r="CG168" s="850"/>
      <c r="CH168" s="850"/>
      <c r="CI168" s="850"/>
      <c r="CJ168" s="850"/>
      <c r="CK168" s="850"/>
      <c r="CL168" s="850"/>
      <c r="CM168" s="850"/>
    </row>
    <row r="169" spans="66:91" ht="15.75" customHeight="1" x14ac:dyDescent="0.3">
      <c r="BU169" s="850"/>
      <c r="BV169" s="850"/>
      <c r="BW169" s="850"/>
      <c r="BX169" s="850"/>
      <c r="BY169" s="850"/>
      <c r="BZ169" s="850"/>
      <c r="CA169" s="850"/>
      <c r="CB169" s="850"/>
      <c r="CC169" s="850"/>
      <c r="CD169" s="850"/>
      <c r="CE169" s="850"/>
      <c r="CF169" s="850"/>
      <c r="CG169" s="850"/>
      <c r="CH169" s="850"/>
      <c r="CI169" s="850"/>
      <c r="CJ169" s="850"/>
      <c r="CK169" s="850"/>
      <c r="CL169" s="850"/>
      <c r="CM169" s="850"/>
    </row>
    <row r="170" spans="66:91" ht="15.75" customHeight="1" x14ac:dyDescent="0.3">
      <c r="BU170" s="850"/>
      <c r="BV170" s="850"/>
      <c r="BW170" s="850"/>
      <c r="BX170" s="850"/>
      <c r="BY170" s="850"/>
      <c r="BZ170" s="850"/>
      <c r="CA170" s="850"/>
      <c r="CB170" s="850"/>
      <c r="CC170" s="850"/>
      <c r="CD170" s="850"/>
      <c r="CE170" s="850"/>
      <c r="CF170" s="850"/>
      <c r="CG170" s="850"/>
      <c r="CH170" s="850"/>
      <c r="CI170" s="850"/>
      <c r="CJ170" s="850"/>
      <c r="CK170" s="850"/>
      <c r="CL170" s="850"/>
      <c r="CM170" s="850"/>
    </row>
    <row r="171" spans="66:91" ht="15.75" customHeight="1" x14ac:dyDescent="0.3">
      <c r="BU171" s="850"/>
      <c r="BV171" s="850"/>
      <c r="BW171" s="850"/>
      <c r="BX171" s="850"/>
      <c r="BY171" s="850"/>
      <c r="BZ171" s="850"/>
      <c r="CA171" s="850"/>
      <c r="CB171" s="850"/>
      <c r="CC171" s="850"/>
      <c r="CD171" s="850"/>
      <c r="CE171" s="850"/>
      <c r="CF171" s="850"/>
      <c r="CG171" s="850"/>
      <c r="CH171" s="850"/>
      <c r="CI171" s="850"/>
      <c r="CJ171" s="850"/>
      <c r="CK171" s="850"/>
      <c r="CL171" s="850"/>
      <c r="CM171" s="850"/>
    </row>
    <row r="172" spans="66:91" ht="15.75" customHeight="1" x14ac:dyDescent="0.3">
      <c r="BU172" s="850"/>
      <c r="BV172" s="850"/>
      <c r="BW172" s="850"/>
      <c r="BX172" s="850"/>
      <c r="BY172" s="850"/>
      <c r="BZ172" s="850"/>
      <c r="CA172" s="850"/>
      <c r="CB172" s="850"/>
      <c r="CC172" s="850"/>
      <c r="CD172" s="850"/>
      <c r="CE172" s="850"/>
      <c r="CF172" s="850"/>
      <c r="CG172" s="850"/>
      <c r="CH172" s="850"/>
      <c r="CI172" s="850"/>
      <c r="CJ172" s="850"/>
      <c r="CK172" s="850"/>
      <c r="CL172" s="850"/>
      <c r="CM172" s="850"/>
    </row>
    <row r="173" spans="66:91" ht="15.75" customHeight="1" x14ac:dyDescent="0.3">
      <c r="BU173" s="850"/>
      <c r="BV173" s="850"/>
      <c r="BW173" s="850"/>
      <c r="BX173" s="850"/>
      <c r="BY173" s="850"/>
      <c r="BZ173" s="850"/>
      <c r="CA173" s="850"/>
      <c r="CB173" s="850"/>
      <c r="CC173" s="850"/>
      <c r="CD173" s="850"/>
      <c r="CE173" s="850"/>
      <c r="CF173" s="850"/>
      <c r="CG173" s="850"/>
      <c r="CH173" s="850"/>
      <c r="CI173" s="850"/>
      <c r="CJ173" s="850"/>
      <c r="CK173" s="850"/>
      <c r="CL173" s="850"/>
      <c r="CM173" s="850"/>
    </row>
    <row r="174" spans="66:91" ht="15.75" customHeight="1" x14ac:dyDescent="0.3">
      <c r="BU174" s="850"/>
      <c r="BV174" s="850"/>
      <c r="BW174" s="850"/>
      <c r="BX174" s="850"/>
      <c r="BY174" s="850"/>
      <c r="BZ174" s="850"/>
      <c r="CA174" s="850"/>
      <c r="CB174" s="850"/>
      <c r="CC174" s="850"/>
      <c r="CD174" s="850"/>
      <c r="CE174" s="850"/>
      <c r="CF174" s="850"/>
      <c r="CG174" s="850"/>
      <c r="CH174" s="850"/>
      <c r="CI174" s="850"/>
      <c r="CJ174" s="850"/>
      <c r="CK174" s="850"/>
      <c r="CL174" s="850"/>
      <c r="CM174" s="850"/>
    </row>
    <row r="175" spans="66:91" ht="15.75" customHeight="1" x14ac:dyDescent="0.3">
      <c r="BN175" s="850"/>
      <c r="BO175" s="850"/>
      <c r="BP175" s="850"/>
      <c r="BQ175" s="850"/>
      <c r="BR175" s="850"/>
      <c r="BS175" s="850"/>
      <c r="BT175" s="850"/>
      <c r="BU175" s="850"/>
      <c r="BV175" s="850"/>
      <c r="BW175" s="850"/>
      <c r="BX175" s="850"/>
      <c r="BY175" s="850"/>
      <c r="BZ175" s="850"/>
      <c r="CA175" s="850"/>
      <c r="CB175" s="850"/>
      <c r="CC175" s="850"/>
      <c r="CD175" s="850"/>
      <c r="CE175" s="850"/>
      <c r="CF175" s="850"/>
      <c r="CG175" s="850"/>
      <c r="CH175" s="850"/>
      <c r="CI175" s="850"/>
      <c r="CJ175" s="850"/>
      <c r="CK175" s="850"/>
      <c r="CL175" s="850"/>
      <c r="CM175" s="850"/>
    </row>
    <row r="176" spans="66:91" ht="15.75" customHeight="1" x14ac:dyDescent="0.3">
      <c r="BN176" s="850"/>
      <c r="BO176" s="850"/>
      <c r="BP176" s="850"/>
      <c r="BQ176" s="850"/>
      <c r="BR176" s="850"/>
      <c r="BS176" s="850"/>
      <c r="BT176" s="850"/>
      <c r="BU176" s="850"/>
      <c r="BV176" s="850"/>
      <c r="BW176" s="850"/>
      <c r="BX176" s="850"/>
      <c r="BY176" s="850"/>
      <c r="BZ176" s="850"/>
      <c r="CA176" s="850"/>
      <c r="CB176" s="850"/>
      <c r="CC176" s="850"/>
      <c r="CD176" s="850"/>
      <c r="CE176" s="850"/>
      <c r="CF176" s="850"/>
      <c r="CG176" s="850"/>
      <c r="CH176" s="850"/>
      <c r="CI176" s="850"/>
      <c r="CJ176" s="850"/>
      <c r="CK176" s="850"/>
      <c r="CL176" s="850"/>
      <c r="CM176" s="850"/>
    </row>
    <row r="177" spans="66:91" ht="15.75" hidden="1" customHeight="1" x14ac:dyDescent="0.3">
      <c r="BN177" s="850"/>
      <c r="BO177" s="850"/>
      <c r="BP177" s="850"/>
      <c r="BQ177" s="850"/>
      <c r="BR177" s="850"/>
      <c r="BS177" s="850"/>
      <c r="BT177" s="850"/>
      <c r="BU177" s="850"/>
      <c r="BV177" s="850"/>
      <c r="BW177" s="997"/>
      <c r="BX177" s="997"/>
      <c r="BY177" s="850"/>
      <c r="BZ177" s="997"/>
      <c r="CA177" s="850"/>
      <c r="CB177" s="850"/>
      <c r="CC177" s="850"/>
      <c r="CD177" s="850"/>
      <c r="CE177" s="850"/>
      <c r="CF177" s="850"/>
      <c r="CG177" s="850"/>
      <c r="CH177" s="850"/>
      <c r="CI177" s="850"/>
      <c r="CJ177" s="850"/>
      <c r="CK177" s="850"/>
      <c r="CL177" s="850"/>
      <c r="CM177" s="850"/>
    </row>
    <row r="178" spans="66:91" ht="15.75" customHeight="1" x14ac:dyDescent="0.3">
      <c r="BN178" s="811"/>
      <c r="BO178" s="850"/>
      <c r="BP178" s="811"/>
      <c r="BQ178" s="850"/>
      <c r="BR178" s="811"/>
      <c r="BS178" s="850"/>
      <c r="BT178" s="850"/>
      <c r="BU178" s="850"/>
      <c r="BV178" s="850"/>
      <c r="BW178" s="850"/>
      <c r="BX178" s="850"/>
      <c r="BY178" s="850"/>
      <c r="BZ178" s="850"/>
      <c r="CA178" s="850"/>
      <c r="CB178" s="850"/>
      <c r="CC178" s="850"/>
      <c r="CD178" s="850"/>
      <c r="CE178" s="850"/>
      <c r="CF178" s="850"/>
      <c r="CG178" s="850"/>
      <c r="CH178" s="850"/>
      <c r="CI178" s="850"/>
      <c r="CJ178" s="850"/>
      <c r="CK178" s="850"/>
      <c r="CL178" s="850"/>
      <c r="CM178" s="850"/>
    </row>
    <row r="179" spans="66:91" ht="15.75" customHeight="1" x14ac:dyDescent="0.3">
      <c r="BN179" s="811"/>
      <c r="BO179" s="850"/>
      <c r="BP179" s="850"/>
      <c r="BQ179" s="850"/>
      <c r="BR179" s="811"/>
      <c r="BS179" s="850"/>
      <c r="BT179" s="850"/>
      <c r="BU179" s="850"/>
      <c r="BV179" s="850"/>
      <c r="BW179" s="850"/>
      <c r="BX179" s="850"/>
      <c r="BY179" s="850"/>
      <c r="BZ179" s="850"/>
      <c r="CA179" s="850"/>
      <c r="CB179" s="850"/>
      <c r="CC179" s="850"/>
      <c r="CD179" s="850"/>
      <c r="CE179" s="850"/>
      <c r="CF179" s="850"/>
      <c r="CG179" s="850"/>
      <c r="CH179" s="850"/>
      <c r="CI179" s="850"/>
      <c r="CJ179" s="850"/>
      <c r="CK179" s="850"/>
      <c r="CL179" s="850"/>
      <c r="CM179" s="850"/>
    </row>
    <row r="180" spans="66:91" ht="15.75" customHeight="1" x14ac:dyDescent="0.3">
      <c r="BN180" s="811"/>
      <c r="BO180" s="998"/>
      <c r="BP180" s="998"/>
      <c r="BQ180" s="998"/>
      <c r="BR180" s="998"/>
      <c r="BS180" s="998"/>
      <c r="BT180" s="998"/>
      <c r="BU180" s="998"/>
      <c r="BV180" s="998"/>
      <c r="BW180" s="998"/>
      <c r="BX180" s="998"/>
      <c r="BY180" s="998"/>
      <c r="BZ180" s="998"/>
      <c r="CA180" s="998"/>
      <c r="CB180" s="998"/>
      <c r="CC180" s="998"/>
      <c r="CD180" s="998"/>
      <c r="CE180" s="998"/>
      <c r="CF180" s="998"/>
      <c r="CG180" s="998"/>
      <c r="CH180" s="998"/>
      <c r="CI180" s="998"/>
      <c r="CJ180" s="998"/>
      <c r="CK180" s="998"/>
      <c r="CL180" s="998"/>
      <c r="CM180" s="850"/>
    </row>
    <row r="181" spans="66:91" ht="15.75" customHeight="1" x14ac:dyDescent="0.3">
      <c r="BN181" s="811"/>
      <c r="BO181" s="850"/>
      <c r="BP181" s="850"/>
      <c r="BQ181" s="850"/>
      <c r="BR181" s="850"/>
      <c r="BS181" s="850"/>
      <c r="BT181" s="850"/>
      <c r="BU181" s="850"/>
      <c r="BV181" s="850"/>
      <c r="BW181" s="850"/>
      <c r="BX181" s="850"/>
      <c r="BY181" s="850"/>
      <c r="BZ181" s="850"/>
      <c r="CA181" s="850"/>
      <c r="CB181" s="850"/>
      <c r="CC181" s="850"/>
      <c r="CD181" s="850"/>
      <c r="CE181" s="850"/>
      <c r="CF181" s="850"/>
      <c r="CG181" s="850"/>
      <c r="CH181" s="850"/>
      <c r="CI181" s="850"/>
      <c r="CJ181" s="850"/>
      <c r="CK181" s="850"/>
      <c r="CL181" s="850"/>
      <c r="CM181" s="850"/>
    </row>
    <row r="182" spans="66:91" ht="15.75" customHeight="1" x14ac:dyDescent="0.3">
      <c r="BN182" s="862"/>
      <c r="BO182" s="999"/>
      <c r="BP182" s="999"/>
      <c r="BQ182" s="999"/>
      <c r="BR182" s="999"/>
      <c r="BS182" s="999"/>
      <c r="BT182" s="999"/>
      <c r="BU182" s="999"/>
      <c r="BV182" s="999"/>
      <c r="BW182" s="999"/>
      <c r="BX182" s="999"/>
      <c r="BY182" s="999"/>
      <c r="BZ182" s="999"/>
      <c r="CA182" s="999"/>
      <c r="CB182" s="999"/>
      <c r="CC182" s="999"/>
      <c r="CD182" s="999"/>
      <c r="CE182" s="999"/>
      <c r="CF182" s="999"/>
      <c r="CG182" s="999"/>
      <c r="CH182" s="999"/>
      <c r="CI182" s="999"/>
      <c r="CJ182" s="999"/>
      <c r="CK182" s="999"/>
      <c r="CL182" s="999"/>
      <c r="CM182" s="850"/>
    </row>
    <row r="183" spans="66:91" ht="15.75" customHeight="1" x14ac:dyDescent="0.3">
      <c r="BN183" s="811"/>
      <c r="BO183" s="849"/>
      <c r="BP183" s="849"/>
      <c r="BQ183" s="849"/>
      <c r="BR183" s="849"/>
      <c r="BS183" s="849"/>
      <c r="BT183" s="849"/>
      <c r="BU183" s="849"/>
      <c r="BV183" s="849"/>
      <c r="BW183" s="849"/>
      <c r="BX183" s="849"/>
      <c r="BY183" s="849"/>
      <c r="BZ183" s="849"/>
      <c r="CA183" s="849"/>
      <c r="CB183" s="849"/>
      <c r="CC183" s="849"/>
      <c r="CD183" s="849"/>
      <c r="CE183" s="849"/>
      <c r="CF183" s="849"/>
      <c r="CG183" s="849"/>
      <c r="CH183" s="849"/>
      <c r="CI183" s="849"/>
      <c r="CJ183" s="849"/>
      <c r="CK183" s="849"/>
      <c r="CL183" s="849"/>
      <c r="CM183" s="850"/>
    </row>
    <row r="184" spans="66:91" ht="15.75" customHeight="1" x14ac:dyDescent="0.3">
      <c r="BN184" s="850"/>
      <c r="BO184" s="850"/>
      <c r="BP184" s="850"/>
      <c r="BQ184" s="850"/>
      <c r="BR184" s="850"/>
      <c r="BS184" s="850"/>
      <c r="BT184" s="850"/>
      <c r="BU184" s="850"/>
      <c r="BV184" s="850"/>
      <c r="BW184" s="850"/>
      <c r="BX184" s="850"/>
      <c r="BY184" s="850"/>
      <c r="BZ184" s="850"/>
      <c r="CA184" s="850"/>
      <c r="CB184" s="850"/>
      <c r="CC184" s="850"/>
      <c r="CD184" s="850"/>
      <c r="CE184" s="850"/>
      <c r="CF184" s="850"/>
      <c r="CG184" s="850"/>
      <c r="CH184" s="850"/>
      <c r="CI184" s="850"/>
      <c r="CJ184" s="850"/>
      <c r="CK184" s="850"/>
      <c r="CL184" s="850"/>
      <c r="CM184" s="850"/>
    </row>
    <row r="185" spans="66:91" x14ac:dyDescent="0.3">
      <c r="BN185" s="850"/>
      <c r="BO185" s="1000"/>
      <c r="BP185" s="1000"/>
      <c r="BQ185" s="1000"/>
      <c r="BR185" s="1000"/>
      <c r="BS185" s="1000"/>
      <c r="BT185" s="1000"/>
      <c r="BU185" s="811"/>
      <c r="BV185" s="811"/>
      <c r="BW185" s="811"/>
      <c r="BX185" s="811"/>
      <c r="BY185" s="811"/>
      <c r="BZ185" s="1000"/>
      <c r="CA185" s="1000"/>
      <c r="CB185" s="1000"/>
      <c r="CC185" s="811"/>
      <c r="CD185" s="811"/>
      <c r="CE185" s="811"/>
      <c r="CF185" s="811"/>
      <c r="CG185" s="811"/>
      <c r="CH185" s="811"/>
      <c r="CI185" s="811"/>
      <c r="CJ185" s="811"/>
      <c r="CK185" s="811"/>
      <c r="CL185" s="811"/>
      <c r="CM185" s="850"/>
    </row>
    <row r="186" spans="66:91" x14ac:dyDescent="0.3">
      <c r="BN186" s="850"/>
      <c r="BO186" s="1000"/>
      <c r="BP186" s="1000"/>
      <c r="BQ186" s="1000"/>
      <c r="BR186" s="1000"/>
      <c r="BS186" s="1000"/>
      <c r="BT186" s="1000"/>
      <c r="BU186" s="850"/>
      <c r="BV186" s="850"/>
      <c r="BW186" s="850"/>
      <c r="BX186" s="850"/>
      <c r="BY186" s="1000"/>
      <c r="BZ186" s="1000"/>
      <c r="CA186" s="1000"/>
      <c r="CB186" s="1000"/>
      <c r="CC186" s="850"/>
      <c r="CD186" s="850"/>
      <c r="CE186" s="850"/>
      <c r="CF186" s="850"/>
      <c r="CG186" s="1000"/>
      <c r="CH186" s="1000"/>
      <c r="CI186" s="1000"/>
      <c r="CJ186" s="1000"/>
      <c r="CK186" s="1000"/>
      <c r="CL186" s="1000"/>
      <c r="CM186" s="850"/>
    </row>
    <row r="187" spans="66:91" x14ac:dyDescent="0.3">
      <c r="BN187" s="850"/>
      <c r="BO187" s="850"/>
      <c r="BP187" s="850"/>
      <c r="BQ187" s="850"/>
      <c r="BR187" s="850"/>
      <c r="BS187" s="850"/>
      <c r="BT187" s="850"/>
      <c r="BU187" s="850"/>
      <c r="BV187" s="850"/>
      <c r="BW187" s="850"/>
      <c r="BX187" s="850"/>
      <c r="BY187" s="850"/>
      <c r="BZ187" s="850"/>
      <c r="CA187" s="850"/>
      <c r="CB187" s="850"/>
      <c r="CC187" s="850"/>
      <c r="CD187" s="850"/>
      <c r="CE187" s="850"/>
      <c r="CF187" s="850"/>
      <c r="CG187" s="850"/>
      <c r="CH187" s="850"/>
      <c r="CI187" s="850"/>
      <c r="CJ187" s="850"/>
      <c r="CK187" s="850"/>
      <c r="CL187" s="850"/>
      <c r="CM187" s="850"/>
    </row>
    <row r="188" spans="66:91" x14ac:dyDescent="0.3">
      <c r="BN188" s="850"/>
      <c r="BO188" s="850"/>
      <c r="BP188" s="850"/>
      <c r="BQ188" s="850"/>
      <c r="BR188" s="850"/>
      <c r="BS188" s="850"/>
      <c r="BT188" s="850"/>
      <c r="BU188" s="850"/>
      <c r="BV188" s="850"/>
      <c r="BW188" s="850"/>
      <c r="BX188" s="850"/>
      <c r="BY188" s="850"/>
      <c r="BZ188" s="850"/>
      <c r="CA188" s="850"/>
      <c r="CB188" s="850"/>
      <c r="CC188" s="850"/>
      <c r="CD188" s="850"/>
      <c r="CE188" s="850"/>
      <c r="CF188" s="850"/>
      <c r="CG188" s="850"/>
      <c r="CH188" s="850"/>
      <c r="CI188" s="850"/>
      <c r="CJ188" s="850"/>
      <c r="CK188" s="850"/>
      <c r="CL188" s="850"/>
      <c r="CM188" s="850"/>
    </row>
  </sheetData>
  <sheetProtection algorithmName="SHA-512" hashValue="03VzbdR0n9f7T0HFnkrJNt0DlBPPz1MeH4ZEfk9QyGvgdS4rfnuKjjmxrI8X4RzZkavcuecJZF2VP0U14YqD0Q==" saltValue="jSlAjAAsITrXRMRSHz4ugA==" spinCount="100000" sheet="1" objects="1" scenarios="1"/>
  <protectedRanges>
    <protectedRange sqref="B72 B80 D83:D106 B115 D118:D141" name="Range1"/>
  </protectedRanges>
  <mergeCells count="15">
    <mergeCell ref="CK5:CL5"/>
    <mergeCell ref="CF3:CG3"/>
    <mergeCell ref="BO3:BP3"/>
    <mergeCell ref="CH37:CL38"/>
    <mergeCell ref="B59:E59"/>
    <mergeCell ref="B69:B71"/>
    <mergeCell ref="W77:AA77"/>
    <mergeCell ref="CF38:CG38"/>
    <mergeCell ref="BT38:BU38"/>
    <mergeCell ref="AZ80:BA80"/>
    <mergeCell ref="AZ115:BA115"/>
    <mergeCell ref="CF161:CG161"/>
    <mergeCell ref="BO1:BP1"/>
    <mergeCell ref="BO37:BS38"/>
    <mergeCell ref="BT5:BU5"/>
  </mergeCells>
  <conditionalFormatting sqref="E56 B56 BF6:BM7 D34:F34 V36:AA38 AB39:AE61 U39:U61 AF22:AF26 U2 U5:U10 D27:E27">
    <cfRule type="cellIs" dxfId="135" priority="61" stopIfTrue="1" operator="between">
      <formula>"OVERLOAD"</formula>
      <formula>"OVERLOAD"</formula>
    </cfRule>
  </conditionalFormatting>
  <conditionalFormatting sqref="BO182:CL183 BT60:CG67 BO54:BS55 BU56:BY56 BT54:BT56 BU54:CL55 CC56:CG56">
    <cfRule type="cellIs" dxfId="134" priority="60" stopIfTrue="1" operator="equal">
      <formula>FALSE</formula>
    </cfRule>
  </conditionalFormatting>
  <conditionalFormatting sqref="BO180:CL180 BT52:CG52 BO34:CL35">
    <cfRule type="cellIs" dxfId="133" priority="3" stopIfTrue="1" operator="equal">
      <formula>0</formula>
    </cfRule>
  </conditionalFormatting>
  <conditionalFormatting sqref="BM115:BM121 BI83:BI106">
    <cfRule type="cellIs" dxfId="132" priority="58" stopIfTrue="1" operator="equal">
      <formula>FALSE</formula>
    </cfRule>
  </conditionalFormatting>
  <conditionalFormatting sqref="D69:G70">
    <cfRule type="cellIs" dxfId="131" priority="57" stopIfTrue="1" operator="equal">
      <formula>"change the angle of frame or of cabinets"</formula>
    </cfRule>
  </conditionalFormatting>
  <conditionalFormatting sqref="E72:G72">
    <cfRule type="cellIs" dxfId="130" priority="56" stopIfTrue="1" operator="equal">
      <formula>"USE EXBAR 12 AT THE BACK"</formula>
    </cfRule>
  </conditionalFormatting>
  <conditionalFormatting sqref="E71:G71">
    <cfRule type="cellIs" dxfId="129" priority="55" stopIfTrue="1" operator="equal">
      <formula>"USE EXBAR 12 AT THE FRONT"</formula>
    </cfRule>
  </conditionalFormatting>
  <conditionalFormatting sqref="B83:B106">
    <cfRule type="cellIs" dxfId="128" priority="7" stopIfTrue="1" operator="greaterThan">
      <formula>$B$80</formula>
    </cfRule>
  </conditionalFormatting>
  <conditionalFormatting sqref="B118:BA118">
    <cfRule type="expression" dxfId="127" priority="53" stopIfTrue="1">
      <formula>$B$80&lt;1</formula>
    </cfRule>
  </conditionalFormatting>
  <conditionalFormatting sqref="AX85:BA85 AB85 D85:G85">
    <cfRule type="expression" dxfId="126" priority="52" stopIfTrue="1">
      <formula>$B$80&lt;3</formula>
    </cfRule>
  </conditionalFormatting>
  <conditionalFormatting sqref="AX86:BA86 AB86 D86:G86">
    <cfRule type="expression" dxfId="125" priority="51" stopIfTrue="1">
      <formula>$B$80&lt;4</formula>
    </cfRule>
  </conditionalFormatting>
  <conditionalFormatting sqref="AX87:BA87 AB87 D87:G87">
    <cfRule type="expression" dxfId="124" priority="50" stopIfTrue="1">
      <formula>$B$80&lt;5</formula>
    </cfRule>
  </conditionalFormatting>
  <conditionalFormatting sqref="AX88:BA88 AB88 D88:G88">
    <cfRule type="expression" dxfId="123" priority="49">
      <formula>$B$80&lt;6</formula>
    </cfRule>
  </conditionalFormatting>
  <conditionalFormatting sqref="AX89:BA89 AB89 D89:G89">
    <cfRule type="expression" dxfId="122" priority="48">
      <formula>$B$80&lt;7</formula>
    </cfRule>
  </conditionalFormatting>
  <conditionalFormatting sqref="AX90:BA90 AB90 D90:G90">
    <cfRule type="expression" dxfId="121" priority="47">
      <formula>$B$80&lt;8</formula>
    </cfRule>
  </conditionalFormatting>
  <conditionalFormatting sqref="AX91:BA91 AB91 D91:G91">
    <cfRule type="expression" dxfId="120" priority="46">
      <formula>$B$80&lt;9</formula>
    </cfRule>
  </conditionalFormatting>
  <conditionalFormatting sqref="AX92:BA92 AB92 D92:G92">
    <cfRule type="expression" dxfId="119" priority="45">
      <formula>$B$80&lt;10</formula>
    </cfRule>
  </conditionalFormatting>
  <conditionalFormatting sqref="AX93:BA93 AB93 D93:G93">
    <cfRule type="expression" dxfId="118" priority="44">
      <formula>$B$80&lt;11</formula>
    </cfRule>
  </conditionalFormatting>
  <conditionalFormatting sqref="AX94:BA94 AB94 D94:G94">
    <cfRule type="expression" dxfId="117" priority="43">
      <formula>$B$80&lt;12</formula>
    </cfRule>
  </conditionalFormatting>
  <conditionalFormatting sqref="AX95:BA95 AB95 D95:G95">
    <cfRule type="expression" dxfId="116" priority="42">
      <formula>$B$80&lt;13</formula>
    </cfRule>
  </conditionalFormatting>
  <conditionalFormatting sqref="AX96:BA96 AB96 D96:G96">
    <cfRule type="expression" dxfId="115" priority="41">
      <formula>$B$80&lt;14</formula>
    </cfRule>
  </conditionalFormatting>
  <conditionalFormatting sqref="AX97:BA97 AB97 D97:G97">
    <cfRule type="expression" dxfId="114" priority="40">
      <formula>$B$80&lt;15</formula>
    </cfRule>
  </conditionalFormatting>
  <conditionalFormatting sqref="AX98:BA98 AB98 D98:G98">
    <cfRule type="expression" dxfId="113" priority="39">
      <formula>$B$80&lt;16</formula>
    </cfRule>
  </conditionalFormatting>
  <conditionalFormatting sqref="AX99:BA99 AB99 D99:G99">
    <cfRule type="expression" dxfId="112" priority="38">
      <formula>$B$80&lt;17</formula>
    </cfRule>
  </conditionalFormatting>
  <conditionalFormatting sqref="AX100:BA100 AB100 D100:G100">
    <cfRule type="expression" dxfId="111" priority="37">
      <formula>$B$80&lt;18</formula>
    </cfRule>
  </conditionalFormatting>
  <conditionalFormatting sqref="AX101:BA101 AB101 D101:G101">
    <cfRule type="expression" dxfId="110" priority="36">
      <formula>$B$80&lt;19</formula>
    </cfRule>
  </conditionalFormatting>
  <conditionalFormatting sqref="AX102:BA102 AB102 D102:G102">
    <cfRule type="expression" dxfId="109" priority="35">
      <formula>$B$80&lt;20</formula>
    </cfRule>
  </conditionalFormatting>
  <conditionalFormatting sqref="AX103:BA103 AB103 D103:G103">
    <cfRule type="expression" dxfId="108" priority="34">
      <formula>$B$80&lt;21</formula>
    </cfRule>
  </conditionalFormatting>
  <conditionalFormatting sqref="AX104:BA104 AB104 D104:G104">
    <cfRule type="expression" dxfId="107" priority="33">
      <formula>$B$80&lt;22</formula>
    </cfRule>
  </conditionalFormatting>
  <conditionalFormatting sqref="AX105:BA105 AB105 D105:G105">
    <cfRule type="expression" dxfId="106" priority="32">
      <formula>$B$80&lt;23</formula>
    </cfRule>
  </conditionalFormatting>
  <conditionalFormatting sqref="AX106:BA106 AB106 D106:G106">
    <cfRule type="expression" dxfId="105" priority="31">
      <formula>$B$80&lt;24</formula>
    </cfRule>
  </conditionalFormatting>
  <conditionalFormatting sqref="B119:BA119">
    <cfRule type="expression" dxfId="104" priority="30" stopIfTrue="1">
      <formula>$B$115&lt;2</formula>
    </cfRule>
  </conditionalFormatting>
  <conditionalFormatting sqref="B120:BA120">
    <cfRule type="expression" dxfId="103" priority="29" stopIfTrue="1">
      <formula>$B$115&lt;3</formula>
    </cfRule>
  </conditionalFormatting>
  <conditionalFormatting sqref="B121:BA121">
    <cfRule type="expression" dxfId="102" priority="28" stopIfTrue="1">
      <formula>$B$115&lt;4</formula>
    </cfRule>
  </conditionalFormatting>
  <conditionalFormatting sqref="B122:BA122">
    <cfRule type="expression" dxfId="101" priority="27" stopIfTrue="1">
      <formula>$B$115&lt;5</formula>
    </cfRule>
  </conditionalFormatting>
  <conditionalFormatting sqref="B123:BA123">
    <cfRule type="expression" dxfId="100" priority="26" stopIfTrue="1">
      <formula>$B$115&lt;6</formula>
    </cfRule>
  </conditionalFormatting>
  <conditionalFormatting sqref="B124:BA124">
    <cfRule type="expression" dxfId="99" priority="25" stopIfTrue="1">
      <formula>$B$115&lt;7</formula>
    </cfRule>
  </conditionalFormatting>
  <conditionalFormatting sqref="B125:BA125">
    <cfRule type="expression" dxfId="98" priority="24" stopIfTrue="1">
      <formula>$B$115&lt;8</formula>
    </cfRule>
  </conditionalFormatting>
  <conditionalFormatting sqref="B126:BA126">
    <cfRule type="expression" dxfId="97" priority="23" stopIfTrue="1">
      <formula>$B$115&lt;9</formula>
    </cfRule>
  </conditionalFormatting>
  <conditionalFormatting sqref="B127:BA127">
    <cfRule type="expression" dxfId="96" priority="22" stopIfTrue="1">
      <formula>$B$115&lt;10</formula>
    </cfRule>
  </conditionalFormatting>
  <conditionalFormatting sqref="B128:BA128">
    <cfRule type="expression" dxfId="95" priority="21" stopIfTrue="1">
      <formula>$B$115&lt;11</formula>
    </cfRule>
  </conditionalFormatting>
  <conditionalFormatting sqref="B129:BA129">
    <cfRule type="expression" dxfId="94" priority="20" stopIfTrue="1">
      <formula>$B$115&lt;12</formula>
    </cfRule>
  </conditionalFormatting>
  <conditionalFormatting sqref="B130:BA130">
    <cfRule type="expression" dxfId="93" priority="19" stopIfTrue="1">
      <formula>$B$115&lt;13</formula>
    </cfRule>
  </conditionalFormatting>
  <conditionalFormatting sqref="B131:BA131">
    <cfRule type="expression" dxfId="92" priority="18" stopIfTrue="1">
      <formula>$B$115&lt;14</formula>
    </cfRule>
  </conditionalFormatting>
  <conditionalFormatting sqref="B132:BA132">
    <cfRule type="expression" dxfId="91" priority="17" stopIfTrue="1">
      <formula>$B$115&lt;15</formula>
    </cfRule>
  </conditionalFormatting>
  <conditionalFormatting sqref="B133:BA133">
    <cfRule type="expression" dxfId="90" priority="16" stopIfTrue="1">
      <formula>$B$115&lt;16</formula>
    </cfRule>
  </conditionalFormatting>
  <conditionalFormatting sqref="B134:BA134">
    <cfRule type="expression" dxfId="89" priority="15" stopIfTrue="1">
      <formula>$B$115&lt;17</formula>
    </cfRule>
  </conditionalFormatting>
  <conditionalFormatting sqref="B135:BA135">
    <cfRule type="expression" dxfId="88" priority="14" stopIfTrue="1">
      <formula>$B$115&lt;18</formula>
    </cfRule>
  </conditionalFormatting>
  <conditionalFormatting sqref="B136:BA136">
    <cfRule type="expression" dxfId="87" priority="13" stopIfTrue="1">
      <formula>$B$115&lt;19</formula>
    </cfRule>
  </conditionalFormatting>
  <conditionalFormatting sqref="B137:BA137">
    <cfRule type="expression" dxfId="86" priority="12" stopIfTrue="1">
      <formula>$B$115&lt;20</formula>
    </cfRule>
  </conditionalFormatting>
  <conditionalFormatting sqref="B138:BA138">
    <cfRule type="expression" dxfId="85" priority="11" stopIfTrue="1">
      <formula>$B$115&lt;21</formula>
    </cfRule>
  </conditionalFormatting>
  <conditionalFormatting sqref="B139:BA139">
    <cfRule type="expression" dxfId="84" priority="10" stopIfTrue="1">
      <formula>$B$115&lt;22</formula>
    </cfRule>
  </conditionalFormatting>
  <conditionalFormatting sqref="B140:BA140">
    <cfRule type="expression" dxfId="83" priority="9" stopIfTrue="1">
      <formula>$B$115&lt;23</formula>
    </cfRule>
  </conditionalFormatting>
  <conditionalFormatting sqref="B141:BA141">
    <cfRule type="expression" dxfId="82" priority="8" stopIfTrue="1">
      <formula>$B$115&lt;24</formula>
    </cfRule>
  </conditionalFormatting>
  <conditionalFormatting sqref="D83:D106 D118:D141">
    <cfRule type="cellIs" dxfId="81" priority="54" stopIfTrue="1" operator="notEqual">
      <formula>0</formula>
    </cfRule>
  </conditionalFormatting>
  <conditionalFormatting sqref="D72">
    <cfRule type="cellIs" dxfId="80" priority="5" stopIfTrue="1" operator="equal">
      <formula>"USE EXBAR 12 AT THE BACK"</formula>
    </cfRule>
  </conditionalFormatting>
  <conditionalFormatting sqref="D71">
    <cfRule type="cellIs" dxfId="79" priority="6" stopIfTrue="1" operator="equal">
      <formula>"USE EXBAR 12 AT THE FRONT"</formula>
    </cfRule>
  </conditionalFormatting>
  <conditionalFormatting sqref="B84:BA84">
    <cfRule type="expression" dxfId="78" priority="4">
      <formula>$B$80&lt;2</formula>
    </cfRule>
  </conditionalFormatting>
  <conditionalFormatting sqref="BO35:CL35 BT52:CG52">
    <cfRule type="expression" dxfId="77" priority="2">
      <formula>$B$72=0</formula>
    </cfRule>
    <cfRule type="expression" dxfId="76" priority="59">
      <formula>$B$72=0</formula>
    </cfRule>
  </conditionalFormatting>
  <conditionalFormatting sqref="B56 E56 B61 D61:E61">
    <cfRule type="expression" dxfId="75" priority="1">
      <formula>$BL$38=0</formula>
    </cfRule>
  </conditionalFormatting>
  <dataValidations count="6">
    <dataValidation type="decimal" allowBlank="1" showInputMessage="1" showErrorMessage="1" sqref="B72" xr:uid="{00000000-0002-0000-0F00-000000000000}">
      <formula1>-89.9</formula1>
      <formula2>89.9</formula2>
    </dataValidation>
    <dataValidation type="whole" allowBlank="1" showInputMessage="1" showErrorMessage="1" errorTitle="Coda Audio" error="YOU HAVE ENTERED A WRONG NUMBER OF CABINETS" promptTitle="Coda Audio" prompt="ENTER THE NUMBER OF CABINETS FROM 1 UP TO 24" sqref="B80 B115" xr:uid="{00000000-0002-0000-0F00-000001000000}">
      <formula1>1</formula1>
      <formula2>24</formula2>
    </dataValidation>
    <dataValidation type="decimal" allowBlank="1" showInputMessage="1" showErrorMessage="1" sqref="F85:F106 D84:D106 G84:G106 G119:G141" xr:uid="{00000000-0002-0000-0F00-000002000000}">
      <formula1>0</formula1>
      <formula2>8</formula2>
    </dataValidation>
    <dataValidation type="decimal" allowBlank="1" showInputMessage="1" showErrorMessage="1" sqref="D83 F119:F141 F83:G83 F118:G118" xr:uid="{00000000-0002-0000-0F00-000003000000}">
      <formula1>0</formula1>
      <formula2>4</formula2>
    </dataValidation>
    <dataValidation type="whole" allowBlank="1" showInputMessage="1" showErrorMessage="1" sqref="D118" xr:uid="{00000000-0002-0000-0F00-000004000000}">
      <formula1>0</formula1>
      <formula2>9</formula2>
    </dataValidation>
    <dataValidation type="whole" allowBlank="1" showInputMessage="1" showErrorMessage="1" sqref="D119:D141" xr:uid="{00000000-0002-0000-0F00-000005000000}">
      <formula1>0</formula1>
      <formula2>10</formula2>
    </dataValidation>
  </dataValidations>
  <pageMargins left="0.7" right="0.7" top="0.75" bottom="0.75" header="0.3" footer="0.3"/>
  <drawing r:id="rId1"/>
  <legacy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EA205"/>
  <sheetViews>
    <sheetView zoomScale="50" zoomScaleNormal="50" workbookViewId="0">
      <selection activeCell="B134" sqref="B134"/>
    </sheetView>
  </sheetViews>
  <sheetFormatPr baseColWidth="10" defaultColWidth="9.109375" defaultRowHeight="15.6" x14ac:dyDescent="0.3"/>
  <cols>
    <col min="1" max="1" width="1.5546875" style="474" customWidth="1"/>
    <col min="2" max="2" width="27.44140625" style="472" customWidth="1"/>
    <col min="3" max="3" width="9.44140625" style="472" hidden="1" customWidth="1"/>
    <col min="4" max="5" width="27.44140625" style="473" customWidth="1"/>
    <col min="6" max="7" width="23" style="473" hidden="1" customWidth="1"/>
    <col min="8" max="8" width="9.33203125" style="474" hidden="1" customWidth="1"/>
    <col min="9" max="9" width="38.33203125" style="474" hidden="1" customWidth="1"/>
    <col min="10" max="11" width="14.5546875" style="474" hidden="1" customWidth="1"/>
    <col min="12" max="14" width="16.109375" style="474" hidden="1" customWidth="1"/>
    <col min="15" max="15" width="6.44140625" style="474" hidden="1" customWidth="1"/>
    <col min="16" max="17" width="16.88671875" style="474" hidden="1" customWidth="1"/>
    <col min="18" max="18" width="23.109375" style="474" hidden="1" customWidth="1"/>
    <col min="19" max="20" width="16.109375" style="474" hidden="1" customWidth="1"/>
    <col min="21" max="21" width="10.6640625" style="474" hidden="1" customWidth="1"/>
    <col min="22" max="22" width="16.88671875" style="474" hidden="1" customWidth="1"/>
    <col min="23" max="26" width="10.6640625" style="474" hidden="1" customWidth="1"/>
    <col min="27" max="27" width="13" style="474" hidden="1" customWidth="1"/>
    <col min="28" max="28" width="34" style="474" customWidth="1"/>
    <col min="29" max="31" width="12.109375" style="474" hidden="1" customWidth="1"/>
    <col min="32" max="32" width="36" style="474" hidden="1" customWidth="1"/>
    <col min="33" max="33" width="28.88671875" style="474" hidden="1" customWidth="1"/>
    <col min="34" max="34" width="13.109375" style="474" hidden="1" customWidth="1"/>
    <col min="35" max="35" width="8.88671875" style="476" hidden="1" customWidth="1"/>
    <col min="36" max="37" width="16.109375" style="474" hidden="1" customWidth="1"/>
    <col min="38" max="38" width="20.109375" style="474" hidden="1" customWidth="1"/>
    <col min="39" max="40" width="16.109375" style="474" hidden="1" customWidth="1"/>
    <col min="41" max="41" width="19.44140625" style="474" hidden="1" customWidth="1"/>
    <col min="42" max="42" width="27.6640625" style="474" hidden="1" customWidth="1"/>
    <col min="43" max="43" width="35.5546875" style="474" hidden="1" customWidth="1"/>
    <col min="44" max="44" width="53.33203125" style="474" hidden="1" customWidth="1"/>
    <col min="45" max="51" width="8" style="474" hidden="1" customWidth="1"/>
    <col min="52" max="52" width="10.6640625" style="474" hidden="1" customWidth="1"/>
    <col min="53" max="53" width="11.88671875" style="474" customWidth="1"/>
    <col min="54" max="54" width="13" style="474" customWidth="1"/>
    <col min="55" max="55" width="17.44140625" style="474" hidden="1" customWidth="1"/>
    <col min="56" max="56" width="14.44140625" style="474" hidden="1" customWidth="1"/>
    <col min="57" max="63" width="10.109375" style="474" hidden="1" customWidth="1"/>
    <col min="64" max="64" width="16.109375" style="474" hidden="1" customWidth="1"/>
    <col min="65" max="65" width="22.44140625" style="474" hidden="1" customWidth="1"/>
    <col min="66" max="66" width="21.88671875" style="474" hidden="1" customWidth="1"/>
    <col min="67" max="67" width="40.6640625" style="474" bestFit="1" customWidth="1"/>
    <col min="68" max="68" width="6.88671875" style="474" customWidth="1"/>
    <col min="69" max="72" width="6.109375" style="474" customWidth="1"/>
    <col min="73" max="73" width="7.109375" style="474" customWidth="1"/>
    <col min="74" max="85" width="6.109375" style="474" customWidth="1"/>
    <col min="86" max="86" width="7.109375" style="474" customWidth="1"/>
    <col min="87" max="90" width="6.109375" style="474" customWidth="1"/>
    <col min="91" max="91" width="7.5546875" style="474" customWidth="1"/>
    <col min="92" max="92" width="9.33203125" style="474" hidden="1" customWidth="1"/>
    <col min="93" max="93" width="21.88671875" style="474" hidden="1" customWidth="1"/>
    <col min="94" max="94" width="5.88671875" style="474" hidden="1" customWidth="1"/>
    <col min="95" max="95" width="9.33203125" style="474" hidden="1" customWidth="1"/>
    <col min="96" max="129" width="0" style="474" hidden="1" customWidth="1"/>
    <col min="130" max="16384" width="9.109375" style="474"/>
  </cols>
  <sheetData>
    <row r="1" spans="2:131" s="466" customFormat="1" ht="35.25" customHeight="1" thickBot="1" x14ac:dyDescent="0.4">
      <c r="B1" s="464"/>
      <c r="C1" s="464"/>
      <c r="D1" s="465"/>
      <c r="E1" s="465"/>
      <c r="F1" s="465"/>
      <c r="G1" s="465"/>
      <c r="BD1" s="467"/>
      <c r="BO1" s="1346" t="s">
        <v>28</v>
      </c>
      <c r="BP1" s="2138">
        <f>+D23</f>
        <v>320.7</v>
      </c>
      <c r="BQ1" s="2138"/>
      <c r="BR1" s="469" t="s">
        <v>17</v>
      </c>
      <c r="BS1" s="469"/>
      <c r="BT1" s="470" t="s">
        <v>164</v>
      </c>
      <c r="BU1" s="471"/>
      <c r="BV1" s="471"/>
      <c r="BW1" s="471"/>
      <c r="BX1" s="471"/>
      <c r="BY1" s="471"/>
      <c r="BZ1" s="471"/>
      <c r="CA1" s="471"/>
      <c r="CB1" s="471"/>
      <c r="CC1" s="471"/>
      <c r="CD1" s="471"/>
      <c r="CE1" s="471"/>
      <c r="CF1" s="471"/>
      <c r="CG1" s="471"/>
      <c r="CH1" s="471"/>
      <c r="CI1" s="471"/>
      <c r="CJ1" s="471"/>
      <c r="CK1" s="471"/>
      <c r="CL1" s="471"/>
      <c r="CM1" s="471"/>
    </row>
    <row r="2" spans="2:131" ht="24" customHeight="1" x14ac:dyDescent="0.45">
      <c r="U2" s="475"/>
      <c r="BD2" s="475"/>
      <c r="BG2" s="477"/>
      <c r="BH2" s="477"/>
      <c r="BI2" s="477"/>
      <c r="BJ2" s="477"/>
      <c r="BK2" s="477"/>
      <c r="BL2" s="477"/>
      <c r="BM2" s="477"/>
      <c r="BN2" s="475"/>
      <c r="BO2" s="1941" t="s">
        <v>30</v>
      </c>
      <c r="BP2" s="1945" t="s">
        <v>31</v>
      </c>
      <c r="BQ2" s="1001"/>
      <c r="BR2" s="1001"/>
      <c r="BS2" s="1001"/>
      <c r="BT2" s="1001"/>
      <c r="BU2" s="1001"/>
      <c r="BV2" s="1001"/>
      <c r="BW2" s="1001"/>
      <c r="BX2" s="1001"/>
      <c r="BY2" s="1001"/>
      <c r="BZ2" s="1001"/>
      <c r="CA2" s="1001"/>
      <c r="CB2" s="1001"/>
      <c r="CC2" s="1001"/>
      <c r="CD2" s="1001"/>
      <c r="CE2" s="1001"/>
      <c r="CF2" s="1001"/>
      <c r="CG2" s="1001"/>
      <c r="CH2" s="1162" t="s">
        <v>32</v>
      </c>
      <c r="CI2" s="2139"/>
      <c r="CJ2" s="2140"/>
      <c r="CK2" s="2140"/>
      <c r="CL2" s="2140"/>
      <c r="CM2" s="2141"/>
    </row>
    <row r="3" spans="2:131" ht="24" customHeight="1" thickBot="1" x14ac:dyDescent="0.5">
      <c r="BG3" s="477"/>
      <c r="BH3" s="477"/>
      <c r="BI3" s="477"/>
      <c r="BJ3" s="477"/>
      <c r="BK3" s="477"/>
      <c r="BL3" s="477"/>
      <c r="BM3" s="477"/>
      <c r="BN3" s="1896">
        <f>+IF(AND(CG3&gt;0,BP3&gt;0),BP3)</f>
        <v>159.12001775004586</v>
      </c>
      <c r="BO3" s="1942" t="s">
        <v>39</v>
      </c>
      <c r="BP3" s="2083">
        <f>+((E13-E14)/E13)*D23</f>
        <v>159.12001775004586</v>
      </c>
      <c r="BQ3" s="2084"/>
      <c r="BR3" s="1273"/>
      <c r="BS3" s="1273"/>
      <c r="BT3" s="1273"/>
      <c r="BU3" s="1273"/>
      <c r="BV3" s="1273"/>
      <c r="BW3" s="1273"/>
      <c r="BX3" s="1273"/>
      <c r="BY3" s="1273"/>
      <c r="BZ3" s="1273"/>
      <c r="CA3" s="1273"/>
      <c r="CB3" s="1273"/>
      <c r="CC3" s="1273"/>
      <c r="CD3" s="1273"/>
      <c r="CE3" s="1273"/>
      <c r="CF3" s="1273"/>
      <c r="CG3" s="2081">
        <f>+(E14/E13)*D23</f>
        <v>161.57998224995416</v>
      </c>
      <c r="CH3" s="2082"/>
      <c r="CI3" s="2142"/>
      <c r="CJ3" s="2143"/>
      <c r="CK3" s="2143"/>
      <c r="CL3" s="2143"/>
      <c r="CM3" s="2144"/>
      <c r="CN3" s="1897">
        <f>+IF(AND(BP3&gt;0,CG3&gt;0),CG3)</f>
        <v>161.57998224995416</v>
      </c>
    </row>
    <row r="4" spans="2:131" s="506" customFormat="1" ht="9" customHeight="1" thickBot="1" x14ac:dyDescent="0.5">
      <c r="B4" s="515"/>
      <c r="C4" s="515"/>
      <c r="D4" s="516"/>
      <c r="E4" s="516"/>
      <c r="F4" s="516"/>
      <c r="G4" s="516"/>
      <c r="AI4" s="520"/>
      <c r="BG4" s="477"/>
      <c r="BH4" s="477"/>
      <c r="BI4" s="477"/>
      <c r="BJ4" s="477"/>
      <c r="BK4" s="477"/>
      <c r="BL4" s="477"/>
      <c r="BM4" s="477"/>
      <c r="BN4" s="1624"/>
      <c r="BO4" s="1943"/>
      <c r="BP4" s="1937"/>
      <c r="BQ4" s="1937"/>
      <c r="BR4" s="1002"/>
      <c r="BS4" s="1002"/>
      <c r="BT4" s="1002"/>
      <c r="BU4" s="1002"/>
      <c r="BV4" s="1002"/>
      <c r="BW4" s="1002"/>
      <c r="BX4" s="1002"/>
      <c r="BY4" s="1002"/>
      <c r="BZ4" s="1002"/>
      <c r="CA4" s="1002"/>
      <c r="CB4" s="1002"/>
      <c r="CC4" s="1002"/>
      <c r="CD4" s="1002"/>
      <c r="CE4" s="1002"/>
      <c r="CF4" s="1002"/>
      <c r="CG4" s="1938"/>
      <c r="CH4" s="1939"/>
      <c r="CI4" s="1940"/>
      <c r="CJ4" s="1940"/>
      <c r="CK4" s="1940"/>
      <c r="CL4" s="1940"/>
      <c r="CM4" s="1940"/>
      <c r="CN4" s="1601"/>
      <c r="CO4" s="516"/>
      <c r="CP4" s="516"/>
      <c r="CQ4" s="516"/>
      <c r="CR4" s="516"/>
      <c r="CS4" s="516"/>
      <c r="CT4" s="516"/>
      <c r="CU4" s="516"/>
      <c r="CV4" s="516"/>
      <c r="CW4" s="516"/>
      <c r="CX4" s="516"/>
      <c r="CY4" s="516"/>
      <c r="CZ4" s="516"/>
      <c r="DA4" s="516"/>
      <c r="DB4" s="516"/>
      <c r="DC4" s="516"/>
      <c r="DD4" s="516"/>
      <c r="DE4" s="516"/>
      <c r="DF4" s="516"/>
      <c r="DG4" s="516"/>
      <c r="DH4" s="516"/>
      <c r="DI4" s="516"/>
      <c r="DJ4" s="516"/>
      <c r="DK4" s="516"/>
      <c r="DL4" s="516"/>
      <c r="DM4" s="516"/>
      <c r="DN4" s="516"/>
      <c r="DO4" s="516"/>
      <c r="DP4" s="516"/>
      <c r="DQ4" s="516"/>
      <c r="DR4" s="516"/>
      <c r="DS4" s="516"/>
      <c r="DT4" s="516"/>
      <c r="DU4" s="516"/>
      <c r="DV4" s="516"/>
      <c r="DW4" s="516"/>
      <c r="DX4" s="516"/>
      <c r="DY4" s="516"/>
      <c r="DZ4" s="516"/>
      <c r="EA4" s="516"/>
    </row>
    <row r="5" spans="2:131" ht="24" customHeight="1" x14ac:dyDescent="0.45">
      <c r="F5" s="479"/>
      <c r="G5" s="479"/>
      <c r="BG5" s="477"/>
      <c r="BH5" s="477"/>
      <c r="BI5" s="477"/>
      <c r="BJ5" s="477"/>
      <c r="BK5" s="477"/>
      <c r="BL5" s="477"/>
      <c r="BM5" s="477"/>
      <c r="BN5" s="475"/>
      <c r="BO5" s="1159" t="s">
        <v>30</v>
      </c>
      <c r="BP5" s="480"/>
      <c r="BQ5" s="481"/>
      <c r="BR5" s="481"/>
      <c r="BS5" s="481"/>
      <c r="BT5" s="482"/>
      <c r="BU5" s="1946" t="s">
        <v>31</v>
      </c>
      <c r="BV5" s="1003"/>
      <c r="BW5" s="1003"/>
      <c r="BX5" s="1003"/>
      <c r="BY5" s="1003"/>
      <c r="BZ5" s="1003"/>
      <c r="CA5" s="1003"/>
      <c r="CB5" s="1003"/>
      <c r="CC5" s="1003"/>
      <c r="CD5" s="1003"/>
      <c r="CE5" s="1003"/>
      <c r="CF5" s="1003"/>
      <c r="CG5" s="1003"/>
      <c r="CH5" s="1003"/>
      <c r="CI5" s="1003"/>
      <c r="CJ5" s="1003"/>
      <c r="CK5" s="1003"/>
      <c r="CL5" s="1003"/>
      <c r="CM5" s="1155" t="s">
        <v>32</v>
      </c>
    </row>
    <row r="6" spans="2:131" ht="24" customHeight="1" thickBot="1" x14ac:dyDescent="0.5">
      <c r="H6" s="473"/>
      <c r="I6" s="473"/>
      <c r="J6" s="473"/>
      <c r="K6" s="473"/>
      <c r="L6" s="473"/>
      <c r="M6" s="473"/>
      <c r="N6" s="473"/>
      <c r="O6" s="473"/>
      <c r="P6" s="473"/>
      <c r="Q6" s="473"/>
      <c r="R6" s="473"/>
      <c r="S6" s="473"/>
      <c r="T6" s="473"/>
      <c r="U6" s="475"/>
      <c r="V6" s="473"/>
      <c r="W6" s="473"/>
      <c r="X6" s="473"/>
      <c r="Y6" s="473"/>
      <c r="Z6" s="473"/>
      <c r="AA6" s="473"/>
      <c r="AB6" s="475"/>
      <c r="AC6" s="475"/>
      <c r="AD6" s="475"/>
      <c r="AE6" s="475"/>
      <c r="AF6" s="473"/>
      <c r="AG6" s="473"/>
      <c r="AH6" s="473"/>
      <c r="AI6" s="483"/>
      <c r="AJ6" s="473"/>
      <c r="AK6" s="473"/>
      <c r="AL6" s="473"/>
      <c r="AM6" s="473"/>
      <c r="AN6" s="473"/>
      <c r="AO6" s="473"/>
      <c r="AP6" s="473"/>
      <c r="AQ6" s="473"/>
      <c r="AR6" s="473"/>
      <c r="AS6" s="473"/>
      <c r="AT6" s="473"/>
      <c r="AU6" s="473"/>
      <c r="AV6" s="473"/>
      <c r="AW6" s="473"/>
      <c r="AX6" s="473"/>
      <c r="AY6" s="473"/>
      <c r="AZ6" s="473"/>
      <c r="BA6" s="473"/>
      <c r="BB6" s="473"/>
      <c r="BC6" s="473"/>
      <c r="BN6" s="1347">
        <f>+IF(AND(CL6&gt;0,BU6&gt;0),BU6)</f>
        <v>248.20335108337915</v>
      </c>
      <c r="BO6" s="1154" t="s">
        <v>38</v>
      </c>
      <c r="BP6" s="484"/>
      <c r="BQ6" s="485"/>
      <c r="BR6" s="485"/>
      <c r="BS6" s="485"/>
      <c r="BT6" s="486"/>
      <c r="BU6" s="2094">
        <f>+((E13-E12)/E13)*D23</f>
        <v>248.20335108337915</v>
      </c>
      <c r="BV6" s="2095"/>
      <c r="BW6" s="1004"/>
      <c r="BX6" s="1004"/>
      <c r="BY6" s="1004"/>
      <c r="BZ6" s="1004"/>
      <c r="CA6" s="1004"/>
      <c r="CB6" s="1004"/>
      <c r="CC6" s="1004"/>
      <c r="CD6" s="1004"/>
      <c r="CE6" s="1004"/>
      <c r="CF6" s="1004"/>
      <c r="CG6" s="1004"/>
      <c r="CH6" s="1004"/>
      <c r="CI6" s="1004"/>
      <c r="CJ6" s="1004"/>
      <c r="CK6" s="1004"/>
      <c r="CL6" s="2092">
        <f>+(E12/E13)*D23</f>
        <v>72.496648916620799</v>
      </c>
      <c r="CM6" s="2093"/>
      <c r="CN6" s="1352">
        <f>+IF(AND(BU6&gt;0,CL6&gt;0),CL6)</f>
        <v>72.496648916620799</v>
      </c>
    </row>
    <row r="7" spans="2:131" ht="9" customHeight="1" thickBot="1" x14ac:dyDescent="0.5">
      <c r="H7" s="473"/>
      <c r="I7" s="473"/>
      <c r="J7" s="473"/>
      <c r="K7" s="473"/>
      <c r="L7" s="473"/>
      <c r="M7" s="473"/>
      <c r="N7" s="473"/>
      <c r="O7" s="473"/>
      <c r="P7" s="473"/>
      <c r="Q7" s="473"/>
      <c r="R7" s="473"/>
      <c r="S7" s="473"/>
      <c r="T7" s="473"/>
      <c r="U7" s="475"/>
      <c r="V7" s="473"/>
      <c r="W7" s="473"/>
      <c r="X7" s="473"/>
      <c r="Y7" s="473"/>
      <c r="Z7" s="473"/>
      <c r="AA7" s="473"/>
      <c r="AB7" s="475"/>
      <c r="AC7" s="475"/>
      <c r="AD7" s="475"/>
      <c r="AE7" s="475"/>
      <c r="AF7" s="473"/>
      <c r="AG7" s="473"/>
      <c r="AH7" s="473"/>
      <c r="AI7" s="483"/>
      <c r="AJ7" s="473"/>
      <c r="AK7" s="473"/>
      <c r="AL7" s="473"/>
      <c r="AM7" s="473"/>
      <c r="AN7" s="473"/>
      <c r="AO7" s="473"/>
      <c r="AP7" s="473"/>
      <c r="AQ7" s="473"/>
      <c r="AR7" s="473"/>
      <c r="AS7" s="473"/>
      <c r="AT7" s="473"/>
      <c r="AU7" s="473"/>
      <c r="AV7" s="473"/>
      <c r="AW7" s="473"/>
      <c r="AX7" s="473"/>
      <c r="AY7" s="473"/>
      <c r="AZ7" s="473"/>
      <c r="BA7" s="473"/>
      <c r="BB7" s="473"/>
      <c r="BC7" s="473"/>
      <c r="BG7" s="487"/>
      <c r="BH7" s="487"/>
      <c r="BI7" s="487"/>
      <c r="BJ7" s="487"/>
      <c r="BK7" s="487"/>
      <c r="BL7" s="487"/>
      <c r="BM7" s="487"/>
      <c r="BN7" s="487"/>
      <c r="BO7" s="1093"/>
    </row>
    <row r="8" spans="2:131" ht="25.8" hidden="1" thickBot="1" x14ac:dyDescent="0.5">
      <c r="H8" s="473"/>
      <c r="I8" s="473"/>
      <c r="J8" s="473"/>
      <c r="K8" s="473"/>
      <c r="L8" s="473"/>
      <c r="M8" s="473"/>
      <c r="N8" s="473"/>
      <c r="O8" s="473"/>
      <c r="P8" s="473"/>
      <c r="Q8" s="473"/>
      <c r="R8" s="473"/>
      <c r="S8" s="473"/>
      <c r="T8" s="473"/>
      <c r="U8" s="475"/>
      <c r="V8" s="473"/>
      <c r="W8" s="473"/>
      <c r="X8" s="473"/>
      <c r="Y8" s="473"/>
      <c r="Z8" s="473"/>
      <c r="AA8" s="473"/>
      <c r="AB8" s="475"/>
      <c r="AC8" s="475"/>
      <c r="AD8" s="475"/>
      <c r="AE8" s="475"/>
      <c r="AF8" s="473"/>
      <c r="AG8" s="473"/>
      <c r="AH8" s="473"/>
      <c r="AI8" s="483"/>
      <c r="AJ8" s="473"/>
      <c r="AK8" s="473"/>
      <c r="AL8" s="473"/>
      <c r="AM8" s="473"/>
      <c r="AN8" s="473"/>
      <c r="AO8" s="473"/>
      <c r="AP8" s="473"/>
      <c r="AQ8" s="473"/>
      <c r="AR8" s="473"/>
      <c r="AS8" s="473"/>
      <c r="AT8" s="473"/>
      <c r="AU8" s="473"/>
      <c r="AV8" s="473"/>
      <c r="AW8" s="473"/>
      <c r="AX8" s="473"/>
      <c r="AY8" s="473"/>
      <c r="AZ8" s="473"/>
      <c r="BA8" s="473"/>
      <c r="BB8" s="473"/>
      <c r="BC8" s="473"/>
      <c r="BG8" s="487"/>
      <c r="BH8" s="487"/>
      <c r="BI8" s="487"/>
      <c r="BJ8" s="487"/>
      <c r="BK8" s="487"/>
      <c r="BL8" s="487"/>
      <c r="BM8" s="487"/>
      <c r="BN8" s="487"/>
      <c r="BO8" s="1093"/>
    </row>
    <row r="9" spans="2:131" ht="25.2" hidden="1" x14ac:dyDescent="0.45">
      <c r="H9" s="473"/>
      <c r="I9" s="473"/>
      <c r="J9" s="473"/>
      <c r="K9" s="473"/>
      <c r="L9" s="473"/>
      <c r="M9" s="473"/>
      <c r="N9" s="473"/>
      <c r="O9" s="473"/>
      <c r="P9" s="473"/>
      <c r="Q9" s="473"/>
      <c r="R9" s="473"/>
      <c r="S9" s="473"/>
      <c r="T9" s="473"/>
      <c r="U9" s="475"/>
      <c r="V9" s="473"/>
      <c r="W9" s="473"/>
      <c r="X9" s="473"/>
      <c r="Y9" s="473"/>
      <c r="Z9" s="473"/>
      <c r="AA9" s="473"/>
      <c r="AB9" s="475"/>
      <c r="AC9" s="475"/>
      <c r="AD9" s="475"/>
      <c r="AE9" s="475"/>
      <c r="AF9" s="473"/>
      <c r="AG9" s="473"/>
      <c r="AH9" s="473"/>
      <c r="AI9" s="483"/>
      <c r="AJ9" s="473"/>
      <c r="AK9" s="473"/>
      <c r="AL9" s="473"/>
      <c r="AM9" s="473"/>
      <c r="AN9" s="473"/>
      <c r="AO9" s="473"/>
      <c r="AP9" s="473"/>
      <c r="AQ9" s="473"/>
      <c r="AR9" s="473"/>
      <c r="AS9" s="473"/>
      <c r="AT9" s="473"/>
      <c r="AU9" s="473"/>
      <c r="AV9" s="473"/>
      <c r="AW9" s="473"/>
      <c r="AX9" s="473"/>
      <c r="AY9" s="473"/>
      <c r="AZ9" s="473"/>
      <c r="BA9" s="473"/>
      <c r="BB9" s="473"/>
      <c r="BC9" s="473"/>
      <c r="BO9" s="1093"/>
    </row>
    <row r="10" spans="2:131" ht="25.2" hidden="1" x14ac:dyDescent="0.45">
      <c r="E10" s="1393" t="s">
        <v>202</v>
      </c>
      <c r="F10" s="1393" t="s">
        <v>203</v>
      </c>
      <c r="G10" s="1393" t="s">
        <v>204</v>
      </c>
      <c r="H10" s="473"/>
      <c r="I10" s="473"/>
      <c r="J10" s="473"/>
      <c r="K10" s="473"/>
      <c r="L10" s="473"/>
      <c r="M10" s="473"/>
      <c r="N10" s="473"/>
      <c r="O10" s="473"/>
      <c r="P10" s="473"/>
      <c r="Q10" s="473"/>
      <c r="R10" s="473"/>
      <c r="S10" s="473"/>
      <c r="T10" s="473"/>
      <c r="U10" s="475"/>
      <c r="V10" s="473"/>
      <c r="W10" s="473"/>
      <c r="X10" s="473"/>
      <c r="Y10" s="473"/>
      <c r="Z10" s="473"/>
      <c r="AA10" s="473"/>
      <c r="AB10" s="475"/>
      <c r="AC10" s="475"/>
      <c r="AD10" s="475"/>
      <c r="AE10" s="475"/>
      <c r="AF10" s="473"/>
      <c r="AG10" s="473"/>
      <c r="AH10" s="473"/>
      <c r="AI10" s="483"/>
      <c r="AJ10" s="473"/>
      <c r="AK10" s="473"/>
      <c r="AL10" s="473"/>
      <c r="AM10" s="473"/>
      <c r="AN10" s="473"/>
      <c r="AO10" s="473"/>
      <c r="AP10" s="473"/>
      <c r="AQ10" s="473"/>
      <c r="AR10" s="473"/>
      <c r="AS10" s="473"/>
      <c r="AT10" s="473"/>
      <c r="AU10" s="473"/>
      <c r="AV10" s="473"/>
      <c r="AW10" s="473"/>
      <c r="AX10" s="473"/>
      <c r="AY10" s="473"/>
      <c r="AZ10" s="473"/>
      <c r="BA10" s="473"/>
      <c r="BB10" s="473"/>
      <c r="BC10" s="473"/>
      <c r="BG10" s="489"/>
      <c r="BH10" s="489"/>
      <c r="BI10" s="489"/>
      <c r="BJ10" s="489"/>
      <c r="BK10" s="489"/>
      <c r="BL10" s="489"/>
      <c r="BM10" s="489"/>
      <c r="BN10" s="489"/>
      <c r="BO10" s="1093"/>
    </row>
    <row r="11" spans="2:131" ht="25.2" hidden="1" x14ac:dyDescent="0.45">
      <c r="B11" s="1005" t="s">
        <v>29</v>
      </c>
      <c r="C11" s="1005"/>
      <c r="D11" s="1006">
        <v>559</v>
      </c>
      <c r="E11" s="1394">
        <f>+COS(($B$73*-1)*3.14159265358979/180)*D11</f>
        <v>559</v>
      </c>
      <c r="F11" s="1395">
        <f>+COS(($B$73*-1)*3.14159265358979/180)*43</f>
        <v>43</v>
      </c>
      <c r="G11" s="1395">
        <f>+COS((($B$73*-1)+56.666355)*3.14159265358979/180)*89.1698</f>
        <v>49.000010924489978</v>
      </c>
      <c r="H11" s="473"/>
      <c r="I11" s="473"/>
      <c r="J11" s="473"/>
      <c r="K11" s="473"/>
      <c r="L11" s="473"/>
      <c r="M11" s="473"/>
      <c r="N11" s="473"/>
      <c r="O11" s="473"/>
      <c r="P11" s="473"/>
      <c r="Q11" s="473"/>
      <c r="R11" s="473"/>
      <c r="S11" s="473"/>
      <c r="T11" s="473"/>
      <c r="U11" s="475"/>
      <c r="V11" s="473"/>
      <c r="W11" s="473"/>
      <c r="X11" s="473"/>
      <c r="Y11" s="473"/>
      <c r="Z11" s="473"/>
      <c r="AA11" s="473"/>
      <c r="AB11" s="475"/>
      <c r="AC11" s="475"/>
      <c r="AD11" s="475"/>
      <c r="AE11" s="475"/>
      <c r="AF11" s="473"/>
      <c r="AG11" s="473"/>
      <c r="AH11" s="473"/>
      <c r="AI11" s="483"/>
      <c r="AJ11" s="473"/>
      <c r="AK11" s="473"/>
      <c r="AL11" s="473"/>
      <c r="AM11" s="473"/>
      <c r="AN11" s="473"/>
      <c r="AO11" s="473"/>
      <c r="AP11" s="473"/>
      <c r="AQ11" s="473"/>
      <c r="AR11" s="473"/>
      <c r="AS11" s="473"/>
      <c r="AT11" s="473"/>
      <c r="AU11" s="473"/>
      <c r="AV11" s="473"/>
      <c r="AW11" s="473"/>
      <c r="AX11" s="473"/>
      <c r="AY11" s="473"/>
      <c r="AZ11" s="473"/>
      <c r="BA11" s="473"/>
      <c r="BB11" s="473"/>
      <c r="BC11" s="473"/>
      <c r="BG11" s="489"/>
      <c r="BH11" s="489"/>
      <c r="BI11" s="489"/>
      <c r="BJ11" s="489"/>
      <c r="BK11" s="489"/>
      <c r="BL11" s="489"/>
      <c r="BM11" s="489"/>
      <c r="BN11" s="489"/>
      <c r="BO11" s="1093"/>
    </row>
    <row r="12" spans="2:131" ht="21" hidden="1" customHeight="1" x14ac:dyDescent="0.4">
      <c r="B12" s="1005" t="s">
        <v>127</v>
      </c>
      <c r="C12" s="1005"/>
      <c r="D12" s="1006">
        <f>+D25-49</f>
        <v>174.96853684112392</v>
      </c>
      <c r="E12" s="1394">
        <f>+D25-G11</f>
        <v>174.96852591663395</v>
      </c>
      <c r="F12" s="488"/>
      <c r="G12" s="490"/>
      <c r="H12" s="473"/>
      <c r="I12" s="473"/>
      <c r="J12" s="473"/>
      <c r="K12" s="473"/>
      <c r="L12" s="473"/>
      <c r="M12" s="473"/>
      <c r="N12" s="473"/>
      <c r="O12" s="473"/>
      <c r="P12" s="473"/>
      <c r="Q12" s="473"/>
      <c r="R12" s="473"/>
      <c r="S12" s="473"/>
      <c r="AF12" s="473"/>
      <c r="AG12" s="473"/>
      <c r="AH12" s="473"/>
      <c r="AI12" s="483"/>
      <c r="AJ12" s="473"/>
      <c r="AK12" s="473"/>
      <c r="AL12" s="473"/>
      <c r="AM12" s="473"/>
      <c r="AN12" s="473"/>
      <c r="AO12" s="473"/>
      <c r="AP12" s="473"/>
      <c r="AQ12" s="473"/>
      <c r="AR12" s="473"/>
      <c r="AS12" s="473"/>
      <c r="AT12" s="473"/>
      <c r="AU12" s="473"/>
      <c r="AV12" s="473"/>
      <c r="AW12" s="473"/>
      <c r="AX12" s="473"/>
      <c r="AY12" s="473"/>
      <c r="AZ12" s="473"/>
      <c r="BA12" s="473"/>
      <c r="BB12" s="473"/>
      <c r="BC12" s="473"/>
      <c r="BG12" s="489"/>
      <c r="BH12" s="489"/>
      <c r="BI12" s="489"/>
      <c r="BJ12" s="489"/>
      <c r="BK12" s="489"/>
      <c r="BL12" s="489"/>
      <c r="BM12" s="489"/>
      <c r="BN12" s="489"/>
      <c r="BO12" s="1093"/>
    </row>
    <row r="13" spans="2:131" ht="55.5" hidden="1" customHeight="1" x14ac:dyDescent="0.4">
      <c r="B13" s="1007" t="s">
        <v>40</v>
      </c>
      <c r="C13" s="1007"/>
      <c r="D13" s="1008">
        <v>774</v>
      </c>
      <c r="E13" s="1394">
        <f>+COS(($B$73*-1)*3.14159265358979/180)*D13</f>
        <v>774</v>
      </c>
      <c r="F13" s="490"/>
      <c r="G13" s="490"/>
      <c r="H13" s="473"/>
      <c r="I13" s="473"/>
      <c r="J13" s="473"/>
      <c r="K13" s="473"/>
      <c r="L13" s="473"/>
      <c r="M13" s="473"/>
      <c r="N13" s="473"/>
      <c r="O13" s="473"/>
      <c r="P13" s="473"/>
      <c r="Q13" s="473"/>
      <c r="R13" s="473"/>
      <c r="S13" s="473"/>
      <c r="AH13" s="473"/>
      <c r="AI13" s="483"/>
      <c r="AJ13" s="473"/>
      <c r="AK13" s="473"/>
      <c r="AL13" s="473"/>
      <c r="AM13" s="473"/>
      <c r="AN13" s="473"/>
      <c r="AO13" s="473"/>
      <c r="AP13" s="473"/>
      <c r="AQ13" s="473"/>
      <c r="AR13" s="473"/>
      <c r="AS13" s="473"/>
      <c r="AT13" s="473"/>
      <c r="AU13" s="473"/>
      <c r="AV13" s="473"/>
      <c r="AW13" s="473"/>
      <c r="AX13" s="473"/>
      <c r="AY13" s="473"/>
      <c r="AZ13" s="473"/>
      <c r="BA13" s="473"/>
      <c r="BB13" s="473"/>
      <c r="BC13" s="473"/>
      <c r="BG13" s="489"/>
      <c r="BH13" s="489"/>
      <c r="BI13" s="489"/>
      <c r="BJ13" s="489"/>
      <c r="BK13" s="489"/>
      <c r="BL13" s="489"/>
      <c r="BM13" s="489"/>
      <c r="BN13" s="489"/>
      <c r="BO13" s="1096"/>
      <c r="BP13" s="478"/>
      <c r="BQ13" s="478"/>
      <c r="BR13" s="478"/>
      <c r="BS13" s="478"/>
      <c r="BT13" s="478"/>
      <c r="BU13" s="478"/>
      <c r="BV13" s="478"/>
      <c r="BW13" s="478"/>
      <c r="BX13" s="478"/>
      <c r="BY13" s="478"/>
      <c r="BZ13" s="478"/>
      <c r="CA13" s="478"/>
      <c r="CB13" s="478"/>
      <c r="CC13" s="478"/>
      <c r="CD13" s="478"/>
      <c r="CE13" s="478"/>
      <c r="CF13" s="478"/>
      <c r="CG13" s="478"/>
      <c r="CH13" s="478"/>
      <c r="CI13" s="478"/>
      <c r="CJ13" s="478"/>
      <c r="CK13" s="478"/>
      <c r="CL13" s="478"/>
      <c r="CM13" s="478"/>
    </row>
    <row r="14" spans="2:131" ht="55.5" hidden="1" customHeight="1" x14ac:dyDescent="0.4">
      <c r="B14" s="1007" t="s">
        <v>128</v>
      </c>
      <c r="C14" s="1007"/>
      <c r="D14" s="1008">
        <f>+D25+166</f>
        <v>389.96853684112392</v>
      </c>
      <c r="E14" s="1394">
        <f>+(COS(($B$73*-1)*3.14159265358979/180)*215)+$E$12</f>
        <v>389.96852591663395</v>
      </c>
      <c r="F14" s="490"/>
      <c r="G14" s="490"/>
      <c r="H14" s="473"/>
      <c r="I14" s="473"/>
      <c r="J14" s="473"/>
      <c r="K14" s="473"/>
      <c r="L14" s="473"/>
      <c r="M14" s="473"/>
      <c r="N14" s="473"/>
      <c r="O14" s="473"/>
      <c r="P14" s="473"/>
      <c r="Q14" s="473"/>
      <c r="R14" s="473"/>
      <c r="S14" s="473"/>
      <c r="AH14" s="473"/>
      <c r="AI14" s="483"/>
      <c r="AJ14" s="473"/>
      <c r="AK14" s="473"/>
      <c r="AL14" s="473"/>
      <c r="AM14" s="473"/>
      <c r="AN14" s="473"/>
      <c r="AO14" s="473"/>
      <c r="AP14" s="473"/>
      <c r="AQ14" s="473"/>
      <c r="AR14" s="473"/>
      <c r="AS14" s="473"/>
      <c r="AT14" s="473"/>
      <c r="AU14" s="473"/>
      <c r="AV14" s="473"/>
      <c r="AW14" s="473"/>
      <c r="AX14" s="473"/>
      <c r="AY14" s="473"/>
      <c r="AZ14" s="473"/>
      <c r="BA14" s="473"/>
      <c r="BB14" s="473"/>
      <c r="BC14" s="473"/>
      <c r="BG14" s="489"/>
      <c r="BH14" s="489"/>
      <c r="BI14" s="489"/>
      <c r="BJ14" s="489"/>
      <c r="BK14" s="489"/>
      <c r="BL14" s="489"/>
      <c r="BM14" s="489"/>
      <c r="BN14" s="489"/>
      <c r="BO14" s="1096"/>
      <c r="BP14" s="478"/>
      <c r="BQ14" s="478"/>
      <c r="BR14" s="478"/>
      <c r="BS14" s="478"/>
      <c r="BT14" s="478"/>
      <c r="BU14" s="478"/>
      <c r="BV14" s="478"/>
      <c r="BW14" s="478"/>
      <c r="BX14" s="478"/>
      <c r="BY14" s="478"/>
      <c r="BZ14" s="478"/>
      <c r="CA14" s="478"/>
      <c r="CB14" s="478"/>
      <c r="CC14" s="478"/>
      <c r="CD14" s="478"/>
      <c r="CE14" s="478"/>
      <c r="CF14" s="478"/>
      <c r="CG14" s="478"/>
      <c r="CH14" s="478"/>
      <c r="CI14" s="478"/>
      <c r="CJ14" s="478"/>
      <c r="CK14" s="478"/>
      <c r="CL14" s="478"/>
      <c r="CM14" s="478"/>
    </row>
    <row r="15" spans="2:131" ht="21" hidden="1" x14ac:dyDescent="0.4">
      <c r="B15" s="491"/>
      <c r="C15" s="491"/>
      <c r="D15" s="490"/>
      <c r="E15" s="490"/>
      <c r="F15" s="490"/>
      <c r="G15" s="490"/>
      <c r="H15" s="473"/>
      <c r="I15" s="473"/>
      <c r="J15" s="473"/>
      <c r="K15" s="473"/>
      <c r="L15" s="473"/>
      <c r="M15" s="473"/>
      <c r="N15" s="473"/>
      <c r="O15" s="473"/>
      <c r="P15" s="473"/>
      <c r="Q15" s="473"/>
      <c r="R15" s="473"/>
      <c r="S15" s="473"/>
      <c r="AH15" s="473"/>
      <c r="AI15" s="483"/>
      <c r="AJ15" s="473"/>
      <c r="AK15" s="473"/>
      <c r="AL15" s="473"/>
      <c r="AM15" s="473"/>
      <c r="AN15" s="473"/>
      <c r="AO15" s="473"/>
      <c r="AP15" s="473"/>
      <c r="AQ15" s="473"/>
      <c r="AR15" s="473"/>
      <c r="AS15" s="473"/>
      <c r="AT15" s="473"/>
      <c r="AU15" s="473"/>
      <c r="AV15" s="473"/>
      <c r="AW15" s="473"/>
      <c r="AX15" s="473"/>
      <c r="AY15" s="473"/>
      <c r="AZ15" s="473"/>
      <c r="BA15" s="473"/>
      <c r="BB15" s="473"/>
      <c r="BC15" s="473"/>
      <c r="BG15" s="489"/>
      <c r="BH15" s="489"/>
      <c r="BI15" s="489"/>
      <c r="BJ15" s="489"/>
      <c r="BK15" s="489"/>
      <c r="BL15" s="489"/>
      <c r="BM15" s="489"/>
      <c r="BN15" s="489"/>
      <c r="BO15" s="1096"/>
      <c r="BP15" s="478"/>
      <c r="BQ15" s="478"/>
      <c r="BR15" s="478"/>
      <c r="BS15" s="478"/>
      <c r="BT15" s="478"/>
      <c r="BU15" s="478"/>
      <c r="BV15" s="478"/>
      <c r="BW15" s="478"/>
      <c r="BX15" s="478"/>
      <c r="BY15" s="478"/>
      <c r="BZ15" s="478"/>
      <c r="CA15" s="478"/>
      <c r="CB15" s="478"/>
      <c r="CC15" s="478"/>
      <c r="CD15" s="478"/>
      <c r="CE15" s="478"/>
      <c r="CF15" s="478"/>
      <c r="CG15" s="478"/>
      <c r="CH15" s="478"/>
      <c r="CI15" s="478"/>
      <c r="CJ15" s="478"/>
      <c r="CK15" s="478"/>
      <c r="CL15" s="478"/>
      <c r="CM15" s="478"/>
    </row>
    <row r="16" spans="2:131" ht="21" hidden="1" x14ac:dyDescent="0.4">
      <c r="B16" s="491"/>
      <c r="C16" s="491"/>
      <c r="D16" s="490"/>
      <c r="E16" s="490"/>
      <c r="F16" s="490"/>
      <c r="G16" s="490"/>
      <c r="H16" s="473"/>
      <c r="I16" s="473"/>
      <c r="J16" s="473"/>
      <c r="K16" s="473"/>
      <c r="L16" s="473"/>
      <c r="M16" s="473"/>
      <c r="N16" s="473"/>
      <c r="O16" s="473"/>
      <c r="P16" s="473"/>
      <c r="Q16" s="473"/>
      <c r="R16" s="473"/>
      <c r="S16" s="473"/>
      <c r="AH16" s="473"/>
      <c r="AI16" s="483"/>
      <c r="AJ16" s="473"/>
      <c r="AK16" s="473"/>
      <c r="AL16" s="473"/>
      <c r="AM16" s="473"/>
      <c r="AN16" s="473"/>
      <c r="AO16" s="473"/>
      <c r="AP16" s="473"/>
      <c r="AQ16" s="473"/>
      <c r="AR16" s="473"/>
      <c r="AS16" s="473"/>
      <c r="AT16" s="473"/>
      <c r="AU16" s="473"/>
      <c r="AV16" s="473"/>
      <c r="AW16" s="473"/>
      <c r="AX16" s="473"/>
      <c r="AY16" s="473"/>
      <c r="AZ16" s="473"/>
      <c r="BA16" s="473"/>
      <c r="BB16" s="473"/>
      <c r="BC16" s="473"/>
      <c r="BG16" s="489"/>
      <c r="BH16" s="489"/>
      <c r="BI16" s="489"/>
      <c r="BJ16" s="489"/>
      <c r="BK16" s="489"/>
      <c r="BL16" s="489"/>
      <c r="BM16" s="489"/>
      <c r="BN16" s="489"/>
      <c r="BO16" s="1096"/>
      <c r="BP16" s="478"/>
      <c r="BQ16" s="478"/>
      <c r="BR16" s="478"/>
      <c r="BS16" s="478"/>
      <c r="BT16" s="478"/>
      <c r="BU16" s="478"/>
      <c r="BV16" s="478"/>
      <c r="BW16" s="478"/>
      <c r="BX16" s="478"/>
      <c r="BY16" s="478"/>
      <c r="BZ16" s="478"/>
      <c r="CA16" s="478"/>
      <c r="CB16" s="478"/>
      <c r="CC16" s="478"/>
      <c r="CD16" s="478"/>
      <c r="CE16" s="478"/>
      <c r="CF16" s="478"/>
      <c r="CG16" s="478"/>
      <c r="CH16" s="478"/>
      <c r="CI16" s="478"/>
      <c r="CJ16" s="478"/>
      <c r="CK16" s="478"/>
      <c r="CL16" s="478"/>
      <c r="CM16" s="478"/>
    </row>
    <row r="17" spans="2:91" ht="21" hidden="1" x14ac:dyDescent="0.4">
      <c r="B17" s="491"/>
      <c r="C17" s="491"/>
      <c r="D17" s="490"/>
      <c r="E17" s="490"/>
      <c r="F17" s="490"/>
      <c r="G17" s="490"/>
      <c r="H17" s="473"/>
      <c r="I17" s="473"/>
      <c r="J17" s="473"/>
      <c r="K17" s="473"/>
      <c r="L17" s="473"/>
      <c r="M17" s="473"/>
      <c r="N17" s="473"/>
      <c r="O17" s="473"/>
      <c r="P17" s="473"/>
      <c r="Q17" s="473"/>
      <c r="R17" s="473"/>
      <c r="S17" s="473"/>
      <c r="AH17" s="473"/>
      <c r="AI17" s="483"/>
      <c r="AJ17" s="473"/>
      <c r="AK17" s="473"/>
      <c r="AL17" s="473"/>
      <c r="AM17" s="473"/>
      <c r="AN17" s="473"/>
      <c r="AO17" s="473"/>
      <c r="AP17" s="473"/>
      <c r="AQ17" s="473"/>
      <c r="AR17" s="473"/>
      <c r="AS17" s="473"/>
      <c r="AT17" s="473"/>
      <c r="AU17" s="473"/>
      <c r="AV17" s="473"/>
      <c r="AW17" s="473"/>
      <c r="AX17" s="473"/>
      <c r="AY17" s="473"/>
      <c r="AZ17" s="473"/>
      <c r="BA17" s="473"/>
      <c r="BB17" s="473"/>
      <c r="BC17" s="473"/>
      <c r="BG17" s="489"/>
      <c r="BH17" s="489"/>
      <c r="BI17" s="489"/>
      <c r="BJ17" s="489"/>
      <c r="BK17" s="489"/>
      <c r="BL17" s="489"/>
      <c r="BM17" s="489"/>
      <c r="BN17" s="489"/>
      <c r="BO17" s="1096"/>
      <c r="BP17" s="478"/>
      <c r="BQ17" s="478"/>
      <c r="BR17" s="478"/>
      <c r="BS17" s="478"/>
      <c r="BT17" s="478"/>
      <c r="BU17" s="478"/>
      <c r="BV17" s="478"/>
      <c r="BW17" s="478"/>
      <c r="BX17" s="478"/>
      <c r="BY17" s="478"/>
      <c r="BZ17" s="478"/>
      <c r="CA17" s="478"/>
      <c r="CB17" s="478"/>
      <c r="CC17" s="478"/>
      <c r="CD17" s="478"/>
      <c r="CE17" s="478"/>
      <c r="CF17" s="478"/>
      <c r="CG17" s="478"/>
      <c r="CH17" s="478"/>
      <c r="CI17" s="478"/>
      <c r="CJ17" s="478"/>
      <c r="CK17" s="478"/>
      <c r="CL17" s="478"/>
      <c r="CM17" s="478"/>
    </row>
    <row r="18" spans="2:91" ht="21" hidden="1" x14ac:dyDescent="0.4">
      <c r="B18" s="491"/>
      <c r="C18" s="491"/>
      <c r="D18" s="490"/>
      <c r="E18" s="490"/>
      <c r="F18" s="490"/>
      <c r="G18" s="490"/>
      <c r="H18" s="473"/>
      <c r="I18" s="473"/>
      <c r="J18" s="473"/>
      <c r="K18" s="473"/>
      <c r="L18" s="473"/>
      <c r="M18" s="473"/>
      <c r="N18" s="473"/>
      <c r="O18" s="473"/>
      <c r="P18" s="473"/>
      <c r="Q18" s="473"/>
      <c r="R18" s="473"/>
      <c r="S18" s="473"/>
      <c r="AH18" s="473"/>
      <c r="AI18" s="483"/>
      <c r="AJ18" s="473"/>
      <c r="AK18" s="473"/>
      <c r="AL18" s="473"/>
      <c r="AM18" s="473"/>
      <c r="AN18" s="473"/>
      <c r="AO18" s="473"/>
      <c r="AP18" s="473"/>
      <c r="AQ18" s="473"/>
      <c r="AR18" s="473"/>
      <c r="AS18" s="473"/>
      <c r="AT18" s="473"/>
      <c r="AU18" s="473"/>
      <c r="AV18" s="473"/>
      <c r="AW18" s="473"/>
      <c r="AX18" s="473"/>
      <c r="AY18" s="473"/>
      <c r="AZ18" s="473"/>
      <c r="BA18" s="473"/>
      <c r="BB18" s="473"/>
      <c r="BC18" s="473"/>
      <c r="BG18" s="489"/>
      <c r="BH18" s="489"/>
      <c r="BI18" s="489"/>
      <c r="BJ18" s="489"/>
      <c r="BK18" s="489"/>
      <c r="BL18" s="489"/>
      <c r="BM18" s="489"/>
      <c r="BN18" s="489"/>
      <c r="BO18" s="1096">
        <v>10</v>
      </c>
      <c r="BP18" s="478"/>
      <c r="BQ18" s="478"/>
      <c r="BR18" s="478"/>
      <c r="BS18" s="478"/>
      <c r="BT18" s="478"/>
      <c r="BU18" s="478"/>
      <c r="BV18" s="478"/>
      <c r="BW18" s="478"/>
      <c r="BX18" s="478"/>
      <c r="BY18" s="478"/>
      <c r="BZ18" s="478"/>
      <c r="CA18" s="478"/>
      <c r="CB18" s="478"/>
      <c r="CC18" s="478"/>
      <c r="CD18" s="478" t="b">
        <f>IF(CG55=10,7)</f>
        <v>0</v>
      </c>
      <c r="CE18" s="478"/>
      <c r="CF18" s="489"/>
      <c r="CG18" s="478"/>
      <c r="CH18" s="489"/>
      <c r="CI18" s="478"/>
      <c r="CJ18" s="478" t="b">
        <f>IF(CG55=10,-3)</f>
        <v>0</v>
      </c>
      <c r="CK18" s="478"/>
      <c r="CL18" s="478"/>
      <c r="CM18" s="478"/>
    </row>
    <row r="19" spans="2:91" ht="21" hidden="1" x14ac:dyDescent="0.4">
      <c r="B19" s="491"/>
      <c r="C19" s="491"/>
      <c r="D19" s="490"/>
      <c r="E19" s="490"/>
      <c r="F19" s="490"/>
      <c r="G19" s="490"/>
      <c r="H19" s="473"/>
      <c r="I19" s="473"/>
      <c r="J19" s="473"/>
      <c r="K19" s="473"/>
      <c r="L19" s="473"/>
      <c r="M19" s="473"/>
      <c r="N19" s="473"/>
      <c r="O19" s="473"/>
      <c r="P19" s="473"/>
      <c r="Q19" s="473"/>
      <c r="R19" s="473"/>
      <c r="S19" s="473"/>
      <c r="AH19" s="473"/>
      <c r="AI19" s="483"/>
      <c r="AJ19" s="473"/>
      <c r="AK19" s="473"/>
      <c r="AL19" s="473"/>
      <c r="AM19" s="473"/>
      <c r="AN19" s="473"/>
      <c r="AO19" s="473"/>
      <c r="AP19" s="473"/>
      <c r="AQ19" s="473"/>
      <c r="AR19" s="473"/>
      <c r="AS19" s="473"/>
      <c r="AT19" s="473"/>
      <c r="AU19" s="473"/>
      <c r="AV19" s="473"/>
      <c r="AW19" s="473"/>
      <c r="AX19" s="473"/>
      <c r="AY19" s="473"/>
      <c r="AZ19" s="473"/>
      <c r="BA19" s="473"/>
      <c r="BB19" s="473"/>
      <c r="BC19" s="473"/>
      <c r="BG19" s="489"/>
      <c r="BH19" s="489"/>
      <c r="BI19" s="489"/>
      <c r="BJ19" s="489"/>
      <c r="BK19" s="489"/>
      <c r="BL19" s="489"/>
      <c r="BM19" s="489"/>
      <c r="BN19" s="489"/>
      <c r="BO19" s="1096">
        <v>9</v>
      </c>
      <c r="BP19" s="478"/>
      <c r="BQ19" s="478"/>
      <c r="BR19" s="478"/>
      <c r="BS19" s="478"/>
      <c r="BT19" s="478"/>
      <c r="BU19" s="478"/>
      <c r="BV19" s="478"/>
      <c r="BW19" s="478"/>
      <c r="BX19" s="478"/>
      <c r="BY19" s="478" t="b">
        <f>IF(CF55=9,5)</f>
        <v>0</v>
      </c>
      <c r="BZ19" s="478"/>
      <c r="CA19" s="478"/>
      <c r="CB19" s="478"/>
      <c r="CC19" s="478"/>
      <c r="CD19" s="489"/>
      <c r="CE19" s="478"/>
      <c r="CF19" s="478"/>
      <c r="CG19" s="478"/>
      <c r="CH19" s="489"/>
      <c r="CI19" s="478"/>
      <c r="CJ19" s="478"/>
      <c r="CK19" s="478"/>
      <c r="CL19" s="478"/>
      <c r="CM19" s="478" t="b">
        <f>IF(CF55=9,11)</f>
        <v>0</v>
      </c>
    </row>
    <row r="20" spans="2:91" ht="21" hidden="1" x14ac:dyDescent="0.4">
      <c r="B20" s="491"/>
      <c r="C20" s="491"/>
      <c r="D20" s="490"/>
      <c r="E20" s="490"/>
      <c r="F20" s="490"/>
      <c r="G20" s="490"/>
      <c r="H20" s="473"/>
      <c r="I20" s="473"/>
      <c r="J20" s="473"/>
      <c r="K20" s="473"/>
      <c r="L20" s="473"/>
      <c r="M20" s="473"/>
      <c r="N20" s="473"/>
      <c r="O20" s="473"/>
      <c r="P20" s="473"/>
      <c r="Q20" s="473"/>
      <c r="R20" s="473"/>
      <c r="S20" s="473"/>
      <c r="AH20" s="473"/>
      <c r="AI20" s="483"/>
      <c r="AJ20" s="473"/>
      <c r="AK20" s="473"/>
      <c r="AL20" s="473"/>
      <c r="AM20" s="473"/>
      <c r="AN20" s="473"/>
      <c r="AO20" s="473"/>
      <c r="AP20" s="473"/>
      <c r="AQ20" s="473"/>
      <c r="AR20" s="473"/>
      <c r="AS20" s="473"/>
      <c r="AT20" s="473"/>
      <c r="AU20" s="473"/>
      <c r="AV20" s="473"/>
      <c r="AW20" s="473"/>
      <c r="AX20" s="473"/>
      <c r="AY20" s="473"/>
      <c r="AZ20" s="473"/>
      <c r="BA20" s="473"/>
      <c r="BB20" s="473"/>
      <c r="BC20" s="473"/>
      <c r="BG20" s="489"/>
      <c r="BH20" s="489"/>
      <c r="BI20" s="489"/>
      <c r="BJ20" s="489"/>
      <c r="BK20" s="489"/>
      <c r="BL20" s="489"/>
      <c r="BM20" s="489"/>
      <c r="BN20" s="489"/>
      <c r="BO20" s="1096">
        <v>8</v>
      </c>
      <c r="BP20" s="478"/>
      <c r="BQ20" s="478"/>
      <c r="BR20" s="478"/>
      <c r="BS20" s="478"/>
      <c r="BT20" s="478"/>
      <c r="BU20" s="478"/>
      <c r="BV20" s="478"/>
      <c r="BW20" s="478" t="b">
        <f>IF(CE55=8,3)</f>
        <v>0</v>
      </c>
      <c r="BX20" s="478"/>
      <c r="BY20" s="478"/>
      <c r="BZ20" s="478"/>
      <c r="CA20" s="478"/>
      <c r="CB20" s="478"/>
      <c r="CC20" s="478"/>
      <c r="CD20" s="489"/>
      <c r="CE20" s="478"/>
      <c r="CF20" s="489"/>
      <c r="CG20" s="478"/>
      <c r="CH20" s="478"/>
      <c r="CI20" s="478"/>
      <c r="CJ20" s="478"/>
      <c r="CK20" s="478"/>
      <c r="CL20" s="478"/>
      <c r="CM20" s="478" t="b">
        <f>IF(CE55=8,-6)</f>
        <v>0</v>
      </c>
    </row>
    <row r="21" spans="2:91" ht="21" hidden="1" x14ac:dyDescent="0.4">
      <c r="B21" s="491"/>
      <c r="C21" s="491"/>
      <c r="D21" s="490"/>
      <c r="E21" s="490"/>
      <c r="F21" s="490"/>
      <c r="G21" s="490"/>
      <c r="H21" s="473"/>
      <c r="I21" s="473"/>
      <c r="J21" s="473"/>
      <c r="K21" s="473"/>
      <c r="L21" s="473"/>
      <c r="M21" s="473"/>
      <c r="N21" s="473"/>
      <c r="O21" s="473"/>
      <c r="P21" s="473"/>
      <c r="Q21" s="473"/>
      <c r="R21" s="473"/>
      <c r="S21" s="473"/>
      <c r="AH21" s="473"/>
      <c r="AI21" s="483"/>
      <c r="AJ21" s="473"/>
      <c r="AK21" s="473"/>
      <c r="AL21" s="473"/>
      <c r="AM21" s="473"/>
      <c r="AN21" s="473"/>
      <c r="AO21" s="473"/>
      <c r="AP21" s="473"/>
      <c r="AQ21" s="473"/>
      <c r="AR21" s="473"/>
      <c r="AS21" s="473"/>
      <c r="AT21" s="473"/>
      <c r="AU21" s="473"/>
      <c r="AV21" s="473"/>
      <c r="AW21" s="473"/>
      <c r="AX21" s="473"/>
      <c r="AY21" s="473"/>
      <c r="AZ21" s="473"/>
      <c r="BA21" s="473"/>
      <c r="BB21" s="473"/>
      <c r="BC21" s="473"/>
      <c r="BG21" s="489"/>
      <c r="BH21" s="489"/>
      <c r="BI21" s="489"/>
      <c r="BJ21" s="489"/>
      <c r="BK21" s="489"/>
      <c r="BL21" s="489"/>
      <c r="BM21" s="489"/>
      <c r="BN21" s="489"/>
      <c r="BO21" s="1096">
        <v>7</v>
      </c>
      <c r="BP21" s="478"/>
      <c r="BQ21" s="478"/>
      <c r="BR21" s="478"/>
      <c r="BS21" s="478"/>
      <c r="BT21" s="478"/>
      <c r="BU21" s="478"/>
      <c r="BV21" s="478"/>
      <c r="BW21" s="478"/>
      <c r="BX21" s="478"/>
      <c r="BY21" s="478"/>
      <c r="BZ21" s="478" t="b">
        <f>IF(CD55=7,6)</f>
        <v>0</v>
      </c>
      <c r="CA21" s="478"/>
      <c r="CB21" s="478"/>
      <c r="CC21" s="478"/>
      <c r="CD21" s="478"/>
      <c r="CE21" s="478"/>
      <c r="CF21" s="478"/>
      <c r="CG21" s="478"/>
      <c r="CH21" s="478" t="b">
        <f>IF(CD55=7,11)</f>
        <v>0</v>
      </c>
      <c r="CI21" s="478"/>
      <c r="CJ21" s="478"/>
      <c r="CK21" s="478"/>
      <c r="CL21" s="478"/>
      <c r="CM21" s="478"/>
    </row>
    <row r="22" spans="2:91" ht="21" hidden="1" x14ac:dyDescent="0.4">
      <c r="B22" s="491"/>
      <c r="C22" s="491"/>
      <c r="D22" s="490"/>
      <c r="E22" s="490"/>
      <c r="F22" s="490"/>
      <c r="G22" s="490"/>
      <c r="H22" s="473"/>
      <c r="I22" s="473"/>
      <c r="J22" s="473"/>
      <c r="K22" s="473"/>
      <c r="L22" s="473"/>
      <c r="M22" s="473"/>
      <c r="N22" s="473"/>
      <c r="O22" s="473"/>
      <c r="P22" s="473"/>
      <c r="Q22" s="473"/>
      <c r="R22" s="473"/>
      <c r="S22" s="473"/>
      <c r="AH22" s="473"/>
      <c r="AI22" s="483"/>
      <c r="AJ22" s="473"/>
      <c r="AK22" s="473"/>
      <c r="AL22" s="473"/>
      <c r="AM22" s="473"/>
      <c r="AN22" s="473"/>
      <c r="AO22" s="473"/>
      <c r="AP22" s="473"/>
      <c r="AQ22" s="473"/>
      <c r="AR22" s="473"/>
      <c r="AS22" s="473"/>
      <c r="AT22" s="473"/>
      <c r="AU22" s="473"/>
      <c r="AV22" s="473"/>
      <c r="AW22" s="473"/>
      <c r="AX22" s="473"/>
      <c r="AY22" s="473"/>
      <c r="AZ22" s="473"/>
      <c r="BA22" s="473"/>
      <c r="BB22" s="473"/>
      <c r="BC22" s="473"/>
      <c r="BG22" s="489"/>
      <c r="BH22" s="489"/>
      <c r="BI22" s="489"/>
      <c r="BJ22" s="489"/>
      <c r="BK22" s="489"/>
      <c r="BL22" s="489"/>
      <c r="BM22" s="489"/>
      <c r="BN22" s="489"/>
      <c r="BO22" s="1096">
        <v>63</v>
      </c>
      <c r="BP22" s="478"/>
      <c r="BQ22" s="478"/>
      <c r="BR22" s="478"/>
      <c r="BS22" s="478"/>
      <c r="BT22" s="478"/>
      <c r="BU22" s="478"/>
      <c r="BV22" s="478"/>
      <c r="BW22" s="478"/>
      <c r="BX22" s="478" t="b">
        <f>IF(CC55=63,4)</f>
        <v>0</v>
      </c>
      <c r="BY22" s="478"/>
      <c r="BZ22" s="478"/>
      <c r="CA22" s="478"/>
      <c r="CB22" s="478"/>
      <c r="CC22" s="478"/>
      <c r="CD22" s="478"/>
      <c r="CE22" s="478"/>
      <c r="CF22" s="478"/>
      <c r="CG22" s="478"/>
      <c r="CH22" s="478" t="b">
        <f>IF(CC55=63,11)</f>
        <v>0</v>
      </c>
      <c r="CI22" s="478"/>
      <c r="CJ22" s="478"/>
      <c r="CK22" s="478"/>
      <c r="CL22" s="478"/>
      <c r="CM22" s="478"/>
    </row>
    <row r="23" spans="2:91" ht="21" hidden="1" x14ac:dyDescent="0.4">
      <c r="B23" s="1009" t="s">
        <v>18</v>
      </c>
      <c r="C23" s="1010"/>
      <c r="D23" s="1009">
        <f>+B76*133+B97*67+B132*25.5+25+25+4.2+11+30</f>
        <v>320.7</v>
      </c>
      <c r="E23" s="478"/>
      <c r="F23" s="490"/>
      <c r="AF23" s="493"/>
      <c r="AG23" s="493"/>
      <c r="AH23" s="473"/>
      <c r="AI23" s="483"/>
      <c r="AJ23" s="473"/>
      <c r="AK23" s="473"/>
      <c r="AL23" s="473"/>
      <c r="AM23" s="473"/>
      <c r="AN23" s="473"/>
      <c r="AO23" s="473"/>
      <c r="AP23" s="473"/>
      <c r="AQ23" s="473"/>
      <c r="AR23" s="473"/>
      <c r="AS23" s="473"/>
      <c r="AT23" s="473"/>
      <c r="AU23" s="473"/>
      <c r="AV23" s="473"/>
      <c r="AW23" s="473"/>
      <c r="AX23" s="473"/>
      <c r="AY23" s="473"/>
      <c r="AZ23" s="473"/>
      <c r="BA23" s="473"/>
      <c r="BB23" s="473"/>
      <c r="BC23" s="473"/>
      <c r="BG23" s="489"/>
      <c r="BH23" s="489"/>
      <c r="BI23" s="489"/>
      <c r="BJ23" s="489"/>
      <c r="BK23" s="489"/>
      <c r="BL23" s="489"/>
      <c r="BM23" s="489"/>
      <c r="BN23" s="489"/>
      <c r="BO23" s="1096">
        <v>62</v>
      </c>
      <c r="BP23" s="478"/>
      <c r="BQ23" s="478"/>
      <c r="BR23" s="478"/>
      <c r="BS23" s="478"/>
      <c r="BT23" s="478"/>
      <c r="BU23" s="478"/>
      <c r="BV23" s="478" t="b">
        <f>IF(CB55=62,2)</f>
        <v>0</v>
      </c>
      <c r="BW23" s="478"/>
      <c r="BX23" s="478"/>
      <c r="BY23" s="478"/>
      <c r="BZ23" s="478"/>
      <c r="CA23" s="478"/>
      <c r="CB23" s="478"/>
      <c r="CC23" s="478"/>
      <c r="CD23" s="478"/>
      <c r="CE23" s="478"/>
      <c r="CF23" s="478"/>
      <c r="CG23" s="478"/>
      <c r="CH23" s="478" t="b">
        <f>IF(CB55=62,11)</f>
        <v>0</v>
      </c>
      <c r="CI23" s="478"/>
      <c r="CJ23" s="478"/>
      <c r="CK23" s="478"/>
      <c r="CL23" s="478"/>
      <c r="CM23" s="478"/>
    </row>
    <row r="24" spans="2:91" ht="21" hidden="1" x14ac:dyDescent="0.4">
      <c r="B24" s="1009" t="s">
        <v>19</v>
      </c>
      <c r="C24" s="1010"/>
      <c r="D24" s="1011">
        <f>+AS79</f>
        <v>701.99996819597902</v>
      </c>
      <c r="E24" s="495"/>
      <c r="AF24" s="493"/>
      <c r="AG24" s="493"/>
      <c r="AH24" s="473"/>
      <c r="AI24" s="483"/>
      <c r="AJ24" s="473"/>
      <c r="AK24" s="473"/>
      <c r="AL24" s="473"/>
      <c r="AM24" s="473"/>
      <c r="AN24" s="473"/>
      <c r="AO24" s="473"/>
      <c r="AP24" s="473"/>
      <c r="AQ24" s="473"/>
      <c r="AR24" s="473"/>
      <c r="AS24" s="473"/>
      <c r="AT24" s="473"/>
      <c r="AU24" s="473"/>
      <c r="AV24" s="473"/>
      <c r="AW24" s="473"/>
      <c r="AX24" s="473"/>
      <c r="AY24" s="473"/>
      <c r="AZ24" s="473"/>
      <c r="BA24" s="473"/>
      <c r="BB24" s="473"/>
      <c r="BC24" s="473"/>
      <c r="BG24" s="489"/>
      <c r="BH24" s="489"/>
      <c r="BI24" s="489"/>
      <c r="BJ24" s="489"/>
      <c r="BK24" s="489"/>
      <c r="BL24" s="489"/>
      <c r="BM24" s="489"/>
      <c r="BN24" s="489"/>
      <c r="BO24" s="1096">
        <v>61</v>
      </c>
      <c r="BP24" s="478"/>
      <c r="BQ24" s="478"/>
      <c r="BR24" s="478"/>
      <c r="BS24" s="478"/>
      <c r="BT24" s="478" t="b">
        <f>IF(CA55=61,-1)</f>
        <v>0</v>
      </c>
      <c r="BU24" s="478"/>
      <c r="BV24" s="478"/>
      <c r="BW24" s="478"/>
      <c r="BX24" s="478"/>
      <c r="BY24" s="478"/>
      <c r="BZ24" s="478"/>
      <c r="CA24" s="478"/>
      <c r="CB24" s="478"/>
      <c r="CC24" s="478"/>
      <c r="CD24" s="478"/>
      <c r="CE24" s="478"/>
      <c r="CF24" s="478"/>
      <c r="CG24" s="478"/>
      <c r="CH24" s="478" t="b">
        <f>IF(CA55=61,11)</f>
        <v>0</v>
      </c>
      <c r="CI24" s="478"/>
      <c r="CJ24" s="478"/>
      <c r="CK24" s="478"/>
      <c r="CL24" s="478"/>
      <c r="CM24" s="478"/>
    </row>
    <row r="25" spans="2:91" ht="21" hidden="1" x14ac:dyDescent="0.4">
      <c r="B25" s="1009" t="s">
        <v>14</v>
      </c>
      <c r="C25" s="1010"/>
      <c r="D25" s="1011">
        <f>+AP79</f>
        <v>223.96853684112392</v>
      </c>
      <c r="E25" s="495"/>
      <c r="G25" s="490"/>
      <c r="H25" s="473"/>
      <c r="I25" s="473"/>
      <c r="J25" s="473"/>
      <c r="K25" s="473"/>
      <c r="L25" s="473"/>
      <c r="M25" s="473"/>
      <c r="N25" s="473"/>
      <c r="O25" s="473"/>
      <c r="P25" s="473"/>
      <c r="Q25" s="473"/>
      <c r="R25" s="473"/>
      <c r="S25" s="473"/>
      <c r="AF25" s="493"/>
      <c r="AG25" s="493"/>
      <c r="AH25" s="473"/>
      <c r="AI25" s="483"/>
      <c r="AJ25" s="473"/>
      <c r="AK25" s="473"/>
      <c r="AL25" s="473"/>
      <c r="AM25" s="473"/>
      <c r="AN25" s="473"/>
      <c r="AO25" s="473"/>
      <c r="AP25" s="473"/>
      <c r="AQ25" s="473"/>
      <c r="AR25" s="473"/>
      <c r="AS25" s="473"/>
      <c r="AT25" s="473"/>
      <c r="AU25" s="473"/>
      <c r="AV25" s="473"/>
      <c r="AW25" s="473"/>
      <c r="AX25" s="473"/>
      <c r="AY25" s="473"/>
      <c r="AZ25" s="473"/>
      <c r="BA25" s="473"/>
      <c r="BB25" s="473"/>
      <c r="BC25" s="473"/>
      <c r="BG25" s="489"/>
      <c r="BH25" s="489"/>
      <c r="BI25" s="489"/>
      <c r="BJ25" s="489"/>
      <c r="BK25" s="489"/>
      <c r="BL25" s="489"/>
      <c r="BM25" s="489"/>
      <c r="BN25" s="489"/>
      <c r="BO25" s="1096">
        <v>6</v>
      </c>
      <c r="BP25" s="478"/>
      <c r="BQ25" s="478"/>
      <c r="BR25" s="478" t="b">
        <f>IF(BZ55=6,-3)</f>
        <v>0</v>
      </c>
      <c r="BS25" s="478"/>
      <c r="BT25" s="478"/>
      <c r="BU25" s="478"/>
      <c r="BV25" s="478"/>
      <c r="BW25" s="478"/>
      <c r="BX25" s="478"/>
      <c r="BY25" s="478"/>
      <c r="BZ25" s="478"/>
      <c r="CA25" s="478"/>
      <c r="CB25" s="478"/>
      <c r="CC25" s="478"/>
      <c r="CD25" s="478"/>
      <c r="CE25" s="478"/>
      <c r="CF25" s="478"/>
      <c r="CG25" s="478"/>
      <c r="CH25" s="478" t="b">
        <f>IF(BZ55=6,11)</f>
        <v>0</v>
      </c>
      <c r="CI25" s="478"/>
      <c r="CJ25" s="478"/>
      <c r="CK25" s="478"/>
      <c r="CL25" s="478"/>
      <c r="CM25" s="478"/>
    </row>
    <row r="26" spans="2:91" ht="21" hidden="1" x14ac:dyDescent="0.4">
      <c r="B26" s="491"/>
      <c r="C26" s="491"/>
      <c r="D26" s="490"/>
      <c r="E26" s="490"/>
      <c r="F26" s="490"/>
      <c r="G26" s="490"/>
      <c r="H26" s="473"/>
      <c r="I26" s="473"/>
      <c r="J26" s="473"/>
      <c r="K26" s="473"/>
      <c r="L26" s="473"/>
      <c r="M26" s="473"/>
      <c r="N26" s="473"/>
      <c r="O26" s="473"/>
      <c r="P26" s="473"/>
      <c r="Q26" s="473"/>
      <c r="R26" s="473"/>
      <c r="S26" s="473"/>
      <c r="AB26" s="473"/>
      <c r="AC26" s="473"/>
      <c r="AD26" s="473"/>
      <c r="AE26" s="473"/>
      <c r="AF26" s="493"/>
      <c r="AG26" s="493"/>
      <c r="AH26" s="473"/>
      <c r="AI26" s="483"/>
      <c r="AJ26" s="473"/>
      <c r="AK26" s="473"/>
      <c r="AL26" s="473"/>
      <c r="AM26" s="473"/>
      <c r="AN26" s="473"/>
      <c r="AO26" s="473"/>
      <c r="AP26" s="473"/>
      <c r="AQ26" s="473"/>
      <c r="AR26" s="473"/>
      <c r="AS26" s="473"/>
      <c r="AT26" s="473"/>
      <c r="AU26" s="473"/>
      <c r="AV26" s="473"/>
      <c r="AW26" s="473"/>
      <c r="AX26" s="473"/>
      <c r="AY26" s="473"/>
      <c r="AZ26" s="473"/>
      <c r="BA26" s="473"/>
      <c r="BB26" s="473"/>
      <c r="BC26" s="473"/>
      <c r="BG26" s="489"/>
      <c r="BH26" s="489"/>
      <c r="BI26" s="489"/>
      <c r="BJ26" s="489"/>
      <c r="BK26" s="489"/>
      <c r="BL26" s="489"/>
      <c r="BM26" s="489"/>
      <c r="BN26" s="489"/>
      <c r="BO26" s="1096">
        <v>5</v>
      </c>
      <c r="BP26" s="478">
        <f>IF(BY55=5,-5)</f>
        <v>-5</v>
      </c>
      <c r="BQ26" s="478"/>
      <c r="BR26" s="478"/>
      <c r="BS26" s="478"/>
      <c r="BT26" s="478"/>
      <c r="BU26" s="478"/>
      <c r="BV26" s="478"/>
      <c r="BW26" s="478"/>
      <c r="BX26" s="478"/>
      <c r="BY26" s="478"/>
      <c r="BZ26" s="478"/>
      <c r="CA26" s="478"/>
      <c r="CB26" s="478"/>
      <c r="CC26" s="478"/>
      <c r="CD26" s="478"/>
      <c r="CE26" s="478"/>
      <c r="CF26" s="478"/>
      <c r="CG26" s="478"/>
      <c r="CH26" s="478">
        <f>IF(BY55=5,11)</f>
        <v>11</v>
      </c>
      <c r="CI26" s="478"/>
      <c r="CJ26" s="478"/>
      <c r="CK26" s="478"/>
      <c r="CL26" s="478"/>
      <c r="CM26" s="478"/>
    </row>
    <row r="27" spans="2:91" ht="21" hidden="1" x14ac:dyDescent="0.4">
      <c r="B27" s="473"/>
      <c r="C27" s="491"/>
      <c r="D27" s="473" t="b">
        <f>AND(B68&gt;=5,D68&gt;=5,BA79&gt;=5,BB79&gt;=5,BA100&gt;=5,BB100&gt;=5,BA135&gt;=5,BB135&gt;=5)</f>
        <v>1</v>
      </c>
      <c r="F27" s="490"/>
      <c r="G27" s="490"/>
      <c r="H27" s="473"/>
      <c r="I27" s="473"/>
      <c r="J27" s="473"/>
      <c r="K27" s="473"/>
      <c r="L27" s="473"/>
      <c r="M27" s="473"/>
      <c r="N27" s="473"/>
      <c r="O27" s="473"/>
      <c r="P27" s="473"/>
      <c r="Q27" s="473"/>
      <c r="R27" s="473"/>
      <c r="AF27" s="493"/>
      <c r="AG27" s="493"/>
      <c r="AH27" s="473"/>
      <c r="AI27" s="483"/>
      <c r="AJ27" s="473"/>
      <c r="AK27" s="473"/>
      <c r="AL27" s="473"/>
      <c r="AM27" s="473"/>
      <c r="AN27" s="473"/>
      <c r="AO27" s="473"/>
      <c r="AP27" s="473"/>
      <c r="AQ27" s="473"/>
      <c r="AR27" s="473"/>
      <c r="AS27" s="473"/>
      <c r="AT27" s="473"/>
      <c r="AU27" s="473"/>
      <c r="AV27" s="473"/>
      <c r="AW27" s="473"/>
      <c r="AX27" s="473"/>
      <c r="AY27" s="473"/>
      <c r="AZ27" s="473"/>
      <c r="BA27" s="473"/>
      <c r="BB27" s="473"/>
      <c r="BC27" s="473"/>
      <c r="BG27" s="489"/>
      <c r="BH27" s="489"/>
      <c r="BI27" s="489"/>
      <c r="BJ27" s="489"/>
      <c r="BK27" s="489"/>
      <c r="BL27" s="489"/>
      <c r="BM27" s="489"/>
      <c r="BN27" s="489"/>
      <c r="BO27" s="1096">
        <v>4</v>
      </c>
      <c r="BP27" s="478" t="b">
        <f>IF(BX55=4,-5)</f>
        <v>0</v>
      </c>
      <c r="BQ27" s="478"/>
      <c r="BR27" s="478"/>
      <c r="BS27" s="478"/>
      <c r="BT27" s="478"/>
      <c r="BU27" s="478"/>
      <c r="BV27" s="478"/>
      <c r="BW27" s="478"/>
      <c r="BX27" s="478"/>
      <c r="BY27" s="478"/>
      <c r="BZ27" s="478"/>
      <c r="CA27" s="478"/>
      <c r="CB27" s="478"/>
      <c r="CC27" s="478"/>
      <c r="CD27" s="478"/>
      <c r="CE27" s="478"/>
      <c r="CF27" s="478" t="b">
        <f>IF(BX55=4,9)</f>
        <v>0</v>
      </c>
      <c r="CG27" s="478"/>
      <c r="CH27" s="478"/>
      <c r="CI27" s="478"/>
      <c r="CJ27" s="478"/>
      <c r="CK27" s="478"/>
      <c r="CL27" s="478"/>
      <c r="CM27" s="478"/>
    </row>
    <row r="28" spans="2:91" ht="21" hidden="1" x14ac:dyDescent="0.4">
      <c r="B28" s="473"/>
      <c r="C28" s="491"/>
      <c r="D28" s="496" t="str">
        <f>IF(B68&gt;=5,"O K ","OVERLOAD")</f>
        <v xml:space="preserve">O K </v>
      </c>
      <c r="E28" s="496" t="str">
        <f>IF(D68&gt;=5,"O K ","OVERLOAD")</f>
        <v xml:space="preserve">O K </v>
      </c>
      <c r="G28" s="490"/>
      <c r="H28" s="473"/>
      <c r="I28" s="473"/>
      <c r="J28" s="473"/>
      <c r="K28" s="473"/>
      <c r="L28" s="473"/>
      <c r="M28" s="473"/>
      <c r="N28" s="473"/>
      <c r="O28" s="473"/>
      <c r="P28" s="473"/>
      <c r="Q28" s="473"/>
      <c r="R28" s="473"/>
      <c r="AF28" s="473"/>
      <c r="AG28" s="473"/>
      <c r="AH28" s="473"/>
      <c r="AI28" s="483"/>
      <c r="AJ28" s="473"/>
      <c r="AK28" s="473"/>
      <c r="AL28" s="473"/>
      <c r="AM28" s="473"/>
      <c r="AN28" s="473"/>
      <c r="AO28" s="473"/>
      <c r="AP28" s="473"/>
      <c r="AQ28" s="473"/>
      <c r="AR28" s="473"/>
      <c r="AS28" s="473"/>
      <c r="AT28" s="473"/>
      <c r="AU28" s="473"/>
      <c r="AV28" s="473"/>
      <c r="AW28" s="473"/>
      <c r="AX28" s="473"/>
      <c r="AY28" s="473"/>
      <c r="AZ28" s="473"/>
      <c r="BA28" s="473"/>
      <c r="BB28" s="473"/>
      <c r="BC28" s="473"/>
      <c r="BG28" s="489"/>
      <c r="BH28" s="489"/>
      <c r="BI28" s="489"/>
      <c r="BJ28" s="489"/>
      <c r="BK28" s="489"/>
      <c r="BL28" s="489"/>
      <c r="BM28" s="489"/>
      <c r="BN28" s="489"/>
      <c r="BO28" s="1096">
        <v>3</v>
      </c>
      <c r="BP28" s="478" t="b">
        <f>IF(BW55=3,-5)</f>
        <v>0</v>
      </c>
      <c r="BQ28" s="478"/>
      <c r="BR28" s="478"/>
      <c r="BS28" s="478"/>
      <c r="BT28" s="478"/>
      <c r="BU28" s="478"/>
      <c r="BV28" s="478"/>
      <c r="BW28" s="478"/>
      <c r="BX28" s="478"/>
      <c r="BY28" s="478"/>
      <c r="BZ28" s="478"/>
      <c r="CA28" s="478"/>
      <c r="CB28" s="478"/>
      <c r="CC28" s="478"/>
      <c r="CD28" s="478" t="b">
        <f>IF(BW55=3,7)</f>
        <v>0</v>
      </c>
      <c r="CE28" s="478"/>
      <c r="CF28" s="478"/>
      <c r="CG28" s="478"/>
      <c r="CH28" s="478"/>
      <c r="CI28" s="478"/>
      <c r="CJ28" s="478"/>
      <c r="CK28" s="478"/>
      <c r="CL28" s="478"/>
      <c r="CM28" s="478"/>
    </row>
    <row r="29" spans="2:91" ht="21" hidden="1" x14ac:dyDescent="0.4">
      <c r="B29" s="497" t="s">
        <v>71</v>
      </c>
      <c r="C29" s="492"/>
      <c r="D29" s="498">
        <v>5800</v>
      </c>
      <c r="E29" s="498">
        <v>10000</v>
      </c>
      <c r="G29" s="490"/>
      <c r="H29" s="473"/>
      <c r="I29" s="473"/>
      <c r="J29" s="473"/>
      <c r="K29" s="473"/>
      <c r="L29" s="473"/>
      <c r="M29" s="473"/>
      <c r="N29" s="473"/>
      <c r="O29" s="473"/>
      <c r="P29" s="473"/>
      <c r="Q29" s="473"/>
      <c r="R29" s="473"/>
      <c r="AF29" s="473"/>
      <c r="AG29" s="473"/>
      <c r="AH29" s="473"/>
      <c r="AI29" s="483"/>
      <c r="AJ29" s="473"/>
      <c r="AK29" s="473"/>
      <c r="AL29" s="473"/>
      <c r="AM29" s="473"/>
      <c r="AN29" s="473"/>
      <c r="AO29" s="473"/>
      <c r="AP29" s="473"/>
      <c r="AQ29" s="473"/>
      <c r="AR29" s="473"/>
      <c r="AS29" s="473"/>
      <c r="AT29" s="473"/>
      <c r="AU29" s="473"/>
      <c r="AV29" s="473"/>
      <c r="AW29" s="473"/>
      <c r="AX29" s="473"/>
      <c r="AY29" s="473"/>
      <c r="AZ29" s="473"/>
      <c r="BA29" s="473"/>
      <c r="BB29" s="473"/>
      <c r="BC29" s="473"/>
      <c r="BG29" s="489"/>
      <c r="BH29" s="489"/>
      <c r="BI29" s="489"/>
      <c r="BJ29" s="489"/>
      <c r="BK29" s="489"/>
      <c r="BL29" s="489"/>
      <c r="BM29" s="489"/>
      <c r="BN29" s="489"/>
      <c r="BO29" s="1096">
        <v>2</v>
      </c>
      <c r="BP29" s="478"/>
      <c r="BQ29" s="478" t="b">
        <f>IF(BV55=2,-4)</f>
        <v>0</v>
      </c>
      <c r="BR29" s="478"/>
      <c r="BS29" s="478"/>
      <c r="BT29" s="478"/>
      <c r="BU29" s="478"/>
      <c r="BV29" s="478"/>
      <c r="BW29" s="478"/>
      <c r="BX29" s="478"/>
      <c r="BY29" s="478"/>
      <c r="BZ29" s="478" t="b">
        <f>IF(BV55=2,6)</f>
        <v>0</v>
      </c>
      <c r="CA29" s="478"/>
      <c r="CB29" s="478"/>
      <c r="CC29" s="478"/>
      <c r="CD29" s="478"/>
      <c r="CE29" s="478"/>
      <c r="CF29" s="478"/>
      <c r="CG29" s="478"/>
      <c r="CH29" s="478"/>
      <c r="CI29" s="478"/>
      <c r="CJ29" s="478"/>
      <c r="CK29" s="478"/>
      <c r="CL29" s="478"/>
      <c r="CM29" s="478"/>
    </row>
    <row r="30" spans="2:91" ht="21" hidden="1" x14ac:dyDescent="0.4">
      <c r="B30" s="499" t="s">
        <v>129</v>
      </c>
      <c r="C30" s="492"/>
      <c r="D30" s="499"/>
      <c r="E30" s="499">
        <v>9240</v>
      </c>
      <c r="G30" s="490"/>
      <c r="H30" s="473"/>
      <c r="I30" s="473"/>
      <c r="J30" s="473"/>
      <c r="K30" s="473"/>
      <c r="L30" s="473"/>
      <c r="M30" s="473"/>
      <c r="N30" s="473"/>
      <c r="O30" s="473"/>
      <c r="P30" s="473"/>
      <c r="Q30" s="473"/>
      <c r="R30" s="473"/>
      <c r="S30" s="473"/>
      <c r="T30" s="473"/>
      <c r="AF30" s="473"/>
      <c r="AG30" s="473"/>
      <c r="AH30" s="473"/>
      <c r="AI30" s="483"/>
      <c r="AJ30" s="473"/>
      <c r="AK30" s="473"/>
      <c r="AL30" s="473"/>
      <c r="AM30" s="473"/>
      <c r="AN30" s="473"/>
      <c r="AO30" s="473"/>
      <c r="AP30" s="473"/>
      <c r="AQ30" s="473"/>
      <c r="AR30" s="473"/>
      <c r="AS30" s="473"/>
      <c r="AT30" s="473"/>
      <c r="AU30" s="473"/>
      <c r="AV30" s="473"/>
      <c r="AW30" s="473"/>
      <c r="AX30" s="473"/>
      <c r="AY30" s="473"/>
      <c r="AZ30" s="473"/>
      <c r="BA30" s="473"/>
      <c r="BB30" s="473"/>
      <c r="BC30" s="473"/>
      <c r="BG30" s="489"/>
      <c r="BH30" s="489"/>
      <c r="BI30" s="489"/>
      <c r="BJ30" s="489"/>
      <c r="BK30" s="489"/>
      <c r="BL30" s="489"/>
      <c r="BM30" s="489"/>
      <c r="BN30" s="489"/>
      <c r="BO30" s="1096">
        <v>1</v>
      </c>
      <c r="BP30" s="478" t="b">
        <f>IF(BU55=1,-5)</f>
        <v>0</v>
      </c>
      <c r="BQ30" s="478"/>
      <c r="BR30" s="478"/>
      <c r="BS30" s="478"/>
      <c r="BT30" s="478"/>
      <c r="BU30" s="478"/>
      <c r="BV30" s="478"/>
      <c r="BW30" s="478"/>
      <c r="BX30" s="478"/>
      <c r="BY30" s="478"/>
      <c r="BZ30" s="478" t="b">
        <f>IF(BU55=1,6)</f>
        <v>0</v>
      </c>
      <c r="CA30" s="478"/>
      <c r="CB30" s="478"/>
      <c r="CC30" s="478"/>
      <c r="CD30" s="478"/>
      <c r="CE30" s="478"/>
      <c r="CF30" s="478"/>
      <c r="CG30" s="478"/>
      <c r="CH30" s="478"/>
      <c r="CI30" s="478"/>
      <c r="CJ30" s="478"/>
      <c r="CK30" s="478" t="b">
        <f>IF(CL55=-5,-4)</f>
        <v>0</v>
      </c>
      <c r="CL30" s="478"/>
      <c r="CM30" s="478" t="b">
        <f>IF(CL55=-5,-6)</f>
        <v>0</v>
      </c>
    </row>
    <row r="31" spans="2:91" ht="21" hidden="1" x14ac:dyDescent="0.4">
      <c r="B31" s="499" t="s">
        <v>130</v>
      </c>
      <c r="C31" s="492"/>
      <c r="D31" s="499">
        <v>5000</v>
      </c>
      <c r="E31" s="499">
        <v>5000</v>
      </c>
      <c r="G31" s="490"/>
      <c r="H31" s="473"/>
      <c r="I31" s="473"/>
      <c r="J31" s="473"/>
      <c r="K31" s="473"/>
      <c r="L31" s="473"/>
      <c r="M31" s="473"/>
      <c r="N31" s="473"/>
      <c r="O31" s="473"/>
      <c r="P31" s="473"/>
      <c r="Q31" s="473"/>
      <c r="R31" s="473"/>
      <c r="S31" s="473"/>
      <c r="T31" s="473"/>
      <c r="AF31" s="473"/>
      <c r="AG31" s="473"/>
      <c r="AH31" s="473"/>
      <c r="AI31" s="483"/>
      <c r="AJ31" s="473"/>
      <c r="AK31" s="473"/>
      <c r="AL31" s="473"/>
      <c r="AM31" s="473"/>
      <c r="AN31" s="473"/>
      <c r="AO31" s="473"/>
      <c r="AP31" s="473"/>
      <c r="AQ31" s="473"/>
      <c r="AR31" s="473"/>
      <c r="AS31" s="473"/>
      <c r="AT31" s="473"/>
      <c r="AU31" s="473"/>
      <c r="AV31" s="473"/>
      <c r="AW31" s="473"/>
      <c r="AX31" s="473"/>
      <c r="AY31" s="473"/>
      <c r="AZ31" s="473"/>
      <c r="BA31" s="473"/>
      <c r="BB31" s="473"/>
      <c r="BC31" s="473"/>
      <c r="BG31" s="489"/>
      <c r="BH31" s="489"/>
      <c r="BI31" s="489"/>
      <c r="BJ31" s="489"/>
      <c r="BK31" s="489"/>
      <c r="BL31" s="489"/>
      <c r="BM31" s="489"/>
      <c r="BN31" s="489"/>
      <c r="BO31" s="1096">
        <v>-1</v>
      </c>
      <c r="BP31" s="478"/>
      <c r="BQ31" s="478" t="b">
        <f>IF(BT55=-1,-4)</f>
        <v>0</v>
      </c>
      <c r="BR31" s="478"/>
      <c r="BS31" s="478"/>
      <c r="BT31" s="478"/>
      <c r="BU31" s="478"/>
      <c r="BV31" s="478"/>
      <c r="BW31" s="478" t="b">
        <f>IF(BT55=-1,3)</f>
        <v>0</v>
      </c>
      <c r="BX31" s="478"/>
      <c r="BY31" s="478"/>
      <c r="BZ31" s="478"/>
      <c r="CA31" s="478"/>
      <c r="CB31" s="478"/>
      <c r="CC31" s="478"/>
      <c r="CD31" s="478"/>
      <c r="CE31" s="478"/>
      <c r="CF31" s="478"/>
      <c r="CG31" s="478"/>
      <c r="CH31" s="478"/>
      <c r="CI31" s="478" t="b">
        <f>IF(CK55=-4,-2)</f>
        <v>0</v>
      </c>
      <c r="CJ31" s="478"/>
      <c r="CK31" s="478"/>
      <c r="CL31" s="478"/>
      <c r="CM31" s="478" t="b">
        <f>IF(CK55=-4,-6)</f>
        <v>0</v>
      </c>
    </row>
    <row r="32" spans="2:91" ht="21" hidden="1" x14ac:dyDescent="0.4">
      <c r="B32" s="473"/>
      <c r="C32" s="491"/>
      <c r="D32" s="1414" t="s">
        <v>22</v>
      </c>
      <c r="E32" s="1414" t="s">
        <v>23</v>
      </c>
      <c r="G32" s="490"/>
      <c r="H32" s="473"/>
      <c r="I32" s="473"/>
      <c r="J32" s="473"/>
      <c r="K32" s="473"/>
      <c r="L32" s="473"/>
      <c r="M32" s="473"/>
      <c r="N32" s="473"/>
      <c r="O32" s="473"/>
      <c r="P32" s="473"/>
      <c r="Q32" s="473"/>
      <c r="R32" s="473"/>
      <c r="S32" s="473"/>
      <c r="T32" s="473"/>
      <c r="AF32" s="473"/>
      <c r="AG32" s="473"/>
      <c r="AH32" s="473"/>
      <c r="AI32" s="483"/>
      <c r="AJ32" s="473"/>
      <c r="AK32" s="473"/>
      <c r="AL32" s="473"/>
      <c r="AM32" s="473"/>
      <c r="AN32" s="473"/>
      <c r="AO32" s="473"/>
      <c r="AP32" s="473"/>
      <c r="AQ32" s="473"/>
      <c r="AR32" s="473"/>
      <c r="AS32" s="473"/>
      <c r="AT32" s="473"/>
      <c r="AU32" s="473"/>
      <c r="AV32" s="473"/>
      <c r="AW32" s="473"/>
      <c r="AX32" s="473"/>
      <c r="AY32" s="473"/>
      <c r="AZ32" s="473"/>
      <c r="BA32" s="473"/>
      <c r="BB32" s="473"/>
      <c r="BC32" s="473"/>
      <c r="BG32" s="489"/>
      <c r="BH32" s="489"/>
      <c r="BI32" s="489"/>
      <c r="BJ32" s="489"/>
      <c r="BK32" s="489"/>
      <c r="BL32" s="489"/>
      <c r="BM32" s="489"/>
      <c r="BN32" s="489"/>
      <c r="BO32" s="1096">
        <v>-2</v>
      </c>
      <c r="BP32" s="478" t="b">
        <f>IF(BS55=-2,-5)</f>
        <v>0</v>
      </c>
      <c r="BQ32" s="478"/>
      <c r="BR32" s="478"/>
      <c r="BS32" s="478"/>
      <c r="BT32" s="478"/>
      <c r="BU32" s="478"/>
      <c r="BV32" s="478" t="b">
        <f>IF(BS55=-2,2)</f>
        <v>0</v>
      </c>
      <c r="BW32" s="478"/>
      <c r="BX32" s="500"/>
      <c r="BY32" s="500"/>
      <c r="BZ32" s="478"/>
      <c r="CA32" s="500"/>
      <c r="CB32" s="478"/>
      <c r="CC32" s="478"/>
      <c r="CD32" s="478"/>
      <c r="CE32" s="478"/>
      <c r="CF32" s="478"/>
      <c r="CG32" s="478" t="b">
        <f>IF(CJ55=-3,10)</f>
        <v>0</v>
      </c>
      <c r="CH32" s="478"/>
      <c r="CI32" s="478"/>
      <c r="CJ32" s="478"/>
      <c r="CK32" s="478"/>
      <c r="CL32" s="478"/>
      <c r="CM32" s="478" t="b">
        <f>IF(CJ55=-3,-6)</f>
        <v>0</v>
      </c>
    </row>
    <row r="33" spans="2:94" ht="21.6" hidden="1" thickBot="1" x14ac:dyDescent="0.45">
      <c r="B33" s="501" t="s">
        <v>17</v>
      </c>
      <c r="C33" s="491"/>
      <c r="D33" s="1415">
        <f>+((D24-D25)/D24)*D23</f>
        <v>218.3827449871103</v>
      </c>
      <c r="E33" s="1415">
        <f>+(D25/D24)*D23</f>
        <v>102.3172550128897</v>
      </c>
      <c r="G33" s="490"/>
      <c r="H33" s="473"/>
      <c r="I33" s="473"/>
      <c r="J33" s="473"/>
      <c r="K33" s="473"/>
      <c r="L33" s="473"/>
      <c r="M33" s="473"/>
      <c r="N33" s="473"/>
      <c r="O33" s="473"/>
      <c r="P33" s="473"/>
      <c r="Q33" s="473"/>
      <c r="R33" s="473"/>
      <c r="S33" s="473"/>
      <c r="T33" s="473"/>
      <c r="AF33" s="473"/>
      <c r="AG33" s="473"/>
      <c r="AH33" s="473"/>
      <c r="AI33" s="483"/>
      <c r="AJ33" s="473"/>
      <c r="AK33" s="473"/>
      <c r="AL33" s="473"/>
      <c r="AM33" s="473"/>
      <c r="AN33" s="473"/>
      <c r="AO33" s="473"/>
      <c r="AP33" s="473"/>
      <c r="AQ33" s="473"/>
      <c r="AR33" s="473"/>
      <c r="AS33" s="473"/>
      <c r="AT33" s="473"/>
      <c r="AU33" s="473"/>
      <c r="AV33" s="473"/>
      <c r="AW33" s="473"/>
      <c r="AX33" s="473"/>
      <c r="AY33" s="473"/>
      <c r="AZ33" s="473"/>
      <c r="BA33" s="473"/>
      <c r="BB33" s="473"/>
      <c r="BC33" s="473"/>
      <c r="BG33" s="489"/>
      <c r="BH33" s="489"/>
      <c r="BI33" s="489"/>
      <c r="BJ33" s="489"/>
      <c r="BK33" s="489"/>
      <c r="BL33" s="489"/>
      <c r="BM33" s="489"/>
      <c r="BN33" s="489"/>
      <c r="BO33" s="1096">
        <v>-3</v>
      </c>
      <c r="BP33" s="478" t="b">
        <f>IF(BR55=-3,-5)</f>
        <v>0</v>
      </c>
      <c r="BQ33" s="478"/>
      <c r="BR33" s="478"/>
      <c r="BS33" s="478"/>
      <c r="BT33" s="478" t="b">
        <f>IF(BR55=-3,-1)</f>
        <v>0</v>
      </c>
      <c r="BU33" s="478"/>
      <c r="BV33" s="478"/>
      <c r="BW33" s="478"/>
      <c r="BX33" s="478"/>
      <c r="BY33" s="478"/>
      <c r="BZ33" s="478"/>
      <c r="CA33" s="478"/>
      <c r="CB33" s="478"/>
      <c r="CC33" s="478"/>
      <c r="CD33" s="478"/>
      <c r="CE33" s="478" t="b">
        <f>IF(CI55=-2,-8)</f>
        <v>0</v>
      </c>
      <c r="CF33" s="478"/>
      <c r="CG33" s="478"/>
      <c r="CH33" s="478"/>
      <c r="CI33" s="478"/>
      <c r="CJ33" s="478"/>
      <c r="CK33" s="478"/>
      <c r="CL33" s="478"/>
      <c r="CM33" s="478" t="b">
        <f>IF(CI55=-2,-6)</f>
        <v>0</v>
      </c>
    </row>
    <row r="34" spans="2:94" ht="27" hidden="1" thickBot="1" x14ac:dyDescent="0.45">
      <c r="B34" s="502" t="s">
        <v>67</v>
      </c>
      <c r="C34" s="491"/>
      <c r="D34" s="1416">
        <f>+D31/BM39</f>
        <v>20.14477233355462</v>
      </c>
      <c r="E34" s="1417">
        <f>+E31/CO39</f>
        <v>30.944427214166367</v>
      </c>
      <c r="F34" s="1417">
        <f>+E30/BP1</f>
        <v>28.811973807296539</v>
      </c>
      <c r="G34" s="490"/>
      <c r="H34" s="473"/>
      <c r="I34" s="473"/>
      <c r="J34" s="473"/>
      <c r="K34" s="473"/>
      <c r="L34" s="473"/>
      <c r="M34" s="473"/>
      <c r="N34" s="473"/>
      <c r="O34" s="473"/>
      <c r="P34" s="473"/>
      <c r="Q34" s="473"/>
      <c r="R34" s="473"/>
      <c r="S34" s="473"/>
      <c r="T34" s="473"/>
      <c r="AF34" s="473"/>
      <c r="AG34" s="473"/>
      <c r="AH34" s="473"/>
      <c r="AI34" s="483"/>
      <c r="AJ34" s="473"/>
      <c r="AK34" s="473"/>
      <c r="AL34" s="473"/>
      <c r="AM34" s="473"/>
      <c r="AN34" s="473"/>
      <c r="AO34" s="473"/>
      <c r="AP34" s="473"/>
      <c r="AQ34" s="473"/>
      <c r="AR34" s="473"/>
      <c r="AS34" s="473"/>
      <c r="AT34" s="473"/>
      <c r="AU34" s="473"/>
      <c r="AV34" s="473"/>
      <c r="AW34" s="473"/>
      <c r="AX34" s="473"/>
      <c r="AY34" s="473"/>
      <c r="AZ34" s="473"/>
      <c r="BA34" s="473"/>
      <c r="BB34" s="473"/>
      <c r="BC34" s="473"/>
      <c r="BG34" s="489"/>
      <c r="BH34" s="489"/>
      <c r="BI34" s="489"/>
      <c r="BJ34" s="489"/>
      <c r="BK34" s="489"/>
      <c r="BL34" s="489"/>
      <c r="BM34" s="489"/>
      <c r="BN34" s="489"/>
      <c r="BO34" s="1096">
        <v>-4</v>
      </c>
      <c r="BP34" s="478" t="b">
        <f>IF(BQ55=-4,-5)</f>
        <v>0</v>
      </c>
      <c r="BQ34" s="478"/>
      <c r="BR34" s="478" t="b">
        <f>IF(BQ55=-4,-3)</f>
        <v>0</v>
      </c>
      <c r="BS34" s="478"/>
      <c r="BT34" s="478"/>
      <c r="BU34" s="478"/>
      <c r="BV34" s="478"/>
      <c r="BW34" s="478"/>
      <c r="BX34" s="478"/>
      <c r="BY34" s="478"/>
      <c r="BZ34" s="478"/>
      <c r="CA34" s="478"/>
      <c r="CB34" s="478"/>
      <c r="CC34" s="478"/>
      <c r="CD34" s="478" t="b">
        <f>IF(CH55=-1,7)</f>
        <v>0</v>
      </c>
      <c r="CE34" s="478"/>
      <c r="CF34" s="478"/>
      <c r="CG34" s="478"/>
      <c r="CH34" s="478"/>
      <c r="CI34" s="478"/>
      <c r="CJ34" s="478"/>
      <c r="CK34" s="478"/>
      <c r="CL34" s="478" t="b">
        <f>IF(CH55=-1,-5)</f>
        <v>0</v>
      </c>
      <c r="CM34" s="478"/>
    </row>
    <row r="35" spans="2:94" ht="41.4" hidden="1" thickBot="1" x14ac:dyDescent="0.4">
      <c r="B35" s="473"/>
      <c r="C35" s="491"/>
      <c r="D35" s="493"/>
      <c r="E35" s="493"/>
      <c r="F35" s="493"/>
      <c r="G35" s="490"/>
      <c r="H35" s="473"/>
      <c r="I35" s="473"/>
      <c r="J35" s="473"/>
      <c r="K35" s="473"/>
      <c r="L35" s="473"/>
      <c r="M35" s="473"/>
      <c r="N35" s="473"/>
      <c r="O35" s="473"/>
      <c r="P35" s="473"/>
      <c r="Q35" s="473"/>
      <c r="R35" s="473"/>
      <c r="S35" s="473"/>
      <c r="T35" s="473"/>
      <c r="AF35" s="473"/>
      <c r="AG35" s="473"/>
      <c r="AH35" s="473"/>
      <c r="AI35" s="483"/>
      <c r="AJ35" s="473"/>
      <c r="AK35" s="473"/>
      <c r="AL35" s="473"/>
      <c r="AM35" s="473"/>
      <c r="AN35" s="473"/>
      <c r="AO35" s="473"/>
      <c r="AP35" s="473"/>
      <c r="AQ35" s="473"/>
      <c r="AR35" s="473"/>
      <c r="AS35" s="473"/>
      <c r="AT35" s="473"/>
      <c r="AU35" s="473"/>
      <c r="AV35" s="473"/>
      <c r="AW35" s="473"/>
      <c r="AX35" s="473"/>
      <c r="AY35" s="473"/>
      <c r="AZ35" s="473"/>
      <c r="BA35" s="473"/>
      <c r="BB35" s="473"/>
      <c r="BC35" s="473"/>
      <c r="BG35" s="489"/>
      <c r="BH35" s="489"/>
      <c r="BI35" s="489"/>
      <c r="BJ35" s="489"/>
      <c r="BK35" s="489"/>
      <c r="BL35" s="489"/>
      <c r="BM35" s="489"/>
      <c r="BN35" s="489"/>
      <c r="BO35" s="1135" t="s">
        <v>131</v>
      </c>
      <c r="BP35" s="503">
        <f t="shared" ref="BP35:CG35" si="0">SUM(BP18:BP34)</f>
        <v>-5</v>
      </c>
      <c r="BQ35" s="503">
        <f t="shared" si="0"/>
        <v>0</v>
      </c>
      <c r="BR35" s="503">
        <f t="shared" si="0"/>
        <v>0</v>
      </c>
      <c r="BS35" s="503">
        <f t="shared" si="0"/>
        <v>0</v>
      </c>
      <c r="BT35" s="503">
        <f t="shared" si="0"/>
        <v>0</v>
      </c>
      <c r="BU35" s="503">
        <f t="shared" si="0"/>
        <v>0</v>
      </c>
      <c r="BV35" s="503">
        <f t="shared" si="0"/>
        <v>0</v>
      </c>
      <c r="BW35" s="503">
        <f t="shared" si="0"/>
        <v>0</v>
      </c>
      <c r="BX35" s="503">
        <f t="shared" si="0"/>
        <v>0</v>
      </c>
      <c r="BY35" s="503">
        <f t="shared" si="0"/>
        <v>0</v>
      </c>
      <c r="BZ35" s="503">
        <f t="shared" si="0"/>
        <v>0</v>
      </c>
      <c r="CA35" s="503">
        <f t="shared" si="0"/>
        <v>0</v>
      </c>
      <c r="CB35" s="503">
        <f t="shared" si="0"/>
        <v>0</v>
      </c>
      <c r="CC35" s="503">
        <f t="shared" si="0"/>
        <v>0</v>
      </c>
      <c r="CD35" s="503">
        <f t="shared" si="0"/>
        <v>0</v>
      </c>
      <c r="CE35" s="503">
        <f t="shared" si="0"/>
        <v>0</v>
      </c>
      <c r="CF35" s="503">
        <f t="shared" si="0"/>
        <v>0</v>
      </c>
      <c r="CG35" s="503">
        <f t="shared" si="0"/>
        <v>0</v>
      </c>
      <c r="CH35" s="503">
        <f t="shared" ref="CH35:CM35" si="1">SUM(CH13:CH34)</f>
        <v>11</v>
      </c>
      <c r="CI35" s="503">
        <f t="shared" si="1"/>
        <v>0</v>
      </c>
      <c r="CJ35" s="503">
        <f t="shared" si="1"/>
        <v>0</v>
      </c>
      <c r="CK35" s="503">
        <f t="shared" si="1"/>
        <v>0</v>
      </c>
      <c r="CL35" s="503">
        <f t="shared" si="1"/>
        <v>0</v>
      </c>
      <c r="CM35" s="503">
        <f t="shared" si="1"/>
        <v>0</v>
      </c>
    </row>
    <row r="36" spans="2:94" ht="42.6" thickBot="1" x14ac:dyDescent="0.45">
      <c r="G36" s="490"/>
      <c r="H36" s="473"/>
      <c r="I36" s="473"/>
      <c r="J36" s="473"/>
      <c r="K36" s="473"/>
      <c r="L36" s="473"/>
      <c r="M36" s="473"/>
      <c r="N36" s="473"/>
      <c r="O36" s="473"/>
      <c r="P36" s="473"/>
      <c r="Q36" s="473"/>
      <c r="R36" s="473"/>
      <c r="S36" s="473"/>
      <c r="T36" s="473"/>
      <c r="AF36" s="473"/>
      <c r="AG36" s="473"/>
      <c r="AH36" s="473"/>
      <c r="AI36" s="483"/>
      <c r="AJ36" s="473"/>
      <c r="AK36" s="473"/>
      <c r="AL36" s="473"/>
      <c r="AM36" s="473"/>
      <c r="AN36" s="473"/>
      <c r="AO36" s="473"/>
      <c r="AP36" s="473"/>
      <c r="AQ36" s="473"/>
      <c r="AR36" s="473"/>
      <c r="AS36" s="473"/>
      <c r="AT36" s="473"/>
      <c r="AU36" s="473"/>
      <c r="AV36" s="473"/>
      <c r="AW36" s="473"/>
      <c r="AX36" s="473"/>
      <c r="AY36" s="473"/>
      <c r="AZ36" s="473"/>
      <c r="BA36" s="473"/>
      <c r="BB36" s="473"/>
      <c r="BC36" s="473"/>
      <c r="BG36" s="489"/>
      <c r="BH36" s="489"/>
      <c r="BI36" s="489"/>
      <c r="BJ36" s="489"/>
      <c r="BK36" s="489"/>
      <c r="BL36" s="489"/>
      <c r="BM36" s="489"/>
      <c r="BN36" s="489"/>
      <c r="BO36" s="1110" t="s">
        <v>131</v>
      </c>
      <c r="BP36" s="1012" t="str">
        <f>IF(BP35=-5,"A ","")</f>
        <v xml:space="preserve">A </v>
      </c>
      <c r="BQ36" s="1012" t="str">
        <f>IF(BQ35=-4,"B ","")</f>
        <v/>
      </c>
      <c r="BR36" s="1012" t="str">
        <f>IF(BR35=-3,"C ","")</f>
        <v/>
      </c>
      <c r="BS36" s="1012" t="str">
        <f>IF(BS35=-2,"D ","")</f>
        <v/>
      </c>
      <c r="BT36" s="1012" t="str">
        <f>IF(BT35=-1,"E ","")</f>
        <v/>
      </c>
      <c r="BU36" s="1012">
        <f t="shared" ref="BU36:BZ36" si="2">+BU35</f>
        <v>0</v>
      </c>
      <c r="BV36" s="1012">
        <f t="shared" si="2"/>
        <v>0</v>
      </c>
      <c r="BW36" s="1012">
        <f t="shared" si="2"/>
        <v>0</v>
      </c>
      <c r="BX36" s="1012">
        <f t="shared" si="2"/>
        <v>0</v>
      </c>
      <c r="BY36" s="1012">
        <f t="shared" si="2"/>
        <v>0</v>
      </c>
      <c r="BZ36" s="1012">
        <f t="shared" si="2"/>
        <v>0</v>
      </c>
      <c r="CA36" s="1012" t="str">
        <f>IF(CA35=61,"B ","")</f>
        <v/>
      </c>
      <c r="CB36" s="1012" t="str">
        <f>IF(CB35=62,"C ","")</f>
        <v/>
      </c>
      <c r="CC36" s="1012" t="str">
        <f>IF(CC35=63,"D ","")</f>
        <v/>
      </c>
      <c r="CD36" s="1012">
        <f>+CD35</f>
        <v>0</v>
      </c>
      <c r="CE36" s="1012">
        <f>+CE35</f>
        <v>0</v>
      </c>
      <c r="CF36" s="1012">
        <f>+CF35</f>
        <v>0</v>
      </c>
      <c r="CG36" s="1012">
        <f>+CG35</f>
        <v>0</v>
      </c>
      <c r="CH36" s="1012">
        <f>+CH35</f>
        <v>11</v>
      </c>
      <c r="CI36" s="1012" t="str">
        <f>IF(CI35=-2,"E ","")</f>
        <v/>
      </c>
      <c r="CJ36" s="1012" t="str">
        <f>IF(CJ35=-3,"D ","")</f>
        <v/>
      </c>
      <c r="CK36" s="1012" t="str">
        <f>IF(CK35=-4,"C ","")</f>
        <v/>
      </c>
      <c r="CL36" s="1012" t="str">
        <f>IF(CL35=-5,"B ","")</f>
        <v/>
      </c>
      <c r="CM36" s="1013" t="str">
        <f>IF(CM35=-6,"A ","")</f>
        <v/>
      </c>
    </row>
    <row r="37" spans="2:94" ht="9" customHeight="1" thickBot="1" x14ac:dyDescent="0.4">
      <c r="G37" s="490"/>
      <c r="H37" s="473"/>
      <c r="I37" s="473"/>
      <c r="J37" s="473"/>
      <c r="K37" s="473"/>
      <c r="L37" s="473"/>
      <c r="M37" s="473"/>
      <c r="N37" s="473"/>
      <c r="O37" s="473"/>
      <c r="P37" s="473"/>
      <c r="Q37" s="473"/>
      <c r="R37" s="473"/>
      <c r="S37" s="473"/>
      <c r="T37" s="473"/>
      <c r="V37" s="493"/>
      <c r="W37" s="493"/>
      <c r="X37" s="493"/>
      <c r="Y37" s="493"/>
      <c r="Z37" s="493"/>
      <c r="AA37" s="493"/>
      <c r="AB37" s="473"/>
      <c r="AC37" s="473"/>
      <c r="AD37" s="473"/>
      <c r="AE37" s="473"/>
      <c r="AF37" s="473"/>
      <c r="AG37" s="473"/>
      <c r="AH37" s="473"/>
      <c r="AI37" s="483"/>
      <c r="AJ37" s="473"/>
      <c r="AK37" s="473"/>
      <c r="AL37" s="473"/>
      <c r="AM37" s="473"/>
      <c r="AN37" s="473"/>
      <c r="AO37" s="473"/>
      <c r="AP37" s="473"/>
      <c r="AQ37" s="473"/>
      <c r="AR37" s="473"/>
      <c r="AS37" s="473"/>
      <c r="AT37" s="473"/>
      <c r="AU37" s="473"/>
      <c r="AV37" s="473"/>
      <c r="AW37" s="473"/>
      <c r="AX37" s="473"/>
      <c r="AY37" s="473"/>
      <c r="AZ37" s="473"/>
      <c r="BA37" s="473"/>
      <c r="BB37" s="473"/>
      <c r="BC37" s="473"/>
      <c r="BG37" s="489"/>
      <c r="BH37" s="489"/>
      <c r="BI37" s="489"/>
      <c r="BJ37" s="489"/>
      <c r="BK37" s="489"/>
      <c r="BL37" s="489"/>
      <c r="BM37" s="489"/>
      <c r="BN37" s="489"/>
      <c r="BO37" s="1093"/>
      <c r="CI37" s="504"/>
      <c r="CJ37" s="504"/>
      <c r="CK37" s="504"/>
      <c r="CL37" s="504"/>
      <c r="CM37" s="505"/>
    </row>
    <row r="38" spans="2:94" ht="24" customHeight="1" x14ac:dyDescent="0.4">
      <c r="B38" s="491"/>
      <c r="C38" s="491"/>
      <c r="D38" s="490"/>
      <c r="E38" s="490"/>
      <c r="F38" s="490"/>
      <c r="G38" s="490"/>
      <c r="H38" s="473"/>
      <c r="I38" s="473"/>
      <c r="J38" s="473"/>
      <c r="K38" s="473"/>
      <c r="L38" s="473"/>
      <c r="M38" s="473"/>
      <c r="N38" s="473"/>
      <c r="O38" s="473"/>
      <c r="P38" s="473"/>
      <c r="Q38" s="473"/>
      <c r="R38" s="473"/>
      <c r="S38" s="473"/>
      <c r="T38" s="473"/>
      <c r="V38" s="493"/>
      <c r="W38" s="493"/>
      <c r="X38" s="493"/>
      <c r="Y38" s="493"/>
      <c r="Z38" s="493"/>
      <c r="AA38" s="493"/>
      <c r="AB38" s="473"/>
      <c r="AC38" s="473"/>
      <c r="AD38" s="473"/>
      <c r="AE38" s="473"/>
      <c r="AF38" s="473"/>
      <c r="AG38" s="473"/>
      <c r="AH38" s="473"/>
      <c r="AI38" s="483"/>
      <c r="AJ38" s="473"/>
      <c r="AK38" s="473"/>
      <c r="AL38" s="473"/>
      <c r="AM38" s="473"/>
      <c r="AN38" s="473"/>
      <c r="AO38" s="473"/>
      <c r="AP38" s="473"/>
      <c r="AQ38" s="473"/>
      <c r="AR38" s="473"/>
      <c r="AS38" s="473"/>
      <c r="AT38" s="473"/>
      <c r="AU38" s="473"/>
      <c r="AV38" s="473"/>
      <c r="AW38" s="473"/>
      <c r="AX38" s="473"/>
      <c r="AY38" s="473"/>
      <c r="AZ38" s="473"/>
      <c r="BA38" s="473"/>
      <c r="BB38" s="473"/>
      <c r="BC38" s="473"/>
      <c r="BG38" s="489"/>
      <c r="BH38" s="489"/>
      <c r="BI38" s="489"/>
      <c r="BJ38" s="489"/>
      <c r="BK38" s="489"/>
      <c r="BL38" s="489"/>
      <c r="BM38" s="489"/>
      <c r="BN38" s="489"/>
      <c r="BO38" s="1132" t="s">
        <v>30</v>
      </c>
      <c r="BP38" s="2139"/>
      <c r="BQ38" s="2140"/>
      <c r="BR38" s="2140"/>
      <c r="BS38" s="2140"/>
      <c r="BT38" s="2141"/>
      <c r="BU38" s="1131" t="s">
        <v>31</v>
      </c>
      <c r="BV38" s="1014"/>
      <c r="BW38" s="1014"/>
      <c r="BX38" s="1014"/>
      <c r="BY38" s="1014"/>
      <c r="BZ38" s="1014"/>
      <c r="CA38" s="1014"/>
      <c r="CB38" s="1014"/>
      <c r="CC38" s="1014"/>
      <c r="CD38" s="1014"/>
      <c r="CE38" s="1014"/>
      <c r="CF38" s="1014"/>
      <c r="CG38" s="1014"/>
      <c r="CH38" s="1128" t="s">
        <v>32</v>
      </c>
      <c r="CI38" s="2139"/>
      <c r="CJ38" s="2140"/>
      <c r="CK38" s="2140"/>
      <c r="CL38" s="2140"/>
      <c r="CM38" s="2141"/>
    </row>
    <row r="39" spans="2:94" ht="24" customHeight="1" thickBot="1" x14ac:dyDescent="0.5">
      <c r="B39" s="491"/>
      <c r="C39" s="491"/>
      <c r="D39" s="490"/>
      <c r="E39" s="490"/>
      <c r="F39" s="490"/>
      <c r="G39" s="490"/>
      <c r="H39" s="473"/>
      <c r="I39" s="473"/>
      <c r="J39" s="473"/>
      <c r="K39" s="473"/>
      <c r="L39" s="473"/>
      <c r="M39" s="473"/>
      <c r="N39" s="473"/>
      <c r="O39" s="473"/>
      <c r="P39" s="473"/>
      <c r="Q39" s="473"/>
      <c r="R39" s="473"/>
      <c r="S39" s="473"/>
      <c r="T39" s="473"/>
      <c r="V39" s="493"/>
      <c r="W39" s="493"/>
      <c r="X39" s="493"/>
      <c r="Y39" s="493"/>
      <c r="Z39" s="493"/>
      <c r="AA39" s="493"/>
      <c r="AB39" s="473"/>
      <c r="AC39" s="473"/>
      <c r="AD39" s="473"/>
      <c r="AE39" s="473"/>
      <c r="AF39" s="473"/>
      <c r="AG39" s="473"/>
      <c r="AH39" s="473"/>
      <c r="AI39" s="483"/>
      <c r="AJ39" s="473"/>
      <c r="AK39" s="473"/>
      <c r="AL39" s="473"/>
      <c r="AM39" s="473"/>
      <c r="AN39" s="473"/>
      <c r="AO39" s="473"/>
      <c r="AP39" s="473"/>
      <c r="AQ39" s="473"/>
      <c r="AR39" s="473"/>
      <c r="AS39" s="473"/>
      <c r="AT39" s="473"/>
      <c r="AU39" s="473"/>
      <c r="AV39" s="473"/>
      <c r="AW39" s="473"/>
      <c r="AX39" s="473"/>
      <c r="AY39" s="473"/>
      <c r="AZ39" s="473"/>
      <c r="BA39" s="473"/>
      <c r="BB39" s="473"/>
      <c r="BC39" s="473"/>
      <c r="BG39" s="489"/>
      <c r="BH39" s="489"/>
      <c r="BI39" s="489"/>
      <c r="BJ39" s="489"/>
      <c r="BK39" s="489"/>
      <c r="BL39" s="1348" t="s">
        <v>223</v>
      </c>
      <c r="BM39" s="1401">
        <f>+MAX(BN6,BN3,BN39)</f>
        <v>248.20335108337915</v>
      </c>
      <c r="BN39" s="1347">
        <f>+IF(AND(CG39&gt;0,BU39&gt;0),BU39)</f>
        <v>220.32002457698655</v>
      </c>
      <c r="BO39" s="1127" t="s">
        <v>41</v>
      </c>
      <c r="BP39" s="2142"/>
      <c r="BQ39" s="2143"/>
      <c r="BR39" s="2143"/>
      <c r="BS39" s="2143"/>
      <c r="BT39" s="2144"/>
      <c r="BU39" s="2088">
        <f>+((E11-E12)/E11)*D23</f>
        <v>220.32002457698655</v>
      </c>
      <c r="BV39" s="2089"/>
      <c r="BW39" s="1015"/>
      <c r="BX39" s="1015"/>
      <c r="BY39" s="1015"/>
      <c r="BZ39" s="1015"/>
      <c r="CA39" s="1015"/>
      <c r="CB39" s="1015"/>
      <c r="CC39" s="1015"/>
      <c r="CD39" s="1015"/>
      <c r="CE39" s="1015"/>
      <c r="CF39" s="1015"/>
      <c r="CG39" s="2090">
        <f>+(E12/E11)*D23</f>
        <v>100.37997542301343</v>
      </c>
      <c r="CH39" s="2091"/>
      <c r="CI39" s="2142"/>
      <c r="CJ39" s="2143"/>
      <c r="CK39" s="2143"/>
      <c r="CL39" s="2143"/>
      <c r="CM39" s="2144"/>
      <c r="CN39" s="1352">
        <f>+IF(AND(BU39&gt;0,CG39&gt;0),CG39)</f>
        <v>100.37997542301343</v>
      </c>
      <c r="CO39" s="1401">
        <f>+MAX(CN6,CN3,CN39)</f>
        <v>161.57998224995416</v>
      </c>
      <c r="CP39" s="1348" t="s">
        <v>224</v>
      </c>
    </row>
    <row r="40" spans="2:94" ht="21.6" hidden="1" thickBot="1" x14ac:dyDescent="0.45">
      <c r="B40" s="491"/>
      <c r="C40" s="491"/>
      <c r="D40" s="490"/>
      <c r="E40" s="490"/>
      <c r="F40" s="490"/>
      <c r="G40" s="490"/>
      <c r="H40" s="473"/>
      <c r="I40" s="473"/>
      <c r="J40" s="473"/>
      <c r="K40" s="473"/>
      <c r="L40" s="473"/>
      <c r="M40" s="473"/>
      <c r="N40" s="473"/>
      <c r="O40" s="473"/>
      <c r="P40" s="473"/>
      <c r="Q40" s="473"/>
      <c r="R40" s="473"/>
      <c r="S40" s="473"/>
      <c r="T40" s="473"/>
      <c r="U40" s="493"/>
      <c r="V40" s="473"/>
      <c r="W40" s="473"/>
      <c r="X40" s="473"/>
      <c r="Y40" s="473"/>
      <c r="Z40" s="473"/>
      <c r="AA40" s="473"/>
      <c r="AB40" s="493"/>
      <c r="AC40" s="493"/>
      <c r="AD40" s="493"/>
      <c r="AE40" s="493"/>
      <c r="AF40" s="473"/>
      <c r="AG40" s="473"/>
      <c r="AH40" s="473"/>
      <c r="AI40" s="483"/>
      <c r="AJ40" s="473"/>
      <c r="AK40" s="473"/>
      <c r="AL40" s="473"/>
      <c r="AM40" s="473"/>
      <c r="AN40" s="473"/>
      <c r="AO40" s="473"/>
      <c r="AP40" s="473"/>
      <c r="AQ40" s="473"/>
      <c r="AR40" s="473"/>
      <c r="AS40" s="473"/>
      <c r="AT40" s="473"/>
      <c r="AU40" s="473"/>
      <c r="AV40" s="473"/>
      <c r="AW40" s="473"/>
      <c r="AX40" s="473"/>
      <c r="AY40" s="473"/>
      <c r="AZ40" s="473"/>
      <c r="BA40" s="473"/>
      <c r="BB40" s="473"/>
      <c r="BC40" s="473"/>
      <c r="BG40" s="489"/>
      <c r="BH40" s="489"/>
      <c r="BI40" s="489"/>
      <c r="BJ40" s="489"/>
      <c r="BK40" s="489"/>
      <c r="BL40" s="489"/>
      <c r="BM40" s="489"/>
      <c r="BN40" s="489"/>
      <c r="BO40" s="1112"/>
      <c r="BP40" s="508"/>
      <c r="BQ40" s="509"/>
      <c r="BR40" s="508"/>
      <c r="BS40" s="508"/>
      <c r="BT40" s="508"/>
      <c r="BU40" s="509"/>
      <c r="BV40" s="508"/>
      <c r="BW40" s="508"/>
      <c r="BX40" s="508"/>
      <c r="BY40" s="508"/>
      <c r="BZ40" s="508"/>
      <c r="CA40" s="508"/>
      <c r="CB40" s="508"/>
      <c r="CC40" s="508"/>
      <c r="CD40" s="508"/>
      <c r="CE40" s="508"/>
      <c r="CF40" s="510" t="b">
        <f>IF(CG55=10,9)</f>
        <v>0</v>
      </c>
      <c r="CG40" s="507"/>
      <c r="CH40" s="511" t="b">
        <f>IF(CG55=10,11)</f>
        <v>0</v>
      </c>
      <c r="CI40" s="504"/>
      <c r="CJ40" s="504"/>
      <c r="CK40" s="504"/>
      <c r="CL40" s="504"/>
      <c r="CM40" s="506"/>
    </row>
    <row r="41" spans="2:94" ht="21.6" hidden="1" thickBot="1" x14ac:dyDescent="0.45">
      <c r="B41" s="491"/>
      <c r="C41" s="491"/>
      <c r="D41" s="490"/>
      <c r="E41" s="490"/>
      <c r="F41" s="490"/>
      <c r="G41" s="490"/>
      <c r="H41" s="473"/>
      <c r="I41" s="473"/>
      <c r="J41" s="473"/>
      <c r="K41" s="473"/>
      <c r="L41" s="473"/>
      <c r="M41" s="473"/>
      <c r="N41" s="473"/>
      <c r="O41" s="473"/>
      <c r="P41" s="473"/>
      <c r="Q41" s="473"/>
      <c r="R41" s="473"/>
      <c r="S41" s="473"/>
      <c r="T41" s="473"/>
      <c r="U41" s="493"/>
      <c r="V41" s="473"/>
      <c r="W41" s="473"/>
      <c r="X41" s="473"/>
      <c r="Y41" s="473"/>
      <c r="Z41" s="473"/>
      <c r="AA41" s="473"/>
      <c r="AB41" s="493"/>
      <c r="AC41" s="493"/>
      <c r="AD41" s="493"/>
      <c r="AE41" s="493"/>
      <c r="AF41" s="473"/>
      <c r="AG41" s="473"/>
      <c r="AH41" s="473"/>
      <c r="AI41" s="483"/>
      <c r="AJ41" s="473"/>
      <c r="AK41" s="473"/>
      <c r="AL41" s="473"/>
      <c r="AM41" s="473"/>
      <c r="AN41" s="473"/>
      <c r="AO41" s="473"/>
      <c r="AP41" s="473"/>
      <c r="AQ41" s="473"/>
      <c r="AR41" s="473"/>
      <c r="AS41" s="473"/>
      <c r="AT41" s="473"/>
      <c r="AU41" s="473"/>
      <c r="AV41" s="473"/>
      <c r="AW41" s="473"/>
      <c r="AX41" s="473"/>
      <c r="AY41" s="473"/>
      <c r="AZ41" s="473"/>
      <c r="BA41" s="473"/>
      <c r="BB41" s="473"/>
      <c r="BC41" s="473"/>
      <c r="BG41" s="489"/>
      <c r="BH41" s="489"/>
      <c r="BI41" s="489"/>
      <c r="BJ41" s="489"/>
      <c r="BK41" s="489"/>
      <c r="BL41" s="489"/>
      <c r="BM41" s="489"/>
      <c r="BN41" s="489"/>
      <c r="BO41" s="1112"/>
      <c r="BP41" s="508"/>
      <c r="BQ41" s="509"/>
      <c r="BR41" s="508"/>
      <c r="BS41" s="508"/>
      <c r="BT41" s="508"/>
      <c r="BU41" s="509"/>
      <c r="BV41" s="508"/>
      <c r="BW41" s="508"/>
      <c r="BX41" s="508"/>
      <c r="BY41" s="508"/>
      <c r="BZ41" s="508"/>
      <c r="CA41" s="508"/>
      <c r="CB41" s="508"/>
      <c r="CC41" s="508"/>
      <c r="CD41" s="512" t="b">
        <f>IF(CF55=9,7)</f>
        <v>0</v>
      </c>
      <c r="CE41" s="513"/>
      <c r="CF41" s="513"/>
      <c r="CG41" s="513"/>
      <c r="CH41" s="514" t="b">
        <f>IF(CF55=9,11)</f>
        <v>0</v>
      </c>
      <c r="CI41" s="504"/>
      <c r="CJ41" s="504"/>
      <c r="CK41" s="504"/>
      <c r="CL41" s="504"/>
      <c r="CM41" s="506"/>
    </row>
    <row r="42" spans="2:94" ht="21.6" hidden="1" thickBot="1" x14ac:dyDescent="0.45">
      <c r="B42" s="491"/>
      <c r="C42" s="491"/>
      <c r="D42" s="490"/>
      <c r="E42" s="490"/>
      <c r="F42" s="490"/>
      <c r="G42" s="490"/>
      <c r="H42" s="473"/>
      <c r="I42" s="473"/>
      <c r="J42" s="473"/>
      <c r="K42" s="473"/>
      <c r="L42" s="473"/>
      <c r="M42" s="473"/>
      <c r="N42" s="473"/>
      <c r="O42" s="473"/>
      <c r="P42" s="473"/>
      <c r="Q42" s="473"/>
      <c r="R42" s="473"/>
      <c r="S42" s="473"/>
      <c r="T42" s="473"/>
      <c r="U42" s="493"/>
      <c r="V42" s="473"/>
      <c r="W42" s="473"/>
      <c r="X42" s="473"/>
      <c r="Y42" s="473"/>
      <c r="Z42" s="473"/>
      <c r="AA42" s="473"/>
      <c r="AB42" s="493"/>
      <c r="AC42" s="493"/>
      <c r="AD42" s="493"/>
      <c r="AE42" s="493"/>
      <c r="AF42" s="473"/>
      <c r="AG42" s="473"/>
      <c r="AH42" s="473"/>
      <c r="AI42" s="483"/>
      <c r="AJ42" s="473"/>
      <c r="AK42" s="473"/>
      <c r="AL42" s="473"/>
      <c r="AM42" s="473"/>
      <c r="AN42" s="473"/>
      <c r="AO42" s="473"/>
      <c r="AP42" s="473"/>
      <c r="AQ42" s="473"/>
      <c r="AR42" s="473"/>
      <c r="AS42" s="473"/>
      <c r="AT42" s="473"/>
      <c r="AU42" s="473"/>
      <c r="AV42" s="473"/>
      <c r="AW42" s="473"/>
      <c r="AX42" s="473"/>
      <c r="AY42" s="473"/>
      <c r="AZ42" s="473"/>
      <c r="BA42" s="473"/>
      <c r="BB42" s="473"/>
      <c r="BC42" s="473"/>
      <c r="BG42" s="489"/>
      <c r="BH42" s="489"/>
      <c r="BI42" s="489"/>
      <c r="BJ42" s="489"/>
      <c r="BK42" s="489"/>
      <c r="BL42" s="489"/>
      <c r="BM42" s="489"/>
      <c r="BN42" s="489"/>
      <c r="BO42" s="1112"/>
      <c r="BP42" s="508"/>
      <c r="BQ42" s="509"/>
      <c r="BR42" s="508"/>
      <c r="BS42" s="508"/>
      <c r="BT42" s="508"/>
      <c r="BU42" s="509"/>
      <c r="BV42" s="508"/>
      <c r="BW42" s="508"/>
      <c r="BX42" s="508"/>
      <c r="BY42" s="508"/>
      <c r="BZ42" s="508"/>
      <c r="CA42" s="508"/>
      <c r="CB42" s="508"/>
      <c r="CC42" s="508"/>
      <c r="CD42" s="510" t="b">
        <f>IF(CE55=8,7)</f>
        <v>0</v>
      </c>
      <c r="CE42" s="507"/>
      <c r="CF42" s="511" t="b">
        <f>IF(CE55=8,9)</f>
        <v>0</v>
      </c>
      <c r="CG42" s="508"/>
      <c r="CH42" s="478"/>
      <c r="CI42" s="504"/>
      <c r="CJ42" s="504"/>
      <c r="CK42" s="504"/>
      <c r="CL42" s="504"/>
      <c r="CM42" s="506"/>
    </row>
    <row r="43" spans="2:94" ht="21.6" hidden="1" thickBot="1" x14ac:dyDescent="0.45">
      <c r="B43" s="491"/>
      <c r="C43" s="491"/>
      <c r="D43" s="490"/>
      <c r="E43" s="490"/>
      <c r="F43" s="490"/>
      <c r="G43" s="490"/>
      <c r="H43" s="473"/>
      <c r="I43" s="473"/>
      <c r="J43" s="473"/>
      <c r="K43" s="473"/>
      <c r="L43" s="473"/>
      <c r="M43" s="473"/>
      <c r="N43" s="473"/>
      <c r="O43" s="473"/>
      <c r="P43" s="473"/>
      <c r="Q43" s="473"/>
      <c r="R43" s="473"/>
      <c r="S43" s="473"/>
      <c r="T43" s="473"/>
      <c r="U43" s="493"/>
      <c r="V43" s="473"/>
      <c r="W43" s="473"/>
      <c r="X43" s="473"/>
      <c r="Y43" s="473"/>
      <c r="Z43" s="473"/>
      <c r="AA43" s="473"/>
      <c r="AB43" s="493"/>
      <c r="AC43" s="493"/>
      <c r="AD43" s="493"/>
      <c r="AE43" s="493"/>
      <c r="AF43" s="473"/>
      <c r="AG43" s="473"/>
      <c r="AH43" s="473"/>
      <c r="AI43" s="483"/>
      <c r="AJ43" s="473"/>
      <c r="AK43" s="473"/>
      <c r="AL43" s="473"/>
      <c r="AM43" s="473"/>
      <c r="AN43" s="473"/>
      <c r="AO43" s="473"/>
      <c r="AP43" s="473"/>
      <c r="AQ43" s="473"/>
      <c r="AR43" s="473"/>
      <c r="AS43" s="473"/>
      <c r="AT43" s="473"/>
      <c r="AU43" s="473"/>
      <c r="AV43" s="473"/>
      <c r="AW43" s="473"/>
      <c r="AX43" s="473"/>
      <c r="AY43" s="473"/>
      <c r="AZ43" s="473"/>
      <c r="BA43" s="473"/>
      <c r="BB43" s="473"/>
      <c r="BC43" s="473"/>
      <c r="BG43" s="489"/>
      <c r="BH43" s="489"/>
      <c r="BI43" s="489"/>
      <c r="BJ43" s="489"/>
      <c r="BK43" s="489"/>
      <c r="BL43" s="489"/>
      <c r="BM43" s="489"/>
      <c r="BN43" s="489"/>
      <c r="BO43" s="1112"/>
      <c r="BP43" s="508"/>
      <c r="BQ43" s="509"/>
      <c r="BR43" s="508"/>
      <c r="BS43" s="508"/>
      <c r="BT43" s="508"/>
      <c r="BU43" s="509"/>
      <c r="BV43" s="508"/>
      <c r="BW43" s="508"/>
      <c r="BX43" s="508"/>
      <c r="BY43" s="508"/>
      <c r="BZ43" s="512" t="b">
        <f>IF(CD55=7,6)</f>
        <v>0</v>
      </c>
      <c r="CA43" s="513"/>
      <c r="CB43" s="513"/>
      <c r="CC43" s="513"/>
      <c r="CD43" s="513"/>
      <c r="CE43" s="513"/>
      <c r="CF43" s="513"/>
      <c r="CG43" s="513"/>
      <c r="CH43" s="514" t="b">
        <f>IF(CD55=7,11)</f>
        <v>0</v>
      </c>
      <c r="CI43" s="504"/>
      <c r="CJ43" s="504"/>
      <c r="CK43" s="504"/>
      <c r="CL43" s="504"/>
      <c r="CM43" s="506"/>
    </row>
    <row r="44" spans="2:94" ht="21.6" hidden="1" thickBot="1" x14ac:dyDescent="0.45">
      <c r="B44" s="491"/>
      <c r="C44" s="491"/>
      <c r="D44" s="490"/>
      <c r="E44" s="490"/>
      <c r="F44" s="490"/>
      <c r="G44" s="490"/>
      <c r="H44" s="473"/>
      <c r="I44" s="473"/>
      <c r="J44" s="473"/>
      <c r="K44" s="473"/>
      <c r="L44" s="473"/>
      <c r="M44" s="473"/>
      <c r="N44" s="473"/>
      <c r="O44" s="473"/>
      <c r="P44" s="473"/>
      <c r="Q44" s="473"/>
      <c r="R44" s="473"/>
      <c r="S44" s="473"/>
      <c r="T44" s="473"/>
      <c r="U44" s="493"/>
      <c r="V44" s="473"/>
      <c r="W44" s="473"/>
      <c r="X44" s="473"/>
      <c r="Y44" s="473"/>
      <c r="Z44" s="473"/>
      <c r="AA44" s="473"/>
      <c r="AB44" s="493"/>
      <c r="AC44" s="493"/>
      <c r="AD44" s="493"/>
      <c r="AE44" s="493"/>
      <c r="AF44" s="473"/>
      <c r="AG44" s="473"/>
      <c r="AH44" s="473"/>
      <c r="AI44" s="483"/>
      <c r="AJ44" s="473"/>
      <c r="AK44" s="473"/>
      <c r="AL44" s="473"/>
      <c r="AM44" s="473"/>
      <c r="AN44" s="473"/>
      <c r="AO44" s="473"/>
      <c r="AP44" s="473"/>
      <c r="AQ44" s="473"/>
      <c r="AR44" s="473"/>
      <c r="AS44" s="473"/>
      <c r="AT44" s="473"/>
      <c r="AU44" s="473"/>
      <c r="AV44" s="473"/>
      <c r="AW44" s="473"/>
      <c r="AX44" s="473"/>
      <c r="AY44" s="473"/>
      <c r="AZ44" s="473"/>
      <c r="BA44" s="473"/>
      <c r="BB44" s="473"/>
      <c r="BC44" s="473"/>
      <c r="BG44" s="489"/>
      <c r="BH44" s="489"/>
      <c r="BI44" s="489"/>
      <c r="BJ44" s="489"/>
      <c r="BK44" s="489"/>
      <c r="BL44" s="489"/>
      <c r="BM44" s="489"/>
      <c r="BN44" s="489"/>
      <c r="BO44" s="1112"/>
      <c r="BP44" s="508"/>
      <c r="BQ44" s="509"/>
      <c r="BR44" s="508"/>
      <c r="BS44" s="508"/>
      <c r="BT44" s="508"/>
      <c r="BU44" s="509"/>
      <c r="BV44" s="508"/>
      <c r="BW44" s="508"/>
      <c r="BX44" s="512" t="b">
        <f>IF(CC55=63,4)</f>
        <v>0</v>
      </c>
      <c r="BY44" s="513"/>
      <c r="BZ44" s="513"/>
      <c r="CA44" s="513"/>
      <c r="CB44" s="513"/>
      <c r="CC44" s="513"/>
      <c r="CD44" s="513"/>
      <c r="CE44" s="513"/>
      <c r="CF44" s="513"/>
      <c r="CG44" s="513"/>
      <c r="CH44" s="514" t="b">
        <f>IF(CC55=63,11)</f>
        <v>0</v>
      </c>
      <c r="CI44" s="504"/>
      <c r="CJ44" s="504"/>
      <c r="CK44" s="504"/>
      <c r="CL44" s="504"/>
      <c r="CM44" s="506"/>
    </row>
    <row r="45" spans="2:94" ht="21.6" hidden="1" thickBot="1" x14ac:dyDescent="0.45">
      <c r="B45" s="491"/>
      <c r="C45" s="491"/>
      <c r="D45" s="490"/>
      <c r="E45" s="490"/>
      <c r="F45" s="490"/>
      <c r="G45" s="490"/>
      <c r="H45" s="473"/>
      <c r="I45" s="473"/>
      <c r="J45" s="473"/>
      <c r="K45" s="473"/>
      <c r="L45" s="473"/>
      <c r="M45" s="473"/>
      <c r="N45" s="473"/>
      <c r="O45" s="473"/>
      <c r="P45" s="473"/>
      <c r="Q45" s="473"/>
      <c r="R45" s="473"/>
      <c r="S45" s="473"/>
      <c r="T45" s="473"/>
      <c r="U45" s="493"/>
      <c r="V45" s="473"/>
      <c r="W45" s="473"/>
      <c r="X45" s="473"/>
      <c r="Y45" s="473"/>
      <c r="Z45" s="473"/>
      <c r="AA45" s="473"/>
      <c r="AB45" s="493"/>
      <c r="AC45" s="493"/>
      <c r="AD45" s="493"/>
      <c r="AE45" s="493"/>
      <c r="AF45" s="473"/>
      <c r="AG45" s="473"/>
      <c r="AH45" s="473"/>
      <c r="AI45" s="483"/>
      <c r="AJ45" s="473"/>
      <c r="AK45" s="473"/>
      <c r="AL45" s="473"/>
      <c r="AM45" s="473"/>
      <c r="AN45" s="473"/>
      <c r="AO45" s="473"/>
      <c r="AP45" s="473"/>
      <c r="AQ45" s="473"/>
      <c r="AR45" s="473"/>
      <c r="AS45" s="473"/>
      <c r="AT45" s="473"/>
      <c r="AU45" s="473"/>
      <c r="AV45" s="473"/>
      <c r="AW45" s="473"/>
      <c r="AX45" s="473"/>
      <c r="AY45" s="473"/>
      <c r="AZ45" s="473"/>
      <c r="BA45" s="473"/>
      <c r="BB45" s="473"/>
      <c r="BC45" s="473"/>
      <c r="BG45" s="489"/>
      <c r="BH45" s="489"/>
      <c r="BI45" s="489"/>
      <c r="BJ45" s="489"/>
      <c r="BK45" s="489"/>
      <c r="BL45" s="489"/>
      <c r="BM45" s="489"/>
      <c r="BN45" s="489"/>
      <c r="BO45" s="1112"/>
      <c r="BP45" s="508"/>
      <c r="BQ45" s="509"/>
      <c r="BR45" s="508"/>
      <c r="BS45" s="508"/>
      <c r="BT45" s="508"/>
      <c r="BU45" s="509"/>
      <c r="BV45" s="512" t="b">
        <f>IF(CB55=62,2)</f>
        <v>0</v>
      </c>
      <c r="BW45" s="513"/>
      <c r="BX45" s="513"/>
      <c r="BY45" s="513"/>
      <c r="BZ45" s="513"/>
      <c r="CA45" s="513"/>
      <c r="CB45" s="513"/>
      <c r="CC45" s="513"/>
      <c r="CD45" s="513"/>
      <c r="CE45" s="513"/>
      <c r="CF45" s="513"/>
      <c r="CG45" s="513"/>
      <c r="CH45" s="514" t="b">
        <f>IF(CB55=62,11)</f>
        <v>0</v>
      </c>
      <c r="CI45" s="504"/>
      <c r="CJ45" s="504"/>
      <c r="CK45" s="504"/>
      <c r="CL45" s="504"/>
      <c r="CM45" s="506"/>
    </row>
    <row r="46" spans="2:94" ht="21.6" hidden="1" thickBot="1" x14ac:dyDescent="0.45">
      <c r="B46" s="491"/>
      <c r="C46" s="491"/>
      <c r="D46" s="490"/>
      <c r="E46" s="490"/>
      <c r="F46" s="490"/>
      <c r="G46" s="490"/>
      <c r="H46" s="473"/>
      <c r="I46" s="473"/>
      <c r="J46" s="473"/>
      <c r="K46" s="473"/>
      <c r="L46" s="473"/>
      <c r="M46" s="473"/>
      <c r="N46" s="473"/>
      <c r="O46" s="473"/>
      <c r="P46" s="473"/>
      <c r="Q46" s="473"/>
      <c r="R46" s="473"/>
      <c r="S46" s="473"/>
      <c r="T46" s="473"/>
      <c r="U46" s="493"/>
      <c r="V46" s="473"/>
      <c r="W46" s="473"/>
      <c r="X46" s="473"/>
      <c r="Y46" s="473"/>
      <c r="Z46" s="473"/>
      <c r="AA46" s="473"/>
      <c r="AB46" s="493"/>
      <c r="AC46" s="493"/>
      <c r="AD46" s="493"/>
      <c r="AE46" s="493"/>
      <c r="AF46" s="473"/>
      <c r="AG46" s="473"/>
      <c r="AH46" s="473"/>
      <c r="AI46" s="483"/>
      <c r="AJ46" s="473"/>
      <c r="AK46" s="473"/>
      <c r="AL46" s="473"/>
      <c r="AM46" s="473"/>
      <c r="AN46" s="473"/>
      <c r="AO46" s="473"/>
      <c r="AP46" s="473"/>
      <c r="AQ46" s="473"/>
      <c r="AR46" s="473"/>
      <c r="AS46" s="473"/>
      <c r="AT46" s="473"/>
      <c r="AU46" s="473"/>
      <c r="AV46" s="473"/>
      <c r="AW46" s="473"/>
      <c r="AX46" s="473"/>
      <c r="AY46" s="473"/>
      <c r="AZ46" s="473"/>
      <c r="BA46" s="473"/>
      <c r="BB46" s="473"/>
      <c r="BC46" s="473"/>
      <c r="BG46" s="489"/>
      <c r="BH46" s="489"/>
      <c r="BI46" s="489"/>
      <c r="BJ46" s="489"/>
      <c r="BK46" s="489"/>
      <c r="BL46" s="489"/>
      <c r="BM46" s="489"/>
      <c r="BN46" s="489"/>
      <c r="BO46" s="1112"/>
      <c r="BP46" s="508"/>
      <c r="BQ46" s="509"/>
      <c r="BR46" s="508"/>
      <c r="BS46" s="508"/>
      <c r="BT46" s="508"/>
      <c r="BU46" s="512" t="b">
        <f>IF(CA55=61,1)</f>
        <v>0</v>
      </c>
      <c r="BV46" s="513"/>
      <c r="BW46" s="513"/>
      <c r="BX46" s="513"/>
      <c r="BY46" s="513"/>
      <c r="BZ46" s="513"/>
      <c r="CA46" s="513"/>
      <c r="CB46" s="513"/>
      <c r="CC46" s="513"/>
      <c r="CD46" s="513"/>
      <c r="CE46" s="513"/>
      <c r="CF46" s="513"/>
      <c r="CG46" s="514" t="b">
        <f>IF(CA55=61,10)</f>
        <v>0</v>
      </c>
      <c r="CH46" s="509"/>
      <c r="CI46" s="504"/>
      <c r="CJ46" s="504"/>
      <c r="CK46" s="504"/>
      <c r="CL46" s="504"/>
      <c r="CM46" s="506"/>
    </row>
    <row r="47" spans="2:94" ht="21.6" hidden="1" thickBot="1" x14ac:dyDescent="0.45">
      <c r="B47" s="491"/>
      <c r="C47" s="491"/>
      <c r="D47" s="490"/>
      <c r="E47" s="490"/>
      <c r="F47" s="490"/>
      <c r="G47" s="490"/>
      <c r="H47" s="473"/>
      <c r="I47" s="473"/>
      <c r="J47" s="473"/>
      <c r="K47" s="473"/>
      <c r="L47" s="473"/>
      <c r="M47" s="473"/>
      <c r="N47" s="473"/>
      <c r="O47" s="473"/>
      <c r="P47" s="473"/>
      <c r="Q47" s="473"/>
      <c r="R47" s="473"/>
      <c r="S47" s="473"/>
      <c r="T47" s="473"/>
      <c r="U47" s="493"/>
      <c r="V47" s="473"/>
      <c r="W47" s="473"/>
      <c r="X47" s="473"/>
      <c r="Y47" s="473"/>
      <c r="Z47" s="473"/>
      <c r="AA47" s="473"/>
      <c r="AB47" s="493"/>
      <c r="AC47" s="493"/>
      <c r="AD47" s="493"/>
      <c r="AE47" s="493"/>
      <c r="AF47" s="473"/>
      <c r="AG47" s="473"/>
      <c r="AH47" s="473"/>
      <c r="AI47" s="483"/>
      <c r="AJ47" s="473"/>
      <c r="AK47" s="473"/>
      <c r="AL47" s="473"/>
      <c r="AM47" s="473"/>
      <c r="AN47" s="473"/>
      <c r="AO47" s="473"/>
      <c r="AP47" s="473"/>
      <c r="AQ47" s="473"/>
      <c r="AR47" s="473"/>
      <c r="AS47" s="473"/>
      <c r="AT47" s="473"/>
      <c r="AU47" s="473"/>
      <c r="AV47" s="473"/>
      <c r="AW47" s="473"/>
      <c r="AX47" s="473"/>
      <c r="AY47" s="473"/>
      <c r="AZ47" s="473"/>
      <c r="BA47" s="473"/>
      <c r="BB47" s="473"/>
      <c r="BC47" s="473"/>
      <c r="BG47" s="489"/>
      <c r="BH47" s="489"/>
      <c r="BI47" s="489"/>
      <c r="BJ47" s="489"/>
      <c r="BK47" s="489"/>
      <c r="BL47" s="489"/>
      <c r="BM47" s="489"/>
      <c r="BN47" s="489"/>
      <c r="BO47" s="1112"/>
      <c r="BP47" s="508"/>
      <c r="BQ47" s="509"/>
      <c r="BR47" s="508"/>
      <c r="BS47" s="508"/>
      <c r="BT47" s="508"/>
      <c r="BU47" s="510" t="b">
        <f>IF(BZ55=6,1)</f>
        <v>0</v>
      </c>
      <c r="BV47" s="507"/>
      <c r="BW47" s="507"/>
      <c r="BX47" s="507"/>
      <c r="BY47" s="507"/>
      <c r="BZ47" s="507"/>
      <c r="CA47" s="507"/>
      <c r="CB47" s="507"/>
      <c r="CC47" s="507"/>
      <c r="CD47" s="507"/>
      <c r="CE47" s="511" t="b">
        <f>IF(BZ55=6,8)</f>
        <v>0</v>
      </c>
      <c r="CF47" s="508"/>
      <c r="CG47" s="508"/>
      <c r="CH47" s="509"/>
      <c r="CI47" s="504"/>
      <c r="CJ47" s="504"/>
      <c r="CK47" s="504"/>
      <c r="CL47" s="504"/>
      <c r="CM47" s="506"/>
    </row>
    <row r="48" spans="2:94" ht="21.6" hidden="1" thickBot="1" x14ac:dyDescent="0.45">
      <c r="B48" s="491"/>
      <c r="C48" s="491"/>
      <c r="D48" s="490"/>
      <c r="E48" s="490"/>
      <c r="F48" s="490"/>
      <c r="G48" s="490"/>
      <c r="H48" s="473"/>
      <c r="I48" s="473"/>
      <c r="J48" s="473"/>
      <c r="K48" s="473"/>
      <c r="L48" s="473"/>
      <c r="M48" s="473"/>
      <c r="N48" s="473"/>
      <c r="O48" s="473"/>
      <c r="P48" s="473"/>
      <c r="Q48" s="473"/>
      <c r="R48" s="473"/>
      <c r="S48" s="473"/>
      <c r="T48" s="473"/>
      <c r="U48" s="493"/>
      <c r="V48" s="473"/>
      <c r="W48" s="473"/>
      <c r="X48" s="473"/>
      <c r="Y48" s="473"/>
      <c r="Z48" s="473"/>
      <c r="AA48" s="473"/>
      <c r="AB48" s="493"/>
      <c r="AC48" s="493"/>
      <c r="AD48" s="493"/>
      <c r="AE48" s="493"/>
      <c r="AF48" s="473"/>
      <c r="AG48" s="473"/>
      <c r="AH48" s="473"/>
      <c r="AI48" s="483"/>
      <c r="AJ48" s="473"/>
      <c r="AK48" s="473"/>
      <c r="AL48" s="473"/>
      <c r="AM48" s="473"/>
      <c r="AN48" s="473"/>
      <c r="AO48" s="473"/>
      <c r="AP48" s="473"/>
      <c r="AQ48" s="473"/>
      <c r="AR48" s="473"/>
      <c r="AS48" s="473"/>
      <c r="AT48" s="473"/>
      <c r="AU48" s="473"/>
      <c r="AV48" s="473"/>
      <c r="AW48" s="473"/>
      <c r="AX48" s="473"/>
      <c r="AY48" s="473"/>
      <c r="AZ48" s="473"/>
      <c r="BA48" s="473"/>
      <c r="BB48" s="473"/>
      <c r="BC48" s="473"/>
      <c r="BG48" s="489"/>
      <c r="BH48" s="489"/>
      <c r="BI48" s="489"/>
      <c r="BJ48" s="489"/>
      <c r="BK48" s="489"/>
      <c r="BL48" s="489"/>
      <c r="BM48" s="489"/>
      <c r="BN48" s="489"/>
      <c r="BO48" s="1112"/>
      <c r="BP48" s="508"/>
      <c r="BQ48" s="509"/>
      <c r="BR48" s="508"/>
      <c r="BS48" s="508"/>
      <c r="BT48" s="508"/>
      <c r="BU48" s="509"/>
      <c r="BV48" s="508"/>
      <c r="BW48" s="508"/>
      <c r="BX48" s="510">
        <f>IF(BY55=5,4)</f>
        <v>4</v>
      </c>
      <c r="BY48" s="507"/>
      <c r="BZ48" s="511">
        <f>IF(BY55=5,6)</f>
        <v>6</v>
      </c>
      <c r="CA48" s="508"/>
      <c r="CB48" s="508"/>
      <c r="CC48" s="508"/>
      <c r="CD48" s="508"/>
      <c r="CE48" s="508"/>
      <c r="CF48" s="508"/>
      <c r="CG48" s="508"/>
      <c r="CH48" s="509"/>
      <c r="CI48" s="504"/>
      <c r="CJ48" s="504"/>
      <c r="CK48" s="504"/>
      <c r="CL48" s="504"/>
      <c r="CM48" s="506"/>
    </row>
    <row r="49" spans="2:93" ht="21.6" hidden="1" thickBot="1" x14ac:dyDescent="0.45">
      <c r="B49" s="491"/>
      <c r="C49" s="491"/>
      <c r="D49" s="490"/>
      <c r="E49" s="490"/>
      <c r="F49" s="490"/>
      <c r="G49" s="490"/>
      <c r="H49" s="473"/>
      <c r="I49" s="473"/>
      <c r="J49" s="473"/>
      <c r="K49" s="473"/>
      <c r="L49" s="473"/>
      <c r="M49" s="473"/>
      <c r="N49" s="473"/>
      <c r="O49" s="473"/>
      <c r="P49" s="473"/>
      <c r="Q49" s="473"/>
      <c r="R49" s="473"/>
      <c r="S49" s="473"/>
      <c r="T49" s="473"/>
      <c r="U49" s="493"/>
      <c r="V49" s="473"/>
      <c r="W49" s="473"/>
      <c r="X49" s="473"/>
      <c r="Y49" s="473"/>
      <c r="Z49" s="473"/>
      <c r="AA49" s="473"/>
      <c r="AB49" s="493"/>
      <c r="AC49" s="493"/>
      <c r="AD49" s="493"/>
      <c r="AE49" s="493"/>
      <c r="AF49" s="473"/>
      <c r="AG49" s="473"/>
      <c r="AH49" s="473"/>
      <c r="AI49" s="483"/>
      <c r="AJ49" s="473"/>
      <c r="AK49" s="473"/>
      <c r="AL49" s="473"/>
      <c r="AM49" s="473"/>
      <c r="AN49" s="473"/>
      <c r="AO49" s="473"/>
      <c r="AP49" s="473"/>
      <c r="AQ49" s="473"/>
      <c r="AR49" s="473"/>
      <c r="AS49" s="473"/>
      <c r="AT49" s="473"/>
      <c r="AU49" s="473"/>
      <c r="AV49" s="473"/>
      <c r="AW49" s="473"/>
      <c r="AX49" s="473"/>
      <c r="AY49" s="473"/>
      <c r="AZ49" s="473"/>
      <c r="BA49" s="473"/>
      <c r="BB49" s="473"/>
      <c r="BC49" s="473"/>
      <c r="BG49" s="489"/>
      <c r="BH49" s="489"/>
      <c r="BI49" s="489"/>
      <c r="BJ49" s="489"/>
      <c r="BK49" s="489"/>
      <c r="BL49" s="489"/>
      <c r="BM49" s="489"/>
      <c r="BN49" s="489"/>
      <c r="BO49" s="1112"/>
      <c r="BP49" s="508"/>
      <c r="BQ49" s="509"/>
      <c r="BR49" s="508"/>
      <c r="BS49" s="508"/>
      <c r="BT49" s="508"/>
      <c r="BU49" s="509"/>
      <c r="BV49" s="512" t="b">
        <f>IF(BX55=4,2)</f>
        <v>0</v>
      </c>
      <c r="BW49" s="513"/>
      <c r="BX49" s="507"/>
      <c r="BY49" s="507"/>
      <c r="BZ49" s="511" t="b">
        <f>IF(BX55=4,6)</f>
        <v>0</v>
      </c>
      <c r="CA49" s="508"/>
      <c r="CB49" s="508"/>
      <c r="CC49" s="508"/>
      <c r="CD49" s="508"/>
      <c r="CE49" s="508"/>
      <c r="CF49" s="508"/>
      <c r="CG49" s="508"/>
      <c r="CH49" s="509"/>
      <c r="CI49" s="504"/>
      <c r="CJ49" s="504"/>
      <c r="CK49" s="504"/>
      <c r="CL49" s="504"/>
      <c r="CM49" s="506"/>
    </row>
    <row r="50" spans="2:93" ht="21.6" hidden="1" thickBot="1" x14ac:dyDescent="0.45">
      <c r="B50" s="491"/>
      <c r="C50" s="491"/>
      <c r="D50" s="490"/>
      <c r="E50" s="490"/>
      <c r="F50" s="490"/>
      <c r="G50" s="490"/>
      <c r="H50" s="473"/>
      <c r="I50" s="473"/>
      <c r="J50" s="473"/>
      <c r="K50" s="473"/>
      <c r="L50" s="473"/>
      <c r="M50" s="473"/>
      <c r="N50" s="473"/>
      <c r="O50" s="473"/>
      <c r="P50" s="473"/>
      <c r="Q50" s="473"/>
      <c r="R50" s="473"/>
      <c r="S50" s="473"/>
      <c r="T50" s="473"/>
      <c r="U50" s="493"/>
      <c r="V50" s="473"/>
      <c r="W50" s="473"/>
      <c r="X50" s="473"/>
      <c r="Y50" s="473"/>
      <c r="Z50" s="473"/>
      <c r="AA50" s="473"/>
      <c r="AB50" s="493"/>
      <c r="AC50" s="493"/>
      <c r="AD50" s="493"/>
      <c r="AE50" s="493"/>
      <c r="AF50" s="473"/>
      <c r="AG50" s="473"/>
      <c r="AH50" s="473"/>
      <c r="AI50" s="483"/>
      <c r="AJ50" s="473"/>
      <c r="AK50" s="473"/>
      <c r="AL50" s="473"/>
      <c r="AM50" s="473"/>
      <c r="AN50" s="473"/>
      <c r="AO50" s="473"/>
      <c r="AP50" s="473"/>
      <c r="AQ50" s="473"/>
      <c r="AR50" s="473"/>
      <c r="AS50" s="473"/>
      <c r="AT50" s="473"/>
      <c r="AU50" s="473"/>
      <c r="AV50" s="473"/>
      <c r="AW50" s="473"/>
      <c r="AX50" s="473"/>
      <c r="AY50" s="473"/>
      <c r="AZ50" s="473"/>
      <c r="BA50" s="473"/>
      <c r="BB50" s="473"/>
      <c r="BC50" s="473"/>
      <c r="BG50" s="489"/>
      <c r="BH50" s="489"/>
      <c r="BI50" s="489"/>
      <c r="BJ50" s="489"/>
      <c r="BK50" s="489"/>
      <c r="BL50" s="489"/>
      <c r="BM50" s="489"/>
      <c r="BN50" s="489"/>
      <c r="BO50" s="1112"/>
      <c r="BP50" s="508"/>
      <c r="BQ50" s="509"/>
      <c r="BR50" s="508"/>
      <c r="BS50" s="508"/>
      <c r="BT50" s="508"/>
      <c r="BU50" s="512" t="b">
        <f>IF(BW55=3,1)</f>
        <v>0</v>
      </c>
      <c r="BV50" s="507"/>
      <c r="BW50" s="507"/>
      <c r="BX50" s="507"/>
      <c r="BY50" s="511" t="b">
        <f>IF(BW55=3,5)</f>
        <v>0</v>
      </c>
      <c r="BZ50" s="508"/>
      <c r="CA50" s="508"/>
      <c r="CB50" s="508"/>
      <c r="CC50" s="508"/>
      <c r="CD50" s="508"/>
      <c r="CE50" s="508"/>
      <c r="CF50" s="508"/>
      <c r="CG50" s="508"/>
      <c r="CH50" s="509"/>
      <c r="CI50" s="504"/>
      <c r="CJ50" s="504"/>
      <c r="CK50" s="504"/>
      <c r="CL50" s="504"/>
      <c r="CM50" s="506"/>
    </row>
    <row r="51" spans="2:93" ht="21.6" hidden="1" thickBot="1" x14ac:dyDescent="0.45">
      <c r="B51" s="491"/>
      <c r="C51" s="491"/>
      <c r="D51" s="490"/>
      <c r="E51" s="490"/>
      <c r="F51" s="490"/>
      <c r="G51" s="490"/>
      <c r="H51" s="473"/>
      <c r="I51" s="473"/>
      <c r="J51" s="473"/>
      <c r="K51" s="473"/>
      <c r="L51" s="473"/>
      <c r="M51" s="473"/>
      <c r="N51" s="473"/>
      <c r="O51" s="473"/>
      <c r="P51" s="473"/>
      <c r="Q51" s="473"/>
      <c r="R51" s="473"/>
      <c r="S51" s="473"/>
      <c r="T51" s="473"/>
      <c r="U51" s="493"/>
      <c r="V51" s="473"/>
      <c r="W51" s="473"/>
      <c r="X51" s="473"/>
      <c r="Y51" s="473"/>
      <c r="Z51" s="473"/>
      <c r="AA51" s="473"/>
      <c r="AB51" s="493"/>
      <c r="AC51" s="493"/>
      <c r="AD51" s="493"/>
      <c r="AE51" s="493"/>
      <c r="AF51" s="473"/>
      <c r="AG51" s="473"/>
      <c r="AH51" s="473"/>
      <c r="AI51" s="483"/>
      <c r="AJ51" s="473"/>
      <c r="AK51" s="473"/>
      <c r="AL51" s="473"/>
      <c r="AM51" s="473"/>
      <c r="AN51" s="473"/>
      <c r="AO51" s="473"/>
      <c r="AP51" s="473"/>
      <c r="AQ51" s="473"/>
      <c r="AR51" s="473"/>
      <c r="AS51" s="473"/>
      <c r="AT51" s="473"/>
      <c r="AU51" s="473"/>
      <c r="AV51" s="473"/>
      <c r="AW51" s="473"/>
      <c r="AX51" s="473"/>
      <c r="AY51" s="473"/>
      <c r="AZ51" s="473"/>
      <c r="BA51" s="473"/>
      <c r="BB51" s="473"/>
      <c r="BC51" s="473"/>
      <c r="BG51" s="489"/>
      <c r="BH51" s="489"/>
      <c r="BI51" s="489"/>
      <c r="BJ51" s="489"/>
      <c r="BK51" s="489"/>
      <c r="BL51" s="489"/>
      <c r="BM51" s="489"/>
      <c r="BN51" s="489"/>
      <c r="BO51" s="1112"/>
      <c r="BP51" s="508"/>
      <c r="BQ51" s="509"/>
      <c r="BR51" s="508"/>
      <c r="BS51" s="508"/>
      <c r="BT51" s="508"/>
      <c r="BU51" s="510" t="b">
        <f>IF(BV55=2,1)</f>
        <v>0</v>
      </c>
      <c r="BV51" s="507"/>
      <c r="BW51" s="511" t="b">
        <f>IF(BV55=2,3)</f>
        <v>0</v>
      </c>
      <c r="BX51" s="508"/>
      <c r="BY51" s="508"/>
      <c r="BZ51" s="508"/>
      <c r="CA51" s="508"/>
      <c r="CB51" s="508"/>
      <c r="CC51" s="508"/>
      <c r="CD51" s="508"/>
      <c r="CE51" s="508"/>
      <c r="CF51" s="508"/>
      <c r="CG51" s="508"/>
      <c r="CH51" s="509"/>
      <c r="CI51" s="504"/>
      <c r="CJ51" s="504"/>
      <c r="CK51" s="504"/>
      <c r="CL51" s="504"/>
      <c r="CM51" s="506"/>
    </row>
    <row r="52" spans="2:93" ht="30" customHeight="1" thickTop="1" thickBot="1" x14ac:dyDescent="0.45">
      <c r="B52" s="1356" t="s">
        <v>190</v>
      </c>
      <c r="C52" s="1418"/>
      <c r="D52" s="1419"/>
      <c r="E52" s="1356" t="s">
        <v>191</v>
      </c>
      <c r="F52" s="490"/>
      <c r="G52" s="490"/>
      <c r="H52" s="473"/>
      <c r="I52" s="473"/>
      <c r="J52" s="473"/>
      <c r="K52" s="473"/>
      <c r="L52" s="473"/>
      <c r="M52" s="473"/>
      <c r="N52" s="473"/>
      <c r="O52" s="473"/>
      <c r="P52" s="473"/>
      <c r="Q52" s="473"/>
      <c r="R52" s="473"/>
      <c r="S52" s="473"/>
      <c r="T52" s="473"/>
      <c r="U52" s="493"/>
      <c r="V52" s="473"/>
      <c r="W52" s="473"/>
      <c r="X52" s="473"/>
      <c r="Y52" s="473"/>
      <c r="Z52" s="473"/>
      <c r="AA52" s="473"/>
      <c r="AB52" s="493"/>
      <c r="AC52" s="493"/>
      <c r="AD52" s="493"/>
      <c r="AE52" s="493"/>
      <c r="AF52" s="473"/>
      <c r="AG52" s="473"/>
      <c r="AH52" s="473"/>
      <c r="AI52" s="483"/>
      <c r="AJ52" s="473"/>
      <c r="AK52" s="473"/>
      <c r="AL52" s="473"/>
      <c r="AM52" s="473"/>
      <c r="AN52" s="473"/>
      <c r="AO52" s="473"/>
      <c r="AP52" s="473"/>
      <c r="AQ52" s="473"/>
      <c r="AR52" s="473"/>
      <c r="AS52" s="473"/>
      <c r="AT52" s="473"/>
      <c r="AU52" s="473"/>
      <c r="AV52" s="473"/>
      <c r="AW52" s="473"/>
      <c r="AX52" s="473"/>
      <c r="AY52" s="473"/>
      <c r="AZ52" s="473"/>
      <c r="BA52" s="473"/>
      <c r="BB52" s="473"/>
      <c r="BC52" s="473"/>
      <c r="BG52" s="489"/>
      <c r="BH52" s="489"/>
      <c r="BI52" s="489"/>
      <c r="BJ52" s="489"/>
      <c r="BK52" s="489"/>
      <c r="BL52" s="489"/>
      <c r="BM52" s="489"/>
      <c r="BN52" s="489"/>
      <c r="BO52" s="1112"/>
      <c r="BP52" s="508"/>
      <c r="BQ52" s="509"/>
      <c r="BR52" s="508"/>
      <c r="BS52" s="508"/>
      <c r="BT52" s="508"/>
      <c r="BU52" s="478"/>
      <c r="BV52" s="508"/>
      <c r="BW52" s="508"/>
      <c r="BX52" s="508"/>
      <c r="BY52" s="508"/>
      <c r="BZ52" s="508"/>
      <c r="CA52" s="508"/>
      <c r="CB52" s="508"/>
      <c r="CC52" s="508"/>
      <c r="CD52" s="508"/>
      <c r="CE52" s="508"/>
      <c r="CF52" s="508"/>
      <c r="CG52" s="508"/>
      <c r="CH52" s="509"/>
      <c r="CI52" s="504"/>
      <c r="CJ52" s="504"/>
      <c r="CK52" s="504"/>
      <c r="CL52" s="504"/>
      <c r="CM52" s="506"/>
    </row>
    <row r="53" spans="2:93" ht="42.75" customHeight="1" thickTop="1" thickBot="1" x14ac:dyDescent="0.45">
      <c r="B53" s="1420" t="str">
        <f>IF(D27=TRUE,"O K ","OVERLOAD")</f>
        <v xml:space="preserve">O K </v>
      </c>
      <c r="C53" s="1421"/>
      <c r="D53" s="1422"/>
      <c r="E53" s="1420" t="str">
        <f>IF(D54=TRUE,"O K ","OVERLOAD")</f>
        <v xml:space="preserve">O K </v>
      </c>
      <c r="F53" s="490"/>
      <c r="G53" s="490"/>
      <c r="H53" s="473"/>
      <c r="I53" s="473"/>
      <c r="J53" s="473"/>
      <c r="K53" s="473"/>
      <c r="L53" s="473"/>
      <c r="M53" s="473"/>
      <c r="N53" s="473"/>
      <c r="O53" s="473"/>
      <c r="P53" s="473"/>
      <c r="Q53" s="473"/>
      <c r="R53" s="473"/>
      <c r="S53" s="473"/>
      <c r="T53" s="473"/>
      <c r="U53" s="493"/>
      <c r="V53" s="473"/>
      <c r="W53" s="473"/>
      <c r="X53" s="473"/>
      <c r="Y53" s="473"/>
      <c r="Z53" s="473"/>
      <c r="AA53" s="473"/>
      <c r="AB53" s="493"/>
      <c r="AC53" s="493"/>
      <c r="AD53" s="493"/>
      <c r="AE53" s="493"/>
      <c r="AF53" s="473"/>
      <c r="AG53" s="473"/>
      <c r="AH53" s="473"/>
      <c r="AI53" s="483"/>
      <c r="AJ53" s="473"/>
      <c r="AK53" s="473"/>
      <c r="AL53" s="473"/>
      <c r="AM53" s="473"/>
      <c r="AN53" s="473"/>
      <c r="AO53" s="473"/>
      <c r="AP53" s="473"/>
      <c r="AQ53" s="473"/>
      <c r="AR53" s="473"/>
      <c r="AS53" s="473"/>
      <c r="AT53" s="473"/>
      <c r="AU53" s="473"/>
      <c r="AV53" s="473"/>
      <c r="AW53" s="473"/>
      <c r="AX53" s="473"/>
      <c r="AY53" s="473"/>
      <c r="AZ53" s="473"/>
      <c r="BA53" s="473"/>
      <c r="BB53" s="473"/>
      <c r="BC53" s="473"/>
      <c r="BG53" s="489"/>
      <c r="BH53" s="489"/>
      <c r="BI53" s="489"/>
      <c r="BJ53" s="489"/>
      <c r="BK53" s="489"/>
      <c r="BL53" s="489"/>
      <c r="BM53" s="489"/>
      <c r="BN53" s="489"/>
      <c r="BO53" s="1110" t="s">
        <v>132</v>
      </c>
      <c r="BP53" s="517"/>
      <c r="BQ53" s="518"/>
      <c r="BR53" s="517"/>
      <c r="BS53" s="517"/>
      <c r="BT53" s="517"/>
      <c r="BU53" s="1016">
        <f t="shared" ref="BU53:CH53" si="3">SUM(BU40:BU52)</f>
        <v>0</v>
      </c>
      <c r="BV53" s="1012">
        <f t="shared" si="3"/>
        <v>0</v>
      </c>
      <c r="BW53" s="1012">
        <f t="shared" si="3"/>
        <v>0</v>
      </c>
      <c r="BX53" s="1012">
        <f t="shared" si="3"/>
        <v>4</v>
      </c>
      <c r="BY53" s="1012">
        <f t="shared" si="3"/>
        <v>0</v>
      </c>
      <c r="BZ53" s="1012">
        <f t="shared" si="3"/>
        <v>6</v>
      </c>
      <c r="CA53" s="1012">
        <f t="shared" si="3"/>
        <v>0</v>
      </c>
      <c r="CB53" s="1012">
        <f t="shared" si="3"/>
        <v>0</v>
      </c>
      <c r="CC53" s="1012">
        <f t="shared" si="3"/>
        <v>0</v>
      </c>
      <c r="CD53" s="1012">
        <f t="shared" si="3"/>
        <v>0</v>
      </c>
      <c r="CE53" s="1012">
        <f t="shared" si="3"/>
        <v>0</v>
      </c>
      <c r="CF53" s="1012">
        <f t="shared" si="3"/>
        <v>0</v>
      </c>
      <c r="CG53" s="1012">
        <f t="shared" si="3"/>
        <v>0</v>
      </c>
      <c r="CH53" s="1013">
        <f t="shared" si="3"/>
        <v>0</v>
      </c>
      <c r="CI53" s="2145"/>
      <c r="CJ53" s="2146"/>
      <c r="CK53" s="2146"/>
      <c r="CL53" s="2146"/>
      <c r="CM53" s="2147"/>
    </row>
    <row r="54" spans="2:93" ht="22.2" hidden="1" thickTop="1" thickBot="1" x14ac:dyDescent="0.45">
      <c r="B54" s="1421"/>
      <c r="C54" s="1423"/>
      <c r="D54" s="1424" t="b">
        <f>AND(B68&gt;=5,D68&gt;=5,E68&gt;=5,BA79&gt;=5,BB79&gt;=5,BA100&gt;=5,BB100&gt;=5,BA135&gt;=5,BB135&gt;=5)</f>
        <v>1</v>
      </c>
      <c r="E54" s="1425"/>
      <c r="F54" s="490"/>
      <c r="G54" s="490"/>
      <c r="H54" s="473"/>
      <c r="I54" s="473"/>
      <c r="J54" s="473"/>
      <c r="K54" s="473"/>
      <c r="L54" s="473"/>
      <c r="M54" s="473"/>
      <c r="N54" s="473"/>
      <c r="O54" s="473"/>
      <c r="P54" s="473"/>
      <c r="Q54" s="473"/>
      <c r="R54" s="473"/>
      <c r="S54" s="473"/>
      <c r="T54" s="473"/>
      <c r="U54" s="493"/>
      <c r="V54" s="473"/>
      <c r="W54" s="473"/>
      <c r="X54" s="473"/>
      <c r="Y54" s="473"/>
      <c r="Z54" s="473"/>
      <c r="AA54" s="473"/>
      <c r="AB54" s="493"/>
      <c r="AC54" s="493"/>
      <c r="AD54" s="493"/>
      <c r="AE54" s="493"/>
      <c r="AF54" s="473"/>
      <c r="AG54" s="473"/>
      <c r="AH54" s="473"/>
      <c r="AI54" s="483"/>
      <c r="AJ54" s="473"/>
      <c r="AK54" s="473"/>
      <c r="AL54" s="473"/>
      <c r="AM54" s="473"/>
      <c r="AN54" s="473"/>
      <c r="AO54" s="473"/>
      <c r="AP54" s="473"/>
      <c r="AQ54" s="473"/>
      <c r="AR54" s="473"/>
      <c r="AS54" s="473"/>
      <c r="AT54" s="473"/>
      <c r="AU54" s="473"/>
      <c r="AV54" s="473"/>
      <c r="AW54" s="473"/>
      <c r="AX54" s="473"/>
      <c r="AY54" s="473"/>
      <c r="AZ54" s="473"/>
      <c r="BA54" s="473"/>
      <c r="BB54" s="473"/>
      <c r="BC54" s="473"/>
      <c r="BG54" s="489"/>
      <c r="BH54" s="489"/>
      <c r="BI54" s="489"/>
      <c r="BJ54" s="489"/>
      <c r="BK54" s="489"/>
      <c r="BL54" s="489"/>
      <c r="BM54" s="489"/>
      <c r="BN54" s="489"/>
      <c r="BO54" s="1106"/>
      <c r="BP54" s="504"/>
      <c r="BQ54" s="505"/>
      <c r="BR54" s="504"/>
      <c r="BS54" s="504"/>
      <c r="BT54" s="504"/>
      <c r="BU54" s="505"/>
      <c r="BV54" s="504"/>
      <c r="BW54" s="504"/>
      <c r="BX54" s="504"/>
      <c r="BY54" s="504"/>
      <c r="BZ54" s="504"/>
      <c r="CA54" s="504"/>
      <c r="CB54" s="504"/>
      <c r="CC54" s="504"/>
      <c r="CD54" s="504"/>
      <c r="CE54" s="504"/>
      <c r="CF54" s="504"/>
      <c r="CG54" s="504"/>
      <c r="CH54" s="504"/>
      <c r="CI54" s="504"/>
      <c r="CJ54" s="504"/>
      <c r="CK54" s="504"/>
      <c r="CL54" s="504"/>
      <c r="CM54" s="506"/>
    </row>
    <row r="55" spans="2:93" ht="22.2" hidden="1" thickTop="1" thickBot="1" x14ac:dyDescent="0.45">
      <c r="B55" s="1423"/>
      <c r="C55" s="1423"/>
      <c r="D55" s="1425"/>
      <c r="E55" s="1425"/>
      <c r="F55" s="490"/>
      <c r="G55" s="490"/>
      <c r="H55" s="473"/>
      <c r="I55" s="473"/>
      <c r="J55" s="473"/>
      <c r="K55" s="473"/>
      <c r="L55" s="473"/>
      <c r="M55" s="473"/>
      <c r="N55" s="473"/>
      <c r="O55" s="473"/>
      <c r="P55" s="473"/>
      <c r="Q55" s="473"/>
      <c r="R55" s="473"/>
      <c r="S55" s="473"/>
      <c r="T55" s="473"/>
      <c r="U55" s="493"/>
      <c r="V55" s="473"/>
      <c r="W55" s="473"/>
      <c r="X55" s="473"/>
      <c r="Y55" s="473"/>
      <c r="Z55" s="473"/>
      <c r="AA55" s="473"/>
      <c r="AB55" s="493"/>
      <c r="AC55" s="493"/>
      <c r="AD55" s="493"/>
      <c r="AE55" s="493"/>
      <c r="AF55" s="473"/>
      <c r="AG55" s="473"/>
      <c r="AH55" s="473"/>
      <c r="AI55" s="483"/>
      <c r="AJ55" s="473"/>
      <c r="AK55" s="473"/>
      <c r="AL55" s="473"/>
      <c r="AM55" s="473"/>
      <c r="AN55" s="473"/>
      <c r="AO55" s="473"/>
      <c r="AP55" s="473"/>
      <c r="AQ55" s="473"/>
      <c r="AR55" s="473"/>
      <c r="AS55" s="473"/>
      <c r="AT55" s="473"/>
      <c r="AU55" s="473"/>
      <c r="AV55" s="473"/>
      <c r="AW55" s="473"/>
      <c r="AX55" s="473"/>
      <c r="AY55" s="473"/>
      <c r="AZ55" s="473"/>
      <c r="BA55" s="473"/>
      <c r="BB55" s="473"/>
      <c r="BC55" s="473"/>
      <c r="BG55" s="489"/>
      <c r="BH55" s="489"/>
      <c r="BI55" s="489"/>
      <c r="BJ55" s="489"/>
      <c r="BK55" s="489"/>
      <c r="BL55" s="489"/>
      <c r="BM55" s="489"/>
      <c r="BN55" s="489"/>
      <c r="BO55" s="1096"/>
      <c r="BP55" s="519" t="b">
        <f>+BK100</f>
        <v>0</v>
      </c>
      <c r="BQ55" s="519" t="b">
        <f>+BK101</f>
        <v>0</v>
      </c>
      <c r="BR55" s="519" t="b">
        <f>+BK102</f>
        <v>0</v>
      </c>
      <c r="BS55" s="519" t="b">
        <f>+BK103</f>
        <v>0</v>
      </c>
      <c r="BT55" s="519" t="b">
        <f>+BK104</f>
        <v>0</v>
      </c>
      <c r="BU55" s="519" t="b">
        <f>+BK105</f>
        <v>0</v>
      </c>
      <c r="BV55" s="519" t="b">
        <f>+BK106</f>
        <v>0</v>
      </c>
      <c r="BW55" s="519" t="b">
        <f>+BK107</f>
        <v>0</v>
      </c>
      <c r="BX55" s="519" t="b">
        <f>+BK108</f>
        <v>0</v>
      </c>
      <c r="BY55" s="519">
        <f>+BK109</f>
        <v>5</v>
      </c>
      <c r="BZ55" s="519" t="b">
        <f>+BK110</f>
        <v>0</v>
      </c>
      <c r="CA55" s="519" t="b">
        <f>+BK111</f>
        <v>0</v>
      </c>
      <c r="CB55" s="519" t="b">
        <f>+BK112</f>
        <v>0</v>
      </c>
      <c r="CC55" s="519" t="b">
        <f>+BK113</f>
        <v>0</v>
      </c>
      <c r="CD55" s="519" t="b">
        <f>+BK114</f>
        <v>0</v>
      </c>
      <c r="CE55" s="519" t="b">
        <f>+BK115</f>
        <v>0</v>
      </c>
      <c r="CF55" s="519" t="b">
        <f>+BK116</f>
        <v>0</v>
      </c>
      <c r="CG55" s="519" t="b">
        <f>+BK117</f>
        <v>0</v>
      </c>
      <c r="CH55" s="519" t="b">
        <f>+BK118</f>
        <v>0</v>
      </c>
      <c r="CI55" s="519" t="b">
        <f>+BK119</f>
        <v>0</v>
      </c>
      <c r="CJ55" s="519" t="b">
        <f>+BK120</f>
        <v>0</v>
      </c>
      <c r="CK55" s="519" t="b">
        <f>+BK121</f>
        <v>0</v>
      </c>
      <c r="CL55" s="519" t="b">
        <f>+BK122</f>
        <v>0</v>
      </c>
      <c r="CM55" s="519" t="b">
        <f>+BK123</f>
        <v>0</v>
      </c>
    </row>
    <row r="56" spans="2:93" ht="5.25" hidden="1" customHeight="1" thickTop="1" thickBot="1" x14ac:dyDescent="0.4">
      <c r="B56" s="1426"/>
      <c r="C56" s="1426"/>
      <c r="D56" s="1426"/>
      <c r="E56" s="1426"/>
      <c r="F56" s="490"/>
      <c r="G56" s="490"/>
      <c r="H56" s="473"/>
      <c r="I56" s="473"/>
      <c r="J56" s="473"/>
      <c r="K56" s="473"/>
      <c r="L56" s="473"/>
      <c r="M56" s="473"/>
      <c r="N56" s="473"/>
      <c r="O56" s="473"/>
      <c r="P56" s="473"/>
      <c r="Q56" s="473"/>
      <c r="R56" s="473"/>
      <c r="S56" s="473"/>
      <c r="T56" s="473"/>
      <c r="U56" s="493"/>
      <c r="V56" s="473"/>
      <c r="W56" s="473"/>
      <c r="X56" s="473"/>
      <c r="Y56" s="473"/>
      <c r="Z56" s="473"/>
      <c r="AA56" s="473"/>
      <c r="AB56" s="493"/>
      <c r="AC56" s="493"/>
      <c r="AD56" s="493"/>
      <c r="AE56" s="493"/>
      <c r="AF56" s="473"/>
      <c r="AG56" s="473"/>
      <c r="AH56" s="473"/>
      <c r="AI56" s="483"/>
      <c r="AJ56" s="473"/>
      <c r="AK56" s="473"/>
      <c r="AL56" s="473"/>
      <c r="AM56" s="473"/>
      <c r="AN56" s="473"/>
      <c r="AO56" s="473"/>
      <c r="AP56" s="473"/>
      <c r="AQ56" s="473"/>
      <c r="AR56" s="473"/>
      <c r="AS56" s="473"/>
      <c r="AT56" s="473"/>
      <c r="AU56" s="473"/>
      <c r="AV56" s="473"/>
      <c r="AW56" s="473"/>
      <c r="AX56" s="473"/>
      <c r="AY56" s="473"/>
      <c r="AZ56" s="473"/>
      <c r="BA56" s="473"/>
      <c r="BB56" s="473"/>
      <c r="BC56" s="473"/>
      <c r="BG56" s="489"/>
      <c r="BH56" s="489"/>
      <c r="BI56" s="489"/>
      <c r="BJ56" s="489"/>
      <c r="BK56" s="489"/>
      <c r="BL56" s="489"/>
      <c r="BM56" s="489"/>
      <c r="BN56" s="489"/>
      <c r="BO56" s="1094" t="s">
        <v>27</v>
      </c>
      <c r="BP56" s="519" t="b">
        <f t="shared" ref="BP56:CM56" si="4">+BP55</f>
        <v>0</v>
      </c>
      <c r="BQ56" s="519" t="b">
        <f t="shared" si="4"/>
        <v>0</v>
      </c>
      <c r="BR56" s="519" t="b">
        <f t="shared" si="4"/>
        <v>0</v>
      </c>
      <c r="BS56" s="519" t="b">
        <f t="shared" si="4"/>
        <v>0</v>
      </c>
      <c r="BT56" s="519" t="b">
        <f t="shared" si="4"/>
        <v>0</v>
      </c>
      <c r="BU56" s="519" t="b">
        <f t="shared" si="4"/>
        <v>0</v>
      </c>
      <c r="BV56" s="519" t="b">
        <f t="shared" si="4"/>
        <v>0</v>
      </c>
      <c r="BW56" s="519" t="b">
        <f t="shared" si="4"/>
        <v>0</v>
      </c>
      <c r="BX56" s="519" t="b">
        <f t="shared" si="4"/>
        <v>0</v>
      </c>
      <c r="BY56" s="519">
        <f t="shared" si="4"/>
        <v>5</v>
      </c>
      <c r="BZ56" s="519" t="b">
        <f t="shared" si="4"/>
        <v>0</v>
      </c>
      <c r="CA56" s="519" t="b">
        <f t="shared" si="4"/>
        <v>0</v>
      </c>
      <c r="CB56" s="519" t="b">
        <f t="shared" si="4"/>
        <v>0</v>
      </c>
      <c r="CC56" s="519" t="b">
        <f t="shared" si="4"/>
        <v>0</v>
      </c>
      <c r="CD56" s="519" t="b">
        <f t="shared" si="4"/>
        <v>0</v>
      </c>
      <c r="CE56" s="519" t="b">
        <f t="shared" si="4"/>
        <v>0</v>
      </c>
      <c r="CF56" s="519" t="b">
        <f t="shared" si="4"/>
        <v>0</v>
      </c>
      <c r="CG56" s="519" t="b">
        <f t="shared" si="4"/>
        <v>0</v>
      </c>
      <c r="CH56" s="519" t="b">
        <f t="shared" si="4"/>
        <v>0</v>
      </c>
      <c r="CI56" s="519" t="b">
        <f t="shared" si="4"/>
        <v>0</v>
      </c>
      <c r="CJ56" s="519" t="b">
        <f t="shared" si="4"/>
        <v>0</v>
      </c>
      <c r="CK56" s="519" t="b">
        <f t="shared" si="4"/>
        <v>0</v>
      </c>
      <c r="CL56" s="519" t="b">
        <f t="shared" si="4"/>
        <v>0</v>
      </c>
      <c r="CM56" s="519" t="b">
        <f t="shared" si="4"/>
        <v>0</v>
      </c>
    </row>
    <row r="57" spans="2:93" ht="30" customHeight="1" thickTop="1" thickBot="1" x14ac:dyDescent="0.4">
      <c r="B57" s="2148" t="s">
        <v>67</v>
      </c>
      <c r="C57" s="2148"/>
      <c r="D57" s="2148"/>
      <c r="E57" s="2148"/>
      <c r="F57" s="490"/>
      <c r="G57" s="490"/>
      <c r="H57" s="473"/>
      <c r="I57" s="473"/>
      <c r="J57" s="473"/>
      <c r="K57" s="473"/>
      <c r="L57" s="473"/>
      <c r="M57" s="473"/>
      <c r="N57" s="473"/>
      <c r="O57" s="473"/>
      <c r="P57" s="473"/>
      <c r="Q57" s="473"/>
      <c r="R57" s="473"/>
      <c r="S57" s="473"/>
      <c r="T57" s="473"/>
      <c r="U57" s="493"/>
      <c r="V57" s="473"/>
      <c r="W57" s="473"/>
      <c r="X57" s="473"/>
      <c r="Y57" s="473"/>
      <c r="Z57" s="473"/>
      <c r="AA57" s="473"/>
      <c r="AB57" s="493"/>
      <c r="AC57" s="493"/>
      <c r="AD57" s="493"/>
      <c r="AE57" s="493"/>
      <c r="AF57" s="473"/>
      <c r="AG57" s="473"/>
      <c r="AH57" s="473"/>
      <c r="AI57" s="483"/>
      <c r="AJ57" s="473"/>
      <c r="AK57" s="473"/>
      <c r="AL57" s="473"/>
      <c r="AM57" s="473"/>
      <c r="AN57" s="473"/>
      <c r="AO57" s="473"/>
      <c r="AP57" s="473"/>
      <c r="AQ57" s="473"/>
      <c r="AR57" s="473"/>
      <c r="AS57" s="473"/>
      <c r="AT57" s="473"/>
      <c r="AU57" s="473"/>
      <c r="AV57" s="473"/>
      <c r="AW57" s="473"/>
      <c r="AX57" s="473"/>
      <c r="AY57" s="473"/>
      <c r="AZ57" s="473"/>
      <c r="BA57" s="473"/>
      <c r="BB57" s="473"/>
      <c r="BC57" s="473"/>
      <c r="BG57" s="489"/>
      <c r="BH57" s="489"/>
      <c r="BI57" s="489"/>
      <c r="BJ57" s="489"/>
      <c r="BK57" s="489"/>
      <c r="BL57" s="489"/>
      <c r="BM57" s="489"/>
      <c r="BN57" s="489"/>
      <c r="BO57" s="1094"/>
      <c r="BP57" s="519"/>
      <c r="BQ57" s="519"/>
      <c r="BR57" s="519"/>
      <c r="BS57" s="519"/>
      <c r="BT57" s="519"/>
      <c r="BU57" s="519"/>
      <c r="BV57" s="519"/>
      <c r="BW57" s="519"/>
      <c r="BX57" s="519"/>
      <c r="BY57" s="519"/>
      <c r="BZ57" s="519"/>
      <c r="CA57" s="519"/>
      <c r="CB57" s="519"/>
      <c r="CC57" s="519"/>
      <c r="CD57" s="519"/>
      <c r="CE57" s="519"/>
      <c r="CF57" s="519"/>
      <c r="CG57" s="519"/>
      <c r="CH57" s="519"/>
      <c r="CI57" s="519"/>
      <c r="CJ57" s="519"/>
      <c r="CK57" s="519"/>
      <c r="CL57" s="519"/>
      <c r="CM57" s="519"/>
    </row>
    <row r="58" spans="2:93" ht="30" customHeight="1" thickTop="1" thickBot="1" x14ac:dyDescent="0.45">
      <c r="B58" s="1427" t="s">
        <v>170</v>
      </c>
      <c r="C58" s="1428"/>
      <c r="D58" s="1427" t="s">
        <v>171</v>
      </c>
      <c r="E58" s="1427" t="s">
        <v>168</v>
      </c>
      <c r="F58" s="490"/>
      <c r="G58" s="490"/>
      <c r="H58" s="473"/>
      <c r="I58" s="473"/>
      <c r="J58" s="473"/>
      <c r="K58" s="473"/>
      <c r="L58" s="473"/>
      <c r="M58" s="473"/>
      <c r="N58" s="473"/>
      <c r="O58" s="473"/>
      <c r="P58" s="473"/>
      <c r="Q58" s="473"/>
      <c r="R58" s="473"/>
      <c r="S58" s="473"/>
      <c r="T58" s="473"/>
      <c r="U58" s="493"/>
      <c r="V58" s="473"/>
      <c r="W58" s="473"/>
      <c r="X58" s="473"/>
      <c r="Y58" s="473"/>
      <c r="Z58" s="473"/>
      <c r="AA58" s="473"/>
      <c r="AB58" s="493"/>
      <c r="AC58" s="493"/>
      <c r="AD58" s="493"/>
      <c r="AE58" s="493"/>
      <c r="AF58" s="473"/>
      <c r="AG58" s="473"/>
      <c r="AH58" s="473"/>
      <c r="AI58" s="483"/>
      <c r="AJ58" s="473"/>
      <c r="AK58" s="473"/>
      <c r="AL58" s="473"/>
      <c r="AM58" s="473"/>
      <c r="AN58" s="473"/>
      <c r="AO58" s="473"/>
      <c r="AP58" s="473"/>
      <c r="AQ58" s="473"/>
      <c r="AR58" s="473"/>
      <c r="AS58" s="473"/>
      <c r="AT58" s="473"/>
      <c r="AU58" s="473"/>
      <c r="AV58" s="473"/>
      <c r="AW58" s="473"/>
      <c r="AX58" s="473"/>
      <c r="AY58" s="473"/>
      <c r="AZ58" s="473"/>
      <c r="BA58" s="473"/>
      <c r="BB58" s="473"/>
      <c r="BC58" s="473"/>
      <c r="BG58" s="489"/>
      <c r="BH58" s="489"/>
      <c r="BI58" s="489"/>
      <c r="BJ58" s="489"/>
      <c r="BK58" s="489"/>
      <c r="BL58" s="489"/>
      <c r="BM58" s="489"/>
      <c r="BN58" s="489"/>
      <c r="BO58" s="1944" t="s">
        <v>27</v>
      </c>
      <c r="BP58" s="1017" t="str">
        <f>IF(BP56=-5,"A ","")</f>
        <v/>
      </c>
      <c r="BQ58" s="1017" t="str">
        <f>IF(BQ56=-4,"B ","")</f>
        <v/>
      </c>
      <c r="BR58" s="1017" t="str">
        <f>IF(BR56=-3,"C ","")</f>
        <v/>
      </c>
      <c r="BS58" s="1017" t="str">
        <f>IF(BS56=-2,"D ","")</f>
        <v/>
      </c>
      <c r="BT58" s="1017" t="str">
        <f>IF(BT56=-1,"E ","")</f>
        <v/>
      </c>
      <c r="BU58" s="1018" t="b">
        <f t="shared" ref="BU58:BZ58" si="5">+BU56</f>
        <v>0</v>
      </c>
      <c r="BV58" s="1018" t="b">
        <f t="shared" si="5"/>
        <v>0</v>
      </c>
      <c r="BW58" s="1018" t="b">
        <f t="shared" si="5"/>
        <v>0</v>
      </c>
      <c r="BX58" s="1018" t="b">
        <f t="shared" si="5"/>
        <v>0</v>
      </c>
      <c r="BY58" s="1018">
        <f t="shared" si="5"/>
        <v>5</v>
      </c>
      <c r="BZ58" s="1018" t="b">
        <f t="shared" si="5"/>
        <v>0</v>
      </c>
      <c r="CA58" s="1017" t="str">
        <f>IF(CA56=61,"B ","")</f>
        <v/>
      </c>
      <c r="CB58" s="1017" t="str">
        <f>IF(CB56=62,"C ","")</f>
        <v/>
      </c>
      <c r="CC58" s="1017" t="str">
        <f>IF(CC56=63,"D ","")</f>
        <v/>
      </c>
      <c r="CD58" s="1018" t="b">
        <f>+CD56</f>
        <v>0</v>
      </c>
      <c r="CE58" s="1018" t="b">
        <f>+CE56</f>
        <v>0</v>
      </c>
      <c r="CF58" s="1018" t="b">
        <f>+CF56</f>
        <v>0</v>
      </c>
      <c r="CG58" s="1018" t="b">
        <f>+CG56</f>
        <v>0</v>
      </c>
      <c r="CH58" s="1018" t="b">
        <f>+CH56</f>
        <v>0</v>
      </c>
      <c r="CI58" s="1017" t="str">
        <f>IF(CI56=-2,"E ","")</f>
        <v/>
      </c>
      <c r="CJ58" s="1017" t="str">
        <f>IF(CJ56=-3,"D ","")</f>
        <v/>
      </c>
      <c r="CK58" s="1017" t="str">
        <f>IF(CK56=-4,"C ","")</f>
        <v/>
      </c>
      <c r="CL58" s="1017" t="str">
        <f>IF(CL56=-5,"B ","")</f>
        <v/>
      </c>
      <c r="CM58" s="1019" t="str">
        <f>IF(CM56=-6,"A ","")</f>
        <v/>
      </c>
    </row>
    <row r="59" spans="2:93" ht="19.2" hidden="1" thickTop="1" thickBot="1" x14ac:dyDescent="0.4">
      <c r="B59" s="1421"/>
      <c r="C59" s="1421"/>
      <c r="D59" s="1429"/>
      <c r="E59" s="1429"/>
      <c r="F59" s="490"/>
      <c r="G59" s="490"/>
      <c r="H59" s="473"/>
      <c r="I59" s="473"/>
      <c r="J59" s="473"/>
      <c r="K59" s="473"/>
      <c r="L59" s="473"/>
      <c r="M59" s="473"/>
      <c r="N59" s="473"/>
      <c r="O59" s="473"/>
      <c r="P59" s="473"/>
      <c r="Q59" s="473"/>
      <c r="R59" s="473"/>
      <c r="S59" s="473"/>
      <c r="T59" s="473"/>
      <c r="U59" s="493"/>
      <c r="V59" s="473"/>
      <c r="W59" s="473"/>
      <c r="X59" s="473"/>
      <c r="Y59" s="473"/>
      <c r="Z59" s="473"/>
      <c r="AA59" s="473"/>
      <c r="AB59" s="493"/>
      <c r="AC59" s="493"/>
      <c r="AD59" s="493"/>
      <c r="AE59" s="493"/>
      <c r="AF59" s="473"/>
      <c r="AG59" s="473"/>
      <c r="AH59" s="473"/>
      <c r="AI59" s="483"/>
      <c r="AJ59" s="473"/>
      <c r="AK59" s="473"/>
      <c r="AL59" s="473"/>
      <c r="AM59" s="473"/>
      <c r="AN59" s="473"/>
      <c r="AO59" s="473"/>
      <c r="AP59" s="473"/>
      <c r="AQ59" s="473"/>
      <c r="AR59" s="473"/>
      <c r="AS59" s="473"/>
      <c r="AT59" s="473"/>
      <c r="AU59" s="473"/>
      <c r="AV59" s="473"/>
      <c r="AW59" s="473"/>
      <c r="AX59" s="473"/>
      <c r="AY59" s="473"/>
      <c r="AZ59" s="473"/>
      <c r="BA59" s="473"/>
      <c r="BB59" s="473"/>
      <c r="BC59" s="473"/>
      <c r="BG59" s="489"/>
      <c r="BH59" s="489"/>
      <c r="BI59" s="489"/>
      <c r="BJ59" s="489"/>
      <c r="BK59" s="489"/>
      <c r="BL59" s="489"/>
      <c r="BM59" s="489"/>
      <c r="BN59" s="489"/>
      <c r="BP59" s="521">
        <v>-5</v>
      </c>
      <c r="BQ59" s="521">
        <v>-4</v>
      </c>
      <c r="BR59" s="521">
        <v>-3</v>
      </c>
      <c r="BS59" s="521">
        <v>-2</v>
      </c>
      <c r="BT59" s="521">
        <v>-1</v>
      </c>
      <c r="BU59" s="521">
        <v>1</v>
      </c>
      <c r="BV59" s="489">
        <v>2</v>
      </c>
      <c r="BW59" s="489">
        <v>3</v>
      </c>
      <c r="BX59" s="489">
        <v>4</v>
      </c>
      <c r="BY59" s="489">
        <v>5</v>
      </c>
      <c r="BZ59" s="489">
        <v>6</v>
      </c>
      <c r="CA59" s="521">
        <v>61</v>
      </c>
      <c r="CB59" s="521">
        <v>62</v>
      </c>
      <c r="CC59" s="521">
        <v>63</v>
      </c>
      <c r="CD59" s="489">
        <v>7</v>
      </c>
      <c r="CE59" s="489">
        <v>8</v>
      </c>
      <c r="CF59" s="489">
        <v>9</v>
      </c>
      <c r="CG59" s="489">
        <v>10</v>
      </c>
      <c r="CH59" s="489">
        <v>-1</v>
      </c>
      <c r="CI59" s="489">
        <v>-2</v>
      </c>
      <c r="CJ59" s="489">
        <v>-3</v>
      </c>
      <c r="CK59" s="489">
        <v>-4</v>
      </c>
      <c r="CL59" s="489">
        <v>-5</v>
      </c>
      <c r="CM59" s="489">
        <v>-6</v>
      </c>
    </row>
    <row r="60" spans="2:93" ht="19.2" hidden="1" thickTop="1" thickBot="1" x14ac:dyDescent="0.4">
      <c r="B60" s="1421"/>
      <c r="C60" s="1430"/>
      <c r="D60" s="1429"/>
      <c r="E60" s="1429"/>
      <c r="F60" s="490"/>
      <c r="G60" s="490"/>
      <c r="H60" s="473"/>
      <c r="I60" s="473"/>
      <c r="J60" s="473"/>
      <c r="K60" s="473"/>
      <c r="L60" s="473"/>
      <c r="M60" s="473"/>
      <c r="N60" s="473"/>
      <c r="O60" s="473"/>
      <c r="P60" s="473"/>
      <c r="Q60" s="473"/>
      <c r="R60" s="473"/>
      <c r="S60" s="473"/>
      <c r="T60" s="473"/>
      <c r="U60" s="493"/>
      <c r="V60" s="473"/>
      <c r="W60" s="473"/>
      <c r="X60" s="473"/>
      <c r="Y60" s="473"/>
      <c r="Z60" s="473"/>
      <c r="AA60" s="473"/>
      <c r="AB60" s="493"/>
      <c r="AC60" s="493"/>
      <c r="AD60" s="493"/>
      <c r="AE60" s="493"/>
      <c r="AF60" s="473"/>
      <c r="AG60" s="473"/>
      <c r="AH60" s="473"/>
      <c r="AI60" s="483"/>
      <c r="AJ60" s="473"/>
      <c r="AK60" s="473"/>
      <c r="AL60" s="473"/>
      <c r="AM60" s="473"/>
      <c r="AN60" s="473"/>
      <c r="AO60" s="473"/>
      <c r="AP60" s="473"/>
      <c r="AQ60" s="473"/>
      <c r="AR60" s="473"/>
      <c r="AS60" s="473"/>
      <c r="AT60" s="473"/>
      <c r="AU60" s="473"/>
      <c r="AV60" s="473"/>
      <c r="AW60" s="473"/>
      <c r="AX60" s="473"/>
      <c r="AY60" s="473"/>
      <c r="AZ60" s="473"/>
      <c r="BA60" s="473"/>
      <c r="BB60" s="473"/>
      <c r="BC60" s="473"/>
      <c r="BG60" s="489"/>
      <c r="BH60" s="489"/>
      <c r="BI60" s="489"/>
      <c r="BJ60" s="489"/>
      <c r="BK60" s="489"/>
      <c r="BL60" s="489"/>
      <c r="BM60" s="489"/>
      <c r="BN60" s="489"/>
      <c r="BP60" s="521" t="s">
        <v>33</v>
      </c>
      <c r="BQ60" s="521" t="s">
        <v>34</v>
      </c>
      <c r="BR60" s="521" t="s">
        <v>35</v>
      </c>
      <c r="BS60" s="521" t="s">
        <v>36</v>
      </c>
      <c r="BT60" s="521" t="s">
        <v>37</v>
      </c>
      <c r="BU60" s="521">
        <v>1</v>
      </c>
      <c r="BV60" s="521">
        <v>2</v>
      </c>
      <c r="BW60" s="521">
        <v>3</v>
      </c>
      <c r="BX60" s="521">
        <v>4</v>
      </c>
      <c r="BY60" s="521">
        <v>5</v>
      </c>
      <c r="BZ60" s="521">
        <v>6</v>
      </c>
      <c r="CA60" s="521" t="s">
        <v>34</v>
      </c>
      <c r="CB60" s="521" t="s">
        <v>35</v>
      </c>
      <c r="CC60" s="521" t="s">
        <v>36</v>
      </c>
      <c r="CD60" s="521">
        <v>7</v>
      </c>
      <c r="CE60" s="521">
        <v>8</v>
      </c>
      <c r="CF60" s="521">
        <v>9</v>
      </c>
      <c r="CG60" s="521">
        <v>10</v>
      </c>
      <c r="CH60" s="521">
        <v>11</v>
      </c>
      <c r="CI60" s="521" t="s">
        <v>37</v>
      </c>
      <c r="CJ60" s="521" t="s">
        <v>36</v>
      </c>
      <c r="CK60" s="521" t="s">
        <v>35</v>
      </c>
      <c r="CL60" s="521" t="s">
        <v>34</v>
      </c>
      <c r="CM60" s="521" t="s">
        <v>33</v>
      </c>
    </row>
    <row r="61" spans="2:93" ht="19.2" hidden="1" thickTop="1" thickBot="1" x14ac:dyDescent="0.4">
      <c r="B61" s="1431" t="s">
        <v>151</v>
      </c>
      <c r="C61" s="1431">
        <f>+B76*133+25</f>
        <v>158</v>
      </c>
      <c r="D61" s="1425"/>
      <c r="E61" s="1425"/>
      <c r="F61" s="490"/>
      <c r="G61" s="490"/>
      <c r="H61" s="473"/>
      <c r="I61" s="473"/>
      <c r="J61" s="473"/>
      <c r="K61" s="473"/>
      <c r="L61" s="473"/>
      <c r="M61" s="473"/>
      <c r="N61" s="473"/>
      <c r="O61" s="473"/>
      <c r="P61" s="473"/>
      <c r="Q61" s="473"/>
      <c r="R61" s="473"/>
      <c r="S61" s="473"/>
      <c r="T61" s="473"/>
      <c r="U61" s="493"/>
      <c r="V61" s="473"/>
      <c r="W61" s="473"/>
      <c r="X61" s="473"/>
      <c r="Y61" s="473"/>
      <c r="Z61" s="473"/>
      <c r="AA61" s="473"/>
      <c r="AB61" s="493"/>
      <c r="AC61" s="493"/>
      <c r="AD61" s="493"/>
      <c r="AE61" s="493"/>
      <c r="AF61" s="473"/>
      <c r="AG61" s="473"/>
      <c r="AH61" s="473"/>
      <c r="AI61" s="483"/>
      <c r="AJ61" s="473"/>
      <c r="AK61" s="473"/>
      <c r="AL61" s="473"/>
      <c r="AM61" s="473"/>
      <c r="AN61" s="473"/>
      <c r="AO61" s="473"/>
      <c r="AP61" s="473"/>
      <c r="AQ61" s="473"/>
      <c r="AR61" s="473"/>
      <c r="AS61" s="473"/>
      <c r="AT61" s="473"/>
      <c r="AU61" s="473"/>
      <c r="AV61" s="473"/>
      <c r="AW61" s="473"/>
      <c r="AX61" s="473"/>
      <c r="AY61" s="473"/>
      <c r="AZ61" s="473"/>
      <c r="BA61" s="473"/>
      <c r="BB61" s="473"/>
      <c r="BC61" s="473"/>
      <c r="BG61" s="489"/>
      <c r="BH61" s="489"/>
      <c r="BI61" s="489"/>
      <c r="BJ61" s="489"/>
      <c r="BK61" s="489"/>
      <c r="BL61" s="489"/>
      <c r="BM61" s="489"/>
      <c r="BN61" s="489"/>
      <c r="BO61" s="478"/>
      <c r="BP61" s="478"/>
      <c r="BQ61" s="478"/>
      <c r="BR61" s="478"/>
      <c r="BS61" s="478"/>
      <c r="BT61" s="478"/>
      <c r="BU61" s="519"/>
      <c r="BV61" s="519"/>
      <c r="BW61" s="519"/>
      <c r="BX61" s="519"/>
      <c r="BY61" s="519"/>
      <c r="BZ61" s="519"/>
      <c r="CA61" s="519"/>
      <c r="CB61" s="519"/>
      <c r="CC61" s="519"/>
      <c r="CD61" s="519"/>
      <c r="CE61" s="519"/>
      <c r="CF61" s="519"/>
      <c r="CG61" s="519"/>
      <c r="CH61" s="519"/>
      <c r="CI61" s="506"/>
    </row>
    <row r="62" spans="2:93" ht="19.2" hidden="1" thickTop="1" thickBot="1" x14ac:dyDescent="0.4">
      <c r="B62" s="1431" t="s">
        <v>152</v>
      </c>
      <c r="C62" s="1431">
        <v>702</v>
      </c>
      <c r="D62" s="1425"/>
      <c r="E62" s="1425"/>
      <c r="F62" s="490"/>
      <c r="G62" s="490"/>
      <c r="H62" s="473"/>
      <c r="I62" s="473"/>
      <c r="J62" s="473"/>
      <c r="K62" s="473"/>
      <c r="L62" s="473"/>
      <c r="M62" s="473"/>
      <c r="N62" s="473"/>
      <c r="O62" s="473"/>
      <c r="P62" s="473"/>
      <c r="Q62" s="473"/>
      <c r="R62" s="473"/>
      <c r="S62" s="473"/>
      <c r="T62" s="473"/>
      <c r="U62" s="493"/>
      <c r="V62" s="473"/>
      <c r="W62" s="473"/>
      <c r="X62" s="473"/>
      <c r="Y62" s="473"/>
      <c r="Z62" s="473"/>
      <c r="AA62" s="473"/>
      <c r="AB62" s="493"/>
      <c r="AC62" s="493"/>
      <c r="AD62" s="493"/>
      <c r="AE62" s="493"/>
      <c r="AF62" s="473"/>
      <c r="AG62" s="473"/>
      <c r="AH62" s="473"/>
      <c r="AI62" s="483"/>
      <c r="AJ62" s="473"/>
      <c r="AK62" s="473"/>
      <c r="AL62" s="473"/>
      <c r="AM62" s="473"/>
      <c r="AN62" s="473"/>
      <c r="AO62" s="473"/>
      <c r="AP62" s="473"/>
      <c r="AQ62" s="473"/>
      <c r="AR62" s="473"/>
      <c r="AS62" s="473"/>
      <c r="AT62" s="473"/>
      <c r="AU62" s="473"/>
      <c r="AV62" s="473"/>
      <c r="AW62" s="473"/>
      <c r="AX62" s="473"/>
      <c r="AY62" s="473"/>
      <c r="AZ62" s="473"/>
      <c r="BA62" s="473"/>
      <c r="BB62" s="473"/>
      <c r="BC62" s="473"/>
      <c r="BG62" s="489"/>
      <c r="BH62" s="489"/>
      <c r="BI62" s="489"/>
      <c r="BJ62" s="489"/>
      <c r="BK62" s="489"/>
      <c r="BL62" s="489"/>
      <c r="BM62" s="489"/>
      <c r="BN62" s="489"/>
      <c r="BO62" s="478"/>
      <c r="BP62" s="478"/>
      <c r="BQ62" s="478"/>
      <c r="BR62" s="478"/>
      <c r="BS62" s="478"/>
      <c r="BT62" s="478"/>
      <c r="BU62" s="519"/>
      <c r="BV62" s="519"/>
      <c r="BW62" s="519"/>
      <c r="BX62" s="519"/>
      <c r="BY62" s="519"/>
      <c r="BZ62" s="519"/>
      <c r="CA62" s="519"/>
      <c r="CB62" s="519"/>
      <c r="CC62" s="519"/>
      <c r="CD62" s="519"/>
      <c r="CE62" s="519"/>
      <c r="CF62" s="519"/>
      <c r="CG62" s="519"/>
      <c r="CH62" s="519"/>
      <c r="CI62" s="506"/>
    </row>
    <row r="63" spans="2:93" ht="18.600000000000001" hidden="1" thickTop="1" thickBot="1" x14ac:dyDescent="0.35">
      <c r="B63" s="1431" t="s">
        <v>153</v>
      </c>
      <c r="C63" s="1431"/>
      <c r="D63" s="1430"/>
      <c r="E63" s="1430"/>
      <c r="F63" s="522"/>
      <c r="G63" s="522"/>
      <c r="BG63" s="489"/>
      <c r="BH63" s="489"/>
      <c r="BI63" s="489"/>
      <c r="BJ63" s="489"/>
      <c r="BK63" s="489"/>
      <c r="BL63" s="489"/>
      <c r="BM63" s="489"/>
      <c r="BN63" s="466" t="s">
        <v>133</v>
      </c>
      <c r="BO63" s="466"/>
      <c r="BR63" s="478"/>
      <c r="BS63" s="478"/>
      <c r="BT63" s="478"/>
      <c r="BU63" s="519"/>
      <c r="BV63" s="519"/>
      <c r="BW63" s="519"/>
      <c r="BX63" s="519"/>
      <c r="BY63" s="519"/>
      <c r="BZ63" s="519"/>
      <c r="CA63" s="519"/>
      <c r="CB63" s="519"/>
      <c r="CC63" s="519"/>
      <c r="CD63" s="519"/>
      <c r="CE63" s="519"/>
      <c r="CF63" s="519"/>
      <c r="CG63" s="519"/>
      <c r="CH63" s="519"/>
      <c r="CI63" s="506"/>
      <c r="CO63" s="466" t="s">
        <v>133</v>
      </c>
    </row>
    <row r="64" spans="2:93" ht="18.600000000000001" hidden="1" thickTop="1" thickBot="1" x14ac:dyDescent="0.35">
      <c r="B64" s="1421"/>
      <c r="C64" s="1421"/>
      <c r="D64" s="1429"/>
      <c r="E64" s="1429"/>
      <c r="BA64" s="523"/>
      <c r="BG64" s="524"/>
      <c r="BH64" s="524"/>
      <c r="BI64" s="524"/>
      <c r="BJ64" s="524"/>
      <c r="BK64" s="524"/>
      <c r="BL64" s="524"/>
      <c r="BM64" s="524"/>
      <c r="BN64" s="466">
        <f>-+BH100</f>
        <v>389.96852591663395</v>
      </c>
      <c r="BO64" s="466"/>
      <c r="BR64" s="478"/>
      <c r="BS64" s="478"/>
      <c r="BT64" s="478"/>
      <c r="BU64" s="519"/>
      <c r="BV64" s="519"/>
      <c r="BW64" s="519"/>
      <c r="BX64" s="519"/>
      <c r="BY64" s="519"/>
      <c r="BZ64" s="519"/>
      <c r="CA64" s="519"/>
      <c r="CB64" s="519"/>
      <c r="CC64" s="519"/>
      <c r="CD64" s="519"/>
      <c r="CE64" s="519"/>
      <c r="CF64" s="519"/>
      <c r="CG64" s="519"/>
      <c r="CH64" s="519"/>
      <c r="CI64" s="506"/>
      <c r="CO64" s="466">
        <f>+-BH123</f>
        <v>-599.03147408336599</v>
      </c>
    </row>
    <row r="65" spans="2:91" ht="16.8" hidden="1" thickTop="1" thickBot="1" x14ac:dyDescent="0.35">
      <c r="B65" s="1421"/>
      <c r="C65" s="1421"/>
      <c r="D65" s="1429"/>
      <c r="E65" s="1429"/>
      <c r="BG65" s="524"/>
      <c r="BH65" s="524"/>
      <c r="BI65" s="524"/>
      <c r="BJ65" s="524"/>
      <c r="BK65" s="524"/>
      <c r="BL65" s="524"/>
      <c r="BM65" s="524"/>
      <c r="BO65" s="478"/>
      <c r="BP65" s="478"/>
      <c r="BQ65" s="478"/>
      <c r="BR65" s="478"/>
      <c r="BS65" s="478"/>
      <c r="BT65" s="478"/>
      <c r="BU65" s="519"/>
      <c r="BV65" s="519"/>
      <c r="BW65" s="519"/>
      <c r="BX65" s="519"/>
      <c r="BY65" s="519"/>
      <c r="BZ65" s="519"/>
      <c r="CA65" s="519"/>
      <c r="CB65" s="519"/>
      <c r="CC65" s="519"/>
      <c r="CD65" s="519"/>
      <c r="CE65" s="519"/>
      <c r="CF65" s="519"/>
      <c r="CG65" s="519"/>
      <c r="CH65" s="519"/>
      <c r="CI65" s="506"/>
    </row>
    <row r="66" spans="2:91" ht="16.8" hidden="1" thickTop="1" thickBot="1" x14ac:dyDescent="0.35">
      <c r="B66" s="1432" t="s">
        <v>15</v>
      </c>
      <c r="C66" s="1432"/>
      <c r="D66" s="1433">
        <v>559</v>
      </c>
      <c r="E66" s="1430"/>
      <c r="F66" s="522"/>
      <c r="G66" s="522"/>
      <c r="BG66" s="524"/>
      <c r="BH66" s="524"/>
      <c r="BI66" s="524"/>
      <c r="BJ66" s="524"/>
      <c r="BK66" s="524"/>
      <c r="BL66" s="524"/>
      <c r="BM66" s="524"/>
      <c r="BO66" s="478"/>
      <c r="BP66" s="478"/>
      <c r="BQ66" s="478"/>
      <c r="BR66" s="478"/>
      <c r="BS66" s="478"/>
      <c r="BT66" s="478"/>
      <c r="BU66" s="519"/>
      <c r="BV66" s="519"/>
      <c r="BW66" s="519"/>
      <c r="BX66" s="519"/>
      <c r="BY66" s="519"/>
      <c r="BZ66" s="519"/>
      <c r="CA66" s="519"/>
      <c r="CB66" s="519"/>
      <c r="CC66" s="519"/>
      <c r="CD66" s="519"/>
      <c r="CE66" s="519"/>
      <c r="CF66" s="519"/>
      <c r="CG66" s="519"/>
      <c r="CH66" s="519"/>
      <c r="CI66" s="506"/>
    </row>
    <row r="67" spans="2:91" ht="16.8" hidden="1" thickTop="1" thickBot="1" x14ac:dyDescent="0.35">
      <c r="B67" s="1432" t="s">
        <v>14</v>
      </c>
      <c r="C67" s="1432"/>
      <c r="D67" s="1433">
        <f>+D25-49</f>
        <v>174.96853684112392</v>
      </c>
      <c r="E67" s="1430"/>
      <c r="F67" s="522"/>
      <c r="G67" s="522"/>
      <c r="H67" s="506"/>
      <c r="I67" s="506"/>
      <c r="J67" s="506"/>
      <c r="K67" s="506"/>
      <c r="L67" s="506"/>
      <c r="M67" s="506"/>
      <c r="N67" s="506"/>
      <c r="O67" s="506"/>
      <c r="P67" s="506"/>
      <c r="Q67" s="506"/>
      <c r="R67" s="506"/>
      <c r="AB67" s="506"/>
      <c r="AC67" s="506"/>
      <c r="AD67" s="506"/>
      <c r="AE67" s="506"/>
      <c r="AF67" s="506"/>
      <c r="AG67" s="506"/>
      <c r="AH67" s="506"/>
      <c r="AI67" s="520"/>
      <c r="AJ67" s="506"/>
      <c r="AK67" s="506"/>
      <c r="AL67" s="506"/>
      <c r="AM67" s="506"/>
      <c r="AN67" s="506"/>
      <c r="AO67" s="506"/>
      <c r="AP67" s="506"/>
      <c r="AQ67" s="506"/>
      <c r="AR67" s="506"/>
      <c r="AS67" s="506"/>
      <c r="AT67" s="506"/>
      <c r="AU67" s="506"/>
      <c r="AV67" s="506"/>
      <c r="AW67" s="506"/>
      <c r="AX67" s="506"/>
      <c r="AY67" s="506"/>
      <c r="AZ67" s="506"/>
      <c r="BA67" s="506"/>
      <c r="BB67" s="506"/>
      <c r="BC67" s="506"/>
      <c r="BG67" s="524"/>
      <c r="BH67" s="524"/>
      <c r="BI67" s="524"/>
      <c r="BJ67" s="524"/>
      <c r="BK67" s="524"/>
      <c r="BL67" s="524"/>
      <c r="BM67" s="524"/>
      <c r="BO67" s="478"/>
      <c r="BP67" s="478"/>
      <c r="BQ67" s="478"/>
      <c r="BR67" s="478"/>
      <c r="BS67" s="478"/>
      <c r="BT67" s="478"/>
      <c r="BU67" s="519"/>
      <c r="BV67" s="519"/>
      <c r="BW67" s="519"/>
      <c r="BX67" s="519"/>
      <c r="BY67" s="519"/>
      <c r="BZ67" s="519"/>
      <c r="CA67" s="519"/>
      <c r="CB67" s="519"/>
      <c r="CC67" s="519"/>
      <c r="CD67" s="519"/>
      <c r="CE67" s="519"/>
      <c r="CF67" s="519"/>
      <c r="CG67" s="519"/>
      <c r="CH67" s="519"/>
      <c r="CI67" s="506"/>
    </row>
    <row r="68" spans="2:91" ht="30" customHeight="1" thickTop="1" thickBot="1" x14ac:dyDescent="0.35">
      <c r="B68" s="1434">
        <f>ABS(D34)</f>
        <v>20.14477233355462</v>
      </c>
      <c r="C68" s="1421"/>
      <c r="D68" s="1434">
        <f>ABS(E34)</f>
        <v>30.944427214166367</v>
      </c>
      <c r="E68" s="1434">
        <f>+IF(AND(E34&lt;&gt;TRUE,D34&lt;&gt;TRUE),F34)</f>
        <v>28.811973807296539</v>
      </c>
      <c r="F68" s="516"/>
      <c r="G68" s="516"/>
      <c r="H68" s="506"/>
      <c r="I68" s="506"/>
      <c r="J68" s="506"/>
      <c r="K68" s="506"/>
      <c r="L68" s="506"/>
      <c r="M68" s="506"/>
      <c r="N68" s="506"/>
      <c r="O68" s="506"/>
      <c r="P68" s="506"/>
      <c r="Q68" s="506"/>
      <c r="R68" s="506"/>
      <c r="AF68" s="506"/>
      <c r="AG68" s="506"/>
      <c r="AH68" s="506"/>
      <c r="AI68" s="520"/>
      <c r="AJ68" s="506"/>
      <c r="AK68" s="506"/>
      <c r="AL68" s="506"/>
      <c r="AM68" s="506"/>
      <c r="AN68" s="506"/>
      <c r="AO68" s="506"/>
      <c r="AP68" s="506"/>
      <c r="AQ68" s="506"/>
      <c r="AR68" s="506"/>
      <c r="AS68" s="506"/>
      <c r="AT68" s="506"/>
      <c r="AU68" s="506"/>
      <c r="AV68" s="506"/>
      <c r="AW68" s="506"/>
      <c r="AX68" s="506"/>
      <c r="AY68" s="506"/>
      <c r="AZ68" s="506"/>
      <c r="BA68" s="506"/>
      <c r="BB68" s="506"/>
      <c r="BC68" s="506"/>
      <c r="BG68" s="524"/>
      <c r="BH68" s="524"/>
      <c r="BI68" s="524"/>
      <c r="BJ68" s="524"/>
      <c r="BK68" s="524"/>
      <c r="BL68" s="524"/>
      <c r="BM68" s="524"/>
      <c r="BN68" s="524"/>
      <c r="BO68" s="478"/>
      <c r="BP68" s="478"/>
      <c r="BQ68" s="478"/>
      <c r="BR68" s="478"/>
      <c r="BS68" s="478"/>
      <c r="BT68" s="478"/>
      <c r="BU68" s="519"/>
      <c r="BV68" s="519"/>
      <c r="BW68" s="519"/>
      <c r="BX68" s="519"/>
      <c r="BY68" s="519"/>
      <c r="BZ68" s="519"/>
      <c r="CA68" s="519"/>
      <c r="CB68" s="519"/>
      <c r="CC68" s="519"/>
      <c r="CD68" s="519"/>
      <c r="CE68" s="519"/>
      <c r="CF68" s="519"/>
      <c r="CG68" s="519"/>
      <c r="CH68" s="519"/>
      <c r="CI68" s="506"/>
    </row>
    <row r="69" spans="2:91" ht="16.8" thickTop="1" thickBot="1" x14ac:dyDescent="0.35">
      <c r="B69" s="525"/>
      <c r="C69" s="525"/>
      <c r="D69" s="516"/>
      <c r="E69" s="516"/>
      <c r="F69" s="516"/>
      <c r="G69" s="516"/>
      <c r="H69" s="506"/>
      <c r="I69" s="506"/>
      <c r="J69" s="506"/>
      <c r="K69" s="506"/>
      <c r="L69" s="506"/>
      <c r="M69" s="506"/>
      <c r="N69" s="506"/>
      <c r="O69" s="506"/>
      <c r="P69" s="506"/>
      <c r="Q69" s="506"/>
      <c r="R69" s="506"/>
      <c r="U69" s="478"/>
      <c r="V69" s="478"/>
      <c r="W69" s="478"/>
      <c r="X69" s="478"/>
      <c r="Y69" s="478"/>
      <c r="Z69" s="478"/>
      <c r="AA69" s="478"/>
      <c r="AF69" s="478"/>
      <c r="AG69" s="478"/>
      <c r="AH69" s="478"/>
      <c r="AI69" s="478"/>
      <c r="AJ69" s="478"/>
      <c r="AK69" s="478"/>
      <c r="AL69" s="478"/>
      <c r="AM69" s="478"/>
      <c r="AN69" s="478"/>
      <c r="AO69" s="478"/>
      <c r="AP69" s="478"/>
      <c r="AQ69" s="478"/>
      <c r="AR69" s="478"/>
      <c r="AS69" s="478"/>
      <c r="AT69" s="478"/>
      <c r="AU69" s="478"/>
      <c r="AV69" s="478"/>
      <c r="AW69" s="478"/>
      <c r="AX69" s="478"/>
      <c r="AY69" s="478"/>
      <c r="AZ69" s="478"/>
      <c r="BA69" s="478"/>
      <c r="BB69" s="478"/>
      <c r="BC69" s="478"/>
      <c r="BG69" s="524"/>
      <c r="BH69" s="524"/>
      <c r="BI69" s="524"/>
      <c r="BJ69" s="524"/>
      <c r="BK69" s="524"/>
      <c r="BL69" s="524"/>
      <c r="BM69" s="524"/>
      <c r="BN69" s="524"/>
      <c r="CH69" s="521"/>
      <c r="CI69" s="521"/>
      <c r="CJ69" s="521"/>
      <c r="CK69" s="521"/>
      <c r="CL69" s="521"/>
      <c r="CM69" s="521"/>
    </row>
    <row r="70" spans="2:91" ht="45" customHeight="1" thickBot="1" x14ac:dyDescent="0.4">
      <c r="B70" s="2129" t="s">
        <v>154</v>
      </c>
      <c r="D70" s="1020" t="str">
        <f>IF(BN64&gt;0," ","change the angle of frame or of cabinets")</f>
        <v xml:space="preserve"> </v>
      </c>
      <c r="E70" s="526"/>
      <c r="F70" s="526"/>
      <c r="G70" s="527"/>
      <c r="H70" s="506"/>
      <c r="I70" s="506"/>
      <c r="J70" s="506"/>
      <c r="K70" s="506"/>
      <c r="L70" s="506"/>
      <c r="M70" s="506"/>
      <c r="N70" s="506"/>
      <c r="O70" s="506"/>
      <c r="P70" s="506"/>
      <c r="Q70" s="506"/>
      <c r="R70" s="506"/>
      <c r="V70" s="506"/>
      <c r="W70" s="506"/>
      <c r="X70" s="506"/>
      <c r="Y70" s="506"/>
      <c r="Z70" s="506"/>
      <c r="AA70" s="506"/>
      <c r="AF70" s="506"/>
      <c r="AG70" s="506"/>
      <c r="AH70" s="506"/>
      <c r="AI70" s="520"/>
      <c r="AJ70" s="506"/>
      <c r="AK70" s="506"/>
      <c r="AL70" s="506"/>
      <c r="AM70" s="506"/>
      <c r="AN70" s="506"/>
      <c r="AO70" s="506"/>
      <c r="AP70" s="506"/>
      <c r="AQ70" s="506"/>
      <c r="AR70" s="506"/>
      <c r="AS70" s="506"/>
      <c r="AT70" s="506"/>
      <c r="AU70" s="506"/>
      <c r="AV70" s="506"/>
      <c r="AW70" s="506"/>
      <c r="AX70" s="506"/>
      <c r="AY70" s="506"/>
      <c r="AZ70" s="506"/>
      <c r="BA70" s="506"/>
      <c r="BB70" s="506"/>
      <c r="BC70" s="506"/>
      <c r="BG70" s="524"/>
      <c r="BH70" s="524"/>
      <c r="BI70" s="524"/>
      <c r="BJ70" s="524"/>
      <c r="BK70" s="524"/>
      <c r="BL70" s="524"/>
      <c r="BM70" s="524"/>
      <c r="BN70" s="524"/>
    </row>
    <row r="71" spans="2:91" ht="45" customHeight="1" thickBot="1" x14ac:dyDescent="0.4">
      <c r="B71" s="2130"/>
      <c r="D71" s="1021" t="str">
        <f>IF(CO64&lt;0," ","change the angle of frame or of cabinets")</f>
        <v xml:space="preserve"> </v>
      </c>
      <c r="E71" s="526"/>
      <c r="F71" s="526"/>
      <c r="G71" s="527"/>
      <c r="H71" s="506"/>
      <c r="I71" s="506"/>
      <c r="J71" s="506"/>
      <c r="K71" s="506"/>
      <c r="L71" s="506"/>
      <c r="M71" s="506"/>
      <c r="N71" s="506"/>
      <c r="O71" s="506"/>
      <c r="P71" s="506"/>
      <c r="Q71" s="506"/>
      <c r="R71" s="506"/>
      <c r="U71" s="476"/>
      <c r="V71" s="528"/>
      <c r="W71" s="529"/>
      <c r="X71" s="529"/>
      <c r="Y71" s="529"/>
      <c r="Z71" s="529"/>
      <c r="AA71" s="529"/>
      <c r="AF71" s="530"/>
      <c r="AG71" s="530"/>
      <c r="AH71" s="530"/>
      <c r="AI71" s="529"/>
      <c r="AJ71" s="530"/>
      <c r="AK71" s="530"/>
      <c r="AL71" s="530"/>
      <c r="AM71" s="530"/>
      <c r="AN71" s="530"/>
      <c r="AO71" s="530"/>
      <c r="AP71" s="530"/>
      <c r="AQ71" s="530"/>
      <c r="AR71" s="530"/>
      <c r="AS71" s="530"/>
      <c r="AT71" s="530"/>
      <c r="AU71" s="530"/>
      <c r="AV71" s="530"/>
      <c r="AW71" s="530"/>
      <c r="AX71" s="530"/>
      <c r="AY71" s="530"/>
      <c r="AZ71" s="530"/>
      <c r="BA71" s="530"/>
      <c r="BB71" s="530"/>
      <c r="BC71" s="530"/>
      <c r="BG71" s="524"/>
      <c r="BH71" s="524"/>
      <c r="BI71" s="524"/>
      <c r="BJ71" s="524"/>
      <c r="BK71" s="524"/>
      <c r="BL71" s="524"/>
      <c r="BM71" s="524"/>
      <c r="BN71" s="524"/>
    </row>
    <row r="72" spans="2:91" ht="45" customHeight="1" thickBot="1" x14ac:dyDescent="0.4">
      <c r="B72" s="2131"/>
      <c r="C72" s="1402"/>
      <c r="D72" s="1403" t="str">
        <f>IF(BN64&gt;(+COS(($B$73*-1)*3.14159265358979/180)*193.5)," ","USE EXBAR 12 AT THE FRONT")</f>
        <v xml:space="preserve"> </v>
      </c>
      <c r="E72" s="526"/>
      <c r="F72" s="526"/>
      <c r="G72" s="527"/>
      <c r="H72" s="506"/>
      <c r="I72" s="506"/>
      <c r="J72" s="506"/>
      <c r="K72" s="506"/>
      <c r="L72" s="506"/>
      <c r="M72" s="506"/>
      <c r="N72" s="506"/>
      <c r="O72" s="506"/>
      <c r="P72" s="506"/>
      <c r="Q72" s="506"/>
      <c r="R72" s="506"/>
      <c r="S72" s="520"/>
      <c r="T72" s="520"/>
      <c r="U72" s="478"/>
      <c r="V72" s="520"/>
      <c r="W72" s="520"/>
      <c r="X72" s="520"/>
      <c r="Y72" s="520"/>
      <c r="Z72" s="520"/>
      <c r="AA72" s="520"/>
      <c r="AB72" s="478"/>
      <c r="AC72" s="478"/>
      <c r="AD72" s="478"/>
      <c r="AE72" s="478"/>
      <c r="AF72" s="506"/>
      <c r="AG72" s="506"/>
      <c r="AH72" s="506"/>
      <c r="AI72" s="520"/>
      <c r="AJ72" s="506"/>
      <c r="AK72" s="506"/>
      <c r="AL72" s="506"/>
      <c r="AM72" s="506"/>
      <c r="AN72" s="506"/>
      <c r="AO72" s="506"/>
      <c r="AP72" s="506"/>
      <c r="AQ72" s="506"/>
      <c r="AR72" s="506"/>
      <c r="AS72" s="506"/>
      <c r="AT72" s="506"/>
      <c r="AU72" s="506"/>
      <c r="AV72" s="506"/>
      <c r="AW72" s="506"/>
      <c r="AX72" s="506"/>
      <c r="AY72" s="506"/>
      <c r="AZ72" s="506"/>
      <c r="BA72" s="506"/>
      <c r="BB72" s="506"/>
      <c r="BC72" s="506"/>
      <c r="BG72" s="524"/>
      <c r="BH72" s="524"/>
      <c r="BI72" s="524"/>
      <c r="BJ72" s="524"/>
      <c r="BK72" s="524"/>
      <c r="BL72" s="524"/>
      <c r="BM72" s="524"/>
      <c r="BN72" s="524"/>
    </row>
    <row r="73" spans="2:91" ht="45" customHeight="1" thickBot="1" x14ac:dyDescent="0.45">
      <c r="B73" s="462">
        <v>0</v>
      </c>
      <c r="C73" s="1402"/>
      <c r="D73" s="1404" t="str">
        <f>IF(CO64&lt;-(+COS(($B$73*-1)*3.14159265358979/180)*193.5)," ","USE EXBAR 12 AT THE BACK")</f>
        <v xml:space="preserve"> </v>
      </c>
      <c r="E73" s="526"/>
      <c r="F73" s="526"/>
      <c r="G73" s="527"/>
      <c r="AF73" s="506"/>
      <c r="AG73" s="506"/>
      <c r="AH73" s="506"/>
      <c r="AI73" s="520"/>
      <c r="AJ73" s="506"/>
      <c r="AK73" s="506"/>
      <c r="AL73" s="506"/>
      <c r="AM73" s="506"/>
      <c r="AN73" s="506"/>
      <c r="AO73" s="506"/>
      <c r="AP73" s="506"/>
      <c r="AQ73" s="506"/>
      <c r="AR73" s="506"/>
      <c r="AS73" s="506"/>
      <c r="AT73" s="506"/>
      <c r="AU73" s="506"/>
      <c r="AV73" s="506"/>
      <c r="AW73" s="506"/>
      <c r="AX73" s="506"/>
      <c r="AY73" s="506"/>
      <c r="AZ73" s="506"/>
      <c r="BA73" s="506"/>
      <c r="BB73" s="506"/>
      <c r="BC73" s="506"/>
      <c r="BG73" s="524"/>
      <c r="BH73" s="524"/>
      <c r="BI73" s="524"/>
      <c r="BJ73" s="524"/>
      <c r="BK73" s="524"/>
      <c r="BL73" s="524"/>
      <c r="BM73" s="524"/>
      <c r="BN73" s="524"/>
    </row>
    <row r="74" spans="2:91" ht="18" customHeight="1" thickBot="1" x14ac:dyDescent="0.35">
      <c r="W74" s="2132" t="s">
        <v>194</v>
      </c>
      <c r="X74" s="2132"/>
      <c r="Y74" s="2132"/>
      <c r="Z74" s="2132"/>
      <c r="AA74" s="2132"/>
      <c r="AF74" s="506"/>
      <c r="AG74" s="506"/>
      <c r="AH74" s="506"/>
      <c r="AI74" s="520"/>
      <c r="AJ74" s="506"/>
      <c r="AK74" s="506"/>
      <c r="AL74" s="506"/>
      <c r="AM74" s="506"/>
      <c r="AN74" s="506"/>
      <c r="AO74" s="506"/>
      <c r="AP74" s="506"/>
      <c r="AQ74" s="506"/>
      <c r="AR74" s="506"/>
      <c r="AS74" s="506"/>
      <c r="AT74" s="506"/>
      <c r="AU74" s="506"/>
      <c r="AV74" s="506"/>
      <c r="AW74" s="506"/>
      <c r="AX74" s="506"/>
      <c r="AY74" s="506"/>
      <c r="AZ74" s="506"/>
      <c r="BA74" s="506"/>
      <c r="BB74" s="506"/>
      <c r="BC74" s="506"/>
      <c r="BG74" s="524"/>
      <c r="BH74" s="524"/>
      <c r="BI74" s="524"/>
      <c r="BJ74" s="524"/>
      <c r="BK74" s="524"/>
      <c r="BL74" s="524"/>
      <c r="BM74" s="524"/>
      <c r="BN74" s="524"/>
    </row>
    <row r="75" spans="2:91" ht="61.5" customHeight="1" thickBot="1" x14ac:dyDescent="0.45">
      <c r="B75" s="547" t="s">
        <v>43</v>
      </c>
      <c r="C75" s="532"/>
      <c r="D75" s="533"/>
      <c r="E75" s="533"/>
      <c r="F75" s="533"/>
      <c r="G75" s="533"/>
      <c r="T75" s="489"/>
      <c r="U75" s="506"/>
      <c r="V75" s="506"/>
      <c r="AB75" s="506"/>
      <c r="AC75" s="506"/>
      <c r="AD75" s="506"/>
      <c r="AE75" s="506"/>
      <c r="AF75" s="506"/>
      <c r="AG75" s="506"/>
      <c r="AH75" s="506"/>
      <c r="AI75" s="520"/>
      <c r="AJ75" s="506"/>
      <c r="AK75" s="506"/>
      <c r="AL75" s="506"/>
      <c r="AM75" s="506"/>
      <c r="AN75" s="506"/>
      <c r="AO75" s="506"/>
      <c r="AP75" s="506"/>
      <c r="AQ75" s="506"/>
      <c r="AR75" s="506"/>
      <c r="AS75" s="506"/>
      <c r="AT75" s="506"/>
      <c r="AU75" s="506"/>
      <c r="AV75" s="506"/>
      <c r="AW75" s="506"/>
      <c r="AX75" s="506"/>
      <c r="AY75" s="506"/>
      <c r="AZ75" s="506"/>
      <c r="BA75" s="2133" t="s">
        <v>68</v>
      </c>
      <c r="BB75" s="2134"/>
      <c r="BC75" s="506"/>
      <c r="BD75" s="506"/>
      <c r="BH75" s="524"/>
      <c r="BI75" s="524"/>
      <c r="BJ75" s="524"/>
      <c r="BK75" s="524"/>
      <c r="BL75" s="524"/>
      <c r="BM75" s="524"/>
      <c r="BN75" s="524"/>
    </row>
    <row r="76" spans="2:91" ht="28.5" customHeight="1" thickBot="1" x14ac:dyDescent="0.45">
      <c r="B76" s="1961">
        <v>1</v>
      </c>
      <c r="C76" s="1963"/>
      <c r="D76" s="1962" t="s">
        <v>197</v>
      </c>
      <c r="E76" s="1345"/>
      <c r="F76" s="1345"/>
      <c r="G76" s="534"/>
      <c r="H76" s="534"/>
      <c r="I76" s="534"/>
      <c r="J76" s="534"/>
      <c r="K76" s="534"/>
      <c r="L76" s="534"/>
      <c r="M76" s="534"/>
      <c r="N76" s="534"/>
      <c r="O76" s="534"/>
      <c r="P76" s="534"/>
      <c r="Q76" s="534"/>
      <c r="R76" s="534"/>
      <c r="S76" s="534"/>
      <c r="T76" s="534"/>
      <c r="U76" s="506"/>
      <c r="V76" s="506"/>
      <c r="AB76" s="506"/>
      <c r="AC76" s="506"/>
      <c r="AD76" s="506"/>
      <c r="AE76" s="506"/>
      <c r="AF76" s="506"/>
      <c r="AG76" s="506"/>
      <c r="AH76" s="506"/>
      <c r="AI76" s="520"/>
      <c r="AJ76" s="506"/>
      <c r="AK76" s="506"/>
      <c r="AL76" s="506"/>
      <c r="AM76" s="506"/>
      <c r="AN76" s="506"/>
      <c r="AO76" s="506"/>
      <c r="AP76" s="506"/>
      <c r="AQ76" s="506"/>
      <c r="AR76" s="506"/>
      <c r="AS76" s="506"/>
      <c r="AT76" s="506"/>
      <c r="AU76" s="506"/>
      <c r="AV76" s="506"/>
      <c r="AW76" s="506"/>
      <c r="AX76" s="506"/>
      <c r="AY76" s="506"/>
      <c r="AZ76" s="535"/>
      <c r="BA76" s="557" t="s">
        <v>25</v>
      </c>
      <c r="BB76" s="557" t="s">
        <v>26</v>
      </c>
      <c r="BC76" s="506"/>
      <c r="BD76" s="506"/>
      <c r="BG76" s="524"/>
      <c r="BH76" s="524"/>
      <c r="BI76" s="524"/>
      <c r="BJ76" s="524"/>
      <c r="BK76" s="524"/>
      <c r="BL76" s="524"/>
      <c r="BM76" s="524"/>
      <c r="BN76" s="524"/>
    </row>
    <row r="77" spans="2:91" ht="54" hidden="1" thickBot="1" x14ac:dyDescent="0.35">
      <c r="B77" s="536"/>
      <c r="C77" s="537"/>
      <c r="D77" s="1947" t="s">
        <v>13</v>
      </c>
      <c r="E77" s="516"/>
      <c r="F77" s="516"/>
      <c r="G77" s="516"/>
      <c r="H77" s="538" t="s">
        <v>4</v>
      </c>
      <c r="I77" s="538" t="s">
        <v>140</v>
      </c>
      <c r="J77" s="506" t="s">
        <v>0</v>
      </c>
      <c r="K77" s="506" t="s">
        <v>2</v>
      </c>
      <c r="L77" s="506" t="s">
        <v>3</v>
      </c>
      <c r="M77" s="506" t="s">
        <v>8</v>
      </c>
      <c r="N77" s="506" t="s">
        <v>5</v>
      </c>
      <c r="O77" s="506" t="s">
        <v>6</v>
      </c>
      <c r="P77" s="506" t="s">
        <v>7</v>
      </c>
      <c r="Q77" s="506" t="s">
        <v>9</v>
      </c>
      <c r="R77" s="506" t="s">
        <v>10</v>
      </c>
      <c r="S77" s="506" t="s">
        <v>11</v>
      </c>
      <c r="T77" s="539" t="s">
        <v>12</v>
      </c>
      <c r="U77" s="540"/>
      <c r="V77" s="541"/>
      <c r="W77" s="1952" t="s">
        <v>198</v>
      </c>
      <c r="X77" s="1953" t="s">
        <v>179</v>
      </c>
      <c r="Y77" s="1952" t="s">
        <v>199</v>
      </c>
      <c r="Z77" s="1954" t="s">
        <v>180</v>
      </c>
      <c r="AA77" s="1954" t="s">
        <v>181</v>
      </c>
      <c r="AB77" s="541"/>
      <c r="AC77" s="1435" t="s">
        <v>184</v>
      </c>
      <c r="AD77" s="1435"/>
      <c r="AE77" s="1435"/>
      <c r="AF77" s="541"/>
      <c r="AG77" s="541"/>
      <c r="AH77" s="541"/>
      <c r="AI77" s="542"/>
      <c r="AJ77" s="541"/>
      <c r="AK77" s="541"/>
      <c r="AL77" s="541"/>
      <c r="AM77" s="541"/>
      <c r="AN77" s="541"/>
      <c r="AO77" s="541"/>
      <c r="AP77" s="541" t="s">
        <v>155</v>
      </c>
      <c r="AQ77" s="541"/>
      <c r="AR77" s="541" t="s">
        <v>156</v>
      </c>
      <c r="AS77" s="541"/>
      <c r="AT77" s="541"/>
      <c r="AU77" s="541" t="s">
        <v>155</v>
      </c>
      <c r="AV77" s="541"/>
      <c r="AW77" s="541"/>
      <c r="AX77" s="541"/>
      <c r="AY77" s="535"/>
      <c r="AZ77" s="535"/>
      <c r="BC77" s="541"/>
      <c r="BH77" s="524"/>
      <c r="BI77" s="524"/>
      <c r="BJ77" s="524"/>
      <c r="BK77" s="524"/>
      <c r="BL77" s="524"/>
      <c r="BM77" s="524"/>
      <c r="BN77" s="524"/>
    </row>
    <row r="78" spans="2:91" ht="42" hidden="1" thickBot="1" x14ac:dyDescent="0.45">
      <c r="B78" s="544"/>
      <c r="C78" s="545"/>
      <c r="D78" s="1950"/>
      <c r="E78" s="1067"/>
      <c r="F78" s="1880"/>
      <c r="G78" s="1067"/>
      <c r="H78" s="516"/>
      <c r="I78" s="516"/>
      <c r="J78" s="516"/>
      <c r="K78" s="516"/>
      <c r="L78" s="516"/>
      <c r="M78" s="516"/>
      <c r="N78" s="516"/>
      <c r="O78" s="516"/>
      <c r="P78" s="516"/>
      <c r="Q78" s="516"/>
      <c r="R78" s="516"/>
      <c r="S78" s="516"/>
      <c r="T78" s="554"/>
      <c r="U78" s="540"/>
      <c r="V78" s="554"/>
      <c r="W78" s="1955"/>
      <c r="X78" s="1955"/>
      <c r="Y78" s="1955"/>
      <c r="Z78" s="1955"/>
      <c r="AA78" s="1955"/>
      <c r="AB78" s="554"/>
      <c r="AC78" s="1951">
        <f>SUM(AC79:AC90)</f>
        <v>351</v>
      </c>
      <c r="AD78" s="1436"/>
      <c r="AE78" s="1436"/>
      <c r="AF78" s="541" t="s">
        <v>51</v>
      </c>
      <c r="AG78" s="541"/>
      <c r="AH78" s="549" t="s">
        <v>44</v>
      </c>
      <c r="AI78" s="550"/>
      <c r="AJ78" s="549" t="s">
        <v>142</v>
      </c>
      <c r="AK78" s="551" t="s">
        <v>45</v>
      </c>
      <c r="AL78" s="549" t="s">
        <v>46</v>
      </c>
      <c r="AM78" s="552" t="s">
        <v>14</v>
      </c>
      <c r="AN78" s="552" t="s">
        <v>47</v>
      </c>
      <c r="AO78" s="552" t="s">
        <v>48</v>
      </c>
      <c r="AP78" s="553" t="s">
        <v>61</v>
      </c>
      <c r="AQ78" s="554" t="s">
        <v>60</v>
      </c>
      <c r="AR78" s="553" t="s">
        <v>157</v>
      </c>
      <c r="AS78" s="554" t="s">
        <v>59</v>
      </c>
      <c r="AT78" s="554" t="s">
        <v>52</v>
      </c>
      <c r="AU78" s="553" t="s">
        <v>158</v>
      </c>
      <c r="AV78" s="554"/>
      <c r="AW78" s="555" t="s">
        <v>54</v>
      </c>
      <c r="AX78" s="555" t="s">
        <v>55</v>
      </c>
      <c r="AY78" s="556" t="s">
        <v>25</v>
      </c>
      <c r="AZ78" s="556" t="s">
        <v>26</v>
      </c>
      <c r="BC78" s="506"/>
      <c r="BD78" s="558"/>
      <c r="BH78" s="524"/>
      <c r="BI78" s="524"/>
      <c r="BJ78" s="524"/>
      <c r="BK78" s="524"/>
      <c r="BL78" s="524"/>
      <c r="BM78" s="524"/>
      <c r="BN78" s="524"/>
    </row>
    <row r="79" spans="2:91" ht="21" customHeight="1" thickBot="1" x14ac:dyDescent="0.4">
      <c r="B79" s="559">
        <v>1</v>
      </c>
      <c r="C79" s="560">
        <f>+(B73*-1)</f>
        <v>0</v>
      </c>
      <c r="D79" s="562"/>
      <c r="E79" s="588"/>
      <c r="F79" s="588"/>
      <c r="G79" s="588"/>
      <c r="H79" s="604">
        <v>430.351</v>
      </c>
      <c r="I79" s="605">
        <v>70.703909370000005</v>
      </c>
      <c r="J79" s="548">
        <f>+I79-C79</f>
        <v>70.703909370000005</v>
      </c>
      <c r="K79" s="548">
        <f t="shared" ref="K79:K90" si="6">+J79/2</f>
        <v>35.351954685000003</v>
      </c>
      <c r="L79" s="548">
        <f t="shared" ref="L79:L90" si="7">SIN(K79*3.14159265358979/180)</f>
        <v>0.57859744421131742</v>
      </c>
      <c r="M79" s="548">
        <f t="shared" ref="M79:M90" si="8">+L79*H79</f>
        <v>248.99998871378466</v>
      </c>
      <c r="N79" s="548">
        <f t="shared" ref="N79:N90" si="9">+M79*2</f>
        <v>497.99997742756932</v>
      </c>
      <c r="O79" s="548">
        <f>+C79/2</f>
        <v>0</v>
      </c>
      <c r="P79" s="548">
        <f t="shared" ref="P79:P90" si="10">SIN(O79*3.14159265358979/180)</f>
        <v>0</v>
      </c>
      <c r="Q79" s="548">
        <f t="shared" ref="Q79:Q90" si="11">+P79*N79</f>
        <v>0</v>
      </c>
      <c r="R79" s="548">
        <v>351</v>
      </c>
      <c r="S79" s="548">
        <f>+R79+Q79</f>
        <v>351</v>
      </c>
      <c r="T79" s="1956">
        <f t="shared" ref="T79:T90" si="12">+S79</f>
        <v>351</v>
      </c>
      <c r="U79" s="588"/>
      <c r="V79" s="1957">
        <f>IF(B79&lt;($B$76+1),T79,0)</f>
        <v>351</v>
      </c>
      <c r="W79" s="1958">
        <v>35.351694999999999</v>
      </c>
      <c r="X79" s="1959">
        <f>+W79+AH79</f>
        <v>35.351694999999999</v>
      </c>
      <c r="Y79" s="1958">
        <v>430.351</v>
      </c>
      <c r="Z79" s="1959">
        <f>+COS(X79*3.14159265358979/180)*Y79</f>
        <v>351.00111262981295</v>
      </c>
      <c r="AA79" s="1960">
        <f>+AC78-Z79</f>
        <v>-1.112629812951127E-3</v>
      </c>
      <c r="AB79" s="588"/>
      <c r="AC79" s="494">
        <f>IF(AD79=1,AF79)</f>
        <v>351</v>
      </c>
      <c r="AD79" s="494">
        <f>MAX(AE$79:AE$90)</f>
        <v>1</v>
      </c>
      <c r="AE79" s="1436">
        <f>IF(V79=0,0,1)</f>
        <v>1</v>
      </c>
      <c r="AF79" s="571">
        <f>SUM(V79:V90)/($B$76)</f>
        <v>351</v>
      </c>
      <c r="AG79" s="571"/>
      <c r="AH79" s="572">
        <f>+D79+C79</f>
        <v>0</v>
      </c>
      <c r="AI79" s="573"/>
      <c r="AJ79" s="572">
        <f>54.64804532-$AH$79</f>
        <v>54.648045320000001</v>
      </c>
      <c r="AK79" s="574">
        <f>SIN(AJ79*3.14159265358979/180)</f>
        <v>0.81561326474898277</v>
      </c>
      <c r="AL79" s="575">
        <f>+AK79*430.351</f>
        <v>350.99998409798951</v>
      </c>
      <c r="AM79" s="576">
        <f>54.64804532+$AH$79</f>
        <v>54.648045320000001</v>
      </c>
      <c r="AN79" s="577">
        <f>SIN(AM79*3.14159265358979/180)</f>
        <v>0.81561326474898277</v>
      </c>
      <c r="AO79" s="578">
        <f>+AN79*430.351</f>
        <v>350.99998409798951</v>
      </c>
      <c r="AP79" s="579">
        <f>+((AF79*AQ79)+($AQ$100*$AG$100)+($AQ$135*$AG$135))/AR79</f>
        <v>223.96853684112392</v>
      </c>
      <c r="AQ79" s="580">
        <f>133*B76</f>
        <v>133</v>
      </c>
      <c r="AR79" s="579">
        <f>+AQ79+$AQ$100+30+$AQ$135+10</f>
        <v>265.5</v>
      </c>
      <c r="AS79" s="580">
        <f>+AO79+AL79</f>
        <v>701.99996819597902</v>
      </c>
      <c r="AT79" s="581">
        <f>+V79-AO79</f>
        <v>1.5902010488844098E-5</v>
      </c>
      <c r="AU79" s="582">
        <f>+AP79-AT79</f>
        <v>223.96852093911343</v>
      </c>
      <c r="AV79" s="581"/>
      <c r="AW79" s="583">
        <f>+((AS79-AU79)/AS79)*AR79</f>
        <v>180.79395298671292</v>
      </c>
      <c r="AX79" s="583">
        <f>+(AU79/AS79)*AR79</f>
        <v>84.706047013287048</v>
      </c>
      <c r="AY79" s="584">
        <f t="shared" ref="AY79:AY90" si="13">2*$D$31/AW79</f>
        <v>55.31158445733486</v>
      </c>
      <c r="AZ79" s="584">
        <f t="shared" ref="AZ79:AZ90" si="14">2*$E$31/AX79</f>
        <v>118.05532606699724</v>
      </c>
      <c r="BA79" s="585">
        <f>ABS(AY79)</f>
        <v>55.31158445733486</v>
      </c>
      <c r="BB79" s="585">
        <f>ABS(AZ79)</f>
        <v>118.05532606699724</v>
      </c>
      <c r="BC79" s="586"/>
      <c r="BD79" s="558"/>
      <c r="BH79" s="524"/>
      <c r="BI79" s="524"/>
      <c r="BJ79" s="524"/>
      <c r="BK79" s="524"/>
      <c r="BL79" s="524"/>
      <c r="BM79" s="524"/>
      <c r="BN79" s="524"/>
    </row>
    <row r="80" spans="2:91" ht="21" customHeight="1" thickBot="1" x14ac:dyDescent="0.4">
      <c r="B80" s="560">
        <v>2</v>
      </c>
      <c r="C80" s="560"/>
      <c r="D80" s="588"/>
      <c r="E80" s="561"/>
      <c r="F80" s="562"/>
      <c r="G80" s="562"/>
      <c r="H80" s="563">
        <v>430.351</v>
      </c>
      <c r="I80" s="564">
        <v>70.703909370000005</v>
      </c>
      <c r="J80" s="565">
        <f t="shared" ref="J80:J90" si="15">+I80-D80</f>
        <v>70.703909370000005</v>
      </c>
      <c r="K80" s="565">
        <f t="shared" si="6"/>
        <v>35.351954685000003</v>
      </c>
      <c r="L80" s="565">
        <f t="shared" si="7"/>
        <v>0.57859744421131742</v>
      </c>
      <c r="M80" s="565">
        <f t="shared" si="8"/>
        <v>248.99998871378466</v>
      </c>
      <c r="N80" s="565">
        <f t="shared" si="9"/>
        <v>497.99997742756932</v>
      </c>
      <c r="O80" s="565">
        <f>+C79+(D80/2)</f>
        <v>0</v>
      </c>
      <c r="P80" s="565">
        <f t="shared" si="10"/>
        <v>0</v>
      </c>
      <c r="Q80" s="565">
        <f t="shared" si="11"/>
        <v>0</v>
      </c>
      <c r="R80" s="565">
        <f t="shared" ref="R80:R90" si="16">+T79</f>
        <v>351</v>
      </c>
      <c r="S80" s="565">
        <f>+R80+Q80</f>
        <v>351</v>
      </c>
      <c r="T80" s="566">
        <f t="shared" si="12"/>
        <v>351</v>
      </c>
      <c r="U80" s="562"/>
      <c r="V80" s="567">
        <f t="shared" ref="V80:V90" si="17">IF(B80&lt;($B$76+1),T80,0)</f>
        <v>0</v>
      </c>
      <c r="W80" s="567"/>
      <c r="X80" s="567"/>
      <c r="Y80" s="567"/>
      <c r="Z80" s="567"/>
      <c r="AA80" s="567"/>
      <c r="AB80" s="562"/>
      <c r="AC80" s="494" t="b">
        <f>IF(AD80=2,AF80)</f>
        <v>0</v>
      </c>
      <c r="AD80" s="494">
        <f t="shared" ref="AD80:AD90" si="18">MAX(AE$79:AE$90)</f>
        <v>1</v>
      </c>
      <c r="AE80" s="1436">
        <f>IF(V80=0,0,2)</f>
        <v>0</v>
      </c>
      <c r="AF80" s="571" t="e">
        <f>SUM(V80:V90)/($B$76-B79)</f>
        <v>#DIV/0!</v>
      </c>
      <c r="AG80" s="571"/>
      <c r="AH80" s="572"/>
      <c r="AI80" s="573"/>
      <c r="AJ80" s="572">
        <f t="shared" ref="AJ80:AJ90" si="19">54.64804532-$AH$79</f>
        <v>54.648045320000001</v>
      </c>
      <c r="AK80" s="574">
        <f>SIN(AJ80*3.14159265358979/180)</f>
        <v>0.81561326474898277</v>
      </c>
      <c r="AL80" s="575">
        <f t="shared" ref="AL80:AL90" si="20">+AK80*430.351</f>
        <v>350.99998409798951</v>
      </c>
      <c r="AM80" s="576">
        <f t="shared" ref="AM80:AM90" si="21">54.64804532+$AH$79</f>
        <v>54.648045320000001</v>
      </c>
      <c r="AN80" s="577">
        <f t="shared" ref="AN80:AN90" si="22">SIN(AM80*3.14159265358979/180)</f>
        <v>0.81561326474898277</v>
      </c>
      <c r="AO80" s="578">
        <f t="shared" ref="AO80:AO90" si="23">+AN80*430.351</f>
        <v>350.99998409798951</v>
      </c>
      <c r="AP80" s="579" t="e">
        <f t="shared" ref="AP80:AP90" si="24">+((AF80*AQ80)+($AQ$100*$AG$100)+($AQ$135*$AG$135))/AR80</f>
        <v>#DIV/0!</v>
      </c>
      <c r="AQ80" s="580">
        <f>133*($B$76-B79)</f>
        <v>0</v>
      </c>
      <c r="AR80" s="579">
        <f t="shared" ref="AR80:AR90" si="25">+AQ80+$AQ$100+30+$AQ$135+10</f>
        <v>132.5</v>
      </c>
      <c r="AS80" s="580">
        <f t="shared" ref="AS80:AS90" si="26">+AO80+AL80</f>
        <v>701.99996819597902</v>
      </c>
      <c r="AT80" s="581">
        <f>+V80-AO80</f>
        <v>-350.99998409798951</v>
      </c>
      <c r="AU80" s="582" t="e">
        <f t="shared" ref="AU80:AU90" si="27">+AP80-AT80</f>
        <v>#DIV/0!</v>
      </c>
      <c r="AV80" s="581"/>
      <c r="AW80" s="583" t="e">
        <f t="shared" ref="AW80:AW90" si="28">+((AS80-AU80)/AS80)*AR80</f>
        <v>#DIV/0!</v>
      </c>
      <c r="AX80" s="583" t="e">
        <f t="shared" ref="AX80:AX90" si="29">+(AU80/AS80)*AR80</f>
        <v>#DIV/0!</v>
      </c>
      <c r="AY80" s="584" t="e">
        <f t="shared" si="13"/>
        <v>#DIV/0!</v>
      </c>
      <c r="AZ80" s="584" t="e">
        <f t="shared" si="14"/>
        <v>#DIV/0!</v>
      </c>
      <c r="BA80" s="585" t="e">
        <f t="shared" ref="BA80:BB90" si="30">ABS(AY80)</f>
        <v>#DIV/0!</v>
      </c>
      <c r="BB80" s="585" t="e">
        <f t="shared" si="30"/>
        <v>#DIV/0!</v>
      </c>
      <c r="BD80" s="558"/>
      <c r="BH80" s="524"/>
      <c r="BI80" s="524"/>
      <c r="BJ80" s="524"/>
      <c r="BK80" s="524"/>
      <c r="BL80" s="524"/>
      <c r="BM80" s="524"/>
      <c r="BN80" s="524"/>
    </row>
    <row r="81" spans="2:66" ht="21" customHeight="1" thickBot="1" x14ac:dyDescent="0.4">
      <c r="B81" s="560">
        <v>3</v>
      </c>
      <c r="C81" s="560"/>
      <c r="D81" s="588"/>
      <c r="E81" s="587"/>
      <c r="F81" s="588"/>
      <c r="G81" s="588"/>
      <c r="H81" s="589">
        <v>430.351</v>
      </c>
      <c r="I81" s="590">
        <v>70.703909370000005</v>
      </c>
      <c r="J81" s="565">
        <f t="shared" si="15"/>
        <v>70.703909370000005</v>
      </c>
      <c r="K81" s="565">
        <f t="shared" si="6"/>
        <v>35.351954685000003</v>
      </c>
      <c r="L81" s="565">
        <f t="shared" si="7"/>
        <v>0.57859744421131742</v>
      </c>
      <c r="M81" s="565">
        <f t="shared" si="8"/>
        <v>248.99998871378466</v>
      </c>
      <c r="N81" s="565">
        <f t="shared" si="9"/>
        <v>497.99997742756932</v>
      </c>
      <c r="O81" s="565">
        <f>+C79+D80+(D81/2)</f>
        <v>0</v>
      </c>
      <c r="P81" s="565">
        <f t="shared" si="10"/>
        <v>0</v>
      </c>
      <c r="Q81" s="565">
        <f t="shared" si="11"/>
        <v>0</v>
      </c>
      <c r="R81" s="565">
        <f t="shared" si="16"/>
        <v>351</v>
      </c>
      <c r="S81" s="565">
        <f t="shared" ref="S81:S90" si="31">+S80+Q81</f>
        <v>351</v>
      </c>
      <c r="T81" s="566">
        <f t="shared" si="12"/>
        <v>351</v>
      </c>
      <c r="U81" s="588"/>
      <c r="V81" s="567">
        <f t="shared" si="17"/>
        <v>0</v>
      </c>
      <c r="W81" s="567"/>
      <c r="X81" s="567"/>
      <c r="Y81" s="567"/>
      <c r="Z81" s="567"/>
      <c r="AA81" s="567"/>
      <c r="AB81" s="588"/>
      <c r="AC81" s="494" t="b">
        <f>IF(AD81=3,AF81)</f>
        <v>0</v>
      </c>
      <c r="AD81" s="494">
        <f t="shared" si="18"/>
        <v>1</v>
      </c>
      <c r="AE81" s="1436">
        <f>IF(V81=0,0,3)</f>
        <v>0</v>
      </c>
      <c r="AF81" s="571">
        <f>SUM(V81:V90)/($B$76-B80)</f>
        <v>0</v>
      </c>
      <c r="AG81" s="571"/>
      <c r="AH81" s="572"/>
      <c r="AI81" s="573"/>
      <c r="AJ81" s="572">
        <f t="shared" si="19"/>
        <v>54.648045320000001</v>
      </c>
      <c r="AK81" s="574">
        <f t="shared" ref="AK81:AK90" si="32">SIN(AJ81*3.14159265358979/180)</f>
        <v>0.81561326474898277</v>
      </c>
      <c r="AL81" s="575">
        <f t="shared" si="20"/>
        <v>350.99998409798951</v>
      </c>
      <c r="AM81" s="576">
        <f t="shared" si="21"/>
        <v>54.648045320000001</v>
      </c>
      <c r="AN81" s="577">
        <f t="shared" si="22"/>
        <v>0.81561326474898277</v>
      </c>
      <c r="AO81" s="578">
        <f t="shared" si="23"/>
        <v>350.99998409798951</v>
      </c>
      <c r="AP81" s="579">
        <f t="shared" si="24"/>
        <v>-25561.2930626368</v>
      </c>
      <c r="AQ81" s="580">
        <f t="shared" ref="AQ81:AQ90" si="33">133*($B$76-B80)</f>
        <v>-133</v>
      </c>
      <c r="AR81" s="579">
        <f t="shared" si="25"/>
        <v>-0.5</v>
      </c>
      <c r="AS81" s="580">
        <f t="shared" si="26"/>
        <v>701.99996819597902</v>
      </c>
      <c r="AT81" s="581">
        <f>+V81-AO81</f>
        <v>-350.99998409798951</v>
      </c>
      <c r="AU81" s="582">
        <f t="shared" si="27"/>
        <v>-25210.293078538809</v>
      </c>
      <c r="AV81" s="581"/>
      <c r="AW81" s="583">
        <f t="shared" si="28"/>
        <v>-18.456050014735037</v>
      </c>
      <c r="AX81" s="583">
        <f t="shared" si="29"/>
        <v>17.956050014735037</v>
      </c>
      <c r="AY81" s="584">
        <f t="shared" si="13"/>
        <v>-541.82774710819206</v>
      </c>
      <c r="AZ81" s="584">
        <f t="shared" si="14"/>
        <v>556.91535676241892</v>
      </c>
      <c r="BA81" s="585">
        <f t="shared" si="30"/>
        <v>541.82774710819206</v>
      </c>
      <c r="BB81" s="585">
        <f t="shared" si="30"/>
        <v>556.91535676241892</v>
      </c>
      <c r="BD81" s="558"/>
      <c r="BH81" s="524"/>
      <c r="BI81" s="524"/>
      <c r="BJ81" s="524"/>
      <c r="BK81" s="524"/>
      <c r="BL81" s="524"/>
      <c r="BM81" s="524"/>
      <c r="BN81" s="524"/>
    </row>
    <row r="82" spans="2:66" ht="21" customHeight="1" thickBot="1" x14ac:dyDescent="0.4">
      <c r="B82" s="560">
        <v>4</v>
      </c>
      <c r="C82" s="560"/>
      <c r="D82" s="588"/>
      <c r="E82" s="587"/>
      <c r="F82" s="588"/>
      <c r="G82" s="588"/>
      <c r="H82" s="589">
        <v>430.351</v>
      </c>
      <c r="I82" s="590">
        <v>70.703909370000005</v>
      </c>
      <c r="J82" s="565">
        <f t="shared" si="15"/>
        <v>70.703909370000005</v>
      </c>
      <c r="K82" s="565">
        <f t="shared" si="6"/>
        <v>35.351954685000003</v>
      </c>
      <c r="L82" s="565">
        <f t="shared" si="7"/>
        <v>0.57859744421131742</v>
      </c>
      <c r="M82" s="565">
        <f t="shared" si="8"/>
        <v>248.99998871378466</v>
      </c>
      <c r="N82" s="565">
        <f t="shared" si="9"/>
        <v>497.99997742756932</v>
      </c>
      <c r="O82" s="565">
        <f>+C79+D80+D81+(D82/2)</f>
        <v>0</v>
      </c>
      <c r="P82" s="565">
        <f t="shared" si="10"/>
        <v>0</v>
      </c>
      <c r="Q82" s="565">
        <f t="shared" si="11"/>
        <v>0</v>
      </c>
      <c r="R82" s="565">
        <f t="shared" si="16"/>
        <v>351</v>
      </c>
      <c r="S82" s="565">
        <f t="shared" si="31"/>
        <v>351</v>
      </c>
      <c r="T82" s="566">
        <f t="shared" si="12"/>
        <v>351</v>
      </c>
      <c r="U82" s="588"/>
      <c r="V82" s="567">
        <f t="shared" si="17"/>
        <v>0</v>
      </c>
      <c r="W82" s="567"/>
      <c r="X82" s="567"/>
      <c r="Y82" s="567"/>
      <c r="Z82" s="567"/>
      <c r="AA82" s="567"/>
      <c r="AB82" s="588"/>
      <c r="AC82" s="494" t="b">
        <f>IF(AD82=4,AF82)</f>
        <v>0</v>
      </c>
      <c r="AD82" s="494">
        <f t="shared" si="18"/>
        <v>1</v>
      </c>
      <c r="AE82" s="1436">
        <f>IF(V82=0,0,4)</f>
        <v>0</v>
      </c>
      <c r="AF82" s="571">
        <f>SUM(V82:V90)/($B$76-B81)</f>
        <v>0</v>
      </c>
      <c r="AG82" s="571"/>
      <c r="AH82" s="572"/>
      <c r="AI82" s="573"/>
      <c r="AJ82" s="572">
        <f t="shared" si="19"/>
        <v>54.648045320000001</v>
      </c>
      <c r="AK82" s="574">
        <f t="shared" si="32"/>
        <v>0.81561326474898277</v>
      </c>
      <c r="AL82" s="575">
        <f t="shared" si="20"/>
        <v>350.99998409798951</v>
      </c>
      <c r="AM82" s="576">
        <f t="shared" si="21"/>
        <v>54.648045320000001</v>
      </c>
      <c r="AN82" s="577">
        <f t="shared" si="22"/>
        <v>0.81561326474898277</v>
      </c>
      <c r="AO82" s="578">
        <f t="shared" si="23"/>
        <v>350.99998409798951</v>
      </c>
      <c r="AP82" s="579">
        <f t="shared" si="24"/>
        <v>-95.735180009875648</v>
      </c>
      <c r="AQ82" s="580">
        <f t="shared" si="33"/>
        <v>-266</v>
      </c>
      <c r="AR82" s="579">
        <f t="shared" si="25"/>
        <v>-133.5</v>
      </c>
      <c r="AS82" s="580">
        <f t="shared" si="26"/>
        <v>701.99996819597902</v>
      </c>
      <c r="AT82" s="581">
        <f>+V82-AO82</f>
        <v>-350.99998409798951</v>
      </c>
      <c r="AU82" s="582">
        <f t="shared" si="27"/>
        <v>255.26480408811386</v>
      </c>
      <c r="AV82" s="581"/>
      <c r="AW82" s="583">
        <f t="shared" si="28"/>
        <v>-84.956050014735041</v>
      </c>
      <c r="AX82" s="583">
        <f t="shared" si="29"/>
        <v>-48.543949985264959</v>
      </c>
      <c r="AY82" s="584">
        <f t="shared" si="13"/>
        <v>-117.70792072213303</v>
      </c>
      <c r="AZ82" s="584">
        <f t="shared" si="14"/>
        <v>-205.99889384846932</v>
      </c>
      <c r="BA82" s="585">
        <f t="shared" si="30"/>
        <v>117.70792072213303</v>
      </c>
      <c r="BB82" s="585">
        <f t="shared" si="30"/>
        <v>205.99889384846932</v>
      </c>
      <c r="BD82" s="558"/>
      <c r="BH82" s="524"/>
      <c r="BI82" s="524"/>
      <c r="BJ82" s="524"/>
      <c r="BK82" s="524"/>
      <c r="BL82" s="524"/>
      <c r="BM82" s="524"/>
      <c r="BN82" s="524"/>
    </row>
    <row r="83" spans="2:66" ht="21" customHeight="1" thickBot="1" x14ac:dyDescent="0.4">
      <c r="B83" s="560">
        <v>5</v>
      </c>
      <c r="C83" s="560"/>
      <c r="D83" s="588"/>
      <c r="E83" s="587"/>
      <c r="F83" s="588"/>
      <c r="G83" s="588"/>
      <c r="H83" s="589">
        <v>430.351</v>
      </c>
      <c r="I83" s="590">
        <v>70.703909370000005</v>
      </c>
      <c r="J83" s="565">
        <f t="shared" si="15"/>
        <v>70.703909370000005</v>
      </c>
      <c r="K83" s="565">
        <f t="shared" si="6"/>
        <v>35.351954685000003</v>
      </c>
      <c r="L83" s="565">
        <f t="shared" si="7"/>
        <v>0.57859744421131742</v>
      </c>
      <c r="M83" s="565">
        <f t="shared" si="8"/>
        <v>248.99998871378466</v>
      </c>
      <c r="N83" s="565">
        <f t="shared" si="9"/>
        <v>497.99997742756932</v>
      </c>
      <c r="O83" s="565">
        <f>+C79+D80+D81+D82+(D83/2)</f>
        <v>0</v>
      </c>
      <c r="P83" s="565">
        <f t="shared" si="10"/>
        <v>0</v>
      </c>
      <c r="Q83" s="565">
        <f t="shared" si="11"/>
        <v>0</v>
      </c>
      <c r="R83" s="565">
        <f t="shared" si="16"/>
        <v>351</v>
      </c>
      <c r="S83" s="565">
        <f t="shared" si="31"/>
        <v>351</v>
      </c>
      <c r="T83" s="566">
        <f t="shared" si="12"/>
        <v>351</v>
      </c>
      <c r="U83" s="588"/>
      <c r="V83" s="567">
        <f t="shared" si="17"/>
        <v>0</v>
      </c>
      <c r="W83" s="567"/>
      <c r="X83" s="567"/>
      <c r="Y83" s="567"/>
      <c r="Z83" s="567"/>
      <c r="AA83" s="567"/>
      <c r="AB83" s="588"/>
      <c r="AC83" s="494" t="b">
        <f>IF(AD83=5,AF83)</f>
        <v>0</v>
      </c>
      <c r="AD83" s="494">
        <f t="shared" si="18"/>
        <v>1</v>
      </c>
      <c r="AE83" s="1436">
        <f>IF(V83=0,0,5)</f>
        <v>0</v>
      </c>
      <c r="AF83" s="571">
        <f>SUM(V83:V90)/($B$76-B82)</f>
        <v>0</v>
      </c>
      <c r="AG83" s="571"/>
      <c r="AH83" s="572"/>
      <c r="AI83" s="573"/>
      <c r="AJ83" s="572">
        <f t="shared" si="19"/>
        <v>54.648045320000001</v>
      </c>
      <c r="AK83" s="574">
        <f t="shared" si="32"/>
        <v>0.81561326474898277</v>
      </c>
      <c r="AL83" s="575">
        <f t="shared" si="20"/>
        <v>350.99998409798951</v>
      </c>
      <c r="AM83" s="576">
        <f t="shared" si="21"/>
        <v>54.648045320000001</v>
      </c>
      <c r="AN83" s="577">
        <f t="shared" si="22"/>
        <v>0.81561326474898277</v>
      </c>
      <c r="AO83" s="578">
        <f t="shared" si="23"/>
        <v>350.99998409798951</v>
      </c>
      <c r="AP83" s="579">
        <f t="shared" si="24"/>
        <v>-47.95739786611032</v>
      </c>
      <c r="AQ83" s="580">
        <f t="shared" si="33"/>
        <v>-399</v>
      </c>
      <c r="AR83" s="579">
        <f t="shared" si="25"/>
        <v>-266.5</v>
      </c>
      <c r="AS83" s="580">
        <f t="shared" si="26"/>
        <v>701.99996819597902</v>
      </c>
      <c r="AT83" s="581">
        <f t="shared" ref="AT83:AT90" si="34">+V83-AO83</f>
        <v>-350.99998409798951</v>
      </c>
      <c r="AU83" s="582">
        <f t="shared" si="27"/>
        <v>303.04258623187917</v>
      </c>
      <c r="AV83" s="581"/>
      <c r="AW83" s="583">
        <f t="shared" si="28"/>
        <v>-151.45605001473504</v>
      </c>
      <c r="AX83" s="583">
        <f t="shared" si="29"/>
        <v>-115.04394998526494</v>
      </c>
      <c r="AY83" s="584">
        <f t="shared" si="13"/>
        <v>-66.025754659699018</v>
      </c>
      <c r="AZ83" s="584">
        <f t="shared" si="14"/>
        <v>-86.923301931834047</v>
      </c>
      <c r="BA83" s="585">
        <f t="shared" si="30"/>
        <v>66.025754659699018</v>
      </c>
      <c r="BB83" s="585">
        <f t="shared" si="30"/>
        <v>86.923301931834047</v>
      </c>
      <c r="BD83" s="558"/>
      <c r="BH83" s="524"/>
      <c r="BI83" s="524"/>
      <c r="BJ83" s="524"/>
      <c r="BK83" s="524"/>
      <c r="BL83" s="524"/>
      <c r="BM83" s="524"/>
      <c r="BN83" s="524"/>
    </row>
    <row r="84" spans="2:66" ht="21" customHeight="1" thickBot="1" x14ac:dyDescent="0.4">
      <c r="B84" s="560">
        <v>6</v>
      </c>
      <c r="C84" s="560"/>
      <c r="D84" s="588"/>
      <c r="E84" s="587"/>
      <c r="F84" s="588"/>
      <c r="G84" s="588"/>
      <c r="H84" s="589">
        <v>430.351</v>
      </c>
      <c r="I84" s="590">
        <v>70.703909370000005</v>
      </c>
      <c r="J84" s="565">
        <f t="shared" si="15"/>
        <v>70.703909370000005</v>
      </c>
      <c r="K84" s="565">
        <f t="shared" si="6"/>
        <v>35.351954685000003</v>
      </c>
      <c r="L84" s="565">
        <f t="shared" si="7"/>
        <v>0.57859744421131742</v>
      </c>
      <c r="M84" s="565">
        <f t="shared" si="8"/>
        <v>248.99998871378466</v>
      </c>
      <c r="N84" s="565">
        <f t="shared" si="9"/>
        <v>497.99997742756932</v>
      </c>
      <c r="O84" s="565">
        <f>+C79+D80+D81+D82+D83+(D84/2)</f>
        <v>0</v>
      </c>
      <c r="P84" s="565">
        <f t="shared" si="10"/>
        <v>0</v>
      </c>
      <c r="Q84" s="565">
        <f t="shared" si="11"/>
        <v>0</v>
      </c>
      <c r="R84" s="565">
        <f t="shared" si="16"/>
        <v>351</v>
      </c>
      <c r="S84" s="565">
        <f t="shared" si="31"/>
        <v>351</v>
      </c>
      <c r="T84" s="566">
        <f t="shared" si="12"/>
        <v>351</v>
      </c>
      <c r="U84" s="588"/>
      <c r="V84" s="567">
        <f t="shared" si="17"/>
        <v>0</v>
      </c>
      <c r="W84" s="567"/>
      <c r="X84" s="567"/>
      <c r="Y84" s="567"/>
      <c r="Z84" s="567"/>
      <c r="AA84" s="567"/>
      <c r="AB84" s="588"/>
      <c r="AC84" s="494" t="b">
        <f>IF(AD84=6,AF84)</f>
        <v>0</v>
      </c>
      <c r="AD84" s="494">
        <f t="shared" si="18"/>
        <v>1</v>
      </c>
      <c r="AE84" s="1436">
        <f>IF(V84=0,0,6)</f>
        <v>0</v>
      </c>
      <c r="AF84" s="571">
        <f>SUM(V84:V90)/($B$76-B83)</f>
        <v>0</v>
      </c>
      <c r="AG84" s="571"/>
      <c r="AH84" s="572"/>
      <c r="AI84" s="573"/>
      <c r="AJ84" s="572">
        <f t="shared" si="19"/>
        <v>54.648045320000001</v>
      </c>
      <c r="AK84" s="574">
        <f t="shared" si="32"/>
        <v>0.81561326474898277</v>
      </c>
      <c r="AL84" s="575">
        <f t="shared" si="20"/>
        <v>350.99998409798951</v>
      </c>
      <c r="AM84" s="576">
        <f t="shared" si="21"/>
        <v>54.648045320000001</v>
      </c>
      <c r="AN84" s="577">
        <f t="shared" si="22"/>
        <v>0.81561326474898277</v>
      </c>
      <c r="AO84" s="578">
        <f t="shared" si="23"/>
        <v>350.99998409798951</v>
      </c>
      <c r="AP84" s="579">
        <f t="shared" si="24"/>
        <v>-31.991605835590487</v>
      </c>
      <c r="AQ84" s="580">
        <f t="shared" si="33"/>
        <v>-532</v>
      </c>
      <c r="AR84" s="579">
        <f t="shared" si="25"/>
        <v>-399.5</v>
      </c>
      <c r="AS84" s="580">
        <f t="shared" si="26"/>
        <v>701.99996819597902</v>
      </c>
      <c r="AT84" s="581">
        <f t="shared" si="34"/>
        <v>-350.99998409798951</v>
      </c>
      <c r="AU84" s="582">
        <f t="shared" si="27"/>
        <v>319.00837826239905</v>
      </c>
      <c r="AV84" s="581"/>
      <c r="AW84" s="583">
        <f t="shared" si="28"/>
        <v>-217.95605001473501</v>
      </c>
      <c r="AX84" s="583">
        <f t="shared" si="29"/>
        <v>-181.54394998526499</v>
      </c>
      <c r="AY84" s="584">
        <f t="shared" si="13"/>
        <v>-45.880809453667133</v>
      </c>
      <c r="AZ84" s="584">
        <f t="shared" si="14"/>
        <v>-55.083080437611109</v>
      </c>
      <c r="BA84" s="585">
        <f t="shared" si="30"/>
        <v>45.880809453667133</v>
      </c>
      <c r="BB84" s="585">
        <f t="shared" si="30"/>
        <v>55.083080437611109</v>
      </c>
      <c r="BD84" s="558"/>
      <c r="BH84" s="524"/>
      <c r="BI84" s="524"/>
      <c r="BJ84" s="524"/>
      <c r="BK84" s="524"/>
      <c r="BL84" s="524"/>
      <c r="BM84" s="524"/>
      <c r="BN84" s="524"/>
    </row>
    <row r="85" spans="2:66" ht="21" customHeight="1" thickBot="1" x14ac:dyDescent="0.4">
      <c r="B85" s="560">
        <v>7</v>
      </c>
      <c r="C85" s="560"/>
      <c r="D85" s="588"/>
      <c r="E85" s="587"/>
      <c r="F85" s="588"/>
      <c r="G85" s="588"/>
      <c r="H85" s="589">
        <v>430.351</v>
      </c>
      <c r="I85" s="590">
        <v>70.703909370000005</v>
      </c>
      <c r="J85" s="565">
        <f t="shared" si="15"/>
        <v>70.703909370000005</v>
      </c>
      <c r="K85" s="565">
        <f t="shared" si="6"/>
        <v>35.351954685000003</v>
      </c>
      <c r="L85" s="565">
        <f t="shared" si="7"/>
        <v>0.57859744421131742</v>
      </c>
      <c r="M85" s="565">
        <f t="shared" si="8"/>
        <v>248.99998871378466</v>
      </c>
      <c r="N85" s="565">
        <f t="shared" si="9"/>
        <v>497.99997742756932</v>
      </c>
      <c r="O85" s="565">
        <f>+C79+D80+D81+D82+D83+D84+(D85/2)</f>
        <v>0</v>
      </c>
      <c r="P85" s="565">
        <f t="shared" si="10"/>
        <v>0</v>
      </c>
      <c r="Q85" s="565">
        <f t="shared" si="11"/>
        <v>0</v>
      </c>
      <c r="R85" s="565">
        <f t="shared" si="16"/>
        <v>351</v>
      </c>
      <c r="S85" s="565">
        <f t="shared" si="31"/>
        <v>351</v>
      </c>
      <c r="T85" s="566">
        <f t="shared" si="12"/>
        <v>351</v>
      </c>
      <c r="U85" s="588"/>
      <c r="V85" s="567">
        <f t="shared" si="17"/>
        <v>0</v>
      </c>
      <c r="W85" s="567"/>
      <c r="X85" s="567"/>
      <c r="Y85" s="567"/>
      <c r="Z85" s="567"/>
      <c r="AA85" s="567"/>
      <c r="AB85" s="588"/>
      <c r="AC85" s="494" t="b">
        <f>IF(AD85=7,AF85)</f>
        <v>0</v>
      </c>
      <c r="AD85" s="494">
        <f t="shared" si="18"/>
        <v>1</v>
      </c>
      <c r="AE85" s="1436">
        <f>IF(V85=0,0,7)</f>
        <v>0</v>
      </c>
      <c r="AF85" s="571">
        <f>SUM(V85:V90)/($B$76-B84)</f>
        <v>0</v>
      </c>
      <c r="AG85" s="571"/>
      <c r="AH85" s="572"/>
      <c r="AI85" s="573"/>
      <c r="AJ85" s="572">
        <f t="shared" si="19"/>
        <v>54.648045320000001</v>
      </c>
      <c r="AK85" s="574">
        <f t="shared" si="32"/>
        <v>0.81561326474898277</v>
      </c>
      <c r="AL85" s="575">
        <f t="shared" si="20"/>
        <v>350.99998409798951</v>
      </c>
      <c r="AM85" s="576">
        <f t="shared" si="21"/>
        <v>54.648045320000001</v>
      </c>
      <c r="AN85" s="577">
        <f t="shared" si="22"/>
        <v>0.81561326474898277</v>
      </c>
      <c r="AO85" s="578">
        <f t="shared" si="23"/>
        <v>350.99998409798951</v>
      </c>
      <c r="AP85" s="579">
        <f t="shared" si="24"/>
        <v>-24.00121414332094</v>
      </c>
      <c r="AQ85" s="580">
        <f t="shared" si="33"/>
        <v>-665</v>
      </c>
      <c r="AR85" s="579">
        <f t="shared" si="25"/>
        <v>-532.5</v>
      </c>
      <c r="AS85" s="580">
        <f t="shared" si="26"/>
        <v>701.99996819597902</v>
      </c>
      <c r="AT85" s="581">
        <f t="shared" si="34"/>
        <v>-350.99998409798951</v>
      </c>
      <c r="AU85" s="582">
        <f t="shared" si="27"/>
        <v>326.99876995466855</v>
      </c>
      <c r="AV85" s="581"/>
      <c r="AW85" s="583">
        <f t="shared" si="28"/>
        <v>-284.45605001473507</v>
      </c>
      <c r="AX85" s="583">
        <f t="shared" si="29"/>
        <v>-248.04394998526496</v>
      </c>
      <c r="AY85" s="584">
        <f t="shared" si="13"/>
        <v>-35.154815654235485</v>
      </c>
      <c r="AZ85" s="584">
        <f t="shared" si="14"/>
        <v>-40.315436037017029</v>
      </c>
      <c r="BA85" s="585">
        <f t="shared" si="30"/>
        <v>35.154815654235485</v>
      </c>
      <c r="BB85" s="585">
        <f t="shared" si="30"/>
        <v>40.315436037017029</v>
      </c>
      <c r="BD85" s="558"/>
      <c r="BH85" s="524"/>
      <c r="BI85" s="524"/>
      <c r="BJ85" s="524"/>
      <c r="BK85" s="524"/>
      <c r="BL85" s="524"/>
      <c r="BM85" s="524"/>
      <c r="BN85" s="524"/>
    </row>
    <row r="86" spans="2:66" ht="21" customHeight="1" thickBot="1" x14ac:dyDescent="0.4">
      <c r="B86" s="560">
        <v>8</v>
      </c>
      <c r="C86" s="560"/>
      <c r="D86" s="588"/>
      <c r="E86" s="587"/>
      <c r="F86" s="588"/>
      <c r="G86" s="588"/>
      <c r="H86" s="589">
        <v>430.351</v>
      </c>
      <c r="I86" s="590">
        <v>70.703909370000005</v>
      </c>
      <c r="J86" s="565">
        <f t="shared" si="15"/>
        <v>70.703909370000005</v>
      </c>
      <c r="K86" s="565">
        <f t="shared" si="6"/>
        <v>35.351954685000003</v>
      </c>
      <c r="L86" s="565">
        <f t="shared" si="7"/>
        <v>0.57859744421131742</v>
      </c>
      <c r="M86" s="565">
        <f t="shared" si="8"/>
        <v>248.99998871378466</v>
      </c>
      <c r="N86" s="565">
        <f t="shared" si="9"/>
        <v>497.99997742756932</v>
      </c>
      <c r="O86" s="565">
        <f>+C79+D80+D81+D82+D83+D84+D85+(D86/2)</f>
        <v>0</v>
      </c>
      <c r="P86" s="565">
        <f t="shared" si="10"/>
        <v>0</v>
      </c>
      <c r="Q86" s="565">
        <f t="shared" si="11"/>
        <v>0</v>
      </c>
      <c r="R86" s="565">
        <f t="shared" si="16"/>
        <v>351</v>
      </c>
      <c r="S86" s="565">
        <f t="shared" si="31"/>
        <v>351</v>
      </c>
      <c r="T86" s="566">
        <f t="shared" si="12"/>
        <v>351</v>
      </c>
      <c r="U86" s="588"/>
      <c r="V86" s="567">
        <f t="shared" si="17"/>
        <v>0</v>
      </c>
      <c r="W86" s="567"/>
      <c r="X86" s="567"/>
      <c r="Y86" s="567"/>
      <c r="Z86" s="567"/>
      <c r="AA86" s="567"/>
      <c r="AB86" s="588"/>
      <c r="AC86" s="494" t="b">
        <f>IF(AD86=8,AF86)</f>
        <v>0</v>
      </c>
      <c r="AD86" s="494">
        <f t="shared" si="18"/>
        <v>1</v>
      </c>
      <c r="AE86" s="1436">
        <f>IF(V86=0,0,8)</f>
        <v>0</v>
      </c>
      <c r="AF86" s="571">
        <f>SUM(V86:V90)/($B$76-B85)</f>
        <v>0</v>
      </c>
      <c r="AG86" s="571"/>
      <c r="AH86" s="572"/>
      <c r="AI86" s="573"/>
      <c r="AJ86" s="572">
        <f t="shared" si="19"/>
        <v>54.648045320000001</v>
      </c>
      <c r="AK86" s="574">
        <f t="shared" si="32"/>
        <v>0.81561326474898277</v>
      </c>
      <c r="AL86" s="575">
        <f t="shared" si="20"/>
        <v>350.99998409798951</v>
      </c>
      <c r="AM86" s="576">
        <f t="shared" si="21"/>
        <v>54.648045320000001</v>
      </c>
      <c r="AN86" s="577">
        <f t="shared" si="22"/>
        <v>0.81561326474898277</v>
      </c>
      <c r="AO86" s="578">
        <f t="shared" si="23"/>
        <v>350.99998409798951</v>
      </c>
      <c r="AP86" s="579">
        <f t="shared" si="24"/>
        <v>-19.204577808141849</v>
      </c>
      <c r="AQ86" s="580">
        <f t="shared" si="33"/>
        <v>-798</v>
      </c>
      <c r="AR86" s="579">
        <f t="shared" si="25"/>
        <v>-665.5</v>
      </c>
      <c r="AS86" s="580">
        <f t="shared" si="26"/>
        <v>701.99996819597902</v>
      </c>
      <c r="AT86" s="581">
        <f t="shared" si="34"/>
        <v>-350.99998409798951</v>
      </c>
      <c r="AU86" s="582">
        <f t="shared" si="27"/>
        <v>331.79540628984768</v>
      </c>
      <c r="AV86" s="581"/>
      <c r="AW86" s="583">
        <f t="shared" si="28"/>
        <v>-350.95605001473507</v>
      </c>
      <c r="AX86" s="583">
        <f t="shared" si="29"/>
        <v>-314.54394998526499</v>
      </c>
      <c r="AY86" s="584">
        <f t="shared" si="13"/>
        <v>-28.493596276742188</v>
      </c>
      <c r="AZ86" s="584">
        <f t="shared" si="14"/>
        <v>-31.792059584895707</v>
      </c>
      <c r="BA86" s="585">
        <f t="shared" si="30"/>
        <v>28.493596276742188</v>
      </c>
      <c r="BB86" s="585">
        <f t="shared" si="30"/>
        <v>31.792059584895707</v>
      </c>
      <c r="BD86" s="558"/>
      <c r="BH86" s="524"/>
      <c r="BI86" s="524"/>
      <c r="BJ86" s="524"/>
      <c r="BK86" s="524"/>
      <c r="BL86" s="524"/>
      <c r="BM86" s="524"/>
      <c r="BN86" s="524"/>
    </row>
    <row r="87" spans="2:66" ht="21" customHeight="1" thickBot="1" x14ac:dyDescent="0.4">
      <c r="B87" s="560">
        <v>9</v>
      </c>
      <c r="C87" s="560"/>
      <c r="D87" s="588"/>
      <c r="E87" s="587"/>
      <c r="F87" s="588"/>
      <c r="G87" s="588"/>
      <c r="H87" s="589">
        <v>430.351</v>
      </c>
      <c r="I87" s="590">
        <v>70.703909370000005</v>
      </c>
      <c r="J87" s="565">
        <f t="shared" si="15"/>
        <v>70.703909370000005</v>
      </c>
      <c r="K87" s="565">
        <f t="shared" si="6"/>
        <v>35.351954685000003</v>
      </c>
      <c r="L87" s="565">
        <f t="shared" si="7"/>
        <v>0.57859744421131742</v>
      </c>
      <c r="M87" s="565">
        <f t="shared" si="8"/>
        <v>248.99998871378466</v>
      </c>
      <c r="N87" s="565">
        <f t="shared" si="9"/>
        <v>497.99997742756932</v>
      </c>
      <c r="O87" s="565">
        <f>+C79+D80+D81+D82+D83+D84+D85+D86+(D87/2)</f>
        <v>0</v>
      </c>
      <c r="P87" s="565">
        <f t="shared" si="10"/>
        <v>0</v>
      </c>
      <c r="Q87" s="565">
        <f t="shared" si="11"/>
        <v>0</v>
      </c>
      <c r="R87" s="565">
        <f t="shared" si="16"/>
        <v>351</v>
      </c>
      <c r="S87" s="565">
        <f t="shared" si="31"/>
        <v>351</v>
      </c>
      <c r="T87" s="566">
        <f t="shared" si="12"/>
        <v>351</v>
      </c>
      <c r="U87" s="588"/>
      <c r="V87" s="567">
        <f t="shared" si="17"/>
        <v>0</v>
      </c>
      <c r="W87" s="567"/>
      <c r="X87" s="567"/>
      <c r="Y87" s="567"/>
      <c r="Z87" s="567"/>
      <c r="AA87" s="567"/>
      <c r="AB87" s="588"/>
      <c r="AC87" s="494" t="b">
        <f>IF(AD87=9,AF87)</f>
        <v>0</v>
      </c>
      <c r="AD87" s="494">
        <f t="shared" si="18"/>
        <v>1</v>
      </c>
      <c r="AE87" s="1436">
        <f>IF(V87=0,0,9)</f>
        <v>0</v>
      </c>
      <c r="AF87" s="571">
        <f>SUM(V87:V90)/($B$76-B86)</f>
        <v>0</v>
      </c>
      <c r="AG87" s="571"/>
      <c r="AH87" s="572"/>
      <c r="AI87" s="573"/>
      <c r="AJ87" s="572">
        <f t="shared" si="19"/>
        <v>54.648045320000001</v>
      </c>
      <c r="AK87" s="574">
        <f t="shared" si="32"/>
        <v>0.81561326474898277</v>
      </c>
      <c r="AL87" s="575">
        <f t="shared" si="20"/>
        <v>350.99998409798951</v>
      </c>
      <c r="AM87" s="576">
        <f t="shared" si="21"/>
        <v>54.648045320000001</v>
      </c>
      <c r="AN87" s="577">
        <f t="shared" si="22"/>
        <v>0.81561326474898277</v>
      </c>
      <c r="AO87" s="578">
        <f t="shared" si="23"/>
        <v>350.99998409798951</v>
      </c>
      <c r="AP87" s="579">
        <f t="shared" si="24"/>
        <v>-16.005819074913461</v>
      </c>
      <c r="AQ87" s="580">
        <f t="shared" si="33"/>
        <v>-931</v>
      </c>
      <c r="AR87" s="579">
        <f t="shared" si="25"/>
        <v>-798.5</v>
      </c>
      <c r="AS87" s="580">
        <f t="shared" si="26"/>
        <v>701.99996819597902</v>
      </c>
      <c r="AT87" s="581">
        <f t="shared" si="34"/>
        <v>-350.99998409798951</v>
      </c>
      <c r="AU87" s="582">
        <f t="shared" si="27"/>
        <v>334.99416502307605</v>
      </c>
      <c r="AV87" s="581"/>
      <c r="AW87" s="583">
        <f t="shared" si="28"/>
        <v>-417.45605001473501</v>
      </c>
      <c r="AX87" s="583">
        <f t="shared" si="29"/>
        <v>-381.04394998526499</v>
      </c>
      <c r="AY87" s="584">
        <f t="shared" si="13"/>
        <v>-23.954617497212048</v>
      </c>
      <c r="AZ87" s="584">
        <f t="shared" si="14"/>
        <v>-26.243691837612698</v>
      </c>
      <c r="BA87" s="585">
        <f t="shared" si="30"/>
        <v>23.954617497212048</v>
      </c>
      <c r="BB87" s="585">
        <f t="shared" si="30"/>
        <v>26.243691837612698</v>
      </c>
      <c r="BD87" s="558"/>
      <c r="BH87" s="524"/>
      <c r="BI87" s="524"/>
      <c r="BJ87" s="524"/>
      <c r="BK87" s="524"/>
      <c r="BL87" s="524"/>
      <c r="BM87" s="524"/>
      <c r="BN87" s="524"/>
    </row>
    <row r="88" spans="2:66" ht="21" customHeight="1" thickBot="1" x14ac:dyDescent="0.4">
      <c r="B88" s="560">
        <v>10</v>
      </c>
      <c r="C88" s="560"/>
      <c r="D88" s="588"/>
      <c r="E88" s="587"/>
      <c r="F88" s="588"/>
      <c r="G88" s="588"/>
      <c r="H88" s="589">
        <v>430.351</v>
      </c>
      <c r="I88" s="590">
        <v>70.703909370000005</v>
      </c>
      <c r="J88" s="565">
        <f t="shared" si="15"/>
        <v>70.703909370000005</v>
      </c>
      <c r="K88" s="565">
        <f t="shared" si="6"/>
        <v>35.351954685000003</v>
      </c>
      <c r="L88" s="565">
        <f t="shared" si="7"/>
        <v>0.57859744421131742</v>
      </c>
      <c r="M88" s="565">
        <f t="shared" si="8"/>
        <v>248.99998871378466</v>
      </c>
      <c r="N88" s="565">
        <f t="shared" si="9"/>
        <v>497.99997742756932</v>
      </c>
      <c r="O88" s="565">
        <f>+C79+D80+D81+D82+D83+D84+D85+D86+D87+(D88/2)</f>
        <v>0</v>
      </c>
      <c r="P88" s="565">
        <f t="shared" si="10"/>
        <v>0</v>
      </c>
      <c r="Q88" s="565">
        <f t="shared" si="11"/>
        <v>0</v>
      </c>
      <c r="R88" s="565">
        <f t="shared" si="16"/>
        <v>351</v>
      </c>
      <c r="S88" s="565">
        <f t="shared" si="31"/>
        <v>351</v>
      </c>
      <c r="T88" s="566">
        <f t="shared" si="12"/>
        <v>351</v>
      </c>
      <c r="U88" s="588"/>
      <c r="V88" s="567">
        <f t="shared" si="17"/>
        <v>0</v>
      </c>
      <c r="W88" s="567"/>
      <c r="X88" s="567"/>
      <c r="Y88" s="567"/>
      <c r="Z88" s="567"/>
      <c r="AA88" s="567"/>
      <c r="AB88" s="588"/>
      <c r="AC88" s="494" t="b">
        <f>IF(AD88=10,AF88)</f>
        <v>0</v>
      </c>
      <c r="AD88" s="494">
        <f t="shared" si="18"/>
        <v>1</v>
      </c>
      <c r="AE88" s="1436">
        <f>IF(V88=0,0,10)</f>
        <v>0</v>
      </c>
      <c r="AF88" s="571">
        <f>SUM(V88:V90)/($B$76-B87)</f>
        <v>0</v>
      </c>
      <c r="AG88" s="571"/>
      <c r="AH88" s="572"/>
      <c r="AI88" s="573"/>
      <c r="AJ88" s="572">
        <f t="shared" si="19"/>
        <v>54.648045320000001</v>
      </c>
      <c r="AK88" s="574">
        <f t="shared" si="32"/>
        <v>0.81561326474898277</v>
      </c>
      <c r="AL88" s="575">
        <f t="shared" si="20"/>
        <v>350.99998409798951</v>
      </c>
      <c r="AM88" s="576">
        <f t="shared" si="21"/>
        <v>54.648045320000001</v>
      </c>
      <c r="AN88" s="577">
        <f t="shared" si="22"/>
        <v>0.81561326474898277</v>
      </c>
      <c r="AO88" s="578">
        <f t="shared" si="23"/>
        <v>350.99998409798951</v>
      </c>
      <c r="AP88" s="579">
        <f t="shared" si="24"/>
        <v>-13.72050083877445</v>
      </c>
      <c r="AQ88" s="580">
        <f t="shared" si="33"/>
        <v>-1064</v>
      </c>
      <c r="AR88" s="579">
        <f t="shared" si="25"/>
        <v>-931.5</v>
      </c>
      <c r="AS88" s="580">
        <f t="shared" si="26"/>
        <v>701.99996819597902</v>
      </c>
      <c r="AT88" s="581">
        <f t="shared" si="34"/>
        <v>-350.99998409798951</v>
      </c>
      <c r="AU88" s="582">
        <f t="shared" si="27"/>
        <v>337.27948325921506</v>
      </c>
      <c r="AV88" s="581"/>
      <c r="AW88" s="583">
        <f t="shared" si="28"/>
        <v>-483.95605001473501</v>
      </c>
      <c r="AX88" s="583">
        <f t="shared" si="29"/>
        <v>-447.54394998526499</v>
      </c>
      <c r="AY88" s="584">
        <f t="shared" si="13"/>
        <v>-20.663033347130447</v>
      </c>
      <c r="AZ88" s="584">
        <f t="shared" si="14"/>
        <v>-22.344174243287707</v>
      </c>
      <c r="BA88" s="585">
        <f t="shared" si="30"/>
        <v>20.663033347130447</v>
      </c>
      <c r="BB88" s="585">
        <f t="shared" si="30"/>
        <v>22.344174243287707</v>
      </c>
      <c r="BD88" s="558"/>
      <c r="BH88" s="524"/>
      <c r="BI88" s="524"/>
      <c r="BJ88" s="524"/>
      <c r="BK88" s="524"/>
      <c r="BL88" s="524"/>
      <c r="BM88" s="524"/>
      <c r="BN88" s="524"/>
    </row>
    <row r="89" spans="2:66" ht="21" customHeight="1" thickBot="1" x14ac:dyDescent="0.4">
      <c r="B89" s="560">
        <v>11</v>
      </c>
      <c r="C89" s="560"/>
      <c r="D89" s="588"/>
      <c r="E89" s="587"/>
      <c r="F89" s="588"/>
      <c r="G89" s="588"/>
      <c r="H89" s="589">
        <v>430.351</v>
      </c>
      <c r="I89" s="590">
        <v>70.703909370000005</v>
      </c>
      <c r="J89" s="565">
        <f t="shared" si="15"/>
        <v>70.703909370000005</v>
      </c>
      <c r="K89" s="565">
        <f t="shared" si="6"/>
        <v>35.351954685000003</v>
      </c>
      <c r="L89" s="565">
        <f t="shared" si="7"/>
        <v>0.57859744421131742</v>
      </c>
      <c r="M89" s="565">
        <f t="shared" si="8"/>
        <v>248.99998871378466</v>
      </c>
      <c r="N89" s="565">
        <f t="shared" si="9"/>
        <v>497.99997742756932</v>
      </c>
      <c r="O89" s="565">
        <f>+C79+D80+D81+D82+D83+D84+D85+D86+D87+D88+(D89/2)</f>
        <v>0</v>
      </c>
      <c r="P89" s="565">
        <f t="shared" si="10"/>
        <v>0</v>
      </c>
      <c r="Q89" s="565">
        <f t="shared" si="11"/>
        <v>0</v>
      </c>
      <c r="R89" s="565">
        <f t="shared" si="16"/>
        <v>351</v>
      </c>
      <c r="S89" s="565">
        <f t="shared" si="31"/>
        <v>351</v>
      </c>
      <c r="T89" s="566">
        <f t="shared" si="12"/>
        <v>351</v>
      </c>
      <c r="U89" s="588"/>
      <c r="V89" s="567">
        <f t="shared" si="17"/>
        <v>0</v>
      </c>
      <c r="W89" s="567"/>
      <c r="X89" s="567"/>
      <c r="Y89" s="567"/>
      <c r="Z89" s="567"/>
      <c r="AA89" s="567"/>
      <c r="AB89" s="588"/>
      <c r="AC89" s="494" t="b">
        <f>IF(AD89=11,AF89)</f>
        <v>0</v>
      </c>
      <c r="AD89" s="494">
        <f t="shared" si="18"/>
        <v>1</v>
      </c>
      <c r="AE89" s="1436">
        <f>IF(V89=0,0,11)</f>
        <v>0</v>
      </c>
      <c r="AF89" s="571">
        <f>SUM(V89:V90)/($B$76-B88)</f>
        <v>0</v>
      </c>
      <c r="AG89" s="571"/>
      <c r="AH89" s="572"/>
      <c r="AI89" s="573"/>
      <c r="AJ89" s="572">
        <f t="shared" si="19"/>
        <v>54.648045320000001</v>
      </c>
      <c r="AK89" s="574">
        <f t="shared" si="32"/>
        <v>0.81561326474898277</v>
      </c>
      <c r="AL89" s="575">
        <f t="shared" si="20"/>
        <v>350.99998409798951</v>
      </c>
      <c r="AM89" s="576">
        <f t="shared" si="21"/>
        <v>54.648045320000001</v>
      </c>
      <c r="AN89" s="577">
        <f t="shared" si="22"/>
        <v>0.81561326474898277</v>
      </c>
      <c r="AO89" s="578">
        <f t="shared" si="23"/>
        <v>350.99998409798951</v>
      </c>
      <c r="AP89" s="579">
        <f t="shared" si="24"/>
        <v>-12.006243805841615</v>
      </c>
      <c r="AQ89" s="580">
        <f t="shared" si="33"/>
        <v>-1197</v>
      </c>
      <c r="AR89" s="579">
        <f t="shared" si="25"/>
        <v>-1064.5</v>
      </c>
      <c r="AS89" s="580">
        <f t="shared" si="26"/>
        <v>701.99996819597902</v>
      </c>
      <c r="AT89" s="581">
        <f t="shared" si="34"/>
        <v>-350.99998409798951</v>
      </c>
      <c r="AU89" s="582">
        <f t="shared" si="27"/>
        <v>338.99374029214789</v>
      </c>
      <c r="AV89" s="581"/>
      <c r="AW89" s="583">
        <f t="shared" si="28"/>
        <v>-550.45605001473507</v>
      </c>
      <c r="AX89" s="583">
        <f t="shared" si="29"/>
        <v>-514.04394998526493</v>
      </c>
      <c r="AY89" s="584">
        <f t="shared" si="13"/>
        <v>-18.166754638689703</v>
      </c>
      <c r="AZ89" s="584">
        <f t="shared" si="14"/>
        <v>-19.453589523399021</v>
      </c>
      <c r="BA89" s="585">
        <f t="shared" si="30"/>
        <v>18.166754638689703</v>
      </c>
      <c r="BB89" s="585">
        <f t="shared" si="30"/>
        <v>19.453589523399021</v>
      </c>
      <c r="BD89" s="558"/>
      <c r="BH89" s="524"/>
      <c r="BI89" s="524"/>
      <c r="BJ89" s="524"/>
      <c r="BK89" s="524"/>
      <c r="BL89" s="524"/>
      <c r="BM89" s="524"/>
      <c r="BN89" s="524"/>
    </row>
    <row r="90" spans="2:66" ht="21" customHeight="1" thickBot="1" x14ac:dyDescent="0.4">
      <c r="B90" s="560">
        <v>12</v>
      </c>
      <c r="C90" s="560"/>
      <c r="D90" s="588"/>
      <c r="E90" s="587"/>
      <c r="F90" s="588"/>
      <c r="G90" s="588"/>
      <c r="H90" s="589">
        <v>430.351</v>
      </c>
      <c r="I90" s="590">
        <v>70.703909370000005</v>
      </c>
      <c r="J90" s="565">
        <f t="shared" si="15"/>
        <v>70.703909370000005</v>
      </c>
      <c r="K90" s="565">
        <f t="shared" si="6"/>
        <v>35.351954685000003</v>
      </c>
      <c r="L90" s="565">
        <f t="shared" si="7"/>
        <v>0.57859744421131742</v>
      </c>
      <c r="M90" s="565">
        <f t="shared" si="8"/>
        <v>248.99998871378466</v>
      </c>
      <c r="N90" s="565">
        <f t="shared" si="9"/>
        <v>497.99997742756932</v>
      </c>
      <c r="O90" s="565">
        <f>+C79+D80+D81+D82+D83+D84+D85+D86+D87+D88+D89+(D90/2)</f>
        <v>0</v>
      </c>
      <c r="P90" s="565">
        <f t="shared" si="10"/>
        <v>0</v>
      </c>
      <c r="Q90" s="565">
        <f t="shared" si="11"/>
        <v>0</v>
      </c>
      <c r="R90" s="565">
        <f t="shared" si="16"/>
        <v>351</v>
      </c>
      <c r="S90" s="565">
        <f t="shared" si="31"/>
        <v>351</v>
      </c>
      <c r="T90" s="566">
        <f t="shared" si="12"/>
        <v>351</v>
      </c>
      <c r="U90" s="588"/>
      <c r="V90" s="567">
        <f t="shared" si="17"/>
        <v>0</v>
      </c>
      <c r="W90" s="567"/>
      <c r="X90" s="567"/>
      <c r="Y90" s="567"/>
      <c r="Z90" s="567"/>
      <c r="AA90" s="567"/>
      <c r="AB90" s="588"/>
      <c r="AC90" s="494" t="b">
        <f>IF(AD90=12,AF90)</f>
        <v>0</v>
      </c>
      <c r="AD90" s="494">
        <f t="shared" si="18"/>
        <v>1</v>
      </c>
      <c r="AE90" s="1436">
        <f>IF(V90=0,0,12)</f>
        <v>0</v>
      </c>
      <c r="AF90" s="571">
        <f>SUM(V90)/($B$76-B89)</f>
        <v>0</v>
      </c>
      <c r="AG90" s="571"/>
      <c r="AH90" s="572"/>
      <c r="AI90" s="573"/>
      <c r="AJ90" s="572">
        <f t="shared" si="19"/>
        <v>54.648045320000001</v>
      </c>
      <c r="AK90" s="574">
        <f t="shared" si="32"/>
        <v>0.81561326474898277</v>
      </c>
      <c r="AL90" s="575">
        <f t="shared" si="20"/>
        <v>350.99998409798951</v>
      </c>
      <c r="AM90" s="576">
        <f t="shared" si="21"/>
        <v>54.648045320000001</v>
      </c>
      <c r="AN90" s="577">
        <f t="shared" si="22"/>
        <v>0.81561326474898277</v>
      </c>
      <c r="AO90" s="578">
        <f t="shared" si="23"/>
        <v>350.99998409798951</v>
      </c>
      <c r="AP90" s="579">
        <f t="shared" si="24"/>
        <v>-10.672773721351483</v>
      </c>
      <c r="AQ90" s="580">
        <f t="shared" si="33"/>
        <v>-1330</v>
      </c>
      <c r="AR90" s="579">
        <f t="shared" si="25"/>
        <v>-1197.5</v>
      </c>
      <c r="AS90" s="580">
        <f t="shared" si="26"/>
        <v>701.99996819597902</v>
      </c>
      <c r="AT90" s="581">
        <f t="shared" si="34"/>
        <v>-350.99998409798951</v>
      </c>
      <c r="AU90" s="582">
        <f t="shared" si="27"/>
        <v>340.32721037663805</v>
      </c>
      <c r="AV90" s="581"/>
      <c r="AW90" s="583">
        <f t="shared" si="28"/>
        <v>-616.95605001473496</v>
      </c>
      <c r="AX90" s="583">
        <f t="shared" si="29"/>
        <v>-580.54394998526493</v>
      </c>
      <c r="AY90" s="584">
        <f t="shared" si="13"/>
        <v>-16.208609997034905</v>
      </c>
      <c r="AZ90" s="584">
        <f t="shared" si="14"/>
        <v>-17.225224722872085</v>
      </c>
      <c r="BA90" s="585">
        <f t="shared" si="30"/>
        <v>16.208609997034905</v>
      </c>
      <c r="BB90" s="585">
        <f t="shared" si="30"/>
        <v>17.225224722872085</v>
      </c>
      <c r="BD90" s="558"/>
      <c r="BH90" s="524"/>
      <c r="BI90" s="524"/>
      <c r="BJ90" s="524"/>
      <c r="BK90" s="524"/>
      <c r="BL90" s="524"/>
      <c r="BM90" s="524"/>
      <c r="BN90" s="524"/>
    </row>
    <row r="91" spans="2:66" ht="18" hidden="1" customHeight="1" thickBot="1" x14ac:dyDescent="0.4">
      <c r="B91" s="515"/>
      <c r="C91" s="515"/>
      <c r="D91" s="1948"/>
      <c r="E91" s="516"/>
      <c r="F91" s="516"/>
      <c r="G91" s="516"/>
      <c r="H91" s="506"/>
      <c r="I91" s="506"/>
      <c r="J91" s="506"/>
      <c r="K91" s="506"/>
      <c r="L91" s="506"/>
      <c r="M91" s="506"/>
      <c r="N91" s="506"/>
      <c r="O91" s="506"/>
      <c r="P91" s="506"/>
      <c r="Q91" s="506"/>
      <c r="R91" s="506"/>
      <c r="S91" s="506"/>
      <c r="T91" s="506"/>
      <c r="U91" s="558"/>
      <c r="V91" s="506"/>
      <c r="W91" s="506"/>
      <c r="X91" s="506"/>
      <c r="Y91" s="506"/>
      <c r="Z91" s="506"/>
      <c r="AA91" s="506"/>
      <c r="AB91" s="506"/>
      <c r="AC91" s="506"/>
      <c r="AD91" s="506"/>
      <c r="AE91" s="506"/>
      <c r="AF91" s="506"/>
      <c r="AG91" s="506"/>
      <c r="AH91" s="572"/>
      <c r="AI91" s="591"/>
      <c r="AJ91" s="506"/>
      <c r="AK91" s="506"/>
      <c r="AL91" s="506"/>
      <c r="AM91" s="506"/>
      <c r="AN91" s="506"/>
      <c r="AO91" s="506"/>
      <c r="AP91" s="506"/>
      <c r="AQ91" s="506"/>
      <c r="AR91" s="506"/>
      <c r="AS91" s="506"/>
      <c r="AT91" s="506"/>
      <c r="AU91" s="506"/>
      <c r="AV91" s="506"/>
      <c r="AW91" s="506"/>
      <c r="AX91" s="506"/>
      <c r="AY91" s="506"/>
      <c r="AZ91" s="506"/>
      <c r="BA91" s="506"/>
      <c r="BB91" s="506"/>
      <c r="BC91" s="506"/>
      <c r="BD91" s="558"/>
      <c r="BH91" s="524"/>
      <c r="BI91" s="524"/>
      <c r="BJ91" s="524"/>
      <c r="BK91" s="524"/>
      <c r="BL91" s="524"/>
      <c r="BM91" s="524"/>
      <c r="BN91" s="524"/>
    </row>
    <row r="92" spans="2:66" ht="18" hidden="1" customHeight="1" x14ac:dyDescent="0.35">
      <c r="B92" s="535"/>
      <c r="C92" s="515"/>
      <c r="D92" s="516"/>
      <c r="E92" s="516"/>
      <c r="F92" s="516"/>
      <c r="G92" s="516"/>
      <c r="H92" s="506"/>
      <c r="I92" s="506"/>
      <c r="J92" s="506"/>
      <c r="K92" s="506"/>
      <c r="L92" s="506"/>
      <c r="M92" s="506"/>
      <c r="N92" s="506"/>
      <c r="O92" s="506"/>
      <c r="P92" s="506"/>
      <c r="Q92" s="506"/>
      <c r="R92" s="506"/>
      <c r="S92" s="506"/>
      <c r="T92" s="506"/>
      <c r="U92" s="558"/>
      <c r="V92" s="506"/>
      <c r="W92" s="506"/>
      <c r="X92" s="506"/>
      <c r="Y92" s="506"/>
      <c r="Z92" s="506"/>
      <c r="AA92" s="506"/>
      <c r="AB92" s="506"/>
      <c r="AC92" s="506"/>
      <c r="AD92" s="506"/>
      <c r="AE92" s="506"/>
      <c r="AF92" s="506"/>
      <c r="AG92" s="506"/>
      <c r="AH92" s="506"/>
      <c r="AI92" s="520"/>
      <c r="AJ92" s="506"/>
      <c r="AK92" s="506"/>
      <c r="AL92" s="506"/>
      <c r="AM92" s="506"/>
      <c r="AN92" s="506"/>
      <c r="AO92" s="506"/>
      <c r="AP92" s="506"/>
      <c r="AQ92" s="506"/>
      <c r="AR92" s="506"/>
      <c r="AS92" s="506"/>
      <c r="AT92" s="506"/>
      <c r="AU92" s="506"/>
      <c r="AV92" s="506"/>
      <c r="AW92" s="506"/>
      <c r="AX92" s="506"/>
      <c r="AY92" s="506"/>
      <c r="AZ92" s="506"/>
      <c r="BA92" s="506"/>
      <c r="BB92" s="506"/>
      <c r="BC92" s="506"/>
      <c r="BD92" s="558"/>
      <c r="BH92" s="524"/>
      <c r="BI92" s="524"/>
      <c r="BJ92" s="524"/>
      <c r="BK92" s="524"/>
      <c r="BL92" s="524"/>
      <c r="BM92" s="524"/>
      <c r="BN92" s="524"/>
    </row>
    <row r="93" spans="2:66" ht="18" hidden="1" customHeight="1" x14ac:dyDescent="0.3">
      <c r="B93" s="535"/>
      <c r="AB93" s="535"/>
      <c r="AC93" s="535"/>
      <c r="AD93" s="535"/>
      <c r="AE93" s="535"/>
      <c r="BG93" s="524"/>
      <c r="BH93" s="524"/>
      <c r="BI93" s="524"/>
      <c r="BJ93" s="524"/>
      <c r="BK93" s="524"/>
      <c r="BL93" s="524"/>
      <c r="BM93" s="524"/>
      <c r="BN93" s="524"/>
    </row>
    <row r="94" spans="2:66" ht="15.75" hidden="1" customHeight="1" x14ac:dyDescent="0.3">
      <c r="S94" s="476" t="s">
        <v>135</v>
      </c>
      <c r="T94" s="476">
        <f>+B97*67+25</f>
        <v>92</v>
      </c>
      <c r="V94" s="489" t="s">
        <v>136</v>
      </c>
      <c r="W94" s="2132" t="s">
        <v>194</v>
      </c>
      <c r="X94" s="2132"/>
      <c r="Y94" s="2132"/>
      <c r="Z94" s="2132"/>
      <c r="AA94" s="2132"/>
      <c r="AB94" s="489"/>
      <c r="AC94" s="489"/>
      <c r="AD94" s="489"/>
      <c r="AE94" s="489"/>
      <c r="AF94" s="489"/>
      <c r="AG94" s="489"/>
      <c r="AH94" s="489"/>
      <c r="AI94" s="489"/>
      <c r="AJ94" s="489"/>
      <c r="AK94" s="489"/>
      <c r="AL94" s="489"/>
      <c r="AM94" s="489"/>
      <c r="AN94" s="489"/>
      <c r="AO94" s="489"/>
      <c r="AP94" s="489"/>
      <c r="AQ94" s="489"/>
      <c r="AR94" s="489"/>
      <c r="AS94" s="489"/>
      <c r="AT94" s="489"/>
      <c r="AU94" s="489"/>
      <c r="AV94" s="489"/>
      <c r="AW94" s="489"/>
      <c r="AX94" s="489"/>
      <c r="AY94" s="489"/>
      <c r="AZ94" s="489"/>
      <c r="BA94" s="489"/>
      <c r="BB94" s="489"/>
      <c r="BC94" s="489"/>
      <c r="BH94" s="524"/>
      <c r="BI94" s="524"/>
      <c r="BJ94" s="524"/>
      <c r="BK94" s="524"/>
      <c r="BL94" s="524"/>
      <c r="BM94" s="524"/>
      <c r="BN94" s="524"/>
    </row>
    <row r="95" spans="2:66" ht="18.75" customHeight="1" thickBot="1" x14ac:dyDescent="0.35">
      <c r="S95" s="476" t="s">
        <v>137</v>
      </c>
      <c r="T95" s="476">
        <v>332.6</v>
      </c>
      <c r="U95" s="473"/>
      <c r="V95" s="489"/>
      <c r="W95" s="489"/>
      <c r="X95" s="489"/>
      <c r="Y95" s="489"/>
      <c r="Z95" s="489"/>
      <c r="AA95" s="489"/>
      <c r="AB95" s="489"/>
      <c r="AC95" s="489"/>
      <c r="AD95" s="489"/>
      <c r="AE95" s="489"/>
      <c r="AF95" s="489"/>
      <c r="AG95" s="489"/>
      <c r="AH95" s="489"/>
      <c r="AI95" s="489"/>
      <c r="AJ95" s="489"/>
      <c r="AK95" s="489"/>
      <c r="AL95" s="489"/>
      <c r="AM95" s="489"/>
      <c r="AN95" s="489"/>
      <c r="AO95" s="489"/>
      <c r="AP95" s="489"/>
      <c r="AQ95" s="489"/>
      <c r="AR95" s="489"/>
      <c r="AS95" s="489"/>
      <c r="AT95" s="489"/>
      <c r="AU95" s="489"/>
      <c r="AV95" s="489"/>
      <c r="AW95" s="489"/>
      <c r="AX95" s="489"/>
      <c r="AY95" s="489"/>
      <c r="AZ95" s="489"/>
      <c r="BA95" s="489"/>
      <c r="BB95" s="489"/>
      <c r="BC95" s="489"/>
      <c r="BD95" s="473"/>
      <c r="BG95" s="524"/>
      <c r="BH95" s="524"/>
      <c r="BI95" s="524"/>
      <c r="BJ95" s="524"/>
      <c r="BK95" s="524"/>
      <c r="BL95" s="524"/>
      <c r="BM95" s="524"/>
      <c r="BN95" s="524"/>
    </row>
    <row r="96" spans="2:66" ht="61.5" customHeight="1" thickBot="1" x14ac:dyDescent="0.45">
      <c r="B96" s="547" t="s">
        <v>42</v>
      </c>
      <c r="C96" s="592"/>
      <c r="D96" s="643"/>
      <c r="E96" s="593"/>
      <c r="F96" s="593"/>
      <c r="G96" s="593"/>
      <c r="H96" s="594"/>
      <c r="I96" s="594"/>
      <c r="J96" s="594"/>
      <c r="K96" s="594"/>
      <c r="L96" s="594"/>
      <c r="M96" s="594"/>
      <c r="N96" s="594"/>
      <c r="O96" s="594"/>
      <c r="P96" s="594"/>
      <c r="Q96" s="594"/>
      <c r="R96" s="594"/>
      <c r="S96" s="595" t="s">
        <v>138</v>
      </c>
      <c r="T96" s="596">
        <f>SUM(V100:V123)/B97</f>
        <v>135</v>
      </c>
      <c r="U96" s="597"/>
      <c r="V96" s="489"/>
      <c r="AB96" s="489"/>
      <c r="AC96" s="489"/>
      <c r="AD96" s="489"/>
      <c r="AE96" s="489"/>
      <c r="AF96" s="489"/>
      <c r="AG96" s="489"/>
      <c r="AH96" s="489"/>
      <c r="AI96" s="489"/>
      <c r="AJ96" s="489"/>
      <c r="AK96" s="489"/>
      <c r="AL96" s="489"/>
      <c r="AM96" s="489"/>
      <c r="AN96" s="489"/>
      <c r="AO96" s="489"/>
      <c r="AP96" s="489"/>
      <c r="AQ96" s="489"/>
      <c r="AR96" s="489"/>
      <c r="AS96" s="489"/>
      <c r="AT96" s="489"/>
      <c r="AU96" s="489"/>
      <c r="AV96" s="489"/>
      <c r="AW96" s="489"/>
      <c r="AX96" s="489"/>
      <c r="AY96" s="489"/>
      <c r="AZ96" s="489"/>
      <c r="BA96" s="489"/>
      <c r="BB96" s="489"/>
      <c r="BC96" s="489"/>
      <c r="BD96" s="598"/>
      <c r="BE96" s="598"/>
      <c r="BF96" s="598"/>
      <c r="BG96" s="524"/>
      <c r="BH96" s="524"/>
      <c r="BI96" s="524"/>
      <c r="BJ96" s="524"/>
      <c r="BK96" s="524"/>
      <c r="BL96" s="524"/>
      <c r="BM96" s="524"/>
      <c r="BN96" s="524"/>
    </row>
    <row r="97" spans="1:66" ht="25.2" thickBot="1" x14ac:dyDescent="0.45">
      <c r="B97" s="1961">
        <v>1</v>
      </c>
      <c r="C97" s="1963"/>
      <c r="D97" s="1888" t="s">
        <v>139</v>
      </c>
      <c r="E97" s="1887"/>
      <c r="F97" s="1887"/>
      <c r="G97" s="1880"/>
      <c r="H97" s="1880"/>
      <c r="I97" s="1880"/>
      <c r="J97" s="1880"/>
      <c r="K97" s="1880"/>
      <c r="L97" s="1880"/>
      <c r="M97" s="1880"/>
      <c r="N97" s="1880"/>
      <c r="O97" s="1880"/>
      <c r="P97" s="1880"/>
      <c r="Q97" s="1880"/>
      <c r="R97" s="1880"/>
      <c r="S97" s="1880"/>
      <c r="T97" s="1880"/>
      <c r="U97" s="530"/>
      <c r="V97" s="641"/>
      <c r="W97" s="516"/>
      <c r="X97" s="516"/>
      <c r="Y97" s="516"/>
      <c r="Z97" s="516"/>
      <c r="AA97" s="516"/>
      <c r="AB97" s="641"/>
      <c r="AC97" s="599"/>
      <c r="AD97" s="599"/>
      <c r="AE97" s="599"/>
      <c r="AF97" s="599"/>
      <c r="AG97" s="599"/>
      <c r="AH97" s="599"/>
      <c r="AI97" s="599"/>
      <c r="AJ97" s="599"/>
      <c r="AK97" s="599"/>
      <c r="AL97" s="599"/>
      <c r="AM97" s="599"/>
      <c r="AN97" s="599"/>
      <c r="AO97" s="599"/>
      <c r="AP97" s="599"/>
      <c r="AQ97" s="599"/>
      <c r="AR97" s="599"/>
      <c r="AS97" s="599"/>
      <c r="AT97" s="599"/>
      <c r="AU97" s="599"/>
      <c r="AV97" s="599"/>
      <c r="AW97" s="599"/>
      <c r="AX97" s="599"/>
      <c r="AY97" s="599"/>
      <c r="AZ97" s="599"/>
      <c r="BA97" s="2133" t="s">
        <v>68</v>
      </c>
      <c r="BB97" s="2134"/>
      <c r="BC97" s="599"/>
      <c r="BD97" s="600"/>
      <c r="BE97" s="600"/>
      <c r="BF97" s="600"/>
      <c r="BG97" s="524"/>
      <c r="BH97" s="524"/>
      <c r="BI97" s="524"/>
      <c r="BJ97" s="524"/>
      <c r="BK97" s="524"/>
      <c r="BL97" s="524"/>
      <c r="BM97" s="524"/>
      <c r="BN97" s="524"/>
    </row>
    <row r="98" spans="1:66" ht="33.75" hidden="1" customHeight="1" thickTop="1" thickBot="1" x14ac:dyDescent="0.35">
      <c r="B98" s="536"/>
      <c r="C98" s="537"/>
      <c r="D98" s="601" t="s">
        <v>13</v>
      </c>
      <c r="E98" s="516"/>
      <c r="F98" s="516"/>
      <c r="G98" s="516"/>
      <c r="H98" s="516" t="s">
        <v>4</v>
      </c>
      <c r="I98" s="516" t="s">
        <v>140</v>
      </c>
      <c r="J98" s="516" t="s">
        <v>0</v>
      </c>
      <c r="K98" s="516" t="s">
        <v>2</v>
      </c>
      <c r="L98" s="516" t="s">
        <v>3</v>
      </c>
      <c r="M98" s="516" t="s">
        <v>8</v>
      </c>
      <c r="N98" s="516" t="s">
        <v>5</v>
      </c>
      <c r="O98" s="516" t="s">
        <v>6</v>
      </c>
      <c r="P98" s="516" t="s">
        <v>7</v>
      </c>
      <c r="Q98" s="516" t="s">
        <v>9</v>
      </c>
      <c r="R98" s="516" t="s">
        <v>10</v>
      </c>
      <c r="S98" s="516" t="s">
        <v>11</v>
      </c>
      <c r="T98" s="554" t="s">
        <v>12</v>
      </c>
      <c r="U98" s="540"/>
      <c r="V98" s="554"/>
      <c r="W98" s="1966" t="s">
        <v>195</v>
      </c>
      <c r="X98" s="1966" t="s">
        <v>179</v>
      </c>
      <c r="Y98" s="1966" t="s">
        <v>196</v>
      </c>
      <c r="Z98" s="1966" t="s">
        <v>180</v>
      </c>
      <c r="AA98" s="1966" t="s">
        <v>181</v>
      </c>
      <c r="AB98" s="554"/>
      <c r="AC98" s="1965" t="s">
        <v>184</v>
      </c>
      <c r="AD98" s="1435"/>
      <c r="AE98" s="1435"/>
      <c r="AF98" s="541"/>
      <c r="AG98" s="541"/>
      <c r="AH98" s="541"/>
      <c r="AI98" s="542"/>
      <c r="AJ98" s="541"/>
      <c r="AK98" s="541"/>
      <c r="AL98" s="541"/>
      <c r="AM98" s="541"/>
      <c r="AN98" s="541"/>
      <c r="AO98" s="541"/>
      <c r="AP98" s="541" t="s">
        <v>141</v>
      </c>
      <c r="AQ98" s="541"/>
      <c r="AR98" s="541" t="s">
        <v>141</v>
      </c>
      <c r="AS98" s="541"/>
      <c r="AT98" s="541"/>
      <c r="AU98" s="541" t="s">
        <v>141</v>
      </c>
      <c r="AV98" s="541"/>
      <c r="AW98" s="541"/>
      <c r="AX98" s="541"/>
      <c r="AY98" s="535"/>
      <c r="AZ98" s="541"/>
      <c r="BA98" s="543"/>
      <c r="BB98" s="543"/>
      <c r="BC98" s="541"/>
      <c r="BD98" s="540"/>
      <c r="BE98" s="506"/>
      <c r="BF98" s="506"/>
      <c r="BG98" s="524"/>
      <c r="BH98" s="524"/>
      <c r="BI98" s="524"/>
      <c r="BJ98" s="524"/>
      <c r="BK98" s="524"/>
      <c r="BL98" s="524"/>
      <c r="BM98" s="524"/>
      <c r="BN98" s="524"/>
    </row>
    <row r="99" spans="1:66" ht="37.5" customHeight="1" thickBot="1" x14ac:dyDescent="0.35">
      <c r="B99" s="602"/>
      <c r="C99" s="544"/>
      <c r="D99" s="603" t="s">
        <v>24</v>
      </c>
      <c r="E99" s="1067"/>
      <c r="F99" s="1067" t="s">
        <v>58</v>
      </c>
      <c r="G99" s="1067"/>
      <c r="H99" s="516"/>
      <c r="I99" s="516"/>
      <c r="J99" s="516"/>
      <c r="K99" s="516"/>
      <c r="L99" s="516"/>
      <c r="M99" s="516"/>
      <c r="N99" s="516"/>
      <c r="O99" s="516"/>
      <c r="P99" s="516"/>
      <c r="Q99" s="516"/>
      <c r="R99" s="516"/>
      <c r="S99" s="516"/>
      <c r="T99" s="554"/>
      <c r="U99" s="540"/>
      <c r="V99" s="554"/>
      <c r="W99" s="1955"/>
      <c r="X99" s="1955"/>
      <c r="Y99" s="1955"/>
      <c r="Z99" s="1955"/>
      <c r="AA99" s="1955"/>
      <c r="AB99" s="554"/>
      <c r="AC99" s="1964">
        <f>SUM(AC100:AC123)</f>
        <v>135</v>
      </c>
      <c r="AD99" s="1437"/>
      <c r="AE99" s="1437"/>
      <c r="AF99" s="606" t="s">
        <v>51</v>
      </c>
      <c r="AG99" s="1438" t="s">
        <v>188</v>
      </c>
      <c r="AH99" s="606" t="s">
        <v>44</v>
      </c>
      <c r="AI99" s="607"/>
      <c r="AJ99" s="606" t="s">
        <v>142</v>
      </c>
      <c r="AK99" s="608" t="s">
        <v>45</v>
      </c>
      <c r="AL99" s="606" t="s">
        <v>46</v>
      </c>
      <c r="AM99" s="606" t="s">
        <v>143</v>
      </c>
      <c r="AN99" s="606" t="s">
        <v>47</v>
      </c>
      <c r="AO99" s="606" t="s">
        <v>48</v>
      </c>
      <c r="AP99" s="606" t="s">
        <v>61</v>
      </c>
      <c r="AQ99" s="606" t="s">
        <v>49</v>
      </c>
      <c r="AR99" s="606" t="s">
        <v>144</v>
      </c>
      <c r="AS99" s="606" t="s">
        <v>50</v>
      </c>
      <c r="AT99" s="606" t="s">
        <v>52</v>
      </c>
      <c r="AU99" s="606" t="s">
        <v>145</v>
      </c>
      <c r="AV99" s="606" t="s">
        <v>53</v>
      </c>
      <c r="AW99" s="609" t="s">
        <v>54</v>
      </c>
      <c r="AX99" s="609" t="s">
        <v>55</v>
      </c>
      <c r="AY99" s="610" t="s">
        <v>25</v>
      </c>
      <c r="AZ99" s="610" t="s">
        <v>26</v>
      </c>
      <c r="BA99" s="557" t="s">
        <v>25</v>
      </c>
      <c r="BB99" s="557" t="s">
        <v>26</v>
      </c>
      <c r="BC99" s="506"/>
      <c r="BD99" s="540"/>
      <c r="BE99" s="506"/>
      <c r="BF99" s="506"/>
      <c r="BG99" s="1413" t="s">
        <v>205</v>
      </c>
      <c r="BH99" s="524"/>
      <c r="BI99" s="524"/>
      <c r="BJ99" s="524"/>
      <c r="BK99" s="524"/>
      <c r="BL99" s="524"/>
      <c r="BM99" s="524"/>
      <c r="BN99" s="524"/>
    </row>
    <row r="100" spans="1:66" ht="21" customHeight="1" thickBot="1" x14ac:dyDescent="0.35">
      <c r="B100" s="611">
        <v>1</v>
      </c>
      <c r="C100" s="612">
        <f>+AH79+D100</f>
        <v>0</v>
      </c>
      <c r="D100" s="1934">
        <v>0</v>
      </c>
      <c r="E100" s="584" t="s">
        <v>146</v>
      </c>
      <c r="F100" s="613">
        <f>+G100</f>
        <v>0</v>
      </c>
      <c r="G100" s="614">
        <f>+D100</f>
        <v>0</v>
      </c>
      <c r="H100" s="615">
        <v>217.52600000000001</v>
      </c>
      <c r="I100" s="616">
        <v>103.27776</v>
      </c>
      <c r="J100" s="586">
        <f>+I100-C100</f>
        <v>103.27776</v>
      </c>
      <c r="K100" s="586">
        <f t="shared" ref="K100:K123" si="35">+J100/2</f>
        <v>51.63888</v>
      </c>
      <c r="L100" s="586">
        <f t="shared" ref="L100:L123" si="36">SIN(K100*3.14159265358979/180)</f>
        <v>0.78411477781089656</v>
      </c>
      <c r="M100" s="586">
        <f t="shared" ref="M100:M123" si="37">+L100*H100</f>
        <v>170.56535115809308</v>
      </c>
      <c r="N100" s="586">
        <f t="shared" ref="N100:N123" si="38">+M100*2</f>
        <v>341.13070231618616</v>
      </c>
      <c r="O100" s="586">
        <f>+C100/2</f>
        <v>0</v>
      </c>
      <c r="P100" s="586">
        <f t="shared" ref="P100:P123" si="39">SIN(O100*3.14159265358979/180)</f>
        <v>0</v>
      </c>
      <c r="Q100" s="586">
        <f t="shared" ref="Q100:Q123" si="40">+P100*N100</f>
        <v>0</v>
      </c>
      <c r="R100" s="586">
        <v>135</v>
      </c>
      <c r="S100" s="586">
        <f>+R100+Q100</f>
        <v>135</v>
      </c>
      <c r="T100" s="617">
        <f t="shared" ref="T100:T123" si="41">+S100</f>
        <v>135</v>
      </c>
      <c r="V100" s="571">
        <f t="shared" ref="V100:V123" si="42">IF(B100&lt;($B$97+1),T100,0)</f>
        <v>135</v>
      </c>
      <c r="W100" s="568">
        <v>51.638878849999998</v>
      </c>
      <c r="X100" s="569">
        <f>+W100+AI125</f>
        <v>51.638878849999998</v>
      </c>
      <c r="Y100" s="568">
        <v>217.52590000000001</v>
      </c>
      <c r="Z100" s="569">
        <f>+COS(X100*3.14159265358979/180)*Y100</f>
        <v>135.00002158525106</v>
      </c>
      <c r="AA100" s="570">
        <f>+AC99-Z100</f>
        <v>-2.1585251062106181E-5</v>
      </c>
      <c r="AB100" s="584" t="str">
        <f>IF(AZ100&lt;0,"pin in groundstacking hole"," ")</f>
        <v xml:space="preserve"> </v>
      </c>
      <c r="AC100" s="1967">
        <f>IF(AD100=1,AF100)</f>
        <v>135</v>
      </c>
      <c r="AD100" s="618">
        <f>MAX(AE$100:AE$123)</f>
        <v>1</v>
      </c>
      <c r="AE100" s="618">
        <f>IF(V100=0,0,1)</f>
        <v>1</v>
      </c>
      <c r="AF100" s="571">
        <f>SUM(V100:V123)/($B$97)</f>
        <v>135</v>
      </c>
      <c r="AG100" s="619">
        <f>+AF100+$AA$79</f>
        <v>134.99888737018705</v>
      </c>
      <c r="AH100" s="620">
        <f>C100</f>
        <v>0</v>
      </c>
      <c r="AI100" s="619">
        <f t="shared" ref="AI100:AI109" si="43">IF(B100&lt;($B$97+1),AH100)</f>
        <v>0</v>
      </c>
      <c r="AJ100" s="621">
        <f>58.15095-AH100</f>
        <v>58.150950000000002</v>
      </c>
      <c r="AK100" s="622">
        <f t="shared" ref="AK100:AK123" si="44">SIN(AJ100*3.14159265358979/180)</f>
        <v>0.84944126318315416</v>
      </c>
      <c r="AL100" s="623">
        <f>+AK100*233.0944</f>
        <v>198.0000015769194</v>
      </c>
      <c r="AM100" s="624">
        <f>38.36112115+AH100</f>
        <v>38.361121150000002</v>
      </c>
      <c r="AN100" s="625">
        <f>SIN(AM100*3.14159265358979/180)</f>
        <v>0.62061585119404539</v>
      </c>
      <c r="AO100" s="626">
        <f>+AN100*217.5259</f>
        <v>135.00002158525081</v>
      </c>
      <c r="AP100" s="627">
        <f>+((AF100*AQ100)+($AQ$135*($AF$135+$AA$100)))/AR100</f>
        <v>124.69023853244974</v>
      </c>
      <c r="AQ100" s="628">
        <f>67*B97</f>
        <v>67</v>
      </c>
      <c r="AR100" s="627">
        <f>+AQ100+$AQ$135+10</f>
        <v>102.5</v>
      </c>
      <c r="AS100" s="628">
        <f>+AO100+AL100</f>
        <v>333.00002316217024</v>
      </c>
      <c r="AT100" s="581">
        <f>+V100-AO100</f>
        <v>-2.1585250806310796E-5</v>
      </c>
      <c r="AU100" s="582">
        <f>+AP100-AT100</f>
        <v>124.69026011770055</v>
      </c>
      <c r="AV100" s="581"/>
      <c r="AW100" s="583">
        <f>+((AS100-AU100)/AS100)*AR100</f>
        <v>64.119367047791144</v>
      </c>
      <c r="AX100" s="583">
        <f>+(AU100/AS100)*AR100</f>
        <v>38.380632952208863</v>
      </c>
      <c r="AY100" s="614">
        <f t="shared" ref="AY100:AY123" si="45">2*$D$31/AW100</f>
        <v>155.9591190684483</v>
      </c>
      <c r="AZ100" s="614">
        <f t="shared" ref="AZ100:AZ123" si="46">$E$30/AX100</f>
        <v>240.74642050602827</v>
      </c>
      <c r="BA100" s="629">
        <f>ABS(AY100)</f>
        <v>155.9591190684483</v>
      </c>
      <c r="BB100" s="629">
        <f>ABS(AZ100)</f>
        <v>240.74642050602827</v>
      </c>
      <c r="BC100" s="586" t="s">
        <v>56</v>
      </c>
      <c r="BD100" s="630"/>
      <c r="BE100" s="646">
        <v>-5</v>
      </c>
      <c r="BF100" s="945">
        <v>-215</v>
      </c>
      <c r="BG100" s="1395">
        <f>+COS(($B$73*-1)*3.14159265358979/180)*BF100</f>
        <v>-215</v>
      </c>
      <c r="BH100" s="946">
        <f>+BG100-$E$12</f>
        <v>-389.96852591663395</v>
      </c>
      <c r="BI100" s="618">
        <f t="shared" ref="BI100:BI123" si="47">ABS(BH100)</f>
        <v>389.96852591663395</v>
      </c>
      <c r="BJ100" s="618">
        <f>MIN(BI100:BI123)</f>
        <v>2.9685259166339506</v>
      </c>
      <c r="BK100" s="618" t="b">
        <f t="shared" ref="BK100:BK123" si="48">IF(BJ100=BI100,BE100)</f>
        <v>0</v>
      </c>
      <c r="BL100" s="524"/>
      <c r="BM100" s="524"/>
      <c r="BN100" s="524"/>
    </row>
    <row r="101" spans="1:66" ht="21" customHeight="1" thickBot="1" x14ac:dyDescent="0.35">
      <c r="B101" s="631">
        <v>2</v>
      </c>
      <c r="C101" s="612"/>
      <c r="D101" s="1907">
        <v>0</v>
      </c>
      <c r="E101" s="632" t="s">
        <v>147</v>
      </c>
      <c r="F101" s="584" t="e">
        <f>IF(G101=8.3,8,G101)</f>
        <v>#DIV/0!</v>
      </c>
      <c r="G101" s="584" t="e">
        <f>+D101+BC101</f>
        <v>#DIV/0!</v>
      </c>
      <c r="H101" s="633">
        <v>217.52600000000001</v>
      </c>
      <c r="I101" s="634">
        <v>103.27776</v>
      </c>
      <c r="J101" s="586">
        <f t="shared" ref="J101:J123" si="49">+I101-D101</f>
        <v>103.27776</v>
      </c>
      <c r="K101" s="586">
        <f t="shared" si="35"/>
        <v>51.63888</v>
      </c>
      <c r="L101" s="586">
        <f t="shared" si="36"/>
        <v>0.78411477781089656</v>
      </c>
      <c r="M101" s="586">
        <f t="shared" si="37"/>
        <v>170.56535115809308</v>
      </c>
      <c r="N101" s="586">
        <f t="shared" si="38"/>
        <v>341.13070231618616</v>
      </c>
      <c r="O101" s="586">
        <f>+C100+(D101/2)</f>
        <v>0</v>
      </c>
      <c r="P101" s="586">
        <f t="shared" si="39"/>
        <v>0</v>
      </c>
      <c r="Q101" s="586">
        <f t="shared" si="40"/>
        <v>0</v>
      </c>
      <c r="R101" s="586">
        <f t="shared" ref="R101:R123" si="50">+T100</f>
        <v>135</v>
      </c>
      <c r="S101" s="586">
        <f>+R101+Q101</f>
        <v>135</v>
      </c>
      <c r="T101" s="617">
        <f t="shared" si="41"/>
        <v>135</v>
      </c>
      <c r="V101" s="571">
        <f t="shared" si="42"/>
        <v>0</v>
      </c>
      <c r="W101" s="571"/>
      <c r="X101" s="571"/>
      <c r="Y101" s="571"/>
      <c r="Z101" s="571"/>
      <c r="AA101" s="571"/>
      <c r="AB101" s="635" t="e">
        <f t="shared" ref="AB101:AB123" si="51">IF(AZ101&lt;0,"pin in groundstacking hole"," ")</f>
        <v>#DIV/0!</v>
      </c>
      <c r="AC101" s="618" t="b">
        <f>IF(AD101=2,AF101)</f>
        <v>0</v>
      </c>
      <c r="AD101" s="618">
        <f t="shared" ref="AD101:AD123" si="52">MAX(AE$100:AE$123)</f>
        <v>1</v>
      </c>
      <c r="AE101" s="618">
        <f>IF(V101=0,0,2)</f>
        <v>0</v>
      </c>
      <c r="AF101" s="571" t="e">
        <f>SUM(V101:V123)/($B$97-B100)</f>
        <v>#DIV/0!</v>
      </c>
      <c r="AG101" s="571"/>
      <c r="AH101" s="620">
        <f>SUM(D101)+$C$100</f>
        <v>0</v>
      </c>
      <c r="AI101" s="619" t="b">
        <f t="shared" si="43"/>
        <v>0</v>
      </c>
      <c r="AJ101" s="572">
        <f>58.15095-AH101</f>
        <v>58.150950000000002</v>
      </c>
      <c r="AK101" s="574">
        <f t="shared" si="44"/>
        <v>0.84944126318315416</v>
      </c>
      <c r="AL101" s="575">
        <f>+AK101*233.0944</f>
        <v>198.0000015769194</v>
      </c>
      <c r="AM101" s="576">
        <f t="shared" ref="AM101:AM123" si="53">38.36112115+AH101</f>
        <v>38.361121150000002</v>
      </c>
      <c r="AN101" s="577">
        <f t="shared" ref="AN101:AN123" si="54">SIN(AM101*3.14159265358979/180)</f>
        <v>0.62061585119404539</v>
      </c>
      <c r="AO101" s="578">
        <f>+AN101*217.5259</f>
        <v>135.00002158525081</v>
      </c>
      <c r="AP101" s="627" t="e">
        <f t="shared" ref="AP101:AP123" si="55">+((AF101*AQ101)+($AQ$135*($AF$135+$AA$100)))/AR101</f>
        <v>#DIV/0!</v>
      </c>
      <c r="AQ101" s="580">
        <f>67*($B$97-B100)</f>
        <v>0</v>
      </c>
      <c r="AR101" s="579">
        <f t="shared" ref="AR101:AR123" si="56">+AQ101+$AQ$135+10</f>
        <v>35.5</v>
      </c>
      <c r="AS101" s="580">
        <f t="shared" ref="AS101:AS123" si="57">+AO101+AL101</f>
        <v>333.00002316217024</v>
      </c>
      <c r="AT101" s="581">
        <f>+V101-AO101</f>
        <v>-135.00002158525081</v>
      </c>
      <c r="AU101" s="582" t="e">
        <f t="shared" ref="AU101:AU123" si="58">+AP101-AT101</f>
        <v>#DIV/0!</v>
      </c>
      <c r="AV101" s="581"/>
      <c r="AW101" s="583" t="e">
        <f t="shared" ref="AW101:AW123" si="59">+((AS101-AU101)/AS101)*AR101</f>
        <v>#DIV/0!</v>
      </c>
      <c r="AX101" s="583" t="e">
        <f t="shared" ref="AX101:AX123" si="60">+(AU101/AS101)*AR101</f>
        <v>#DIV/0!</v>
      </c>
      <c r="AY101" s="584" t="e">
        <f t="shared" si="45"/>
        <v>#DIV/0!</v>
      </c>
      <c r="AZ101" s="584" t="e">
        <f t="shared" si="46"/>
        <v>#DIV/0!</v>
      </c>
      <c r="BA101" s="585" t="e">
        <f t="shared" ref="BA101:BB123" si="61">ABS(AY101)</f>
        <v>#DIV/0!</v>
      </c>
      <c r="BB101" s="585" t="e">
        <f t="shared" si="61"/>
        <v>#DIV/0!</v>
      </c>
      <c r="BC101" s="474" t="e">
        <f t="shared" ref="BC101:BC123" si="62">IF(AZ101&lt;0,0.3,0)</f>
        <v>#DIV/0!</v>
      </c>
      <c r="BE101" s="646">
        <v>-4</v>
      </c>
      <c r="BF101" s="945">
        <f>+BF100+43</f>
        <v>-172</v>
      </c>
      <c r="BG101" s="1395">
        <f>+BG100+$F$11</f>
        <v>-172</v>
      </c>
      <c r="BH101" s="946">
        <f t="shared" ref="BH101:BH123" si="63">+BG101-$E$12</f>
        <v>-346.96852591663395</v>
      </c>
      <c r="BI101" s="618">
        <f t="shared" si="47"/>
        <v>346.96852591663395</v>
      </c>
      <c r="BJ101" s="618">
        <f>+BJ100</f>
        <v>2.9685259166339506</v>
      </c>
      <c r="BK101" s="618" t="b">
        <f t="shared" si="48"/>
        <v>0</v>
      </c>
      <c r="BL101" s="524"/>
      <c r="BM101" s="524"/>
      <c r="BN101" s="524"/>
    </row>
    <row r="102" spans="1:66" ht="21" customHeight="1" thickBot="1" x14ac:dyDescent="0.35">
      <c r="B102" s="631">
        <v>3</v>
      </c>
      <c r="C102" s="612"/>
      <c r="D102" s="1907">
        <v>0</v>
      </c>
      <c r="E102" s="632" t="s">
        <v>147</v>
      </c>
      <c r="F102" s="584">
        <f t="shared" ref="F102:F123" si="64">IF(G102=8.3,8,G102)</f>
        <v>0.3</v>
      </c>
      <c r="G102" s="584">
        <f t="shared" ref="G102:G123" si="65">+D102+BC102</f>
        <v>0.3</v>
      </c>
      <c r="H102" s="633">
        <v>217.52600000000001</v>
      </c>
      <c r="I102" s="634">
        <v>103.27776</v>
      </c>
      <c r="J102" s="586">
        <f t="shared" si="49"/>
        <v>103.27776</v>
      </c>
      <c r="K102" s="586">
        <f t="shared" si="35"/>
        <v>51.63888</v>
      </c>
      <c r="L102" s="586">
        <f t="shared" si="36"/>
        <v>0.78411477781089656</v>
      </c>
      <c r="M102" s="586">
        <f t="shared" si="37"/>
        <v>170.56535115809308</v>
      </c>
      <c r="N102" s="586">
        <f t="shared" si="38"/>
        <v>341.13070231618616</v>
      </c>
      <c r="O102" s="586">
        <f>+C100+D101+(D102/2)</f>
        <v>0</v>
      </c>
      <c r="P102" s="586">
        <f t="shared" si="39"/>
        <v>0</v>
      </c>
      <c r="Q102" s="586">
        <f t="shared" si="40"/>
        <v>0</v>
      </c>
      <c r="R102" s="586">
        <f t="shared" si="50"/>
        <v>135</v>
      </c>
      <c r="S102" s="586">
        <f t="shared" ref="S102:S123" si="66">+S101+Q102</f>
        <v>135</v>
      </c>
      <c r="T102" s="617">
        <f t="shared" si="41"/>
        <v>135</v>
      </c>
      <c r="V102" s="571">
        <f t="shared" si="42"/>
        <v>0</v>
      </c>
      <c r="W102" s="571"/>
      <c r="X102" s="571"/>
      <c r="Y102" s="571"/>
      <c r="Z102" s="571"/>
      <c r="AA102" s="571"/>
      <c r="AB102" s="635" t="str">
        <f t="shared" si="51"/>
        <v>pin in groundstacking hole</v>
      </c>
      <c r="AC102" s="618" t="b">
        <f>IF(AD102=3,AF102)</f>
        <v>0</v>
      </c>
      <c r="AD102" s="618">
        <f t="shared" si="52"/>
        <v>1</v>
      </c>
      <c r="AE102" s="618">
        <f>IF(V102=0,0,3)</f>
        <v>0</v>
      </c>
      <c r="AF102" s="571">
        <f>SUM(V102:V123)/($B$97-B101)</f>
        <v>0</v>
      </c>
      <c r="AG102" s="571"/>
      <c r="AH102" s="620">
        <f>SUM(D101:D102)+$C$100</f>
        <v>0</v>
      </c>
      <c r="AI102" s="619" t="b">
        <f t="shared" si="43"/>
        <v>0</v>
      </c>
      <c r="AJ102" s="572">
        <f t="shared" ref="AJ102:AJ123" si="67">58.15095-AH102</f>
        <v>58.150950000000002</v>
      </c>
      <c r="AK102" s="574">
        <f t="shared" si="44"/>
        <v>0.84944126318315416</v>
      </c>
      <c r="AL102" s="575">
        <f t="shared" ref="AL102:AL123" si="68">+AK102*233.0944</f>
        <v>198.0000015769194</v>
      </c>
      <c r="AM102" s="576">
        <f t="shared" si="53"/>
        <v>38.361121150000002</v>
      </c>
      <c r="AN102" s="577">
        <f t="shared" si="54"/>
        <v>0.62061585119404539</v>
      </c>
      <c r="AO102" s="578">
        <f t="shared" ref="AO102:AO123" si="69">+AN102*217.5259</f>
        <v>135.00002158525081</v>
      </c>
      <c r="AP102" s="627">
        <f t="shared" si="55"/>
        <v>-118.59522062146343</v>
      </c>
      <c r="AQ102" s="580">
        <f t="shared" ref="AQ102:AQ123" si="70">67*($B$97-B101)</f>
        <v>-67</v>
      </c>
      <c r="AR102" s="579">
        <f t="shared" si="56"/>
        <v>-31.5</v>
      </c>
      <c r="AS102" s="580">
        <f t="shared" si="57"/>
        <v>333.00002316217024</v>
      </c>
      <c r="AT102" s="581">
        <f>+V102-AO102</f>
        <v>-135.00002158525081</v>
      </c>
      <c r="AU102" s="582">
        <f t="shared" si="58"/>
        <v>16.40480096378738</v>
      </c>
      <c r="AV102" s="581"/>
      <c r="AW102" s="583">
        <f t="shared" si="59"/>
        <v>-29.948194611363</v>
      </c>
      <c r="AX102" s="583">
        <f t="shared" si="60"/>
        <v>-1.5518053886370027</v>
      </c>
      <c r="AY102" s="584">
        <f t="shared" si="45"/>
        <v>-333.90994448145403</v>
      </c>
      <c r="AZ102" s="584">
        <f t="shared" si="46"/>
        <v>-5954.3548873198397</v>
      </c>
      <c r="BA102" s="585">
        <f t="shared" si="61"/>
        <v>333.90994448145403</v>
      </c>
      <c r="BB102" s="585">
        <f t="shared" si="61"/>
        <v>5954.3548873198397</v>
      </c>
      <c r="BC102" s="474">
        <f t="shared" si="62"/>
        <v>0.3</v>
      </c>
      <c r="BE102" s="646">
        <v>-3</v>
      </c>
      <c r="BF102" s="945">
        <f t="shared" ref="BF102:BF123" si="71">+BF101+43</f>
        <v>-129</v>
      </c>
      <c r="BG102" s="1395">
        <f t="shared" ref="BG102:BG123" si="72">+BG101+$F$11</f>
        <v>-129</v>
      </c>
      <c r="BH102" s="946">
        <f t="shared" si="63"/>
        <v>-303.96852591663395</v>
      </c>
      <c r="BI102" s="618">
        <f t="shared" si="47"/>
        <v>303.96852591663395</v>
      </c>
      <c r="BJ102" s="618">
        <f t="shared" ref="BJ102:BJ123" si="73">+BJ101</f>
        <v>2.9685259166339506</v>
      </c>
      <c r="BK102" s="618" t="b">
        <f t="shared" si="48"/>
        <v>0</v>
      </c>
      <c r="BL102" s="524"/>
      <c r="BM102" s="524"/>
      <c r="BN102" s="524"/>
    </row>
    <row r="103" spans="1:66" ht="21" customHeight="1" thickBot="1" x14ac:dyDescent="0.35">
      <c r="B103" s="631">
        <v>4</v>
      </c>
      <c r="C103" s="612"/>
      <c r="D103" s="1907">
        <v>0</v>
      </c>
      <c r="E103" s="632" t="s">
        <v>147</v>
      </c>
      <c r="F103" s="584">
        <f t="shared" si="64"/>
        <v>0.3</v>
      </c>
      <c r="G103" s="584">
        <f t="shared" si="65"/>
        <v>0.3</v>
      </c>
      <c r="H103" s="633">
        <v>217.52600000000001</v>
      </c>
      <c r="I103" s="634">
        <v>103.27776</v>
      </c>
      <c r="J103" s="586">
        <f t="shared" si="49"/>
        <v>103.27776</v>
      </c>
      <c r="K103" s="586">
        <f t="shared" si="35"/>
        <v>51.63888</v>
      </c>
      <c r="L103" s="586">
        <f t="shared" si="36"/>
        <v>0.78411477781089656</v>
      </c>
      <c r="M103" s="586">
        <f t="shared" si="37"/>
        <v>170.56535115809308</v>
      </c>
      <c r="N103" s="586">
        <f t="shared" si="38"/>
        <v>341.13070231618616</v>
      </c>
      <c r="O103" s="586">
        <f>+C100+D101+D102+(D103/2)</f>
        <v>0</v>
      </c>
      <c r="P103" s="586">
        <f t="shared" si="39"/>
        <v>0</v>
      </c>
      <c r="Q103" s="586">
        <f t="shared" si="40"/>
        <v>0</v>
      </c>
      <c r="R103" s="586">
        <f t="shared" si="50"/>
        <v>135</v>
      </c>
      <c r="S103" s="586">
        <f t="shared" si="66"/>
        <v>135</v>
      </c>
      <c r="T103" s="617">
        <f t="shared" si="41"/>
        <v>135</v>
      </c>
      <c r="V103" s="571">
        <f t="shared" si="42"/>
        <v>0</v>
      </c>
      <c r="W103" s="571"/>
      <c r="X103" s="571"/>
      <c r="Y103" s="571"/>
      <c r="Z103" s="571"/>
      <c r="AA103" s="571"/>
      <c r="AB103" s="635" t="str">
        <f t="shared" si="51"/>
        <v>pin in groundstacking hole</v>
      </c>
      <c r="AC103" s="618" t="b">
        <f>IF(AD103=4,AF103)</f>
        <v>0</v>
      </c>
      <c r="AD103" s="618">
        <f t="shared" si="52"/>
        <v>1</v>
      </c>
      <c r="AE103" s="618">
        <f>IF(V103=0,0,4)</f>
        <v>0</v>
      </c>
      <c r="AF103" s="571">
        <f>SUM(V103:V123)/($B$97-B102)</f>
        <v>0</v>
      </c>
      <c r="AG103" s="571"/>
      <c r="AH103" s="620">
        <f>SUM(D101:D103)+$C$100</f>
        <v>0</v>
      </c>
      <c r="AI103" s="619" t="b">
        <f t="shared" si="43"/>
        <v>0</v>
      </c>
      <c r="AJ103" s="572">
        <f t="shared" si="67"/>
        <v>58.150950000000002</v>
      </c>
      <c r="AK103" s="574">
        <f t="shared" si="44"/>
        <v>0.84944126318315416</v>
      </c>
      <c r="AL103" s="575">
        <f t="shared" si="68"/>
        <v>198.0000015769194</v>
      </c>
      <c r="AM103" s="576">
        <f t="shared" si="53"/>
        <v>38.361121150000002</v>
      </c>
      <c r="AN103" s="577">
        <f t="shared" si="54"/>
        <v>0.62061585119404539</v>
      </c>
      <c r="AO103" s="578">
        <f t="shared" si="69"/>
        <v>135.00002158525081</v>
      </c>
      <c r="AP103" s="627">
        <f t="shared" si="55"/>
        <v>-37.926390351026377</v>
      </c>
      <c r="AQ103" s="580">
        <f t="shared" si="70"/>
        <v>-134</v>
      </c>
      <c r="AR103" s="579">
        <f t="shared" si="56"/>
        <v>-98.5</v>
      </c>
      <c r="AS103" s="580">
        <f t="shared" si="57"/>
        <v>333.00002316217024</v>
      </c>
      <c r="AT103" s="581">
        <f>+V103-AO103</f>
        <v>-135.00002158525081</v>
      </c>
      <c r="AU103" s="582">
        <f t="shared" si="58"/>
        <v>97.073631234224422</v>
      </c>
      <c r="AV103" s="581"/>
      <c r="AW103" s="583">
        <f t="shared" si="59"/>
        <v>-69.786029995515776</v>
      </c>
      <c r="AX103" s="583">
        <f t="shared" si="60"/>
        <v>-28.713970004484217</v>
      </c>
      <c r="AY103" s="584">
        <f t="shared" si="45"/>
        <v>-143.2951552143397</v>
      </c>
      <c r="AZ103" s="584">
        <f t="shared" si="46"/>
        <v>-321.79458286530922</v>
      </c>
      <c r="BA103" s="585">
        <f t="shared" si="61"/>
        <v>143.2951552143397</v>
      </c>
      <c r="BB103" s="585">
        <f t="shared" si="61"/>
        <v>321.79458286530922</v>
      </c>
      <c r="BC103" s="474">
        <f t="shared" si="62"/>
        <v>0.3</v>
      </c>
      <c r="BE103" s="646">
        <v>-2</v>
      </c>
      <c r="BF103" s="945">
        <f t="shared" si="71"/>
        <v>-86</v>
      </c>
      <c r="BG103" s="1395">
        <f t="shared" si="72"/>
        <v>-86</v>
      </c>
      <c r="BH103" s="946">
        <f t="shared" si="63"/>
        <v>-260.96852591663395</v>
      </c>
      <c r="BI103" s="618">
        <f t="shared" si="47"/>
        <v>260.96852591663395</v>
      </c>
      <c r="BJ103" s="618">
        <f t="shared" si="73"/>
        <v>2.9685259166339506</v>
      </c>
      <c r="BK103" s="618" t="b">
        <f t="shared" si="48"/>
        <v>0</v>
      </c>
      <c r="BL103" s="524"/>
      <c r="BM103" s="524"/>
      <c r="BN103" s="524"/>
    </row>
    <row r="104" spans="1:66" ht="21" customHeight="1" thickBot="1" x14ac:dyDescent="0.35">
      <c r="B104" s="631">
        <v>5</v>
      </c>
      <c r="C104" s="612"/>
      <c r="D104" s="1907">
        <v>0</v>
      </c>
      <c r="E104" s="632" t="s">
        <v>147</v>
      </c>
      <c r="F104" s="584">
        <f t="shared" si="64"/>
        <v>0.3</v>
      </c>
      <c r="G104" s="584">
        <f>+D104+BC104</f>
        <v>0.3</v>
      </c>
      <c r="H104" s="633">
        <v>217.52600000000001</v>
      </c>
      <c r="I104" s="634">
        <v>103.27776</v>
      </c>
      <c r="J104" s="586">
        <f t="shared" si="49"/>
        <v>103.27776</v>
      </c>
      <c r="K104" s="586">
        <f t="shared" si="35"/>
        <v>51.63888</v>
      </c>
      <c r="L104" s="586">
        <f t="shared" si="36"/>
        <v>0.78411477781089656</v>
      </c>
      <c r="M104" s="586">
        <f t="shared" si="37"/>
        <v>170.56535115809308</v>
      </c>
      <c r="N104" s="586">
        <f t="shared" si="38"/>
        <v>341.13070231618616</v>
      </c>
      <c r="O104" s="586">
        <f>+C100+D101+D102+D103+(D104/2)</f>
        <v>0</v>
      </c>
      <c r="P104" s="586">
        <f t="shared" si="39"/>
        <v>0</v>
      </c>
      <c r="Q104" s="586">
        <f t="shared" si="40"/>
        <v>0</v>
      </c>
      <c r="R104" s="586">
        <f t="shared" si="50"/>
        <v>135</v>
      </c>
      <c r="S104" s="586">
        <f t="shared" si="66"/>
        <v>135</v>
      </c>
      <c r="T104" s="617">
        <f t="shared" si="41"/>
        <v>135</v>
      </c>
      <c r="V104" s="571">
        <f t="shared" si="42"/>
        <v>0</v>
      </c>
      <c r="W104" s="571"/>
      <c r="X104" s="571"/>
      <c r="Y104" s="571"/>
      <c r="Z104" s="571"/>
      <c r="AA104" s="571"/>
      <c r="AB104" s="635" t="str">
        <f t="shared" si="51"/>
        <v>pin in groundstacking hole</v>
      </c>
      <c r="AC104" s="618" t="b">
        <f>IF(AD104=5,AF104)</f>
        <v>0</v>
      </c>
      <c r="AD104" s="618">
        <f t="shared" si="52"/>
        <v>1</v>
      </c>
      <c r="AE104" s="618">
        <f>IF(V104=0,0,5)</f>
        <v>0</v>
      </c>
      <c r="AF104" s="571">
        <f>SUM(V104:V123)/($B$97-B103)</f>
        <v>0</v>
      </c>
      <c r="AG104" s="571"/>
      <c r="AH104" s="620">
        <f>SUM(D101:D104)+$C$100</f>
        <v>0</v>
      </c>
      <c r="AI104" s="619" t="b">
        <f t="shared" si="43"/>
        <v>0</v>
      </c>
      <c r="AJ104" s="572">
        <f t="shared" si="67"/>
        <v>58.150950000000002</v>
      </c>
      <c r="AK104" s="574">
        <f t="shared" si="44"/>
        <v>0.84944126318315416</v>
      </c>
      <c r="AL104" s="575">
        <f t="shared" si="68"/>
        <v>198.0000015769194</v>
      </c>
      <c r="AM104" s="576">
        <f t="shared" si="53"/>
        <v>38.361121150000002</v>
      </c>
      <c r="AN104" s="577">
        <f t="shared" si="54"/>
        <v>0.62061585119404539</v>
      </c>
      <c r="AO104" s="578">
        <f t="shared" si="69"/>
        <v>135.00002158525081</v>
      </c>
      <c r="AP104" s="627">
        <f t="shared" si="55"/>
        <v>-22.572504227045908</v>
      </c>
      <c r="AQ104" s="580">
        <f t="shared" si="70"/>
        <v>-201</v>
      </c>
      <c r="AR104" s="579">
        <f t="shared" si="56"/>
        <v>-165.5</v>
      </c>
      <c r="AS104" s="580">
        <f t="shared" si="57"/>
        <v>333.00002316217024</v>
      </c>
      <c r="AT104" s="581">
        <f t="shared" ref="AT104:AT123" si="74">+V104-AO104</f>
        <v>-135.00002158525081</v>
      </c>
      <c r="AU104" s="582">
        <f t="shared" si="58"/>
        <v>112.4275173582049</v>
      </c>
      <c r="AV104" s="581"/>
      <c r="AW104" s="583">
        <f t="shared" si="59"/>
        <v>-109.62386537966854</v>
      </c>
      <c r="AX104" s="583">
        <f t="shared" si="60"/>
        <v>-55.876134620331428</v>
      </c>
      <c r="AY104" s="584">
        <f t="shared" si="45"/>
        <v>-91.221012553847203</v>
      </c>
      <c r="AZ104" s="584">
        <f t="shared" si="46"/>
        <v>-165.36576953263116</v>
      </c>
      <c r="BA104" s="585">
        <f t="shared" si="61"/>
        <v>91.221012553847203</v>
      </c>
      <c r="BB104" s="585">
        <f t="shared" si="61"/>
        <v>165.36576953263116</v>
      </c>
      <c r="BC104" s="474">
        <f t="shared" si="62"/>
        <v>0.3</v>
      </c>
      <c r="BD104" s="478"/>
      <c r="BE104" s="646">
        <v>-1</v>
      </c>
      <c r="BF104" s="945">
        <f t="shared" si="71"/>
        <v>-43</v>
      </c>
      <c r="BG104" s="1395">
        <f t="shared" si="72"/>
        <v>-43</v>
      </c>
      <c r="BH104" s="946">
        <f t="shared" si="63"/>
        <v>-217.96852591663395</v>
      </c>
      <c r="BI104" s="618">
        <f t="shared" si="47"/>
        <v>217.96852591663395</v>
      </c>
      <c r="BJ104" s="618">
        <f t="shared" si="73"/>
        <v>2.9685259166339506</v>
      </c>
      <c r="BK104" s="618" t="b">
        <f t="shared" si="48"/>
        <v>0</v>
      </c>
      <c r="BL104" s="524"/>
      <c r="BM104" s="524"/>
      <c r="BN104" s="524"/>
    </row>
    <row r="105" spans="1:66" ht="21" customHeight="1" thickBot="1" x14ac:dyDescent="0.35">
      <c r="B105" s="631">
        <v>6</v>
      </c>
      <c r="C105" s="612"/>
      <c r="D105" s="1907">
        <v>0</v>
      </c>
      <c r="E105" s="632" t="s">
        <v>147</v>
      </c>
      <c r="F105" s="584">
        <f t="shared" si="64"/>
        <v>0.3</v>
      </c>
      <c r="G105" s="584">
        <f t="shared" si="65"/>
        <v>0.3</v>
      </c>
      <c r="H105" s="633">
        <v>217.52600000000001</v>
      </c>
      <c r="I105" s="634">
        <v>103.27776</v>
      </c>
      <c r="J105" s="586">
        <f t="shared" si="49"/>
        <v>103.27776</v>
      </c>
      <c r="K105" s="586">
        <f t="shared" si="35"/>
        <v>51.63888</v>
      </c>
      <c r="L105" s="586">
        <f t="shared" si="36"/>
        <v>0.78411477781089656</v>
      </c>
      <c r="M105" s="586">
        <f t="shared" si="37"/>
        <v>170.56535115809308</v>
      </c>
      <c r="N105" s="586">
        <f t="shared" si="38"/>
        <v>341.13070231618616</v>
      </c>
      <c r="O105" s="586">
        <f>+C100+D101+D102+D103+D104+(D105/2)</f>
        <v>0</v>
      </c>
      <c r="P105" s="586">
        <f t="shared" si="39"/>
        <v>0</v>
      </c>
      <c r="Q105" s="586">
        <f t="shared" si="40"/>
        <v>0</v>
      </c>
      <c r="R105" s="586">
        <f t="shared" si="50"/>
        <v>135</v>
      </c>
      <c r="S105" s="586">
        <f t="shared" si="66"/>
        <v>135</v>
      </c>
      <c r="T105" s="617">
        <f t="shared" si="41"/>
        <v>135</v>
      </c>
      <c r="V105" s="571">
        <f t="shared" si="42"/>
        <v>0</v>
      </c>
      <c r="W105" s="571"/>
      <c r="X105" s="571"/>
      <c r="Y105" s="571"/>
      <c r="Z105" s="571"/>
      <c r="AA105" s="571"/>
      <c r="AB105" s="635" t="str">
        <f t="shared" si="51"/>
        <v>pin in groundstacking hole</v>
      </c>
      <c r="AC105" s="618" t="b">
        <f>IF(AD105=6,AF105)</f>
        <v>0</v>
      </c>
      <c r="AD105" s="618">
        <f t="shared" si="52"/>
        <v>1</v>
      </c>
      <c r="AE105" s="618">
        <f>IF(V105=0,0,6)</f>
        <v>0</v>
      </c>
      <c r="AF105" s="571">
        <f>SUM(V105:V123)/($B$97-B104)</f>
        <v>0</v>
      </c>
      <c r="AG105" s="571"/>
      <c r="AH105" s="620">
        <f>SUM(D101:D105)+$C$100</f>
        <v>0</v>
      </c>
      <c r="AI105" s="619" t="b">
        <f t="shared" si="43"/>
        <v>0</v>
      </c>
      <c r="AJ105" s="572">
        <f t="shared" si="67"/>
        <v>58.150950000000002</v>
      </c>
      <c r="AK105" s="574">
        <f t="shared" si="44"/>
        <v>0.84944126318315416</v>
      </c>
      <c r="AL105" s="575">
        <f t="shared" si="68"/>
        <v>198.0000015769194</v>
      </c>
      <c r="AM105" s="576">
        <f t="shared" si="53"/>
        <v>38.361121150000002</v>
      </c>
      <c r="AN105" s="577">
        <f t="shared" si="54"/>
        <v>0.62061585119404539</v>
      </c>
      <c r="AO105" s="578">
        <f t="shared" si="69"/>
        <v>135.00002158525081</v>
      </c>
      <c r="AP105" s="627">
        <f t="shared" si="55"/>
        <v>-16.067739568069239</v>
      </c>
      <c r="AQ105" s="580">
        <f t="shared" si="70"/>
        <v>-268</v>
      </c>
      <c r="AR105" s="579">
        <f t="shared" si="56"/>
        <v>-232.5</v>
      </c>
      <c r="AS105" s="580">
        <f t="shared" si="57"/>
        <v>333.00002316217024</v>
      </c>
      <c r="AT105" s="581">
        <f t="shared" si="74"/>
        <v>-135.00002158525081</v>
      </c>
      <c r="AU105" s="582">
        <f t="shared" si="58"/>
        <v>118.93228201718156</v>
      </c>
      <c r="AV105" s="581"/>
      <c r="AW105" s="583">
        <f t="shared" si="59"/>
        <v>-149.46170076382134</v>
      </c>
      <c r="AX105" s="583">
        <f t="shared" si="60"/>
        <v>-83.038299236178645</v>
      </c>
      <c r="AY105" s="584">
        <f t="shared" si="45"/>
        <v>-66.906772429961521</v>
      </c>
      <c r="AZ105" s="584">
        <f t="shared" si="46"/>
        <v>-111.27395533137629</v>
      </c>
      <c r="BA105" s="585">
        <f t="shared" si="61"/>
        <v>66.906772429961521</v>
      </c>
      <c r="BB105" s="585">
        <f t="shared" si="61"/>
        <v>111.27395533137629</v>
      </c>
      <c r="BC105" s="474">
        <f t="shared" si="62"/>
        <v>0.3</v>
      </c>
      <c r="BD105" s="478"/>
      <c r="BE105" s="646">
        <v>1</v>
      </c>
      <c r="BF105" s="945">
        <f t="shared" si="71"/>
        <v>0</v>
      </c>
      <c r="BG105" s="1395">
        <f t="shared" si="72"/>
        <v>0</v>
      </c>
      <c r="BH105" s="946">
        <f t="shared" si="63"/>
        <v>-174.96852591663395</v>
      </c>
      <c r="BI105" s="618">
        <f t="shared" si="47"/>
        <v>174.96852591663395</v>
      </c>
      <c r="BJ105" s="618">
        <f t="shared" si="73"/>
        <v>2.9685259166339506</v>
      </c>
      <c r="BK105" s="618" t="b">
        <f t="shared" si="48"/>
        <v>0</v>
      </c>
      <c r="BL105" s="524"/>
      <c r="BM105" s="524"/>
      <c r="BN105" s="524"/>
    </row>
    <row r="106" spans="1:66" ht="21" customHeight="1" thickBot="1" x14ac:dyDescent="0.35">
      <c r="B106" s="631">
        <v>7</v>
      </c>
      <c r="C106" s="612"/>
      <c r="D106" s="1907">
        <v>0</v>
      </c>
      <c r="E106" s="632" t="s">
        <v>147</v>
      </c>
      <c r="F106" s="584">
        <f t="shared" si="64"/>
        <v>0.3</v>
      </c>
      <c r="G106" s="584">
        <f t="shared" si="65"/>
        <v>0.3</v>
      </c>
      <c r="H106" s="633">
        <v>217.52600000000001</v>
      </c>
      <c r="I106" s="634">
        <v>103.27776</v>
      </c>
      <c r="J106" s="586">
        <f t="shared" si="49"/>
        <v>103.27776</v>
      </c>
      <c r="K106" s="586">
        <f t="shared" si="35"/>
        <v>51.63888</v>
      </c>
      <c r="L106" s="586">
        <f t="shared" si="36"/>
        <v>0.78411477781089656</v>
      </c>
      <c r="M106" s="586">
        <f t="shared" si="37"/>
        <v>170.56535115809308</v>
      </c>
      <c r="N106" s="586">
        <f t="shared" si="38"/>
        <v>341.13070231618616</v>
      </c>
      <c r="O106" s="586">
        <f>+C100+D101+D102+D103+D104+D105+(D106/2)</f>
        <v>0</v>
      </c>
      <c r="P106" s="586">
        <f t="shared" si="39"/>
        <v>0</v>
      </c>
      <c r="Q106" s="586">
        <f t="shared" si="40"/>
        <v>0</v>
      </c>
      <c r="R106" s="586">
        <f t="shared" si="50"/>
        <v>135</v>
      </c>
      <c r="S106" s="586">
        <f t="shared" si="66"/>
        <v>135</v>
      </c>
      <c r="T106" s="617">
        <f t="shared" si="41"/>
        <v>135</v>
      </c>
      <c r="V106" s="571">
        <f t="shared" si="42"/>
        <v>0</v>
      </c>
      <c r="W106" s="571"/>
      <c r="X106" s="571"/>
      <c r="Y106" s="571"/>
      <c r="Z106" s="571"/>
      <c r="AA106" s="571"/>
      <c r="AB106" s="635" t="str">
        <f t="shared" si="51"/>
        <v>pin in groundstacking hole</v>
      </c>
      <c r="AC106" s="618" t="b">
        <f>IF(AD106=7,AF106)</f>
        <v>0</v>
      </c>
      <c r="AD106" s="618">
        <f t="shared" si="52"/>
        <v>1</v>
      </c>
      <c r="AE106" s="618">
        <f>IF(V106=0,0,7)</f>
        <v>0</v>
      </c>
      <c r="AF106" s="571">
        <f>SUM(V106:V123)/($B$97-B105)</f>
        <v>0</v>
      </c>
      <c r="AG106" s="571"/>
      <c r="AH106" s="620">
        <f>SUM(D101:D106)+$C$100</f>
        <v>0</v>
      </c>
      <c r="AI106" s="619" t="b">
        <f t="shared" si="43"/>
        <v>0</v>
      </c>
      <c r="AJ106" s="572">
        <f t="shared" si="67"/>
        <v>58.150950000000002</v>
      </c>
      <c r="AK106" s="574">
        <f t="shared" si="44"/>
        <v>0.84944126318315416</v>
      </c>
      <c r="AL106" s="575">
        <f t="shared" si="68"/>
        <v>198.0000015769194</v>
      </c>
      <c r="AM106" s="576">
        <f t="shared" si="53"/>
        <v>38.361121150000002</v>
      </c>
      <c r="AN106" s="577">
        <f t="shared" si="54"/>
        <v>0.62061585119404539</v>
      </c>
      <c r="AO106" s="578">
        <f t="shared" si="69"/>
        <v>135.00002158525081</v>
      </c>
      <c r="AP106" s="627">
        <f t="shared" si="55"/>
        <v>-12.473286976881797</v>
      </c>
      <c r="AQ106" s="580">
        <f t="shared" si="70"/>
        <v>-335</v>
      </c>
      <c r="AR106" s="579">
        <f t="shared" si="56"/>
        <v>-299.5</v>
      </c>
      <c r="AS106" s="580">
        <f t="shared" si="57"/>
        <v>333.00002316217024</v>
      </c>
      <c r="AT106" s="581">
        <f t="shared" si="74"/>
        <v>-135.00002158525081</v>
      </c>
      <c r="AU106" s="582">
        <f t="shared" si="58"/>
        <v>122.52673460836901</v>
      </c>
      <c r="AV106" s="581"/>
      <c r="AW106" s="583">
        <f t="shared" si="59"/>
        <v>-189.29953614797415</v>
      </c>
      <c r="AX106" s="583">
        <f t="shared" si="60"/>
        <v>-110.20046385202586</v>
      </c>
      <c r="AY106" s="584">
        <f t="shared" si="45"/>
        <v>-52.826331239306725</v>
      </c>
      <c r="AZ106" s="584">
        <f t="shared" si="46"/>
        <v>-83.847196981014676</v>
      </c>
      <c r="BA106" s="585">
        <f t="shared" si="61"/>
        <v>52.826331239306725</v>
      </c>
      <c r="BB106" s="585">
        <f t="shared" si="61"/>
        <v>83.847196981014676</v>
      </c>
      <c r="BC106" s="474">
        <f t="shared" si="62"/>
        <v>0.3</v>
      </c>
      <c r="BE106" s="646">
        <v>2</v>
      </c>
      <c r="BF106" s="945">
        <f t="shared" si="71"/>
        <v>43</v>
      </c>
      <c r="BG106" s="1395">
        <f t="shared" si="72"/>
        <v>43</v>
      </c>
      <c r="BH106" s="946">
        <f t="shared" si="63"/>
        <v>-131.96852591663395</v>
      </c>
      <c r="BI106" s="618">
        <f t="shared" si="47"/>
        <v>131.96852591663395</v>
      </c>
      <c r="BJ106" s="618">
        <f t="shared" si="73"/>
        <v>2.9685259166339506</v>
      </c>
      <c r="BK106" s="618" t="b">
        <f t="shared" si="48"/>
        <v>0</v>
      </c>
      <c r="BL106" s="524"/>
      <c r="BM106" s="524"/>
      <c r="BN106" s="524"/>
    </row>
    <row r="107" spans="1:66" ht="21" customHeight="1" thickBot="1" x14ac:dyDescent="0.35">
      <c r="B107" s="631">
        <v>8</v>
      </c>
      <c r="C107" s="612"/>
      <c r="D107" s="1907">
        <v>0</v>
      </c>
      <c r="E107" s="632" t="s">
        <v>147</v>
      </c>
      <c r="F107" s="584">
        <f t="shared" si="64"/>
        <v>0.3</v>
      </c>
      <c r="G107" s="584">
        <f t="shared" si="65"/>
        <v>0.3</v>
      </c>
      <c r="H107" s="633">
        <v>217.52600000000001</v>
      </c>
      <c r="I107" s="634">
        <v>103.27776</v>
      </c>
      <c r="J107" s="586">
        <f t="shared" si="49"/>
        <v>103.27776</v>
      </c>
      <c r="K107" s="586">
        <f t="shared" si="35"/>
        <v>51.63888</v>
      </c>
      <c r="L107" s="586">
        <f t="shared" si="36"/>
        <v>0.78411477781089656</v>
      </c>
      <c r="M107" s="586">
        <f t="shared" si="37"/>
        <v>170.56535115809308</v>
      </c>
      <c r="N107" s="586">
        <f t="shared" si="38"/>
        <v>341.13070231618616</v>
      </c>
      <c r="O107" s="586">
        <f>+C100+D101+D102+D103+D104+D105+D106+(D107/2)</f>
        <v>0</v>
      </c>
      <c r="P107" s="586">
        <f t="shared" si="39"/>
        <v>0</v>
      </c>
      <c r="Q107" s="586">
        <f t="shared" si="40"/>
        <v>0</v>
      </c>
      <c r="R107" s="586">
        <f t="shared" si="50"/>
        <v>135</v>
      </c>
      <c r="S107" s="586">
        <f t="shared" si="66"/>
        <v>135</v>
      </c>
      <c r="T107" s="617">
        <f t="shared" si="41"/>
        <v>135</v>
      </c>
      <c r="V107" s="571">
        <f t="shared" si="42"/>
        <v>0</v>
      </c>
      <c r="W107" s="571"/>
      <c r="X107" s="571"/>
      <c r="Y107" s="571"/>
      <c r="Z107" s="571"/>
      <c r="AA107" s="571"/>
      <c r="AB107" s="635" t="str">
        <f t="shared" si="51"/>
        <v>pin in groundstacking hole</v>
      </c>
      <c r="AC107" s="618" t="b">
        <f>IF(AD107=8,AF107)</f>
        <v>0</v>
      </c>
      <c r="AD107" s="618">
        <f t="shared" si="52"/>
        <v>1</v>
      </c>
      <c r="AE107" s="618">
        <f>IF(V107=0,0,8)</f>
        <v>0</v>
      </c>
      <c r="AF107" s="571">
        <f>SUM(V107:V123)/($B$97-B106)</f>
        <v>0</v>
      </c>
      <c r="AG107" s="571"/>
      <c r="AH107" s="620">
        <f>SUM(D101:D107)+$C$100</f>
        <v>0</v>
      </c>
      <c r="AI107" s="619" t="b">
        <f t="shared" si="43"/>
        <v>0</v>
      </c>
      <c r="AJ107" s="572">
        <f t="shared" si="67"/>
        <v>58.150950000000002</v>
      </c>
      <c r="AK107" s="574">
        <f t="shared" si="44"/>
        <v>0.84944126318315416</v>
      </c>
      <c r="AL107" s="575">
        <f t="shared" si="68"/>
        <v>198.0000015769194</v>
      </c>
      <c r="AM107" s="576">
        <f t="shared" si="53"/>
        <v>38.361121150000002</v>
      </c>
      <c r="AN107" s="577">
        <f t="shared" si="54"/>
        <v>0.62061585119404539</v>
      </c>
      <c r="AO107" s="578">
        <f t="shared" si="69"/>
        <v>135.00002158525081</v>
      </c>
      <c r="AP107" s="627">
        <f t="shared" si="55"/>
        <v>-10.193040790112136</v>
      </c>
      <c r="AQ107" s="580">
        <f t="shared" si="70"/>
        <v>-402</v>
      </c>
      <c r="AR107" s="579">
        <f t="shared" si="56"/>
        <v>-366.5</v>
      </c>
      <c r="AS107" s="580">
        <f t="shared" si="57"/>
        <v>333.00002316217024</v>
      </c>
      <c r="AT107" s="581">
        <f t="shared" si="74"/>
        <v>-135.00002158525081</v>
      </c>
      <c r="AU107" s="582">
        <f t="shared" si="58"/>
        <v>124.80698079513867</v>
      </c>
      <c r="AV107" s="581"/>
      <c r="AW107" s="583">
        <f t="shared" si="59"/>
        <v>-229.13737153212693</v>
      </c>
      <c r="AX107" s="583">
        <f t="shared" si="60"/>
        <v>-137.36262846787309</v>
      </c>
      <c r="AY107" s="584">
        <f t="shared" si="45"/>
        <v>-43.641942530522215</v>
      </c>
      <c r="AZ107" s="584">
        <f t="shared" si="46"/>
        <v>-67.267204355812737</v>
      </c>
      <c r="BA107" s="585">
        <f t="shared" si="61"/>
        <v>43.641942530522215</v>
      </c>
      <c r="BB107" s="585">
        <f t="shared" si="61"/>
        <v>67.267204355812737</v>
      </c>
      <c r="BC107" s="474">
        <f t="shared" si="62"/>
        <v>0.3</v>
      </c>
      <c r="BE107" s="494">
        <v>3</v>
      </c>
      <c r="BF107" s="945">
        <f t="shared" si="71"/>
        <v>86</v>
      </c>
      <c r="BG107" s="1395">
        <f t="shared" si="72"/>
        <v>86</v>
      </c>
      <c r="BH107" s="946">
        <f t="shared" si="63"/>
        <v>-88.968525916633951</v>
      </c>
      <c r="BI107" s="618">
        <f t="shared" si="47"/>
        <v>88.968525916633951</v>
      </c>
      <c r="BJ107" s="618">
        <f t="shared" si="73"/>
        <v>2.9685259166339506</v>
      </c>
      <c r="BK107" s="618" t="b">
        <f t="shared" si="48"/>
        <v>0</v>
      </c>
      <c r="BL107" s="524"/>
      <c r="BM107" s="524"/>
      <c r="BN107" s="524"/>
    </row>
    <row r="108" spans="1:66" ht="21" customHeight="1" thickBot="1" x14ac:dyDescent="0.35">
      <c r="B108" s="631">
        <v>9</v>
      </c>
      <c r="C108" s="612"/>
      <c r="D108" s="1907">
        <v>0</v>
      </c>
      <c r="E108" s="632" t="s">
        <v>147</v>
      </c>
      <c r="F108" s="584">
        <f t="shared" si="64"/>
        <v>0.3</v>
      </c>
      <c r="G108" s="584">
        <f t="shared" si="65"/>
        <v>0.3</v>
      </c>
      <c r="H108" s="633">
        <v>217.52600000000001</v>
      </c>
      <c r="I108" s="634">
        <v>103.27776</v>
      </c>
      <c r="J108" s="586">
        <f t="shared" si="49"/>
        <v>103.27776</v>
      </c>
      <c r="K108" s="586">
        <f t="shared" si="35"/>
        <v>51.63888</v>
      </c>
      <c r="L108" s="586">
        <f t="shared" si="36"/>
        <v>0.78411477781089656</v>
      </c>
      <c r="M108" s="586">
        <f t="shared" si="37"/>
        <v>170.56535115809308</v>
      </c>
      <c r="N108" s="586">
        <f t="shared" si="38"/>
        <v>341.13070231618616</v>
      </c>
      <c r="O108" s="586">
        <f>+C100+D101+D102+D103+D104+D105+D106+D107+(D108/2)</f>
        <v>0</v>
      </c>
      <c r="P108" s="586">
        <f t="shared" si="39"/>
        <v>0</v>
      </c>
      <c r="Q108" s="586">
        <f t="shared" si="40"/>
        <v>0</v>
      </c>
      <c r="R108" s="586">
        <f t="shared" si="50"/>
        <v>135</v>
      </c>
      <c r="S108" s="586">
        <f t="shared" si="66"/>
        <v>135</v>
      </c>
      <c r="T108" s="617">
        <f t="shared" si="41"/>
        <v>135</v>
      </c>
      <c r="V108" s="571">
        <f t="shared" si="42"/>
        <v>0</v>
      </c>
      <c r="W108" s="571"/>
      <c r="X108" s="571"/>
      <c r="Y108" s="571"/>
      <c r="Z108" s="571"/>
      <c r="AA108" s="571"/>
      <c r="AB108" s="635" t="str">
        <f t="shared" si="51"/>
        <v>pin in groundstacking hole</v>
      </c>
      <c r="AC108" s="618" t="b">
        <f>IF(AD108=9,AF108)</f>
        <v>0</v>
      </c>
      <c r="AD108" s="618">
        <f t="shared" si="52"/>
        <v>1</v>
      </c>
      <c r="AE108" s="618">
        <f>IF(V108=0,0,9)</f>
        <v>0</v>
      </c>
      <c r="AF108" s="571">
        <f>SUM(V108:V123)/($B$97-B107)</f>
        <v>0</v>
      </c>
      <c r="AG108" s="571"/>
      <c r="AH108" s="620">
        <f>SUM(D101:D108)+$C$100</f>
        <v>0</v>
      </c>
      <c r="AI108" s="619" t="b">
        <f t="shared" si="43"/>
        <v>0</v>
      </c>
      <c r="AJ108" s="572">
        <f t="shared" si="67"/>
        <v>58.150950000000002</v>
      </c>
      <c r="AK108" s="574">
        <f t="shared" si="44"/>
        <v>0.84944126318315416</v>
      </c>
      <c r="AL108" s="575">
        <f t="shared" si="68"/>
        <v>198.0000015769194</v>
      </c>
      <c r="AM108" s="576">
        <f t="shared" si="53"/>
        <v>38.361121150000002</v>
      </c>
      <c r="AN108" s="577">
        <f t="shared" si="54"/>
        <v>0.62061585119404539</v>
      </c>
      <c r="AO108" s="578">
        <f t="shared" si="69"/>
        <v>135.00002158525081</v>
      </c>
      <c r="AP108" s="627">
        <f t="shared" si="55"/>
        <v>-8.6176457891028786</v>
      </c>
      <c r="AQ108" s="580">
        <f t="shared" si="70"/>
        <v>-469</v>
      </c>
      <c r="AR108" s="579">
        <f t="shared" si="56"/>
        <v>-433.5</v>
      </c>
      <c r="AS108" s="580">
        <f t="shared" si="57"/>
        <v>333.00002316217024</v>
      </c>
      <c r="AT108" s="581">
        <f t="shared" si="74"/>
        <v>-135.00002158525081</v>
      </c>
      <c r="AU108" s="582">
        <f t="shared" si="58"/>
        <v>126.38237579614793</v>
      </c>
      <c r="AV108" s="581"/>
      <c r="AW108" s="583">
        <f t="shared" si="59"/>
        <v>-268.97520691627972</v>
      </c>
      <c r="AX108" s="583">
        <f t="shared" si="60"/>
        <v>-164.52479308372031</v>
      </c>
      <c r="AY108" s="584">
        <f t="shared" si="45"/>
        <v>-37.178147810153241</v>
      </c>
      <c r="AZ108" s="584">
        <f t="shared" si="46"/>
        <v>-56.161748188907438</v>
      </c>
      <c r="BA108" s="585">
        <f t="shared" si="61"/>
        <v>37.178147810153241</v>
      </c>
      <c r="BB108" s="585">
        <f t="shared" si="61"/>
        <v>56.161748188907438</v>
      </c>
      <c r="BC108" s="474">
        <f t="shared" si="62"/>
        <v>0.3</v>
      </c>
      <c r="BE108" s="494">
        <v>4</v>
      </c>
      <c r="BF108" s="945">
        <f t="shared" si="71"/>
        <v>129</v>
      </c>
      <c r="BG108" s="1395">
        <f t="shared" si="72"/>
        <v>129</v>
      </c>
      <c r="BH108" s="946">
        <f t="shared" si="63"/>
        <v>-45.968525916633951</v>
      </c>
      <c r="BI108" s="618">
        <f t="shared" si="47"/>
        <v>45.968525916633951</v>
      </c>
      <c r="BJ108" s="618">
        <f t="shared" si="73"/>
        <v>2.9685259166339506</v>
      </c>
      <c r="BK108" s="618" t="b">
        <f t="shared" si="48"/>
        <v>0</v>
      </c>
      <c r="BL108" s="524"/>
      <c r="BM108" s="524"/>
      <c r="BN108" s="524"/>
    </row>
    <row r="109" spans="1:66" ht="21" customHeight="1" thickBot="1" x14ac:dyDescent="0.35">
      <c r="B109" s="631">
        <v>10</v>
      </c>
      <c r="C109" s="612"/>
      <c r="D109" s="1907">
        <v>0</v>
      </c>
      <c r="E109" s="632" t="s">
        <v>147</v>
      </c>
      <c r="F109" s="584">
        <f t="shared" si="64"/>
        <v>0.3</v>
      </c>
      <c r="G109" s="584">
        <f t="shared" si="65"/>
        <v>0.3</v>
      </c>
      <c r="H109" s="633">
        <v>217.52600000000001</v>
      </c>
      <c r="I109" s="634">
        <v>103.27776</v>
      </c>
      <c r="J109" s="586">
        <f t="shared" si="49"/>
        <v>103.27776</v>
      </c>
      <c r="K109" s="586">
        <f t="shared" si="35"/>
        <v>51.63888</v>
      </c>
      <c r="L109" s="586">
        <f t="shared" si="36"/>
        <v>0.78411477781089656</v>
      </c>
      <c r="M109" s="586">
        <f t="shared" si="37"/>
        <v>170.56535115809308</v>
      </c>
      <c r="N109" s="586">
        <f t="shared" si="38"/>
        <v>341.13070231618616</v>
      </c>
      <c r="O109" s="586">
        <f>+C100+D101+D102+D103+D104+D105+D106+D107+D108+(D109/2)</f>
        <v>0</v>
      </c>
      <c r="P109" s="586">
        <f t="shared" si="39"/>
        <v>0</v>
      </c>
      <c r="Q109" s="586">
        <f t="shared" si="40"/>
        <v>0</v>
      </c>
      <c r="R109" s="586">
        <f t="shared" si="50"/>
        <v>135</v>
      </c>
      <c r="S109" s="586">
        <f t="shared" si="66"/>
        <v>135</v>
      </c>
      <c r="T109" s="617">
        <f t="shared" si="41"/>
        <v>135</v>
      </c>
      <c r="V109" s="571">
        <f t="shared" si="42"/>
        <v>0</v>
      </c>
      <c r="W109" s="571"/>
      <c r="X109" s="571"/>
      <c r="Y109" s="571"/>
      <c r="Z109" s="571"/>
      <c r="AA109" s="571"/>
      <c r="AB109" s="635" t="str">
        <f t="shared" si="51"/>
        <v>pin in groundstacking hole</v>
      </c>
      <c r="AC109" s="618" t="b">
        <f>IF(AD109=10,AF109)</f>
        <v>0</v>
      </c>
      <c r="AD109" s="618">
        <f t="shared" si="52"/>
        <v>1</v>
      </c>
      <c r="AE109" s="618">
        <f>IF(V109=0,0,10)</f>
        <v>0</v>
      </c>
      <c r="AF109" s="571">
        <f>SUM(V109:V123)/($B$97-B108)</f>
        <v>0</v>
      </c>
      <c r="AG109" s="571"/>
      <c r="AH109" s="620">
        <f>SUM(D101:D109)+$C$100</f>
        <v>0</v>
      </c>
      <c r="AI109" s="619" t="b">
        <f t="shared" si="43"/>
        <v>0</v>
      </c>
      <c r="AJ109" s="572">
        <f t="shared" si="67"/>
        <v>58.150950000000002</v>
      </c>
      <c r="AK109" s="574">
        <f t="shared" si="44"/>
        <v>0.84944126318315416</v>
      </c>
      <c r="AL109" s="575">
        <f t="shared" si="68"/>
        <v>198.0000015769194</v>
      </c>
      <c r="AM109" s="576">
        <f t="shared" si="53"/>
        <v>38.361121150000002</v>
      </c>
      <c r="AN109" s="577">
        <f t="shared" si="54"/>
        <v>0.62061585119404539</v>
      </c>
      <c r="AO109" s="578">
        <f t="shared" si="69"/>
        <v>135.00002158525081</v>
      </c>
      <c r="AP109" s="627">
        <f t="shared" si="55"/>
        <v>-7.4640348642879077</v>
      </c>
      <c r="AQ109" s="580">
        <f t="shared" si="70"/>
        <v>-536</v>
      </c>
      <c r="AR109" s="579">
        <f t="shared" si="56"/>
        <v>-500.5</v>
      </c>
      <c r="AS109" s="580">
        <f t="shared" si="57"/>
        <v>333.00002316217024</v>
      </c>
      <c r="AT109" s="581">
        <f t="shared" si="74"/>
        <v>-135.00002158525081</v>
      </c>
      <c r="AU109" s="582">
        <f t="shared" si="58"/>
        <v>127.5359867209629</v>
      </c>
      <c r="AV109" s="581"/>
      <c r="AW109" s="583">
        <f t="shared" si="59"/>
        <v>-308.81304230043247</v>
      </c>
      <c r="AX109" s="583">
        <f t="shared" si="60"/>
        <v>-191.68695769956753</v>
      </c>
      <c r="AY109" s="584">
        <f t="shared" si="45"/>
        <v>-32.382052019264719</v>
      </c>
      <c r="AZ109" s="584">
        <f t="shared" si="46"/>
        <v>-48.203592518182298</v>
      </c>
      <c r="BA109" s="585">
        <f t="shared" si="61"/>
        <v>32.382052019264719</v>
      </c>
      <c r="BB109" s="585">
        <f t="shared" si="61"/>
        <v>48.203592518182298</v>
      </c>
      <c r="BC109" s="474">
        <f t="shared" si="62"/>
        <v>0.3</v>
      </c>
      <c r="BE109" s="494">
        <v>5</v>
      </c>
      <c r="BF109" s="945">
        <f t="shared" si="71"/>
        <v>172</v>
      </c>
      <c r="BG109" s="1395">
        <f t="shared" si="72"/>
        <v>172</v>
      </c>
      <c r="BH109" s="946">
        <f t="shared" si="63"/>
        <v>-2.9685259166339506</v>
      </c>
      <c r="BI109" s="618">
        <f t="shared" si="47"/>
        <v>2.9685259166339506</v>
      </c>
      <c r="BJ109" s="618">
        <f t="shared" si="73"/>
        <v>2.9685259166339506</v>
      </c>
      <c r="BK109" s="618">
        <f t="shared" si="48"/>
        <v>5</v>
      </c>
      <c r="BL109" s="524"/>
      <c r="BM109" s="524"/>
      <c r="BN109" s="524"/>
    </row>
    <row r="110" spans="1:66" ht="21" customHeight="1" thickBot="1" x14ac:dyDescent="0.35">
      <c r="A110" s="636"/>
      <c r="B110" s="631">
        <v>11</v>
      </c>
      <c r="C110" s="612"/>
      <c r="D110" s="1907">
        <v>0</v>
      </c>
      <c r="E110" s="632" t="s">
        <v>147</v>
      </c>
      <c r="F110" s="584">
        <f t="shared" si="64"/>
        <v>0.3</v>
      </c>
      <c r="G110" s="584">
        <f t="shared" si="65"/>
        <v>0.3</v>
      </c>
      <c r="H110" s="633">
        <v>217.52600000000001</v>
      </c>
      <c r="I110" s="634">
        <v>103.27776</v>
      </c>
      <c r="J110" s="586">
        <f t="shared" si="49"/>
        <v>103.27776</v>
      </c>
      <c r="K110" s="586">
        <f t="shared" si="35"/>
        <v>51.63888</v>
      </c>
      <c r="L110" s="586">
        <f t="shared" si="36"/>
        <v>0.78411477781089656</v>
      </c>
      <c r="M110" s="586">
        <f t="shared" si="37"/>
        <v>170.56535115809308</v>
      </c>
      <c r="N110" s="586">
        <f t="shared" si="38"/>
        <v>341.13070231618616</v>
      </c>
      <c r="O110" s="586">
        <f>+C100+D101+D102+D103+D104+D105+D106+D107+D108+D109+(D110/2)</f>
        <v>0</v>
      </c>
      <c r="P110" s="586">
        <f t="shared" si="39"/>
        <v>0</v>
      </c>
      <c r="Q110" s="586">
        <f t="shared" si="40"/>
        <v>0</v>
      </c>
      <c r="R110" s="586">
        <f t="shared" si="50"/>
        <v>135</v>
      </c>
      <c r="S110" s="586">
        <f t="shared" si="66"/>
        <v>135</v>
      </c>
      <c r="T110" s="617">
        <f t="shared" si="41"/>
        <v>135</v>
      </c>
      <c r="V110" s="571">
        <f t="shared" si="42"/>
        <v>0</v>
      </c>
      <c r="W110" s="571"/>
      <c r="X110" s="571"/>
      <c r="Y110" s="571"/>
      <c r="Z110" s="571"/>
      <c r="AA110" s="571"/>
      <c r="AB110" s="635" t="str">
        <f t="shared" si="51"/>
        <v>pin in groundstacking hole</v>
      </c>
      <c r="AC110" s="618" t="b">
        <f>IF(AD110=11,AF110)</f>
        <v>0</v>
      </c>
      <c r="AD110" s="618">
        <f t="shared" si="52"/>
        <v>1</v>
      </c>
      <c r="AE110" s="618">
        <f>IF(V110=0,0,11)</f>
        <v>0</v>
      </c>
      <c r="AF110" s="571">
        <f>SUM(V110:V123)/($B$97-B109)</f>
        <v>0</v>
      </c>
      <c r="AG110" s="571"/>
      <c r="AH110" s="620">
        <f>SUM(D101:D110)+$C$100</f>
        <v>0</v>
      </c>
      <c r="AI110" s="619" t="b">
        <f>IF(B110&lt;($B$97+1),AH110)</f>
        <v>0</v>
      </c>
      <c r="AJ110" s="572">
        <f t="shared" si="67"/>
        <v>58.150950000000002</v>
      </c>
      <c r="AK110" s="574">
        <f t="shared" si="44"/>
        <v>0.84944126318315416</v>
      </c>
      <c r="AL110" s="575">
        <f t="shared" si="68"/>
        <v>198.0000015769194</v>
      </c>
      <c r="AM110" s="576">
        <f t="shared" si="53"/>
        <v>38.361121150000002</v>
      </c>
      <c r="AN110" s="577">
        <f t="shared" si="54"/>
        <v>0.62061585119404539</v>
      </c>
      <c r="AO110" s="578">
        <f t="shared" si="69"/>
        <v>135.00002158525081</v>
      </c>
      <c r="AP110" s="627">
        <f t="shared" si="55"/>
        <v>-6.5828184133499521</v>
      </c>
      <c r="AQ110" s="580">
        <f t="shared" si="70"/>
        <v>-603</v>
      </c>
      <c r="AR110" s="579">
        <f t="shared" si="56"/>
        <v>-567.5</v>
      </c>
      <c r="AS110" s="580">
        <f t="shared" si="57"/>
        <v>333.00002316217024</v>
      </c>
      <c r="AT110" s="581">
        <f t="shared" si="74"/>
        <v>-135.00002158525081</v>
      </c>
      <c r="AU110" s="582">
        <f t="shared" si="58"/>
        <v>128.41720317190087</v>
      </c>
      <c r="AV110" s="581"/>
      <c r="AW110" s="583">
        <f t="shared" si="59"/>
        <v>-348.65087768458523</v>
      </c>
      <c r="AX110" s="583">
        <f t="shared" si="60"/>
        <v>-218.84912231541477</v>
      </c>
      <c r="AY110" s="584">
        <f t="shared" si="45"/>
        <v>-28.681987168398074</v>
      </c>
      <c r="AZ110" s="584">
        <f t="shared" si="46"/>
        <v>-42.220868433198078</v>
      </c>
      <c r="BA110" s="585">
        <f t="shared" si="61"/>
        <v>28.681987168398074</v>
      </c>
      <c r="BB110" s="585">
        <f t="shared" si="61"/>
        <v>42.220868433198078</v>
      </c>
      <c r="BC110" s="474">
        <f t="shared" si="62"/>
        <v>0.3</v>
      </c>
      <c r="BE110" s="494">
        <v>6</v>
      </c>
      <c r="BF110" s="945">
        <f t="shared" si="71"/>
        <v>215</v>
      </c>
      <c r="BG110" s="1395">
        <f t="shared" si="72"/>
        <v>215</v>
      </c>
      <c r="BH110" s="946">
        <f t="shared" si="63"/>
        <v>40.031474083366049</v>
      </c>
      <c r="BI110" s="618">
        <f t="shared" si="47"/>
        <v>40.031474083366049</v>
      </c>
      <c r="BJ110" s="618">
        <f t="shared" si="73"/>
        <v>2.9685259166339506</v>
      </c>
      <c r="BK110" s="618" t="b">
        <f t="shared" si="48"/>
        <v>0</v>
      </c>
      <c r="BL110" s="524"/>
      <c r="BM110" s="524"/>
      <c r="BN110" s="524"/>
    </row>
    <row r="111" spans="1:66" ht="21" customHeight="1" thickBot="1" x14ac:dyDescent="0.35">
      <c r="A111" s="636"/>
      <c r="B111" s="631">
        <v>12</v>
      </c>
      <c r="C111" s="612"/>
      <c r="D111" s="1907">
        <v>0</v>
      </c>
      <c r="E111" s="632" t="s">
        <v>147</v>
      </c>
      <c r="F111" s="584">
        <f t="shared" si="64"/>
        <v>0.3</v>
      </c>
      <c r="G111" s="584">
        <f t="shared" si="65"/>
        <v>0.3</v>
      </c>
      <c r="H111" s="633">
        <v>217.52600000000001</v>
      </c>
      <c r="I111" s="634">
        <v>103.27776</v>
      </c>
      <c r="J111" s="586">
        <f t="shared" si="49"/>
        <v>103.27776</v>
      </c>
      <c r="K111" s="586">
        <f t="shared" si="35"/>
        <v>51.63888</v>
      </c>
      <c r="L111" s="586">
        <f t="shared" si="36"/>
        <v>0.78411477781089656</v>
      </c>
      <c r="M111" s="586">
        <f t="shared" si="37"/>
        <v>170.56535115809308</v>
      </c>
      <c r="N111" s="586">
        <f t="shared" si="38"/>
        <v>341.13070231618616</v>
      </c>
      <c r="O111" s="586">
        <f>+C100+D101+D102+D103+D104+D105+D106+D107+D108+D109+D110+(D111/2)</f>
        <v>0</v>
      </c>
      <c r="P111" s="586">
        <f t="shared" si="39"/>
        <v>0</v>
      </c>
      <c r="Q111" s="586">
        <f t="shared" si="40"/>
        <v>0</v>
      </c>
      <c r="R111" s="586">
        <f t="shared" si="50"/>
        <v>135</v>
      </c>
      <c r="S111" s="586">
        <f t="shared" si="66"/>
        <v>135</v>
      </c>
      <c r="T111" s="617">
        <f t="shared" si="41"/>
        <v>135</v>
      </c>
      <c r="V111" s="571">
        <f t="shared" si="42"/>
        <v>0</v>
      </c>
      <c r="W111" s="571"/>
      <c r="X111" s="571"/>
      <c r="Y111" s="571"/>
      <c r="Z111" s="571"/>
      <c r="AA111" s="571"/>
      <c r="AB111" s="635" t="str">
        <f t="shared" si="51"/>
        <v>pin in groundstacking hole</v>
      </c>
      <c r="AC111" s="618" t="b">
        <f>IF(AD111=12,AF111)</f>
        <v>0</v>
      </c>
      <c r="AD111" s="618">
        <f t="shared" si="52"/>
        <v>1</v>
      </c>
      <c r="AE111" s="618">
        <f>IF(V111=0,0,12)</f>
        <v>0</v>
      </c>
      <c r="AF111" s="571">
        <f>SUM(V111:V123)/($B$97-B110)</f>
        <v>0</v>
      </c>
      <c r="AG111" s="571"/>
      <c r="AH111" s="620">
        <f>SUM(D101:D111)+$C$100</f>
        <v>0</v>
      </c>
      <c r="AI111" s="619" t="b">
        <f t="shared" ref="AI111:AI123" si="75">IF(B111&lt;($B$97+1),AH111)</f>
        <v>0</v>
      </c>
      <c r="AJ111" s="572">
        <f t="shared" si="67"/>
        <v>58.150950000000002</v>
      </c>
      <c r="AK111" s="574">
        <f t="shared" si="44"/>
        <v>0.84944126318315416</v>
      </c>
      <c r="AL111" s="575">
        <f t="shared" si="68"/>
        <v>198.0000015769194</v>
      </c>
      <c r="AM111" s="576">
        <f t="shared" si="53"/>
        <v>38.361121150000002</v>
      </c>
      <c r="AN111" s="577">
        <f t="shared" si="54"/>
        <v>0.62061585119404539</v>
      </c>
      <c r="AO111" s="578">
        <f t="shared" si="69"/>
        <v>135.00002158525081</v>
      </c>
      <c r="AP111" s="627">
        <f t="shared" si="55"/>
        <v>-5.8877059882996026</v>
      </c>
      <c r="AQ111" s="580">
        <f t="shared" si="70"/>
        <v>-670</v>
      </c>
      <c r="AR111" s="579">
        <f t="shared" si="56"/>
        <v>-634.5</v>
      </c>
      <c r="AS111" s="580">
        <f t="shared" si="57"/>
        <v>333.00002316217024</v>
      </c>
      <c r="AT111" s="581">
        <f t="shared" si="74"/>
        <v>-135.00002158525081</v>
      </c>
      <c r="AU111" s="582">
        <f t="shared" si="58"/>
        <v>129.11231559695119</v>
      </c>
      <c r="AV111" s="581"/>
      <c r="AW111" s="583">
        <f t="shared" si="59"/>
        <v>-388.48871306873809</v>
      </c>
      <c r="AX111" s="583">
        <f t="shared" si="60"/>
        <v>-246.01128693126194</v>
      </c>
      <c r="AY111" s="584">
        <f t="shared" si="45"/>
        <v>-25.74077357616984</v>
      </c>
      <c r="AZ111" s="584">
        <f t="shared" si="46"/>
        <v>-37.559252322360926</v>
      </c>
      <c r="BA111" s="585">
        <f t="shared" si="61"/>
        <v>25.74077357616984</v>
      </c>
      <c r="BB111" s="585">
        <f t="shared" si="61"/>
        <v>37.559252322360926</v>
      </c>
      <c r="BC111" s="474">
        <f t="shared" si="62"/>
        <v>0.3</v>
      </c>
      <c r="BE111" s="494">
        <v>61</v>
      </c>
      <c r="BF111" s="945">
        <f t="shared" si="71"/>
        <v>258</v>
      </c>
      <c r="BG111" s="1395">
        <f t="shared" si="72"/>
        <v>258</v>
      </c>
      <c r="BH111" s="946">
        <f t="shared" si="63"/>
        <v>83.031474083366049</v>
      </c>
      <c r="BI111" s="618">
        <f t="shared" si="47"/>
        <v>83.031474083366049</v>
      </c>
      <c r="BJ111" s="618">
        <f t="shared" si="73"/>
        <v>2.9685259166339506</v>
      </c>
      <c r="BK111" s="618" t="b">
        <f t="shared" si="48"/>
        <v>0</v>
      </c>
      <c r="BL111" s="524"/>
      <c r="BM111" s="524"/>
      <c r="BN111" s="524"/>
    </row>
    <row r="112" spans="1:66" ht="21" customHeight="1" thickBot="1" x14ac:dyDescent="0.35">
      <c r="B112" s="631">
        <v>13</v>
      </c>
      <c r="C112" s="612"/>
      <c r="D112" s="1907">
        <v>0</v>
      </c>
      <c r="E112" s="632" t="s">
        <v>147</v>
      </c>
      <c r="F112" s="584">
        <f t="shared" si="64"/>
        <v>0.3</v>
      </c>
      <c r="G112" s="584">
        <f t="shared" si="65"/>
        <v>0.3</v>
      </c>
      <c r="H112" s="633">
        <v>217.52600000000001</v>
      </c>
      <c r="I112" s="634">
        <v>103.27776</v>
      </c>
      <c r="J112" s="586">
        <f t="shared" si="49"/>
        <v>103.27776</v>
      </c>
      <c r="K112" s="586">
        <f t="shared" si="35"/>
        <v>51.63888</v>
      </c>
      <c r="L112" s="586">
        <f t="shared" si="36"/>
        <v>0.78411477781089656</v>
      </c>
      <c r="M112" s="586">
        <f t="shared" si="37"/>
        <v>170.56535115809308</v>
      </c>
      <c r="N112" s="586">
        <f t="shared" si="38"/>
        <v>341.13070231618616</v>
      </c>
      <c r="O112" s="586">
        <f>+C100+D101+D102+D103+D104+D105+D106+D107+D108+D109+D110+D111+(D112/2)</f>
        <v>0</v>
      </c>
      <c r="P112" s="586">
        <f t="shared" si="39"/>
        <v>0</v>
      </c>
      <c r="Q112" s="586">
        <f t="shared" si="40"/>
        <v>0</v>
      </c>
      <c r="R112" s="586">
        <f t="shared" si="50"/>
        <v>135</v>
      </c>
      <c r="S112" s="586">
        <f t="shared" si="66"/>
        <v>135</v>
      </c>
      <c r="T112" s="617">
        <f t="shared" si="41"/>
        <v>135</v>
      </c>
      <c r="V112" s="571">
        <f t="shared" si="42"/>
        <v>0</v>
      </c>
      <c r="W112" s="571"/>
      <c r="X112" s="571"/>
      <c r="Y112" s="571"/>
      <c r="Z112" s="571"/>
      <c r="AA112" s="571"/>
      <c r="AB112" s="635" t="str">
        <f t="shared" si="51"/>
        <v>pin in groundstacking hole</v>
      </c>
      <c r="AC112" s="618" t="b">
        <f>IF(AD112=13,AF112)</f>
        <v>0</v>
      </c>
      <c r="AD112" s="618">
        <f t="shared" si="52"/>
        <v>1</v>
      </c>
      <c r="AE112" s="618">
        <f>IF(V112=0,0,13)</f>
        <v>0</v>
      </c>
      <c r="AF112" s="571">
        <f>SUM(V112:V123)/($B$97-B111)</f>
        <v>0</v>
      </c>
      <c r="AG112" s="571"/>
      <c r="AH112" s="620">
        <f>SUM(D101:D112)+$C$100</f>
        <v>0</v>
      </c>
      <c r="AI112" s="619" t="b">
        <f t="shared" si="75"/>
        <v>0</v>
      </c>
      <c r="AJ112" s="572">
        <f t="shared" si="67"/>
        <v>58.150950000000002</v>
      </c>
      <c r="AK112" s="574">
        <f t="shared" si="44"/>
        <v>0.84944126318315416</v>
      </c>
      <c r="AL112" s="575">
        <f t="shared" si="68"/>
        <v>198.0000015769194</v>
      </c>
      <c r="AM112" s="576">
        <f t="shared" si="53"/>
        <v>38.361121150000002</v>
      </c>
      <c r="AN112" s="577">
        <f t="shared" si="54"/>
        <v>0.62061585119404539</v>
      </c>
      <c r="AO112" s="578">
        <f t="shared" si="69"/>
        <v>135.00002158525081</v>
      </c>
      <c r="AP112" s="627">
        <f t="shared" si="55"/>
        <v>-5.3253734135083359</v>
      </c>
      <c r="AQ112" s="580">
        <f t="shared" si="70"/>
        <v>-737</v>
      </c>
      <c r="AR112" s="579">
        <f t="shared" si="56"/>
        <v>-701.5</v>
      </c>
      <c r="AS112" s="580">
        <f t="shared" si="57"/>
        <v>333.00002316217024</v>
      </c>
      <c r="AT112" s="581">
        <f t="shared" si="74"/>
        <v>-135.00002158525081</v>
      </c>
      <c r="AU112" s="582">
        <f t="shared" si="58"/>
        <v>129.67464817174246</v>
      </c>
      <c r="AV112" s="581"/>
      <c r="AW112" s="583">
        <f t="shared" si="59"/>
        <v>-428.32654845289085</v>
      </c>
      <c r="AX112" s="583">
        <f t="shared" si="60"/>
        <v>-273.17345154710915</v>
      </c>
      <c r="AY112" s="584">
        <f t="shared" si="45"/>
        <v>-23.346673317635464</v>
      </c>
      <c r="AZ112" s="584">
        <f t="shared" si="46"/>
        <v>-33.824663222833529</v>
      </c>
      <c r="BA112" s="585">
        <f t="shared" si="61"/>
        <v>23.346673317635464</v>
      </c>
      <c r="BB112" s="585">
        <f t="shared" si="61"/>
        <v>33.824663222833529</v>
      </c>
      <c r="BC112" s="474">
        <f t="shared" si="62"/>
        <v>0.3</v>
      </c>
      <c r="BE112" s="494">
        <v>62</v>
      </c>
      <c r="BF112" s="945">
        <f t="shared" si="71"/>
        <v>301</v>
      </c>
      <c r="BG112" s="1395">
        <f t="shared" si="72"/>
        <v>301</v>
      </c>
      <c r="BH112" s="946">
        <f t="shared" si="63"/>
        <v>126.03147408336605</v>
      </c>
      <c r="BI112" s="618">
        <f t="shared" si="47"/>
        <v>126.03147408336605</v>
      </c>
      <c r="BJ112" s="618">
        <f t="shared" si="73"/>
        <v>2.9685259166339506</v>
      </c>
      <c r="BK112" s="618" t="b">
        <f t="shared" si="48"/>
        <v>0</v>
      </c>
      <c r="BL112" s="524"/>
      <c r="BM112" s="524"/>
      <c r="BN112" s="524"/>
    </row>
    <row r="113" spans="2:94" ht="21" customHeight="1" thickBot="1" x14ac:dyDescent="0.35">
      <c r="B113" s="631">
        <v>14</v>
      </c>
      <c r="C113" s="612"/>
      <c r="D113" s="1907">
        <v>0</v>
      </c>
      <c r="E113" s="632" t="s">
        <v>147</v>
      </c>
      <c r="F113" s="584">
        <f t="shared" si="64"/>
        <v>0.3</v>
      </c>
      <c r="G113" s="584">
        <f t="shared" si="65"/>
        <v>0.3</v>
      </c>
      <c r="H113" s="633">
        <v>217.52600000000001</v>
      </c>
      <c r="I113" s="634">
        <v>103.27776</v>
      </c>
      <c r="J113" s="586">
        <f t="shared" si="49"/>
        <v>103.27776</v>
      </c>
      <c r="K113" s="586">
        <f t="shared" si="35"/>
        <v>51.63888</v>
      </c>
      <c r="L113" s="586">
        <f t="shared" si="36"/>
        <v>0.78411477781089656</v>
      </c>
      <c r="M113" s="586">
        <f t="shared" si="37"/>
        <v>170.56535115809308</v>
      </c>
      <c r="N113" s="586">
        <f t="shared" si="38"/>
        <v>341.13070231618616</v>
      </c>
      <c r="O113" s="586">
        <f>+C100+D101+D102+D103+D104+D105+D106+D107+D108+D109+D110+D111+D112+(D113/2)</f>
        <v>0</v>
      </c>
      <c r="P113" s="586">
        <f t="shared" si="39"/>
        <v>0</v>
      </c>
      <c r="Q113" s="586">
        <f t="shared" si="40"/>
        <v>0</v>
      </c>
      <c r="R113" s="586">
        <f t="shared" si="50"/>
        <v>135</v>
      </c>
      <c r="S113" s="586">
        <f t="shared" si="66"/>
        <v>135</v>
      </c>
      <c r="T113" s="617">
        <f t="shared" si="41"/>
        <v>135</v>
      </c>
      <c r="V113" s="571">
        <f t="shared" si="42"/>
        <v>0</v>
      </c>
      <c r="W113" s="571"/>
      <c r="X113" s="571"/>
      <c r="Y113" s="571"/>
      <c r="Z113" s="571"/>
      <c r="AA113" s="571"/>
      <c r="AB113" s="635" t="str">
        <f t="shared" si="51"/>
        <v>pin in groundstacking hole</v>
      </c>
      <c r="AC113" s="618" t="b">
        <f>IF(AD113=14,AF113)</f>
        <v>0</v>
      </c>
      <c r="AD113" s="618">
        <f t="shared" si="52"/>
        <v>1</v>
      </c>
      <c r="AE113" s="618">
        <f>IF(V113=0,0,14)</f>
        <v>0</v>
      </c>
      <c r="AF113" s="571">
        <f>SUM(V113:V123)/($B$97-B112)</f>
        <v>0</v>
      </c>
      <c r="AG113" s="571"/>
      <c r="AH113" s="620">
        <f>SUM(D101:D113)+$C$100</f>
        <v>0</v>
      </c>
      <c r="AI113" s="619" t="b">
        <f t="shared" si="75"/>
        <v>0</v>
      </c>
      <c r="AJ113" s="572">
        <f t="shared" si="67"/>
        <v>58.150950000000002</v>
      </c>
      <c r="AK113" s="574">
        <f t="shared" si="44"/>
        <v>0.84944126318315416</v>
      </c>
      <c r="AL113" s="575">
        <f t="shared" si="68"/>
        <v>198.0000015769194</v>
      </c>
      <c r="AM113" s="576">
        <f t="shared" si="53"/>
        <v>38.361121150000002</v>
      </c>
      <c r="AN113" s="577">
        <f t="shared" si="54"/>
        <v>0.62061585119404539</v>
      </c>
      <c r="AO113" s="578">
        <f t="shared" si="69"/>
        <v>135.00002158525081</v>
      </c>
      <c r="AP113" s="627">
        <f t="shared" si="55"/>
        <v>-4.8610923221549749</v>
      </c>
      <c r="AQ113" s="580">
        <f t="shared" si="70"/>
        <v>-804</v>
      </c>
      <c r="AR113" s="579">
        <f t="shared" si="56"/>
        <v>-768.5</v>
      </c>
      <c r="AS113" s="580">
        <f t="shared" si="57"/>
        <v>333.00002316217024</v>
      </c>
      <c r="AT113" s="581">
        <f t="shared" si="74"/>
        <v>-135.00002158525081</v>
      </c>
      <c r="AU113" s="582">
        <f t="shared" si="58"/>
        <v>130.13892926309583</v>
      </c>
      <c r="AV113" s="581"/>
      <c r="AW113" s="583">
        <f t="shared" si="59"/>
        <v>-468.1643838370436</v>
      </c>
      <c r="AX113" s="583">
        <f t="shared" si="60"/>
        <v>-300.3356161629564</v>
      </c>
      <c r="AY113" s="584">
        <f t="shared" si="45"/>
        <v>-21.360018714026634</v>
      </c>
      <c r="AZ113" s="584">
        <f t="shared" si="46"/>
        <v>-30.765581911492479</v>
      </c>
      <c r="BA113" s="585">
        <f t="shared" si="61"/>
        <v>21.360018714026634</v>
      </c>
      <c r="BB113" s="585">
        <f t="shared" si="61"/>
        <v>30.765581911492479</v>
      </c>
      <c r="BC113" s="474">
        <f t="shared" si="62"/>
        <v>0.3</v>
      </c>
      <c r="BE113" s="494">
        <v>63</v>
      </c>
      <c r="BF113" s="945">
        <f t="shared" si="71"/>
        <v>344</v>
      </c>
      <c r="BG113" s="1395">
        <f t="shared" si="72"/>
        <v>344</v>
      </c>
      <c r="BH113" s="946">
        <f t="shared" si="63"/>
        <v>169.03147408336605</v>
      </c>
      <c r="BI113" s="618">
        <f t="shared" si="47"/>
        <v>169.03147408336605</v>
      </c>
      <c r="BJ113" s="618">
        <f t="shared" si="73"/>
        <v>2.9685259166339506</v>
      </c>
      <c r="BK113" s="618" t="b">
        <f t="shared" si="48"/>
        <v>0</v>
      </c>
      <c r="BL113" s="524"/>
      <c r="BM113" s="524"/>
      <c r="BN113" s="524"/>
    </row>
    <row r="114" spans="2:94" ht="21" customHeight="1" thickBot="1" x14ac:dyDescent="0.35">
      <c r="B114" s="631">
        <v>15</v>
      </c>
      <c r="C114" s="612"/>
      <c r="D114" s="1907">
        <v>0</v>
      </c>
      <c r="E114" s="632" t="s">
        <v>147</v>
      </c>
      <c r="F114" s="584">
        <f t="shared" si="64"/>
        <v>0.3</v>
      </c>
      <c r="G114" s="584">
        <f t="shared" si="65"/>
        <v>0.3</v>
      </c>
      <c r="H114" s="633">
        <v>217.52600000000001</v>
      </c>
      <c r="I114" s="634">
        <v>103.27776</v>
      </c>
      <c r="J114" s="586">
        <f t="shared" si="49"/>
        <v>103.27776</v>
      </c>
      <c r="K114" s="586">
        <f t="shared" si="35"/>
        <v>51.63888</v>
      </c>
      <c r="L114" s="586">
        <f t="shared" si="36"/>
        <v>0.78411477781089656</v>
      </c>
      <c r="M114" s="586">
        <f t="shared" si="37"/>
        <v>170.56535115809308</v>
      </c>
      <c r="N114" s="586">
        <f t="shared" si="38"/>
        <v>341.13070231618616</v>
      </c>
      <c r="O114" s="586">
        <f>+C100+D101+D102+D103+D104+D105+D106+D107+D108+D109+D110+D111+D112+D113+(D114/2)</f>
        <v>0</v>
      </c>
      <c r="P114" s="586">
        <f t="shared" si="39"/>
        <v>0</v>
      </c>
      <c r="Q114" s="586">
        <f t="shared" si="40"/>
        <v>0</v>
      </c>
      <c r="R114" s="586">
        <f t="shared" si="50"/>
        <v>135</v>
      </c>
      <c r="S114" s="586">
        <f t="shared" si="66"/>
        <v>135</v>
      </c>
      <c r="T114" s="617">
        <f t="shared" si="41"/>
        <v>135</v>
      </c>
      <c r="V114" s="571">
        <f t="shared" si="42"/>
        <v>0</v>
      </c>
      <c r="W114" s="571"/>
      <c r="X114" s="571"/>
      <c r="Y114" s="571"/>
      <c r="Z114" s="571"/>
      <c r="AA114" s="571"/>
      <c r="AB114" s="635" t="str">
        <f t="shared" si="51"/>
        <v>pin in groundstacking hole</v>
      </c>
      <c r="AC114" s="618" t="b">
        <f>IF(AD114=15,AF114)</f>
        <v>0</v>
      </c>
      <c r="AD114" s="618">
        <f t="shared" si="52"/>
        <v>1</v>
      </c>
      <c r="AE114" s="618">
        <f>IF(V114=0,0,15)</f>
        <v>0</v>
      </c>
      <c r="AF114" s="571">
        <f>SUM(V114:V123)/($B$97-B113)</f>
        <v>0</v>
      </c>
      <c r="AG114" s="571"/>
      <c r="AH114" s="620">
        <f>SUM(D101:D114)+$C$100</f>
        <v>0</v>
      </c>
      <c r="AI114" s="619" t="b">
        <f t="shared" si="75"/>
        <v>0</v>
      </c>
      <c r="AJ114" s="572">
        <f t="shared" si="67"/>
        <v>58.150950000000002</v>
      </c>
      <c r="AK114" s="574">
        <f t="shared" si="44"/>
        <v>0.84944126318315416</v>
      </c>
      <c r="AL114" s="575">
        <f t="shared" si="68"/>
        <v>198.0000015769194</v>
      </c>
      <c r="AM114" s="576">
        <f t="shared" si="53"/>
        <v>38.361121150000002</v>
      </c>
      <c r="AN114" s="577">
        <f t="shared" si="54"/>
        <v>0.62061585119404539</v>
      </c>
      <c r="AO114" s="578">
        <f t="shared" si="69"/>
        <v>135.00002158525081</v>
      </c>
      <c r="AP114" s="627">
        <f t="shared" si="55"/>
        <v>-4.4712740270210629</v>
      </c>
      <c r="AQ114" s="580">
        <f t="shared" si="70"/>
        <v>-871</v>
      </c>
      <c r="AR114" s="579">
        <f t="shared" si="56"/>
        <v>-835.5</v>
      </c>
      <c r="AS114" s="580">
        <f t="shared" si="57"/>
        <v>333.00002316217024</v>
      </c>
      <c r="AT114" s="581">
        <f t="shared" si="74"/>
        <v>-135.00002158525081</v>
      </c>
      <c r="AU114" s="582">
        <f t="shared" si="58"/>
        <v>130.52874755822975</v>
      </c>
      <c r="AV114" s="581"/>
      <c r="AW114" s="583">
        <f t="shared" si="59"/>
        <v>-508.00221922119641</v>
      </c>
      <c r="AX114" s="583">
        <f t="shared" si="60"/>
        <v>-327.49778077880359</v>
      </c>
      <c r="AY114" s="584">
        <f t="shared" si="45"/>
        <v>-19.68495337546106</v>
      </c>
      <c r="AZ114" s="584">
        <f t="shared" si="46"/>
        <v>-28.213931642611101</v>
      </c>
      <c r="BA114" s="585">
        <f t="shared" si="61"/>
        <v>19.68495337546106</v>
      </c>
      <c r="BB114" s="585">
        <f t="shared" si="61"/>
        <v>28.213931642611101</v>
      </c>
      <c r="BC114" s="474">
        <f t="shared" si="62"/>
        <v>0.3</v>
      </c>
      <c r="BE114" s="494">
        <v>7</v>
      </c>
      <c r="BF114" s="945">
        <f t="shared" si="71"/>
        <v>387</v>
      </c>
      <c r="BG114" s="1395">
        <f t="shared" si="72"/>
        <v>387</v>
      </c>
      <c r="BH114" s="946">
        <f t="shared" si="63"/>
        <v>212.03147408336605</v>
      </c>
      <c r="BI114" s="618">
        <f t="shared" si="47"/>
        <v>212.03147408336605</v>
      </c>
      <c r="BJ114" s="618">
        <f t="shared" si="73"/>
        <v>2.9685259166339506</v>
      </c>
      <c r="BK114" s="618" t="b">
        <f t="shared" si="48"/>
        <v>0</v>
      </c>
      <c r="BL114" s="524"/>
      <c r="BM114" s="524"/>
      <c r="BN114" s="524"/>
    </row>
    <row r="115" spans="2:94" ht="21" customHeight="1" thickBot="1" x14ac:dyDescent="0.35">
      <c r="B115" s="631">
        <v>16</v>
      </c>
      <c r="C115" s="612"/>
      <c r="D115" s="1907">
        <v>0</v>
      </c>
      <c r="E115" s="632" t="s">
        <v>147</v>
      </c>
      <c r="F115" s="584">
        <f t="shared" si="64"/>
        <v>0.3</v>
      </c>
      <c r="G115" s="584">
        <f t="shared" si="65"/>
        <v>0.3</v>
      </c>
      <c r="H115" s="633">
        <v>217.52600000000001</v>
      </c>
      <c r="I115" s="634">
        <v>103.27776</v>
      </c>
      <c r="J115" s="586">
        <f t="shared" si="49"/>
        <v>103.27776</v>
      </c>
      <c r="K115" s="586">
        <f t="shared" si="35"/>
        <v>51.63888</v>
      </c>
      <c r="L115" s="586">
        <f t="shared" si="36"/>
        <v>0.78411477781089656</v>
      </c>
      <c r="M115" s="586">
        <f t="shared" si="37"/>
        <v>170.56535115809308</v>
      </c>
      <c r="N115" s="586">
        <f t="shared" si="38"/>
        <v>341.13070231618616</v>
      </c>
      <c r="O115" s="586">
        <f>+C100+D101+D102+D103+D104+D105+D106+D107+D108+D109+D110+D111+D112+D113+D114+(D115/2)</f>
        <v>0</v>
      </c>
      <c r="P115" s="586">
        <f t="shared" si="39"/>
        <v>0</v>
      </c>
      <c r="Q115" s="586">
        <f t="shared" si="40"/>
        <v>0</v>
      </c>
      <c r="R115" s="586">
        <f t="shared" si="50"/>
        <v>135</v>
      </c>
      <c r="S115" s="586">
        <f t="shared" si="66"/>
        <v>135</v>
      </c>
      <c r="T115" s="617">
        <f t="shared" si="41"/>
        <v>135</v>
      </c>
      <c r="V115" s="571">
        <f t="shared" si="42"/>
        <v>0</v>
      </c>
      <c r="W115" s="571"/>
      <c r="X115" s="571"/>
      <c r="Y115" s="571"/>
      <c r="Z115" s="571"/>
      <c r="AA115" s="571"/>
      <c r="AB115" s="635" t="str">
        <f t="shared" si="51"/>
        <v>pin in groundstacking hole</v>
      </c>
      <c r="AC115" s="618" t="b">
        <f>IF(AD115=16,AF115)</f>
        <v>0</v>
      </c>
      <c r="AD115" s="618">
        <f t="shared" si="52"/>
        <v>1</v>
      </c>
      <c r="AE115" s="618">
        <f>IF(V115=0,0,16)</f>
        <v>0</v>
      </c>
      <c r="AF115" s="571">
        <f>SUM(V115:V123)/($B$97-B114)</f>
        <v>0</v>
      </c>
      <c r="AG115" s="571"/>
      <c r="AH115" s="620">
        <f>SUM(D101:D115)+$C$100</f>
        <v>0</v>
      </c>
      <c r="AI115" s="619" t="b">
        <f t="shared" si="75"/>
        <v>0</v>
      </c>
      <c r="AJ115" s="572">
        <f t="shared" si="67"/>
        <v>58.150950000000002</v>
      </c>
      <c r="AK115" s="574">
        <f t="shared" si="44"/>
        <v>0.84944126318315416</v>
      </c>
      <c r="AL115" s="575">
        <f t="shared" si="68"/>
        <v>198.0000015769194</v>
      </c>
      <c r="AM115" s="576">
        <f t="shared" si="53"/>
        <v>38.361121150000002</v>
      </c>
      <c r="AN115" s="577">
        <f t="shared" si="54"/>
        <v>0.62061585119404539</v>
      </c>
      <c r="AO115" s="578">
        <f t="shared" si="69"/>
        <v>135.00002158525081</v>
      </c>
      <c r="AP115" s="627">
        <f t="shared" si="55"/>
        <v>-4.1393345701674216</v>
      </c>
      <c r="AQ115" s="580">
        <f t="shared" si="70"/>
        <v>-938</v>
      </c>
      <c r="AR115" s="579">
        <f t="shared" si="56"/>
        <v>-902.5</v>
      </c>
      <c r="AS115" s="580">
        <f t="shared" si="57"/>
        <v>333.00002316217024</v>
      </c>
      <c r="AT115" s="581">
        <f t="shared" si="74"/>
        <v>-135.00002158525081</v>
      </c>
      <c r="AU115" s="582">
        <f t="shared" si="58"/>
        <v>130.86068701508339</v>
      </c>
      <c r="AV115" s="581"/>
      <c r="AW115" s="583">
        <f t="shared" si="59"/>
        <v>-547.84005460534922</v>
      </c>
      <c r="AX115" s="583">
        <f t="shared" si="60"/>
        <v>-354.65994539465083</v>
      </c>
      <c r="AY115" s="584">
        <f t="shared" si="45"/>
        <v>-18.253502853499384</v>
      </c>
      <c r="AZ115" s="584">
        <f t="shared" si="46"/>
        <v>-26.053125310550964</v>
      </c>
      <c r="BA115" s="585">
        <f t="shared" si="61"/>
        <v>18.253502853499384</v>
      </c>
      <c r="BB115" s="585">
        <f t="shared" si="61"/>
        <v>26.053125310550964</v>
      </c>
      <c r="BC115" s="474">
        <f t="shared" si="62"/>
        <v>0.3</v>
      </c>
      <c r="BE115" s="494">
        <v>8</v>
      </c>
      <c r="BF115" s="945">
        <f t="shared" si="71"/>
        <v>430</v>
      </c>
      <c r="BG115" s="1395">
        <f t="shared" si="72"/>
        <v>430</v>
      </c>
      <c r="BH115" s="946">
        <f t="shared" si="63"/>
        <v>255.03147408336605</v>
      </c>
      <c r="BI115" s="618">
        <f t="shared" si="47"/>
        <v>255.03147408336605</v>
      </c>
      <c r="BJ115" s="618">
        <f t="shared" si="73"/>
        <v>2.9685259166339506</v>
      </c>
      <c r="BK115" s="618" t="b">
        <f t="shared" si="48"/>
        <v>0</v>
      </c>
      <c r="BL115" s="524"/>
      <c r="BM115" s="524"/>
      <c r="BN115" s="524"/>
    </row>
    <row r="116" spans="2:94" ht="21" customHeight="1" thickBot="1" x14ac:dyDescent="0.35">
      <c r="B116" s="631">
        <v>17</v>
      </c>
      <c r="C116" s="612"/>
      <c r="D116" s="1949">
        <v>0</v>
      </c>
      <c r="E116" s="632" t="s">
        <v>147</v>
      </c>
      <c r="F116" s="584">
        <f t="shared" si="64"/>
        <v>0.3</v>
      </c>
      <c r="G116" s="584">
        <f t="shared" si="65"/>
        <v>0.3</v>
      </c>
      <c r="H116" s="633">
        <v>217.52600000000001</v>
      </c>
      <c r="I116" s="634">
        <v>103.27776</v>
      </c>
      <c r="J116" s="586">
        <f t="shared" si="49"/>
        <v>103.27776</v>
      </c>
      <c r="K116" s="586">
        <f t="shared" si="35"/>
        <v>51.63888</v>
      </c>
      <c r="L116" s="586">
        <f t="shared" si="36"/>
        <v>0.78411477781089656</v>
      </c>
      <c r="M116" s="586">
        <f t="shared" si="37"/>
        <v>170.56535115809308</v>
      </c>
      <c r="N116" s="586">
        <f t="shared" si="38"/>
        <v>341.13070231618616</v>
      </c>
      <c r="O116" s="586">
        <f>+C100+D101+D102+D103+D104+D105+D106+D107+D108+D109+D110+D111+D112+D113+D114+D115+(D116/2)</f>
        <v>0</v>
      </c>
      <c r="P116" s="586">
        <f t="shared" si="39"/>
        <v>0</v>
      </c>
      <c r="Q116" s="586">
        <f t="shared" si="40"/>
        <v>0</v>
      </c>
      <c r="R116" s="586">
        <f t="shared" si="50"/>
        <v>135</v>
      </c>
      <c r="S116" s="586">
        <f t="shared" si="66"/>
        <v>135</v>
      </c>
      <c r="T116" s="617">
        <f t="shared" si="41"/>
        <v>135</v>
      </c>
      <c r="V116" s="571">
        <f t="shared" si="42"/>
        <v>0</v>
      </c>
      <c r="W116" s="571"/>
      <c r="X116" s="571"/>
      <c r="Y116" s="571"/>
      <c r="Z116" s="571"/>
      <c r="AA116" s="571"/>
      <c r="AB116" s="635" t="str">
        <f t="shared" si="51"/>
        <v>pin in groundstacking hole</v>
      </c>
      <c r="AC116" s="618" t="b">
        <f>IF(AD116=17,AF116)</f>
        <v>0</v>
      </c>
      <c r="AD116" s="618">
        <f t="shared" si="52"/>
        <v>1</v>
      </c>
      <c r="AE116" s="618">
        <f>IF(V116=0,0,17)</f>
        <v>0</v>
      </c>
      <c r="AF116" s="571">
        <f>SUM(V116:V123)/($B$97-B115)</f>
        <v>0</v>
      </c>
      <c r="AG116" s="571"/>
      <c r="AH116" s="620">
        <f>SUM(D101:D116)+$C$100</f>
        <v>0</v>
      </c>
      <c r="AI116" s="619" t="b">
        <f t="shared" si="75"/>
        <v>0</v>
      </c>
      <c r="AJ116" s="572">
        <f t="shared" si="67"/>
        <v>58.150950000000002</v>
      </c>
      <c r="AK116" s="574">
        <f t="shared" si="44"/>
        <v>0.84944126318315416</v>
      </c>
      <c r="AL116" s="575">
        <f t="shared" si="68"/>
        <v>198.0000015769194</v>
      </c>
      <c r="AM116" s="576">
        <f t="shared" si="53"/>
        <v>38.361121150000002</v>
      </c>
      <c r="AN116" s="577">
        <f t="shared" si="54"/>
        <v>0.62061585119404539</v>
      </c>
      <c r="AO116" s="578">
        <f t="shared" si="69"/>
        <v>135.00002158525081</v>
      </c>
      <c r="AP116" s="627">
        <f t="shared" si="55"/>
        <v>-3.8532743162208334</v>
      </c>
      <c r="AQ116" s="580">
        <f t="shared" si="70"/>
        <v>-1005</v>
      </c>
      <c r="AR116" s="579">
        <f t="shared" si="56"/>
        <v>-969.5</v>
      </c>
      <c r="AS116" s="580">
        <f t="shared" si="57"/>
        <v>333.00002316217024</v>
      </c>
      <c r="AT116" s="581">
        <f t="shared" si="74"/>
        <v>-135.00002158525081</v>
      </c>
      <c r="AU116" s="582">
        <f t="shared" si="58"/>
        <v>131.14674726902996</v>
      </c>
      <c r="AV116" s="581"/>
      <c r="AW116" s="583">
        <f t="shared" si="59"/>
        <v>-587.67788998950198</v>
      </c>
      <c r="AX116" s="583">
        <f t="shared" si="60"/>
        <v>-381.82211001049802</v>
      </c>
      <c r="AY116" s="584">
        <f t="shared" si="45"/>
        <v>-17.016124258441366</v>
      </c>
      <c r="AZ116" s="584">
        <f t="shared" si="46"/>
        <v>-24.199751029991297</v>
      </c>
      <c r="BA116" s="585">
        <f t="shared" si="61"/>
        <v>17.016124258441366</v>
      </c>
      <c r="BB116" s="585">
        <f t="shared" si="61"/>
        <v>24.199751029991297</v>
      </c>
      <c r="BC116" s="474">
        <f t="shared" si="62"/>
        <v>0.3</v>
      </c>
      <c r="BE116" s="494">
        <v>9</v>
      </c>
      <c r="BF116" s="945">
        <f t="shared" si="71"/>
        <v>473</v>
      </c>
      <c r="BG116" s="1395">
        <f t="shared" si="72"/>
        <v>473</v>
      </c>
      <c r="BH116" s="946">
        <f t="shared" si="63"/>
        <v>298.03147408336605</v>
      </c>
      <c r="BI116" s="618">
        <f t="shared" si="47"/>
        <v>298.03147408336605</v>
      </c>
      <c r="BJ116" s="618">
        <f t="shared" si="73"/>
        <v>2.9685259166339506</v>
      </c>
      <c r="BK116" s="618" t="b">
        <f t="shared" si="48"/>
        <v>0</v>
      </c>
      <c r="BL116" s="524"/>
      <c r="BM116" s="524"/>
      <c r="BN116" s="524"/>
    </row>
    <row r="117" spans="2:94" ht="21" customHeight="1" thickBot="1" x14ac:dyDescent="0.35">
      <c r="B117" s="631">
        <v>18</v>
      </c>
      <c r="C117" s="612"/>
      <c r="D117" s="1907">
        <v>0</v>
      </c>
      <c r="E117" s="632" t="s">
        <v>147</v>
      </c>
      <c r="F117" s="584">
        <f t="shared" si="64"/>
        <v>0.3</v>
      </c>
      <c r="G117" s="584">
        <f t="shared" si="65"/>
        <v>0.3</v>
      </c>
      <c r="H117" s="633">
        <v>217.52600000000001</v>
      </c>
      <c r="I117" s="634">
        <v>103.27776</v>
      </c>
      <c r="J117" s="586">
        <f t="shared" si="49"/>
        <v>103.27776</v>
      </c>
      <c r="K117" s="586">
        <f t="shared" si="35"/>
        <v>51.63888</v>
      </c>
      <c r="L117" s="586">
        <f t="shared" si="36"/>
        <v>0.78411477781089656</v>
      </c>
      <c r="M117" s="586">
        <f t="shared" si="37"/>
        <v>170.56535115809308</v>
      </c>
      <c r="N117" s="586">
        <f t="shared" si="38"/>
        <v>341.13070231618616</v>
      </c>
      <c r="O117" s="586">
        <f>+C100+D101+D102+D103+D104+D105+D106+D107+D108+D109+D110+D111+D112+D113+D114+D115+D116+(D117/2)</f>
        <v>0</v>
      </c>
      <c r="P117" s="586">
        <f t="shared" si="39"/>
        <v>0</v>
      </c>
      <c r="Q117" s="586">
        <f t="shared" si="40"/>
        <v>0</v>
      </c>
      <c r="R117" s="586">
        <f t="shared" si="50"/>
        <v>135</v>
      </c>
      <c r="S117" s="586">
        <f t="shared" si="66"/>
        <v>135</v>
      </c>
      <c r="T117" s="617">
        <f t="shared" si="41"/>
        <v>135</v>
      </c>
      <c r="V117" s="571">
        <f t="shared" si="42"/>
        <v>0</v>
      </c>
      <c r="W117" s="571"/>
      <c r="X117" s="571"/>
      <c r="Y117" s="571"/>
      <c r="Z117" s="571"/>
      <c r="AA117" s="571"/>
      <c r="AB117" s="635" t="str">
        <f t="shared" si="51"/>
        <v>pin in groundstacking hole</v>
      </c>
      <c r="AC117" s="618" t="b">
        <f>IF(AD117=18,AF117)</f>
        <v>0</v>
      </c>
      <c r="AD117" s="618">
        <f t="shared" si="52"/>
        <v>1</v>
      </c>
      <c r="AE117" s="618">
        <f>IF(V117=0,0,18)</f>
        <v>0</v>
      </c>
      <c r="AF117" s="571">
        <f>SUM(V117:V123)/($B$97-B116)</f>
        <v>0</v>
      </c>
      <c r="AG117" s="571"/>
      <c r="AH117" s="620">
        <f>SUM(D101:D117)+$C$100</f>
        <v>0</v>
      </c>
      <c r="AI117" s="619" t="b">
        <f t="shared" si="75"/>
        <v>0</v>
      </c>
      <c r="AJ117" s="572">
        <f t="shared" si="67"/>
        <v>58.150950000000002</v>
      </c>
      <c r="AK117" s="574">
        <f t="shared" si="44"/>
        <v>0.84944126318315416</v>
      </c>
      <c r="AL117" s="575">
        <f t="shared" si="68"/>
        <v>198.0000015769194</v>
      </c>
      <c r="AM117" s="576">
        <f t="shared" si="53"/>
        <v>38.361121150000002</v>
      </c>
      <c r="AN117" s="577">
        <f t="shared" si="54"/>
        <v>0.62061585119404539</v>
      </c>
      <c r="AO117" s="578">
        <f t="shared" si="69"/>
        <v>135.00002158525081</v>
      </c>
      <c r="AP117" s="627">
        <f t="shared" si="55"/>
        <v>-3.6041962851674847</v>
      </c>
      <c r="AQ117" s="580">
        <f t="shared" si="70"/>
        <v>-1072</v>
      </c>
      <c r="AR117" s="579">
        <f t="shared" si="56"/>
        <v>-1036.5</v>
      </c>
      <c r="AS117" s="580">
        <f t="shared" si="57"/>
        <v>333.00002316217024</v>
      </c>
      <c r="AT117" s="581">
        <f t="shared" si="74"/>
        <v>-135.00002158525081</v>
      </c>
      <c r="AU117" s="582">
        <f t="shared" si="58"/>
        <v>131.39582530008332</v>
      </c>
      <c r="AV117" s="581"/>
      <c r="AW117" s="583">
        <f t="shared" si="59"/>
        <v>-627.51572537365473</v>
      </c>
      <c r="AX117" s="583">
        <f t="shared" si="60"/>
        <v>-408.98427462634521</v>
      </c>
      <c r="AY117" s="584">
        <f t="shared" si="45"/>
        <v>-15.935855621857909</v>
      </c>
      <c r="AZ117" s="584">
        <f t="shared" si="46"/>
        <v>-22.592555687970684</v>
      </c>
      <c r="BA117" s="585">
        <f t="shared" si="61"/>
        <v>15.935855621857909</v>
      </c>
      <c r="BB117" s="585">
        <f t="shared" si="61"/>
        <v>22.592555687970684</v>
      </c>
      <c r="BC117" s="474">
        <f t="shared" si="62"/>
        <v>0.3</v>
      </c>
      <c r="BE117" s="494">
        <v>10</v>
      </c>
      <c r="BF117" s="945">
        <f t="shared" si="71"/>
        <v>516</v>
      </c>
      <c r="BG117" s="1395">
        <f t="shared" si="72"/>
        <v>516</v>
      </c>
      <c r="BH117" s="946">
        <f t="shared" si="63"/>
        <v>341.03147408336605</v>
      </c>
      <c r="BI117" s="618">
        <f t="shared" si="47"/>
        <v>341.03147408336605</v>
      </c>
      <c r="BJ117" s="618">
        <f t="shared" si="73"/>
        <v>2.9685259166339506</v>
      </c>
      <c r="BK117" s="618" t="b">
        <f t="shared" si="48"/>
        <v>0</v>
      </c>
      <c r="BL117" s="524"/>
      <c r="BM117" s="524"/>
      <c r="BN117" s="524"/>
    </row>
    <row r="118" spans="2:94" ht="21" customHeight="1" thickBot="1" x14ac:dyDescent="0.35">
      <c r="B118" s="631">
        <v>19</v>
      </c>
      <c r="C118" s="612"/>
      <c r="D118" s="1949">
        <v>0</v>
      </c>
      <c r="E118" s="632" t="s">
        <v>147</v>
      </c>
      <c r="F118" s="584">
        <f t="shared" si="64"/>
        <v>0.3</v>
      </c>
      <c r="G118" s="584">
        <f t="shared" si="65"/>
        <v>0.3</v>
      </c>
      <c r="H118" s="633">
        <v>217.52600000000001</v>
      </c>
      <c r="I118" s="634">
        <v>103.27776</v>
      </c>
      <c r="J118" s="586">
        <f t="shared" si="49"/>
        <v>103.27776</v>
      </c>
      <c r="K118" s="586">
        <f t="shared" si="35"/>
        <v>51.63888</v>
      </c>
      <c r="L118" s="586">
        <f t="shared" si="36"/>
        <v>0.78411477781089656</v>
      </c>
      <c r="M118" s="586">
        <f t="shared" si="37"/>
        <v>170.56535115809308</v>
      </c>
      <c r="N118" s="586">
        <f t="shared" si="38"/>
        <v>341.13070231618616</v>
      </c>
      <c r="O118" s="586">
        <f>+C100+D101+D102+D103+D104+D105+D106+D107+D108+D109+D110+D111+D112+D113+D114+D115+D116+D117+(D118/2)</f>
        <v>0</v>
      </c>
      <c r="P118" s="586">
        <f t="shared" si="39"/>
        <v>0</v>
      </c>
      <c r="Q118" s="586">
        <f t="shared" si="40"/>
        <v>0</v>
      </c>
      <c r="R118" s="586">
        <f t="shared" si="50"/>
        <v>135</v>
      </c>
      <c r="S118" s="586">
        <f t="shared" si="66"/>
        <v>135</v>
      </c>
      <c r="T118" s="617">
        <f t="shared" si="41"/>
        <v>135</v>
      </c>
      <c r="V118" s="571">
        <f t="shared" si="42"/>
        <v>0</v>
      </c>
      <c r="W118" s="571"/>
      <c r="X118" s="571"/>
      <c r="Y118" s="571"/>
      <c r="Z118" s="571"/>
      <c r="AA118" s="571"/>
      <c r="AB118" s="635" t="str">
        <f t="shared" si="51"/>
        <v>pin in groundstacking hole</v>
      </c>
      <c r="AC118" s="618" t="b">
        <f>IF(AD118=19,AF118)</f>
        <v>0</v>
      </c>
      <c r="AD118" s="618">
        <f t="shared" si="52"/>
        <v>1</v>
      </c>
      <c r="AE118" s="618">
        <f>IF(V118=0,0,19)</f>
        <v>0</v>
      </c>
      <c r="AF118" s="571">
        <f>SUM(V118:V123)/($B$97-B117)</f>
        <v>0</v>
      </c>
      <c r="AG118" s="571"/>
      <c r="AH118" s="620">
        <f>SUM(D100:D118)+$C$100</f>
        <v>0</v>
      </c>
      <c r="AI118" s="619" t="b">
        <f t="shared" si="75"/>
        <v>0</v>
      </c>
      <c r="AJ118" s="572">
        <f t="shared" si="67"/>
        <v>58.150950000000002</v>
      </c>
      <c r="AK118" s="574">
        <f t="shared" si="44"/>
        <v>0.84944126318315416</v>
      </c>
      <c r="AL118" s="575">
        <f t="shared" si="68"/>
        <v>198.0000015769194</v>
      </c>
      <c r="AM118" s="576">
        <f t="shared" si="53"/>
        <v>38.361121150000002</v>
      </c>
      <c r="AN118" s="577">
        <f t="shared" si="54"/>
        <v>0.62061585119404539</v>
      </c>
      <c r="AO118" s="578">
        <f t="shared" si="69"/>
        <v>135.00002158525081</v>
      </c>
      <c r="AP118" s="627">
        <f t="shared" si="55"/>
        <v>-3.3853642497291325</v>
      </c>
      <c r="AQ118" s="580">
        <f t="shared" si="70"/>
        <v>-1139</v>
      </c>
      <c r="AR118" s="579">
        <f t="shared" si="56"/>
        <v>-1103.5</v>
      </c>
      <c r="AS118" s="580">
        <f t="shared" si="57"/>
        <v>333.00002316217024</v>
      </c>
      <c r="AT118" s="581">
        <f t="shared" si="74"/>
        <v>-135.00002158525081</v>
      </c>
      <c r="AU118" s="582">
        <f t="shared" si="58"/>
        <v>131.61465733552168</v>
      </c>
      <c r="AV118" s="581"/>
      <c r="AW118" s="583">
        <f t="shared" si="59"/>
        <v>-667.35356075780749</v>
      </c>
      <c r="AX118" s="583">
        <f t="shared" si="60"/>
        <v>-436.14643924219251</v>
      </c>
      <c r="AY118" s="584">
        <f t="shared" si="45"/>
        <v>-14.984560790601893</v>
      </c>
      <c r="AZ118" s="584">
        <f t="shared" si="46"/>
        <v>-21.185544965251957</v>
      </c>
      <c r="BA118" s="585">
        <f t="shared" si="61"/>
        <v>14.984560790601893</v>
      </c>
      <c r="BB118" s="585">
        <f t="shared" si="61"/>
        <v>21.185544965251957</v>
      </c>
      <c r="BC118" s="474">
        <f t="shared" si="62"/>
        <v>0.3</v>
      </c>
      <c r="BE118" s="494">
        <v>-1</v>
      </c>
      <c r="BF118" s="945">
        <f t="shared" si="71"/>
        <v>559</v>
      </c>
      <c r="BG118" s="1395">
        <f t="shared" si="72"/>
        <v>559</v>
      </c>
      <c r="BH118" s="946">
        <f t="shared" si="63"/>
        <v>384.03147408336605</v>
      </c>
      <c r="BI118" s="618">
        <f t="shared" si="47"/>
        <v>384.03147408336605</v>
      </c>
      <c r="BJ118" s="618">
        <f t="shared" si="73"/>
        <v>2.9685259166339506</v>
      </c>
      <c r="BK118" s="618" t="b">
        <f t="shared" si="48"/>
        <v>0</v>
      </c>
      <c r="BL118" s="524"/>
      <c r="BM118" s="524"/>
      <c r="BN118" s="524"/>
    </row>
    <row r="119" spans="2:94" ht="21" customHeight="1" thickBot="1" x14ac:dyDescent="0.35">
      <c r="B119" s="631">
        <v>20</v>
      </c>
      <c r="C119" s="612"/>
      <c r="D119" s="1907">
        <v>0</v>
      </c>
      <c r="E119" s="632" t="s">
        <v>147</v>
      </c>
      <c r="F119" s="584">
        <f t="shared" si="64"/>
        <v>0.3</v>
      </c>
      <c r="G119" s="584">
        <f t="shared" si="65"/>
        <v>0.3</v>
      </c>
      <c r="H119" s="633">
        <v>217.52600000000001</v>
      </c>
      <c r="I119" s="634">
        <v>103.27776</v>
      </c>
      <c r="J119" s="586">
        <f t="shared" si="49"/>
        <v>103.27776</v>
      </c>
      <c r="K119" s="586">
        <f t="shared" si="35"/>
        <v>51.63888</v>
      </c>
      <c r="L119" s="586">
        <f t="shared" si="36"/>
        <v>0.78411477781089656</v>
      </c>
      <c r="M119" s="586">
        <f t="shared" si="37"/>
        <v>170.56535115809308</v>
      </c>
      <c r="N119" s="586">
        <f t="shared" si="38"/>
        <v>341.13070231618616</v>
      </c>
      <c r="O119" s="586">
        <f>+C100+D101+D102+D103+D104+D105+D106+D107+D108+D109+D110+D111+D112+D113+D114+D115+D116+D117+D118+(D119/2)</f>
        <v>0</v>
      </c>
      <c r="P119" s="586">
        <f t="shared" si="39"/>
        <v>0</v>
      </c>
      <c r="Q119" s="586">
        <f t="shared" si="40"/>
        <v>0</v>
      </c>
      <c r="R119" s="586">
        <f t="shared" si="50"/>
        <v>135</v>
      </c>
      <c r="S119" s="586">
        <f t="shared" si="66"/>
        <v>135</v>
      </c>
      <c r="T119" s="617">
        <f t="shared" si="41"/>
        <v>135</v>
      </c>
      <c r="V119" s="571">
        <f t="shared" si="42"/>
        <v>0</v>
      </c>
      <c r="W119" s="571"/>
      <c r="X119" s="571"/>
      <c r="Y119" s="571"/>
      <c r="Z119" s="571"/>
      <c r="AA119" s="571"/>
      <c r="AB119" s="635" t="str">
        <f t="shared" si="51"/>
        <v>pin in groundstacking hole</v>
      </c>
      <c r="AC119" s="618" t="b">
        <f>IF(AD119=20,AF119)</f>
        <v>0</v>
      </c>
      <c r="AD119" s="618">
        <f t="shared" si="52"/>
        <v>1</v>
      </c>
      <c r="AE119" s="618">
        <f>IF(V119=0,0,20)</f>
        <v>0</v>
      </c>
      <c r="AF119" s="571">
        <f>SUM(V119:V123)/($B$97-B118)</f>
        <v>0</v>
      </c>
      <c r="AG119" s="571"/>
      <c r="AH119" s="620">
        <f>SUM(D101:D119)+$C$100</f>
        <v>0</v>
      </c>
      <c r="AI119" s="619" t="b">
        <f t="shared" si="75"/>
        <v>0</v>
      </c>
      <c r="AJ119" s="572">
        <f t="shared" si="67"/>
        <v>58.150950000000002</v>
      </c>
      <c r="AK119" s="574">
        <f t="shared" si="44"/>
        <v>0.84944126318315416</v>
      </c>
      <c r="AL119" s="575">
        <f t="shared" si="68"/>
        <v>198.0000015769194</v>
      </c>
      <c r="AM119" s="576">
        <f t="shared" si="53"/>
        <v>38.361121150000002</v>
      </c>
      <c r="AN119" s="577">
        <f t="shared" si="54"/>
        <v>0.62061585119404539</v>
      </c>
      <c r="AO119" s="578">
        <f t="shared" si="69"/>
        <v>135.00002158525081</v>
      </c>
      <c r="AP119" s="627">
        <f t="shared" si="55"/>
        <v>-3.1915843225767602</v>
      </c>
      <c r="AQ119" s="580">
        <f t="shared" si="70"/>
        <v>-1206</v>
      </c>
      <c r="AR119" s="579">
        <f t="shared" si="56"/>
        <v>-1170.5</v>
      </c>
      <c r="AS119" s="580">
        <f t="shared" si="57"/>
        <v>333.00002316217024</v>
      </c>
      <c r="AT119" s="581">
        <f t="shared" si="74"/>
        <v>-135.00002158525081</v>
      </c>
      <c r="AU119" s="582">
        <f t="shared" si="58"/>
        <v>131.80843726267403</v>
      </c>
      <c r="AV119" s="581"/>
      <c r="AW119" s="583">
        <f t="shared" si="59"/>
        <v>-707.19139614196035</v>
      </c>
      <c r="AX119" s="583">
        <f t="shared" si="60"/>
        <v>-463.30860385803965</v>
      </c>
      <c r="AY119" s="584">
        <f t="shared" si="45"/>
        <v>-14.140443527105097</v>
      </c>
      <c r="AZ119" s="584">
        <f t="shared" si="46"/>
        <v>-19.943510487517706</v>
      </c>
      <c r="BA119" s="585">
        <f t="shared" si="61"/>
        <v>14.140443527105097</v>
      </c>
      <c r="BB119" s="585">
        <f t="shared" si="61"/>
        <v>19.943510487517706</v>
      </c>
      <c r="BC119" s="474">
        <f t="shared" si="62"/>
        <v>0.3</v>
      </c>
      <c r="BE119" s="494">
        <v>-2</v>
      </c>
      <c r="BF119" s="945">
        <f t="shared" si="71"/>
        <v>602</v>
      </c>
      <c r="BG119" s="1395">
        <f t="shared" si="72"/>
        <v>602</v>
      </c>
      <c r="BH119" s="946">
        <f t="shared" si="63"/>
        <v>427.03147408336605</v>
      </c>
      <c r="BI119" s="618">
        <f t="shared" si="47"/>
        <v>427.03147408336605</v>
      </c>
      <c r="BJ119" s="618">
        <f t="shared" si="73"/>
        <v>2.9685259166339506</v>
      </c>
      <c r="BK119" s="618" t="b">
        <f t="shared" si="48"/>
        <v>0</v>
      </c>
      <c r="BL119" s="524"/>
      <c r="BM119" s="524"/>
      <c r="BN119" s="524"/>
    </row>
    <row r="120" spans="2:94" ht="21" customHeight="1" thickBot="1" x14ac:dyDescent="0.35">
      <c r="B120" s="631">
        <v>21</v>
      </c>
      <c r="C120" s="612"/>
      <c r="D120" s="1907">
        <v>0</v>
      </c>
      <c r="E120" s="632" t="s">
        <v>147</v>
      </c>
      <c r="F120" s="584">
        <f t="shared" si="64"/>
        <v>0.3</v>
      </c>
      <c r="G120" s="584">
        <f t="shared" si="65"/>
        <v>0.3</v>
      </c>
      <c r="H120" s="633">
        <v>217.52600000000001</v>
      </c>
      <c r="I120" s="634">
        <v>103.27776</v>
      </c>
      <c r="J120" s="586">
        <f t="shared" si="49"/>
        <v>103.27776</v>
      </c>
      <c r="K120" s="586">
        <f t="shared" si="35"/>
        <v>51.63888</v>
      </c>
      <c r="L120" s="586">
        <f t="shared" si="36"/>
        <v>0.78411477781089656</v>
      </c>
      <c r="M120" s="586">
        <f t="shared" si="37"/>
        <v>170.56535115809308</v>
      </c>
      <c r="N120" s="586">
        <f t="shared" si="38"/>
        <v>341.13070231618616</v>
      </c>
      <c r="O120" s="586">
        <f>+C100+D101+D102+D103+D104+D105+D106+D107+D108+D109+D110+D111+D112+D113+D114+D115+D116+D117+D118+D119+(D120/2)</f>
        <v>0</v>
      </c>
      <c r="P120" s="586">
        <f t="shared" si="39"/>
        <v>0</v>
      </c>
      <c r="Q120" s="586">
        <f t="shared" si="40"/>
        <v>0</v>
      </c>
      <c r="R120" s="586">
        <f t="shared" si="50"/>
        <v>135</v>
      </c>
      <c r="S120" s="586">
        <f t="shared" si="66"/>
        <v>135</v>
      </c>
      <c r="T120" s="617">
        <f t="shared" si="41"/>
        <v>135</v>
      </c>
      <c r="V120" s="571">
        <f t="shared" si="42"/>
        <v>0</v>
      </c>
      <c r="W120" s="571"/>
      <c r="X120" s="571"/>
      <c r="Y120" s="571"/>
      <c r="Z120" s="571"/>
      <c r="AA120" s="571"/>
      <c r="AB120" s="635" t="str">
        <f t="shared" si="51"/>
        <v>pin in groundstacking hole</v>
      </c>
      <c r="AC120" s="618" t="b">
        <f>IF(AD120=21,AF120)</f>
        <v>0</v>
      </c>
      <c r="AD120" s="618">
        <f t="shared" si="52"/>
        <v>1</v>
      </c>
      <c r="AE120" s="618">
        <f>IF(V120=0,0,21)</f>
        <v>0</v>
      </c>
      <c r="AF120" s="571">
        <f>SUM(V120:V123)/($B$97-B119)</f>
        <v>0</v>
      </c>
      <c r="AG120" s="571"/>
      <c r="AH120" s="620">
        <f>SUM(D101:D120)+$C$100</f>
        <v>0</v>
      </c>
      <c r="AI120" s="619" t="b">
        <f t="shared" si="75"/>
        <v>0</v>
      </c>
      <c r="AJ120" s="572">
        <f t="shared" si="67"/>
        <v>58.150950000000002</v>
      </c>
      <c r="AK120" s="574">
        <f t="shared" si="44"/>
        <v>0.84944126318315416</v>
      </c>
      <c r="AL120" s="575">
        <f t="shared" si="68"/>
        <v>198.0000015769194</v>
      </c>
      <c r="AM120" s="576">
        <f t="shared" si="53"/>
        <v>38.361121150000002</v>
      </c>
      <c r="AN120" s="577">
        <f t="shared" si="54"/>
        <v>0.62061585119404539</v>
      </c>
      <c r="AO120" s="578">
        <f t="shared" si="69"/>
        <v>135.00002158525081</v>
      </c>
      <c r="AP120" s="627">
        <f t="shared" si="55"/>
        <v>-3.0187874340008873</v>
      </c>
      <c r="AQ120" s="580">
        <f t="shared" si="70"/>
        <v>-1273</v>
      </c>
      <c r="AR120" s="579">
        <f t="shared" si="56"/>
        <v>-1237.5</v>
      </c>
      <c r="AS120" s="580">
        <f t="shared" si="57"/>
        <v>333.00002316217024</v>
      </c>
      <c r="AT120" s="581">
        <f t="shared" si="74"/>
        <v>-135.00002158525081</v>
      </c>
      <c r="AU120" s="582">
        <f t="shared" si="58"/>
        <v>131.98123415124991</v>
      </c>
      <c r="AV120" s="581"/>
      <c r="AW120" s="583">
        <f t="shared" si="59"/>
        <v>-747.02923152611311</v>
      </c>
      <c r="AX120" s="583">
        <f t="shared" si="60"/>
        <v>-490.47076847388689</v>
      </c>
      <c r="AY120" s="584">
        <f t="shared" si="45"/>
        <v>-13.386357023233087</v>
      </c>
      <c r="AZ120" s="584">
        <f t="shared" si="46"/>
        <v>-18.839043208936815</v>
      </c>
      <c r="BA120" s="585">
        <f t="shared" si="61"/>
        <v>13.386357023233087</v>
      </c>
      <c r="BB120" s="585">
        <f t="shared" si="61"/>
        <v>18.839043208936815</v>
      </c>
      <c r="BC120" s="474">
        <f t="shared" si="62"/>
        <v>0.3</v>
      </c>
      <c r="BE120" s="494">
        <v>-3</v>
      </c>
      <c r="BF120" s="945">
        <f t="shared" si="71"/>
        <v>645</v>
      </c>
      <c r="BG120" s="1395">
        <f t="shared" si="72"/>
        <v>645</v>
      </c>
      <c r="BH120" s="946">
        <f t="shared" si="63"/>
        <v>470.03147408336605</v>
      </c>
      <c r="BI120" s="618">
        <f t="shared" si="47"/>
        <v>470.03147408336605</v>
      </c>
      <c r="BJ120" s="618">
        <f t="shared" si="73"/>
        <v>2.9685259166339506</v>
      </c>
      <c r="BK120" s="618" t="b">
        <f t="shared" si="48"/>
        <v>0</v>
      </c>
      <c r="BL120" s="524"/>
      <c r="BM120" s="524"/>
      <c r="BN120" s="524"/>
    </row>
    <row r="121" spans="2:94" ht="21" customHeight="1" thickBot="1" x14ac:dyDescent="0.35">
      <c r="B121" s="631">
        <v>22</v>
      </c>
      <c r="C121" s="612"/>
      <c r="D121" s="1907">
        <v>0</v>
      </c>
      <c r="E121" s="632" t="s">
        <v>147</v>
      </c>
      <c r="F121" s="584">
        <f t="shared" si="64"/>
        <v>0.3</v>
      </c>
      <c r="G121" s="584">
        <f t="shared" si="65"/>
        <v>0.3</v>
      </c>
      <c r="H121" s="633">
        <v>217.52600000000001</v>
      </c>
      <c r="I121" s="634">
        <v>103.27776</v>
      </c>
      <c r="J121" s="586">
        <f t="shared" si="49"/>
        <v>103.27776</v>
      </c>
      <c r="K121" s="586">
        <f t="shared" si="35"/>
        <v>51.63888</v>
      </c>
      <c r="L121" s="586">
        <f t="shared" si="36"/>
        <v>0.78411477781089656</v>
      </c>
      <c r="M121" s="586">
        <f t="shared" si="37"/>
        <v>170.56535115809308</v>
      </c>
      <c r="N121" s="586">
        <f t="shared" si="38"/>
        <v>341.13070231618616</v>
      </c>
      <c r="O121" s="586">
        <f>+C100+D101+D102+D103+D104+D105+D106+D107+D108+D109+D110+D111+D112+D113+D114+D115+D116+D117+D118+D119+D120+(D121/2)</f>
        <v>0</v>
      </c>
      <c r="P121" s="586">
        <f t="shared" si="39"/>
        <v>0</v>
      </c>
      <c r="Q121" s="586">
        <f t="shared" si="40"/>
        <v>0</v>
      </c>
      <c r="R121" s="586">
        <f t="shared" si="50"/>
        <v>135</v>
      </c>
      <c r="S121" s="586">
        <f t="shared" si="66"/>
        <v>135</v>
      </c>
      <c r="T121" s="617">
        <f t="shared" si="41"/>
        <v>135</v>
      </c>
      <c r="V121" s="571">
        <f t="shared" si="42"/>
        <v>0</v>
      </c>
      <c r="W121" s="571"/>
      <c r="X121" s="571"/>
      <c r="Y121" s="571"/>
      <c r="Z121" s="571"/>
      <c r="AA121" s="571"/>
      <c r="AB121" s="635" t="str">
        <f t="shared" si="51"/>
        <v>pin in groundstacking hole</v>
      </c>
      <c r="AC121" s="618" t="b">
        <f>IF(AD121=22,AF121)</f>
        <v>0</v>
      </c>
      <c r="AD121" s="618">
        <f t="shared" si="52"/>
        <v>1</v>
      </c>
      <c r="AE121" s="618">
        <f>IF(V121=0,0,22)</f>
        <v>0</v>
      </c>
      <c r="AF121" s="571">
        <f>SUM(V121:V123)/($B$97-B120)</f>
        <v>0</v>
      </c>
      <c r="AG121" s="571"/>
      <c r="AH121" s="620">
        <f>SUM(D101:D121)+$C$100</f>
        <v>0</v>
      </c>
      <c r="AI121" s="619" t="b">
        <f t="shared" si="75"/>
        <v>0</v>
      </c>
      <c r="AJ121" s="572">
        <f t="shared" si="67"/>
        <v>58.150950000000002</v>
      </c>
      <c r="AK121" s="574">
        <f t="shared" si="44"/>
        <v>0.84944126318315416</v>
      </c>
      <c r="AL121" s="575">
        <f t="shared" si="68"/>
        <v>198.0000015769194</v>
      </c>
      <c r="AM121" s="576">
        <f t="shared" si="53"/>
        <v>38.361121150000002</v>
      </c>
      <c r="AN121" s="577">
        <f t="shared" si="54"/>
        <v>0.62061585119404539</v>
      </c>
      <c r="AO121" s="578">
        <f t="shared" si="69"/>
        <v>135.00002158525081</v>
      </c>
      <c r="AP121" s="627">
        <f t="shared" si="55"/>
        <v>-2.8637404749529307</v>
      </c>
      <c r="AQ121" s="580">
        <f t="shared" si="70"/>
        <v>-1340</v>
      </c>
      <c r="AR121" s="579">
        <f t="shared" si="56"/>
        <v>-1304.5</v>
      </c>
      <c r="AS121" s="580">
        <f t="shared" si="57"/>
        <v>333.00002316217024</v>
      </c>
      <c r="AT121" s="581">
        <f t="shared" si="74"/>
        <v>-135.00002158525081</v>
      </c>
      <c r="AU121" s="582">
        <f t="shared" si="58"/>
        <v>132.13628111029789</v>
      </c>
      <c r="AV121" s="581"/>
      <c r="AW121" s="583">
        <f t="shared" si="59"/>
        <v>-786.86706691026575</v>
      </c>
      <c r="AX121" s="583">
        <f t="shared" si="60"/>
        <v>-517.63293308973414</v>
      </c>
      <c r="AY121" s="584">
        <f t="shared" si="45"/>
        <v>-12.708626933982991</v>
      </c>
      <c r="AZ121" s="584">
        <f t="shared" si="46"/>
        <v>-17.850487110328821</v>
      </c>
      <c r="BA121" s="585">
        <f t="shared" si="61"/>
        <v>12.708626933982991</v>
      </c>
      <c r="BB121" s="585">
        <f t="shared" si="61"/>
        <v>17.850487110328821</v>
      </c>
      <c r="BC121" s="474">
        <f t="shared" si="62"/>
        <v>0.3</v>
      </c>
      <c r="BE121" s="494">
        <v>-4</v>
      </c>
      <c r="BF121" s="945">
        <f t="shared" si="71"/>
        <v>688</v>
      </c>
      <c r="BG121" s="1395">
        <f t="shared" si="72"/>
        <v>688</v>
      </c>
      <c r="BH121" s="946">
        <f t="shared" si="63"/>
        <v>513.03147408336599</v>
      </c>
      <c r="BI121" s="618">
        <f t="shared" si="47"/>
        <v>513.03147408336599</v>
      </c>
      <c r="BJ121" s="618">
        <f t="shared" si="73"/>
        <v>2.9685259166339506</v>
      </c>
      <c r="BK121" s="618" t="b">
        <f t="shared" si="48"/>
        <v>0</v>
      </c>
      <c r="BL121" s="524"/>
      <c r="BM121" s="524"/>
      <c r="BN121" s="524"/>
    </row>
    <row r="122" spans="2:94" ht="21" customHeight="1" thickBot="1" x14ac:dyDescent="0.35">
      <c r="B122" s="631">
        <v>23</v>
      </c>
      <c r="C122" s="612"/>
      <c r="D122" s="1907">
        <v>0</v>
      </c>
      <c r="E122" s="632" t="s">
        <v>147</v>
      </c>
      <c r="F122" s="584">
        <f t="shared" si="64"/>
        <v>0.3</v>
      </c>
      <c r="G122" s="584">
        <f t="shared" si="65"/>
        <v>0.3</v>
      </c>
      <c r="H122" s="633">
        <v>217.52600000000001</v>
      </c>
      <c r="I122" s="634">
        <v>103.27776</v>
      </c>
      <c r="J122" s="586">
        <f t="shared" si="49"/>
        <v>103.27776</v>
      </c>
      <c r="K122" s="586">
        <f t="shared" si="35"/>
        <v>51.63888</v>
      </c>
      <c r="L122" s="586">
        <f t="shared" si="36"/>
        <v>0.78411477781089656</v>
      </c>
      <c r="M122" s="586">
        <f t="shared" si="37"/>
        <v>170.56535115809308</v>
      </c>
      <c r="N122" s="586">
        <f t="shared" si="38"/>
        <v>341.13070231618616</v>
      </c>
      <c r="O122" s="586">
        <f>+C100+D101+D102+D103+D104+D105+D106+D107+D108+D109+D110+D111+D112+D113+D114+D115+D116+D117+D118+D119+D120+D121+(D122/2)</f>
        <v>0</v>
      </c>
      <c r="P122" s="586">
        <f t="shared" si="39"/>
        <v>0</v>
      </c>
      <c r="Q122" s="586">
        <f t="shared" si="40"/>
        <v>0</v>
      </c>
      <c r="R122" s="586">
        <f t="shared" si="50"/>
        <v>135</v>
      </c>
      <c r="S122" s="586">
        <f t="shared" si="66"/>
        <v>135</v>
      </c>
      <c r="T122" s="617">
        <f t="shared" si="41"/>
        <v>135</v>
      </c>
      <c r="V122" s="571">
        <f t="shared" si="42"/>
        <v>0</v>
      </c>
      <c r="W122" s="571"/>
      <c r="X122" s="571"/>
      <c r="Y122" s="571"/>
      <c r="Z122" s="571"/>
      <c r="AA122" s="571"/>
      <c r="AB122" s="635" t="str">
        <f t="shared" si="51"/>
        <v>pin in groundstacking hole</v>
      </c>
      <c r="AC122" s="618" t="b">
        <f>IF(AD122=23,AF122)</f>
        <v>0</v>
      </c>
      <c r="AD122" s="618">
        <f t="shared" si="52"/>
        <v>1</v>
      </c>
      <c r="AE122" s="618">
        <f>IF(V122=0,0,23)</f>
        <v>0</v>
      </c>
      <c r="AF122" s="571">
        <f>SUM(V122:V123)/($B$97-B121)</f>
        <v>0</v>
      </c>
      <c r="AG122" s="571"/>
      <c r="AH122" s="620">
        <f>SUM(D101:D122)+$C$100</f>
        <v>0</v>
      </c>
      <c r="AI122" s="619" t="b">
        <f t="shared" si="75"/>
        <v>0</v>
      </c>
      <c r="AJ122" s="572">
        <f t="shared" si="67"/>
        <v>58.150950000000002</v>
      </c>
      <c r="AK122" s="574">
        <f t="shared" si="44"/>
        <v>0.84944126318315416</v>
      </c>
      <c r="AL122" s="575">
        <f t="shared" si="68"/>
        <v>198.0000015769194</v>
      </c>
      <c r="AM122" s="576">
        <f t="shared" si="53"/>
        <v>38.361121150000002</v>
      </c>
      <c r="AN122" s="577">
        <f t="shared" si="54"/>
        <v>0.62061585119404539</v>
      </c>
      <c r="AO122" s="578">
        <f t="shared" si="69"/>
        <v>135.00002158525081</v>
      </c>
      <c r="AP122" s="627">
        <f t="shared" si="55"/>
        <v>-2.7238421068728385</v>
      </c>
      <c r="AQ122" s="580">
        <f t="shared" si="70"/>
        <v>-1407</v>
      </c>
      <c r="AR122" s="579">
        <f t="shared" si="56"/>
        <v>-1371.5</v>
      </c>
      <c r="AS122" s="580">
        <f t="shared" si="57"/>
        <v>333.00002316217024</v>
      </c>
      <c r="AT122" s="581">
        <f t="shared" si="74"/>
        <v>-135.00002158525081</v>
      </c>
      <c r="AU122" s="582">
        <f t="shared" si="58"/>
        <v>132.27617947837797</v>
      </c>
      <c r="AV122" s="581"/>
      <c r="AW122" s="583">
        <f t="shared" si="59"/>
        <v>-826.70490229441873</v>
      </c>
      <c r="AX122" s="583">
        <f t="shared" si="60"/>
        <v>-544.79509770558127</v>
      </c>
      <c r="AY122" s="584">
        <f t="shared" si="45"/>
        <v>-12.096214710044924</v>
      </c>
      <c r="AZ122" s="584">
        <f t="shared" si="46"/>
        <v>-16.960505039260632</v>
      </c>
      <c r="BA122" s="585">
        <f t="shared" si="61"/>
        <v>12.096214710044924</v>
      </c>
      <c r="BB122" s="585">
        <f t="shared" si="61"/>
        <v>16.960505039260632</v>
      </c>
      <c r="BC122" s="474">
        <f t="shared" si="62"/>
        <v>0.3</v>
      </c>
      <c r="BE122" s="494">
        <v>-5</v>
      </c>
      <c r="BF122" s="945">
        <f t="shared" si="71"/>
        <v>731</v>
      </c>
      <c r="BG122" s="1395">
        <f t="shared" si="72"/>
        <v>731</v>
      </c>
      <c r="BH122" s="946">
        <f t="shared" si="63"/>
        <v>556.03147408336599</v>
      </c>
      <c r="BI122" s="618">
        <f t="shared" si="47"/>
        <v>556.03147408336599</v>
      </c>
      <c r="BJ122" s="618">
        <f t="shared" si="73"/>
        <v>2.9685259166339506</v>
      </c>
      <c r="BK122" s="618" t="b">
        <f t="shared" si="48"/>
        <v>0</v>
      </c>
      <c r="BL122" s="524"/>
      <c r="BM122" s="524"/>
      <c r="BN122" s="524"/>
    </row>
    <row r="123" spans="2:94" ht="21" customHeight="1" thickBot="1" x14ac:dyDescent="0.35">
      <c r="B123" s="631">
        <v>24</v>
      </c>
      <c r="C123" s="612"/>
      <c r="D123" s="1907">
        <v>0</v>
      </c>
      <c r="E123" s="632" t="s">
        <v>147</v>
      </c>
      <c r="F123" s="584">
        <f t="shared" si="64"/>
        <v>0.3</v>
      </c>
      <c r="G123" s="584">
        <f t="shared" si="65"/>
        <v>0.3</v>
      </c>
      <c r="H123" s="633">
        <v>217.52600000000001</v>
      </c>
      <c r="I123" s="634">
        <v>103.27776</v>
      </c>
      <c r="J123" s="586">
        <f t="shared" si="49"/>
        <v>103.27776</v>
      </c>
      <c r="K123" s="586">
        <f t="shared" si="35"/>
        <v>51.63888</v>
      </c>
      <c r="L123" s="586">
        <f t="shared" si="36"/>
        <v>0.78411477781089656</v>
      </c>
      <c r="M123" s="586">
        <f t="shared" si="37"/>
        <v>170.56535115809308</v>
      </c>
      <c r="N123" s="586">
        <f t="shared" si="38"/>
        <v>341.13070231618616</v>
      </c>
      <c r="O123" s="586">
        <f>+SUM(D101:D122)+(D123/2)+C100</f>
        <v>0</v>
      </c>
      <c r="P123" s="586">
        <f t="shared" si="39"/>
        <v>0</v>
      </c>
      <c r="Q123" s="586">
        <f t="shared" si="40"/>
        <v>0</v>
      </c>
      <c r="R123" s="586">
        <f t="shared" si="50"/>
        <v>135</v>
      </c>
      <c r="S123" s="586">
        <f t="shared" si="66"/>
        <v>135</v>
      </c>
      <c r="T123" s="617">
        <f t="shared" si="41"/>
        <v>135</v>
      </c>
      <c r="V123" s="571">
        <f t="shared" si="42"/>
        <v>0</v>
      </c>
      <c r="W123" s="571"/>
      <c r="X123" s="571"/>
      <c r="Y123" s="571"/>
      <c r="Z123" s="571"/>
      <c r="AA123" s="571"/>
      <c r="AB123" s="635" t="str">
        <f t="shared" si="51"/>
        <v>pin in groundstacking hole</v>
      </c>
      <c r="AC123" s="618" t="b">
        <f>IF(AD123=24,AF123)</f>
        <v>0</v>
      </c>
      <c r="AD123" s="618">
        <f t="shared" si="52"/>
        <v>1</v>
      </c>
      <c r="AE123" s="618">
        <f>IF(V123=0,0,24)</f>
        <v>0</v>
      </c>
      <c r="AF123" s="571">
        <f>SUM(V123)/($B$97-B122)</f>
        <v>0</v>
      </c>
      <c r="AG123" s="571"/>
      <c r="AH123" s="620">
        <f>SUM(D101:D123)+$C$100</f>
        <v>0</v>
      </c>
      <c r="AI123" s="619" t="b">
        <f t="shared" si="75"/>
        <v>0</v>
      </c>
      <c r="AJ123" s="572">
        <f t="shared" si="67"/>
        <v>58.150950000000002</v>
      </c>
      <c r="AK123" s="574">
        <f t="shared" si="44"/>
        <v>0.84944126318315416</v>
      </c>
      <c r="AL123" s="575">
        <f t="shared" si="68"/>
        <v>198.0000015769194</v>
      </c>
      <c r="AM123" s="576">
        <f t="shared" si="53"/>
        <v>38.361121150000002</v>
      </c>
      <c r="AN123" s="577">
        <f t="shared" si="54"/>
        <v>0.62061585119404539</v>
      </c>
      <c r="AO123" s="626">
        <f t="shared" si="69"/>
        <v>135.00002158525081</v>
      </c>
      <c r="AP123" s="627">
        <f t="shared" si="55"/>
        <v>-2.5969756340466446</v>
      </c>
      <c r="AQ123" s="580">
        <f t="shared" si="70"/>
        <v>-1474</v>
      </c>
      <c r="AR123" s="579">
        <f t="shared" si="56"/>
        <v>-1438.5</v>
      </c>
      <c r="AS123" s="580">
        <f t="shared" si="57"/>
        <v>333.00002316217024</v>
      </c>
      <c r="AT123" s="581">
        <f t="shared" si="74"/>
        <v>-135.00002158525081</v>
      </c>
      <c r="AU123" s="582">
        <f t="shared" si="58"/>
        <v>132.40304595120415</v>
      </c>
      <c r="AV123" s="581"/>
      <c r="AW123" s="583">
        <f t="shared" si="59"/>
        <v>-866.5427376785716</v>
      </c>
      <c r="AX123" s="583">
        <f t="shared" si="60"/>
        <v>-571.95726232142852</v>
      </c>
      <c r="AY123" s="584">
        <f t="shared" si="45"/>
        <v>-11.540111716577931</v>
      </c>
      <c r="AZ123" s="584">
        <f t="shared" si="46"/>
        <v>-16.155053198375693</v>
      </c>
      <c r="BA123" s="585">
        <f t="shared" si="61"/>
        <v>11.540111716577931</v>
      </c>
      <c r="BB123" s="585">
        <f t="shared" si="61"/>
        <v>16.155053198375693</v>
      </c>
      <c r="BC123" s="474">
        <f t="shared" si="62"/>
        <v>0.3</v>
      </c>
      <c r="BE123" s="494">
        <v>-6</v>
      </c>
      <c r="BF123" s="945">
        <f t="shared" si="71"/>
        <v>774</v>
      </c>
      <c r="BG123" s="1395">
        <f t="shared" si="72"/>
        <v>774</v>
      </c>
      <c r="BH123" s="946">
        <f t="shared" si="63"/>
        <v>599.03147408336599</v>
      </c>
      <c r="BI123" s="618">
        <f t="shared" si="47"/>
        <v>599.03147408336599</v>
      </c>
      <c r="BJ123" s="618">
        <f t="shared" si="73"/>
        <v>2.9685259166339506</v>
      </c>
      <c r="BK123" s="618" t="b">
        <f t="shared" si="48"/>
        <v>0</v>
      </c>
      <c r="BL123" s="524"/>
      <c r="BM123" s="524"/>
      <c r="BN123" s="524"/>
    </row>
    <row r="124" spans="2:94" ht="17.399999999999999" x14ac:dyDescent="0.3">
      <c r="BG124" s="524"/>
      <c r="BH124" s="524"/>
      <c r="BI124" s="524"/>
      <c r="BJ124" s="524"/>
      <c r="BK124" s="524"/>
      <c r="BL124" s="524"/>
      <c r="CP124" s="466"/>
    </row>
    <row r="125" spans="2:94" ht="18" hidden="1" thickBot="1" x14ac:dyDescent="0.35">
      <c r="AH125" s="637" t="s">
        <v>125</v>
      </c>
      <c r="AI125" s="638">
        <f>MAX(AI100:AI123)</f>
        <v>0</v>
      </c>
      <c r="BG125" s="524"/>
      <c r="BH125" s="524"/>
      <c r="BI125" s="524"/>
      <c r="BJ125" s="524"/>
      <c r="BK125" s="524"/>
      <c r="BL125" s="524"/>
      <c r="BM125" s="639"/>
      <c r="CP125" s="466" t="s">
        <v>20</v>
      </c>
    </row>
    <row r="126" spans="2:94" hidden="1" x14ac:dyDescent="0.3">
      <c r="BG126" s="524"/>
      <c r="BH126" s="524"/>
      <c r="BI126" s="524"/>
      <c r="BJ126" s="524"/>
      <c r="BK126" s="524"/>
      <c r="BL126" s="524"/>
      <c r="BM126" s="524"/>
      <c r="BN126" s="524"/>
    </row>
    <row r="127" spans="2:94" hidden="1" x14ac:dyDescent="0.3">
      <c r="B127" s="2135"/>
      <c r="BG127" s="640"/>
      <c r="BH127" s="640"/>
      <c r="BI127" s="640"/>
      <c r="BJ127" s="640"/>
      <c r="BK127" s="640"/>
      <c r="BL127" s="640"/>
      <c r="BM127" s="640"/>
      <c r="BN127" s="640"/>
    </row>
    <row r="128" spans="2:94" hidden="1" x14ac:dyDescent="0.3">
      <c r="B128" s="2135"/>
      <c r="S128" s="476" t="s">
        <v>159</v>
      </c>
      <c r="T128" s="476">
        <f>+B132*18+12.5+6.5</f>
        <v>37</v>
      </c>
      <c r="BG128" s="600"/>
      <c r="BH128" s="600"/>
      <c r="BI128" s="600"/>
      <c r="BJ128" s="600"/>
      <c r="BK128" s="600"/>
      <c r="BL128" s="600"/>
      <c r="BM128" s="600"/>
      <c r="BN128" s="600"/>
    </row>
    <row r="129" spans="2:66" ht="24.6" hidden="1" x14ac:dyDescent="0.4">
      <c r="B129" s="641"/>
      <c r="S129" s="476" t="s">
        <v>160</v>
      </c>
      <c r="T129" s="476">
        <v>262</v>
      </c>
      <c r="BG129" s="600"/>
      <c r="BH129" s="600"/>
      <c r="BI129" s="600"/>
      <c r="BJ129" s="600"/>
      <c r="BK129" s="600"/>
      <c r="BL129" s="600"/>
      <c r="BM129" s="600"/>
      <c r="BN129" s="600"/>
    </row>
    <row r="130" spans="2:66" ht="16.2" thickBot="1" x14ac:dyDescent="0.35">
      <c r="S130" s="476" t="s">
        <v>161</v>
      </c>
      <c r="T130" s="476">
        <f>+T131-104</f>
        <v>42.5</v>
      </c>
    </row>
    <row r="131" spans="2:66" ht="44.25" customHeight="1" thickBot="1" x14ac:dyDescent="0.35">
      <c r="B131" s="603" t="s">
        <v>148</v>
      </c>
      <c r="C131" s="642"/>
      <c r="D131" s="643"/>
      <c r="E131" s="593"/>
      <c r="F131" s="593"/>
      <c r="G131" s="593"/>
      <c r="H131" s="594"/>
      <c r="I131" s="594"/>
      <c r="J131" s="594"/>
      <c r="K131" s="594"/>
      <c r="L131" s="594"/>
      <c r="M131" s="594"/>
      <c r="N131" s="594"/>
      <c r="O131" s="594"/>
      <c r="P131" s="594"/>
      <c r="Q131" s="594"/>
      <c r="R131" s="594"/>
      <c r="S131" s="595" t="s">
        <v>149</v>
      </c>
      <c r="T131" s="596">
        <f>SUM(V135:V158)/B132</f>
        <v>146.5</v>
      </c>
      <c r="U131" s="597"/>
      <c r="V131" s="489"/>
      <c r="W131" s="489"/>
      <c r="X131" s="489"/>
      <c r="Y131" s="489"/>
      <c r="Z131" s="489"/>
      <c r="AA131" s="489"/>
      <c r="BG131" s="644"/>
    </row>
    <row r="132" spans="2:66" ht="25.2" thickBot="1" x14ac:dyDescent="0.45">
      <c r="B132" s="1961">
        <v>1</v>
      </c>
      <c r="C132" s="1963"/>
      <c r="D132" s="1888" t="s">
        <v>71</v>
      </c>
      <c r="E132" s="1880"/>
      <c r="F132" s="1879"/>
      <c r="G132" s="645"/>
      <c r="H132" s="645"/>
      <c r="I132" s="645"/>
      <c r="J132" s="645"/>
      <c r="K132" s="645"/>
      <c r="L132" s="645"/>
      <c r="M132" s="645"/>
      <c r="N132" s="645"/>
      <c r="O132" s="645"/>
      <c r="P132" s="645"/>
      <c r="Q132" s="645"/>
      <c r="R132" s="645"/>
      <c r="S132" s="645"/>
      <c r="T132" s="645"/>
      <c r="U132" s="530"/>
      <c r="V132" s="599"/>
      <c r="W132" s="599"/>
      <c r="X132" s="599"/>
      <c r="Y132" s="599"/>
      <c r="Z132" s="599"/>
      <c r="AA132" s="599"/>
      <c r="AB132" s="506"/>
      <c r="AY132" s="535"/>
      <c r="BA132" s="2136" t="s">
        <v>68</v>
      </c>
      <c r="BB132" s="2137"/>
      <c r="BN132" s="647"/>
    </row>
    <row r="133" spans="2:66" ht="16.8" hidden="1" thickTop="1" thickBot="1" x14ac:dyDescent="0.35">
      <c r="B133" s="648"/>
      <c r="C133" s="537"/>
      <c r="D133" s="516" t="s">
        <v>13</v>
      </c>
      <c r="E133" s="516"/>
      <c r="F133" s="516"/>
      <c r="G133" s="516"/>
      <c r="H133" s="649" t="s">
        <v>4</v>
      </c>
      <c r="I133" s="649" t="s">
        <v>1</v>
      </c>
      <c r="J133" s="506" t="s">
        <v>0</v>
      </c>
      <c r="K133" s="506" t="s">
        <v>2</v>
      </c>
      <c r="L133" s="506" t="s">
        <v>3</v>
      </c>
      <c r="M133" s="506" t="s">
        <v>8</v>
      </c>
      <c r="N133" s="506" t="s">
        <v>5</v>
      </c>
      <c r="O133" s="506" t="s">
        <v>6</v>
      </c>
      <c r="P133" s="506" t="s">
        <v>7</v>
      </c>
      <c r="Q133" s="506" t="s">
        <v>9</v>
      </c>
      <c r="R133" s="650" t="s">
        <v>10</v>
      </c>
      <c r="S133" s="506" t="s">
        <v>11</v>
      </c>
      <c r="T133" s="539" t="s">
        <v>12</v>
      </c>
      <c r="U133" s="540"/>
      <c r="V133" s="541"/>
      <c r="W133" s="541"/>
      <c r="X133" s="541"/>
      <c r="Y133" s="541"/>
      <c r="Z133" s="541"/>
      <c r="AA133" s="541"/>
      <c r="BA133" s="651"/>
      <c r="BB133" s="652"/>
      <c r="BN133" s="647"/>
    </row>
    <row r="134" spans="2:66" ht="36" customHeight="1" thickBot="1" x14ac:dyDescent="0.35">
      <c r="B134" s="602"/>
      <c r="C134" s="544"/>
      <c r="D134" s="603" t="s">
        <v>24</v>
      </c>
      <c r="E134" s="1067"/>
      <c r="F134" s="1067" t="s">
        <v>58</v>
      </c>
      <c r="G134" s="1067"/>
      <c r="H134" s="516"/>
      <c r="I134" s="516"/>
      <c r="J134" s="516"/>
      <c r="K134" s="516"/>
      <c r="L134" s="516"/>
      <c r="M134" s="516"/>
      <c r="N134" s="516"/>
      <c r="O134" s="516"/>
      <c r="P134" s="516"/>
      <c r="Q134" s="516"/>
      <c r="R134" s="1088"/>
      <c r="S134" s="516"/>
      <c r="T134" s="554"/>
      <c r="U134" s="540"/>
      <c r="V134" s="554"/>
      <c r="W134" s="554"/>
      <c r="X134" s="554"/>
      <c r="Y134" s="554"/>
      <c r="Z134" s="554"/>
      <c r="AA134" s="554"/>
      <c r="AB134" s="516"/>
      <c r="AC134" s="608"/>
      <c r="AD134" s="608"/>
      <c r="AE134" s="608"/>
      <c r="AF134" s="606" t="s">
        <v>51</v>
      </c>
      <c r="AG134" s="1438" t="s">
        <v>189</v>
      </c>
      <c r="AH134" s="606" t="s">
        <v>44</v>
      </c>
      <c r="AI134" s="607"/>
      <c r="AJ134" s="653" t="s">
        <v>96</v>
      </c>
      <c r="AK134" s="608" t="s">
        <v>45</v>
      </c>
      <c r="AL134" s="654" t="s">
        <v>46</v>
      </c>
      <c r="AM134" s="653" t="s">
        <v>97</v>
      </c>
      <c r="AN134" s="606" t="s">
        <v>47</v>
      </c>
      <c r="AO134" s="654" t="s">
        <v>48</v>
      </c>
      <c r="AP134" s="606"/>
      <c r="AQ134" s="655" t="s">
        <v>49</v>
      </c>
      <c r="AR134" s="606"/>
      <c r="AS134" s="606" t="s">
        <v>50</v>
      </c>
      <c r="AT134" s="606" t="s">
        <v>52</v>
      </c>
      <c r="AU134" s="606"/>
      <c r="AV134" s="606" t="s">
        <v>53</v>
      </c>
      <c r="AW134" s="609" t="s">
        <v>54</v>
      </c>
      <c r="AX134" s="609" t="s">
        <v>55</v>
      </c>
      <c r="AY134" s="610" t="s">
        <v>25</v>
      </c>
      <c r="AZ134" s="610" t="s">
        <v>26</v>
      </c>
      <c r="BA134" s="557" t="s">
        <v>25</v>
      </c>
      <c r="BB134" s="557" t="s">
        <v>26</v>
      </c>
      <c r="BC134" s="586" t="s">
        <v>56</v>
      </c>
      <c r="BN134" s="647"/>
    </row>
    <row r="135" spans="2:66" ht="21" customHeight="1" thickBot="1" x14ac:dyDescent="0.35">
      <c r="B135" s="611">
        <v>1</v>
      </c>
      <c r="C135" s="612">
        <f>+D135+AI125</f>
        <v>0</v>
      </c>
      <c r="D135" s="1934">
        <v>0</v>
      </c>
      <c r="E135" s="584" t="s">
        <v>150</v>
      </c>
      <c r="F135" s="613">
        <f>+G135</f>
        <v>0</v>
      </c>
      <c r="G135" s="614">
        <f>+D135</f>
        <v>0</v>
      </c>
      <c r="H135" s="614">
        <v>190.76</v>
      </c>
      <c r="I135" s="614">
        <v>79.651040199999997</v>
      </c>
      <c r="J135" s="614">
        <f>+I135-C135</f>
        <v>79.651040199999997</v>
      </c>
      <c r="K135" s="614">
        <f t="shared" ref="K135:K158" si="76">+J135/2</f>
        <v>39.825520099999999</v>
      </c>
      <c r="L135" s="614">
        <f t="shared" ref="L135:L158" si="77">SIN(K135*3.14159265358979/180)</f>
        <v>0.64045183696587837</v>
      </c>
      <c r="M135" s="614">
        <f t="shared" ref="M135:M158" si="78">+L135*H135</f>
        <v>122.17259241961095</v>
      </c>
      <c r="N135" s="614">
        <f t="shared" ref="N135:N158" si="79">+M135*2</f>
        <v>244.3451848392219</v>
      </c>
      <c r="O135" s="614">
        <f>+C135/2</f>
        <v>0</v>
      </c>
      <c r="P135" s="614">
        <f t="shared" ref="P135:P158" si="80">SIN(O135*3.14159265358979/180)</f>
        <v>0</v>
      </c>
      <c r="Q135" s="614">
        <f t="shared" ref="Q135:Q158" si="81">+P135*N135</f>
        <v>0</v>
      </c>
      <c r="R135" s="614">
        <v>146.5</v>
      </c>
      <c r="S135" s="614">
        <f>+R135+Q135</f>
        <v>146.5</v>
      </c>
      <c r="T135" s="614">
        <f t="shared" ref="T135:T158" si="82">+S135</f>
        <v>146.5</v>
      </c>
      <c r="U135" s="614"/>
      <c r="V135" s="614">
        <f>IF(B135&lt;($B$132+1),T135,0)</f>
        <v>146.5</v>
      </c>
      <c r="W135" s="614"/>
      <c r="X135" s="614"/>
      <c r="Y135" s="614"/>
      <c r="Z135" s="614"/>
      <c r="AA135" s="614"/>
      <c r="AB135" s="584" t="str">
        <f>IF(AZ135&lt;0,"pin in groundstacking hole"," ")</f>
        <v xml:space="preserve"> </v>
      </c>
      <c r="AC135" s="656"/>
      <c r="AD135" s="656"/>
      <c r="AE135" s="656"/>
      <c r="AF135" s="571">
        <f>SUM(V135:V158)/($B$132)</f>
        <v>146.5</v>
      </c>
      <c r="AG135" s="657">
        <f>+AF135+AA100+AA79</f>
        <v>146.49886578493599</v>
      </c>
      <c r="AH135" s="620">
        <f>C135</f>
        <v>0</v>
      </c>
      <c r="AI135" s="591"/>
      <c r="AJ135" s="568">
        <f>69.3447148-AH135</f>
        <v>69.344714800000006</v>
      </c>
      <c r="AK135" s="622">
        <f t="shared" ref="AK135:AK158" si="83">SIN(AJ135*3.14159265358979/180)</f>
        <v>0.93571960494171247</v>
      </c>
      <c r="AL135" s="658">
        <f>+AK135*192.42</f>
        <v>180.0511663828843</v>
      </c>
      <c r="AM135" s="568">
        <f>50.1744799+AH135</f>
        <v>50.174479900000001</v>
      </c>
      <c r="AN135" s="625">
        <f>SIN(AM135*3.14159265358979/180)</f>
        <v>0.76799833627881664</v>
      </c>
      <c r="AO135" s="658">
        <f>+AN135*190.76</f>
        <v>146.50336262854705</v>
      </c>
      <c r="AP135" s="626"/>
      <c r="AQ135" s="658">
        <f>25.5*B132</f>
        <v>25.5</v>
      </c>
      <c r="AR135" s="628"/>
      <c r="AS135" s="628">
        <f>+AO135+AL135</f>
        <v>326.55452901143133</v>
      </c>
      <c r="AT135" s="581">
        <f>+V135-AO135</f>
        <v>-3.3626285470518269E-3</v>
      </c>
      <c r="AU135" s="581"/>
      <c r="AV135" s="581">
        <f>+AF135-AT135</f>
        <v>146.50336262854705</v>
      </c>
      <c r="AW135" s="583">
        <f>+((AS135-AV135)/AS135)*AQ135</f>
        <v>14.059840960291279</v>
      </c>
      <c r="AX135" s="583">
        <f>+(AV135/AS135)*AQ135</f>
        <v>11.440159039708721</v>
      </c>
      <c r="AY135" s="659">
        <f t="shared" ref="AY135:AY158" si="84">2*$D$29/AW135</f>
        <v>825.04489437408847</v>
      </c>
      <c r="AZ135" s="659">
        <f t="shared" ref="AZ135:AZ158" si="85">$E$29/AX135</f>
        <v>874.11372213358766</v>
      </c>
      <c r="BA135" s="629">
        <f>ABS(AY135)</f>
        <v>825.04489437408847</v>
      </c>
      <c r="BB135" s="629">
        <f>ABS(AZ135)</f>
        <v>874.11372213358766</v>
      </c>
      <c r="BC135" s="474">
        <f t="shared" ref="BC135:BC158" si="86">IF(AZ135&lt;0,0.3,0)</f>
        <v>0</v>
      </c>
      <c r="BN135" s="647"/>
    </row>
    <row r="136" spans="2:66" ht="21" customHeight="1" thickBot="1" x14ac:dyDescent="0.35">
      <c r="B136" s="631">
        <v>2</v>
      </c>
      <c r="C136" s="612"/>
      <c r="D136" s="1907">
        <v>0</v>
      </c>
      <c r="E136" s="632" t="s">
        <v>72</v>
      </c>
      <c r="F136" s="584" t="e">
        <f t="shared" ref="F136:F158" si="87">+G136</f>
        <v>#DIV/0!</v>
      </c>
      <c r="G136" s="584" t="e">
        <f>+D136+BC136</f>
        <v>#DIV/0!</v>
      </c>
      <c r="H136" s="584">
        <v>190.76</v>
      </c>
      <c r="I136" s="584">
        <v>79.651040199999997</v>
      </c>
      <c r="J136" s="584">
        <f t="shared" ref="J136:J158" si="88">+I136-D136</f>
        <v>79.651040199999997</v>
      </c>
      <c r="K136" s="584">
        <f t="shared" si="76"/>
        <v>39.825520099999999</v>
      </c>
      <c r="L136" s="584">
        <f t="shared" si="77"/>
        <v>0.64045183696587837</v>
      </c>
      <c r="M136" s="584">
        <f t="shared" si="78"/>
        <v>122.17259241961095</v>
      </c>
      <c r="N136" s="584">
        <f t="shared" si="79"/>
        <v>244.3451848392219</v>
      </c>
      <c r="O136" s="584">
        <f>+C135+(D136/2)</f>
        <v>0</v>
      </c>
      <c r="P136" s="584">
        <f t="shared" si="80"/>
        <v>0</v>
      </c>
      <c r="Q136" s="584">
        <f t="shared" si="81"/>
        <v>0</v>
      </c>
      <c r="R136" s="584">
        <f t="shared" ref="R136:R158" si="89">+T135</f>
        <v>146.5</v>
      </c>
      <c r="S136" s="584">
        <f>+R136+Q136</f>
        <v>146.5</v>
      </c>
      <c r="T136" s="584">
        <f t="shared" si="82"/>
        <v>146.5</v>
      </c>
      <c r="U136" s="584"/>
      <c r="V136" s="584">
        <f t="shared" ref="V136:V158" si="90">IF(B136&lt;($B$132+1),T136,0)</f>
        <v>0</v>
      </c>
      <c r="W136" s="584"/>
      <c r="X136" s="584"/>
      <c r="Y136" s="584"/>
      <c r="Z136" s="584"/>
      <c r="AA136" s="584"/>
      <c r="AB136" s="584" t="e">
        <f t="shared" ref="AB136:AB158" si="91">IF(AZ136&lt;0,"pin in groundstacking hole"," ")</f>
        <v>#DIV/0!</v>
      </c>
      <c r="AC136" s="656"/>
      <c r="AD136" s="656"/>
      <c r="AE136" s="656"/>
      <c r="AF136" s="571">
        <f t="shared" ref="AF136:AF158" si="92">SUM(V136:V159)/($B$132)</f>
        <v>0</v>
      </c>
      <c r="AG136" s="571"/>
      <c r="AH136" s="620">
        <f>SUM(D136)+$C$135</f>
        <v>0</v>
      </c>
      <c r="AI136" s="591"/>
      <c r="AJ136" s="568">
        <f t="shared" ref="AJ136:AJ158" si="93">69.3447148-AH136</f>
        <v>69.344714800000006</v>
      </c>
      <c r="AK136" s="574">
        <f t="shared" si="83"/>
        <v>0.93571960494171247</v>
      </c>
      <c r="AL136" s="658">
        <f t="shared" ref="AL136:AL158" si="94">+AK136*192.42</f>
        <v>180.0511663828843</v>
      </c>
      <c r="AM136" s="568">
        <f t="shared" ref="AM136:AM158" si="95">50.1744799+AH136</f>
        <v>50.174479900000001</v>
      </c>
      <c r="AN136" s="577">
        <f t="shared" ref="AN136:AN158" si="96">SIN(AM136*3.14159265358979/180)</f>
        <v>0.76799833627881664</v>
      </c>
      <c r="AO136" s="658">
        <f t="shared" ref="AO136:AO158" si="97">+AN136*190.76</f>
        <v>146.50336262854705</v>
      </c>
      <c r="AP136" s="578"/>
      <c r="AQ136" s="658">
        <f t="shared" ref="AQ136:AQ157" si="98">25.5*($B$132-B135)</f>
        <v>0</v>
      </c>
      <c r="AR136" s="580"/>
      <c r="AS136" s="580">
        <f t="shared" ref="AS136:AS158" si="99">+AO136+AL136</f>
        <v>326.55452901143133</v>
      </c>
      <c r="AT136" s="581">
        <f>+V136-AO136</f>
        <v>-146.50336262854705</v>
      </c>
      <c r="AU136" s="581"/>
      <c r="AV136" s="581">
        <f>+AF136-AT136</f>
        <v>146.50336262854705</v>
      </c>
      <c r="AW136" s="583">
        <f t="shared" ref="AW136:AW158" si="100">+((AS136-AV136)/AS136)*AQ136</f>
        <v>0</v>
      </c>
      <c r="AX136" s="583">
        <f t="shared" ref="AX136:AX158" si="101">+(AV136/AS136)*AQ136</f>
        <v>0</v>
      </c>
      <c r="AY136" s="660" t="e">
        <f t="shared" si="84"/>
        <v>#DIV/0!</v>
      </c>
      <c r="AZ136" s="660" t="e">
        <f t="shared" si="85"/>
        <v>#DIV/0!</v>
      </c>
      <c r="BA136" s="585" t="e">
        <f t="shared" ref="BA136:BB158" si="102">ABS(AY136)</f>
        <v>#DIV/0!</v>
      </c>
      <c r="BB136" s="585" t="e">
        <f t="shared" si="102"/>
        <v>#DIV/0!</v>
      </c>
      <c r="BC136" s="474" t="e">
        <f t="shared" si="86"/>
        <v>#DIV/0!</v>
      </c>
      <c r="BN136" s="647"/>
    </row>
    <row r="137" spans="2:66" ht="21" customHeight="1" thickBot="1" x14ac:dyDescent="0.35">
      <c r="B137" s="631">
        <v>3</v>
      </c>
      <c r="C137" s="612"/>
      <c r="D137" s="1907">
        <v>0</v>
      </c>
      <c r="E137" s="632" t="s">
        <v>72</v>
      </c>
      <c r="F137" s="584">
        <f t="shared" si="87"/>
        <v>0.3</v>
      </c>
      <c r="G137" s="584">
        <f t="shared" ref="G137:G158" si="103">+D137+BC137</f>
        <v>0.3</v>
      </c>
      <c r="H137" s="584">
        <v>190.76</v>
      </c>
      <c r="I137" s="584">
        <v>79.651040199999997</v>
      </c>
      <c r="J137" s="584">
        <f t="shared" si="88"/>
        <v>79.651040199999997</v>
      </c>
      <c r="K137" s="584">
        <f t="shared" si="76"/>
        <v>39.825520099999999</v>
      </c>
      <c r="L137" s="584">
        <f t="shared" si="77"/>
        <v>0.64045183696587837</v>
      </c>
      <c r="M137" s="584">
        <f t="shared" si="78"/>
        <v>122.17259241961095</v>
      </c>
      <c r="N137" s="584">
        <f t="shared" si="79"/>
        <v>244.3451848392219</v>
      </c>
      <c r="O137" s="584">
        <f>+C135+D136+(D137/2)</f>
        <v>0</v>
      </c>
      <c r="P137" s="584">
        <f t="shared" si="80"/>
        <v>0</v>
      </c>
      <c r="Q137" s="584">
        <f t="shared" si="81"/>
        <v>0</v>
      </c>
      <c r="R137" s="584">
        <f t="shared" si="89"/>
        <v>146.5</v>
      </c>
      <c r="S137" s="584">
        <f t="shared" ref="S137:S158" si="104">+S136+Q137</f>
        <v>146.5</v>
      </c>
      <c r="T137" s="584">
        <f t="shared" si="82"/>
        <v>146.5</v>
      </c>
      <c r="U137" s="584"/>
      <c r="V137" s="584">
        <f t="shared" si="90"/>
        <v>0</v>
      </c>
      <c r="W137" s="584"/>
      <c r="X137" s="584"/>
      <c r="Y137" s="584"/>
      <c r="Z137" s="584"/>
      <c r="AA137" s="584"/>
      <c r="AB137" s="584" t="str">
        <f t="shared" si="91"/>
        <v>pin in groundstacking hole</v>
      </c>
      <c r="AC137" s="656"/>
      <c r="AD137" s="656"/>
      <c r="AE137" s="656"/>
      <c r="AF137" s="571">
        <f t="shared" si="92"/>
        <v>0</v>
      </c>
      <c r="AG137" s="571"/>
      <c r="AH137" s="620">
        <f>SUM(D136:D137)+$C$135</f>
        <v>0</v>
      </c>
      <c r="AI137" s="591"/>
      <c r="AJ137" s="568">
        <f t="shared" si="93"/>
        <v>69.344714800000006</v>
      </c>
      <c r="AK137" s="574">
        <f t="shared" si="83"/>
        <v>0.93571960494171247</v>
      </c>
      <c r="AL137" s="658">
        <f t="shared" si="94"/>
        <v>180.0511663828843</v>
      </c>
      <c r="AM137" s="568">
        <f t="shared" si="95"/>
        <v>50.174479900000001</v>
      </c>
      <c r="AN137" s="577">
        <f t="shared" si="96"/>
        <v>0.76799833627881664</v>
      </c>
      <c r="AO137" s="658">
        <f t="shared" si="97"/>
        <v>146.50336262854705</v>
      </c>
      <c r="AP137" s="578"/>
      <c r="AQ137" s="658">
        <f t="shared" si="98"/>
        <v>-25.5</v>
      </c>
      <c r="AR137" s="580"/>
      <c r="AS137" s="580">
        <f t="shared" si="99"/>
        <v>326.55452901143133</v>
      </c>
      <c r="AT137" s="581">
        <f>+V137-AO137</f>
        <v>-146.50336262854705</v>
      </c>
      <c r="AU137" s="581"/>
      <c r="AV137" s="581">
        <f>+AF137-AT137</f>
        <v>146.50336262854705</v>
      </c>
      <c r="AW137" s="583">
        <f t="shared" si="100"/>
        <v>-14.059840960291279</v>
      </c>
      <c r="AX137" s="583">
        <f t="shared" si="101"/>
        <v>-11.440159039708721</v>
      </c>
      <c r="AY137" s="660">
        <f t="shared" si="84"/>
        <v>-825.04489437408847</v>
      </c>
      <c r="AZ137" s="660">
        <f t="shared" si="85"/>
        <v>-874.11372213358766</v>
      </c>
      <c r="BA137" s="585">
        <f t="shared" si="102"/>
        <v>825.04489437408847</v>
      </c>
      <c r="BB137" s="585">
        <f t="shared" si="102"/>
        <v>874.11372213358766</v>
      </c>
      <c r="BC137" s="474">
        <f t="shared" si="86"/>
        <v>0.3</v>
      </c>
      <c r="BN137" s="647"/>
    </row>
    <row r="138" spans="2:66" ht="21" customHeight="1" thickBot="1" x14ac:dyDescent="0.35">
      <c r="B138" s="631">
        <v>4</v>
      </c>
      <c r="C138" s="612"/>
      <c r="D138" s="1907">
        <v>0</v>
      </c>
      <c r="E138" s="632" t="s">
        <v>72</v>
      </c>
      <c r="F138" s="584">
        <f t="shared" si="87"/>
        <v>0.3</v>
      </c>
      <c r="G138" s="584">
        <f t="shared" si="103"/>
        <v>0.3</v>
      </c>
      <c r="H138" s="584">
        <v>190.76</v>
      </c>
      <c r="I138" s="584">
        <v>79.651040199999997</v>
      </c>
      <c r="J138" s="584">
        <f t="shared" si="88"/>
        <v>79.651040199999997</v>
      </c>
      <c r="K138" s="584">
        <f t="shared" si="76"/>
        <v>39.825520099999999</v>
      </c>
      <c r="L138" s="584">
        <f t="shared" si="77"/>
        <v>0.64045183696587837</v>
      </c>
      <c r="M138" s="584">
        <f t="shared" si="78"/>
        <v>122.17259241961095</v>
      </c>
      <c r="N138" s="584">
        <f t="shared" si="79"/>
        <v>244.3451848392219</v>
      </c>
      <c r="O138" s="584">
        <f>+C135+D136+D137+(D138/2)</f>
        <v>0</v>
      </c>
      <c r="P138" s="584">
        <f t="shared" si="80"/>
        <v>0</v>
      </c>
      <c r="Q138" s="584">
        <f t="shared" si="81"/>
        <v>0</v>
      </c>
      <c r="R138" s="584">
        <f t="shared" si="89"/>
        <v>146.5</v>
      </c>
      <c r="S138" s="584">
        <f t="shared" si="104"/>
        <v>146.5</v>
      </c>
      <c r="T138" s="584">
        <f t="shared" si="82"/>
        <v>146.5</v>
      </c>
      <c r="U138" s="584"/>
      <c r="V138" s="584">
        <f t="shared" si="90"/>
        <v>0</v>
      </c>
      <c r="W138" s="584"/>
      <c r="X138" s="584"/>
      <c r="Y138" s="584"/>
      <c r="Z138" s="584"/>
      <c r="AA138" s="584"/>
      <c r="AB138" s="584" t="str">
        <f t="shared" si="91"/>
        <v>pin in groundstacking hole</v>
      </c>
      <c r="AC138" s="656"/>
      <c r="AD138" s="656"/>
      <c r="AE138" s="656"/>
      <c r="AF138" s="571">
        <f t="shared" si="92"/>
        <v>0</v>
      </c>
      <c r="AG138" s="571"/>
      <c r="AH138" s="620">
        <f>SUM(D136:D138)+$C$135</f>
        <v>0</v>
      </c>
      <c r="AI138" s="591"/>
      <c r="AJ138" s="568">
        <f t="shared" si="93"/>
        <v>69.344714800000006</v>
      </c>
      <c r="AK138" s="574">
        <f t="shared" si="83"/>
        <v>0.93571960494171247</v>
      </c>
      <c r="AL138" s="658">
        <f t="shared" si="94"/>
        <v>180.0511663828843</v>
      </c>
      <c r="AM138" s="568">
        <f t="shared" si="95"/>
        <v>50.174479900000001</v>
      </c>
      <c r="AN138" s="577">
        <f t="shared" si="96"/>
        <v>0.76799833627881664</v>
      </c>
      <c r="AO138" s="658">
        <f t="shared" si="97"/>
        <v>146.50336262854705</v>
      </c>
      <c r="AP138" s="578"/>
      <c r="AQ138" s="658">
        <f t="shared" si="98"/>
        <v>-51</v>
      </c>
      <c r="AR138" s="580"/>
      <c r="AS138" s="580">
        <f t="shared" si="99"/>
        <v>326.55452901143133</v>
      </c>
      <c r="AT138" s="581">
        <f>+V138-AO138</f>
        <v>-146.50336262854705</v>
      </c>
      <c r="AU138" s="581"/>
      <c r="AV138" s="581">
        <f t="shared" ref="AV138:AV158" si="105">+AF138-AT138</f>
        <v>146.50336262854705</v>
      </c>
      <c r="AW138" s="583">
        <f t="shared" si="100"/>
        <v>-28.119681920582558</v>
      </c>
      <c r="AX138" s="583">
        <f t="shared" si="101"/>
        <v>-22.880318079417442</v>
      </c>
      <c r="AY138" s="660">
        <f t="shared" si="84"/>
        <v>-412.52244718704424</v>
      </c>
      <c r="AZ138" s="660">
        <f t="shared" si="85"/>
        <v>-437.05686106679383</v>
      </c>
      <c r="BA138" s="585">
        <f t="shared" si="102"/>
        <v>412.52244718704424</v>
      </c>
      <c r="BB138" s="585">
        <f t="shared" si="102"/>
        <v>437.05686106679383</v>
      </c>
      <c r="BC138" s="474">
        <f t="shared" si="86"/>
        <v>0.3</v>
      </c>
      <c r="BN138" s="647"/>
    </row>
    <row r="139" spans="2:66" ht="21" customHeight="1" thickBot="1" x14ac:dyDescent="0.35">
      <c r="B139" s="631">
        <v>5</v>
      </c>
      <c r="C139" s="612"/>
      <c r="D139" s="1907">
        <v>0</v>
      </c>
      <c r="E139" s="632" t="s">
        <v>72</v>
      </c>
      <c r="F139" s="584">
        <f t="shared" si="87"/>
        <v>0.3</v>
      </c>
      <c r="G139" s="584">
        <f t="shared" si="103"/>
        <v>0.3</v>
      </c>
      <c r="H139" s="584">
        <v>190.76</v>
      </c>
      <c r="I139" s="584">
        <v>79.651040199999997</v>
      </c>
      <c r="J139" s="584">
        <f t="shared" si="88"/>
        <v>79.651040199999997</v>
      </c>
      <c r="K139" s="584">
        <f t="shared" si="76"/>
        <v>39.825520099999999</v>
      </c>
      <c r="L139" s="584">
        <f t="shared" si="77"/>
        <v>0.64045183696587837</v>
      </c>
      <c r="M139" s="584">
        <f t="shared" si="78"/>
        <v>122.17259241961095</v>
      </c>
      <c r="N139" s="584">
        <f t="shared" si="79"/>
        <v>244.3451848392219</v>
      </c>
      <c r="O139" s="584">
        <f>+C135+D136+D137+D138+(D139/2)</f>
        <v>0</v>
      </c>
      <c r="P139" s="584">
        <f t="shared" si="80"/>
        <v>0</v>
      </c>
      <c r="Q139" s="584">
        <f t="shared" si="81"/>
        <v>0</v>
      </c>
      <c r="R139" s="584">
        <f t="shared" si="89"/>
        <v>146.5</v>
      </c>
      <c r="S139" s="584">
        <f t="shared" si="104"/>
        <v>146.5</v>
      </c>
      <c r="T139" s="584">
        <f t="shared" si="82"/>
        <v>146.5</v>
      </c>
      <c r="U139" s="584"/>
      <c r="V139" s="584">
        <f t="shared" si="90"/>
        <v>0</v>
      </c>
      <c r="W139" s="584"/>
      <c r="X139" s="584"/>
      <c r="Y139" s="584"/>
      <c r="Z139" s="584"/>
      <c r="AA139" s="584"/>
      <c r="AB139" s="584" t="str">
        <f t="shared" si="91"/>
        <v>pin in groundstacking hole</v>
      </c>
      <c r="AC139" s="656"/>
      <c r="AD139" s="656"/>
      <c r="AE139" s="656"/>
      <c r="AF139" s="571">
        <f t="shared" si="92"/>
        <v>0</v>
      </c>
      <c r="AG139" s="571"/>
      <c r="AH139" s="620">
        <f>SUM(D136:D139)+$C$135</f>
        <v>0</v>
      </c>
      <c r="AI139" s="591"/>
      <c r="AJ139" s="568">
        <f t="shared" si="93"/>
        <v>69.344714800000006</v>
      </c>
      <c r="AK139" s="574">
        <f t="shared" si="83"/>
        <v>0.93571960494171247</v>
      </c>
      <c r="AL139" s="658">
        <f t="shared" si="94"/>
        <v>180.0511663828843</v>
      </c>
      <c r="AM139" s="568">
        <f t="shared" si="95"/>
        <v>50.174479900000001</v>
      </c>
      <c r="AN139" s="577">
        <f t="shared" si="96"/>
        <v>0.76799833627881664</v>
      </c>
      <c r="AO139" s="658">
        <f t="shared" si="97"/>
        <v>146.50336262854705</v>
      </c>
      <c r="AP139" s="578"/>
      <c r="AQ139" s="658">
        <f t="shared" si="98"/>
        <v>-76.5</v>
      </c>
      <c r="AR139" s="580"/>
      <c r="AS139" s="580">
        <f t="shared" si="99"/>
        <v>326.55452901143133</v>
      </c>
      <c r="AT139" s="581">
        <f t="shared" ref="AT139:AT158" si="106">+V139-AO139</f>
        <v>-146.50336262854705</v>
      </c>
      <c r="AU139" s="581"/>
      <c r="AV139" s="581">
        <f t="shared" si="105"/>
        <v>146.50336262854705</v>
      </c>
      <c r="AW139" s="583">
        <f t="shared" si="100"/>
        <v>-42.17952288087384</v>
      </c>
      <c r="AX139" s="583">
        <f t="shared" si="101"/>
        <v>-34.32047711912616</v>
      </c>
      <c r="AY139" s="660">
        <f t="shared" si="84"/>
        <v>-275.01496479136279</v>
      </c>
      <c r="AZ139" s="660">
        <f t="shared" si="85"/>
        <v>-291.37124071119592</v>
      </c>
      <c r="BA139" s="585">
        <f t="shared" si="102"/>
        <v>275.01496479136279</v>
      </c>
      <c r="BB139" s="585">
        <f t="shared" si="102"/>
        <v>291.37124071119592</v>
      </c>
      <c r="BC139" s="474">
        <f t="shared" si="86"/>
        <v>0.3</v>
      </c>
      <c r="BN139" s="647"/>
    </row>
    <row r="140" spans="2:66" ht="21" customHeight="1" thickBot="1" x14ac:dyDescent="0.35">
      <c r="B140" s="631">
        <v>6</v>
      </c>
      <c r="C140" s="612"/>
      <c r="D140" s="1907">
        <v>0</v>
      </c>
      <c r="E140" s="632" t="s">
        <v>72</v>
      </c>
      <c r="F140" s="584">
        <f t="shared" si="87"/>
        <v>0.3</v>
      </c>
      <c r="G140" s="584">
        <f t="shared" si="103"/>
        <v>0.3</v>
      </c>
      <c r="H140" s="584">
        <v>190.76</v>
      </c>
      <c r="I140" s="584">
        <v>79.651040199999997</v>
      </c>
      <c r="J140" s="584">
        <f t="shared" si="88"/>
        <v>79.651040199999997</v>
      </c>
      <c r="K140" s="584">
        <f t="shared" si="76"/>
        <v>39.825520099999999</v>
      </c>
      <c r="L140" s="584">
        <f t="shared" si="77"/>
        <v>0.64045183696587837</v>
      </c>
      <c r="M140" s="584">
        <f t="shared" si="78"/>
        <v>122.17259241961095</v>
      </c>
      <c r="N140" s="584">
        <f t="shared" si="79"/>
        <v>244.3451848392219</v>
      </c>
      <c r="O140" s="584">
        <f>+C135+D136+D137+D138+D139+(D140/2)</f>
        <v>0</v>
      </c>
      <c r="P140" s="584">
        <f t="shared" si="80"/>
        <v>0</v>
      </c>
      <c r="Q140" s="584">
        <f t="shared" si="81"/>
        <v>0</v>
      </c>
      <c r="R140" s="584">
        <f t="shared" si="89"/>
        <v>146.5</v>
      </c>
      <c r="S140" s="584">
        <f t="shared" si="104"/>
        <v>146.5</v>
      </c>
      <c r="T140" s="584">
        <f t="shared" si="82"/>
        <v>146.5</v>
      </c>
      <c r="U140" s="584"/>
      <c r="V140" s="584">
        <f t="shared" si="90"/>
        <v>0</v>
      </c>
      <c r="W140" s="584"/>
      <c r="X140" s="584"/>
      <c r="Y140" s="584"/>
      <c r="Z140" s="584"/>
      <c r="AA140" s="584"/>
      <c r="AB140" s="584" t="str">
        <f t="shared" si="91"/>
        <v>pin in groundstacking hole</v>
      </c>
      <c r="AC140" s="656"/>
      <c r="AD140" s="656"/>
      <c r="AE140" s="656"/>
      <c r="AF140" s="571">
        <f t="shared" si="92"/>
        <v>0</v>
      </c>
      <c r="AG140" s="571"/>
      <c r="AH140" s="620">
        <f>SUM(D136:D140)+$C$135</f>
        <v>0</v>
      </c>
      <c r="AI140" s="591"/>
      <c r="AJ140" s="568">
        <f t="shared" si="93"/>
        <v>69.344714800000006</v>
      </c>
      <c r="AK140" s="574">
        <f t="shared" si="83"/>
        <v>0.93571960494171247</v>
      </c>
      <c r="AL140" s="658">
        <f t="shared" si="94"/>
        <v>180.0511663828843</v>
      </c>
      <c r="AM140" s="568">
        <f t="shared" si="95"/>
        <v>50.174479900000001</v>
      </c>
      <c r="AN140" s="577">
        <f t="shared" si="96"/>
        <v>0.76799833627881664</v>
      </c>
      <c r="AO140" s="658">
        <f t="shared" si="97"/>
        <v>146.50336262854705</v>
      </c>
      <c r="AP140" s="578"/>
      <c r="AQ140" s="658">
        <f t="shared" si="98"/>
        <v>-102</v>
      </c>
      <c r="AR140" s="580"/>
      <c r="AS140" s="580">
        <f t="shared" si="99"/>
        <v>326.55452901143133</v>
      </c>
      <c r="AT140" s="581">
        <f t="shared" si="106"/>
        <v>-146.50336262854705</v>
      </c>
      <c r="AU140" s="581"/>
      <c r="AV140" s="581">
        <f t="shared" si="105"/>
        <v>146.50336262854705</v>
      </c>
      <c r="AW140" s="583">
        <f t="shared" si="100"/>
        <v>-56.239363841165115</v>
      </c>
      <c r="AX140" s="583">
        <f t="shared" si="101"/>
        <v>-45.760636158834885</v>
      </c>
      <c r="AY140" s="660">
        <f t="shared" si="84"/>
        <v>-206.26122359352212</v>
      </c>
      <c r="AZ140" s="660">
        <f t="shared" si="85"/>
        <v>-218.52843053339691</v>
      </c>
      <c r="BA140" s="585">
        <f t="shared" si="102"/>
        <v>206.26122359352212</v>
      </c>
      <c r="BB140" s="585">
        <f t="shared" si="102"/>
        <v>218.52843053339691</v>
      </c>
      <c r="BC140" s="474">
        <f t="shared" si="86"/>
        <v>0.3</v>
      </c>
      <c r="BN140" s="647"/>
    </row>
    <row r="141" spans="2:66" ht="21" customHeight="1" thickBot="1" x14ac:dyDescent="0.35">
      <c r="B141" s="631">
        <v>7</v>
      </c>
      <c r="C141" s="612"/>
      <c r="D141" s="1907">
        <v>0</v>
      </c>
      <c r="E141" s="632" t="s">
        <v>72</v>
      </c>
      <c r="F141" s="584">
        <f t="shared" si="87"/>
        <v>0.3</v>
      </c>
      <c r="G141" s="584">
        <f t="shared" si="103"/>
        <v>0.3</v>
      </c>
      <c r="H141" s="584">
        <v>190.76</v>
      </c>
      <c r="I141" s="584">
        <v>79.651040199999997</v>
      </c>
      <c r="J141" s="584">
        <f t="shared" si="88"/>
        <v>79.651040199999997</v>
      </c>
      <c r="K141" s="584">
        <f t="shared" si="76"/>
        <v>39.825520099999999</v>
      </c>
      <c r="L141" s="584">
        <f t="shared" si="77"/>
        <v>0.64045183696587837</v>
      </c>
      <c r="M141" s="584">
        <f t="shared" si="78"/>
        <v>122.17259241961095</v>
      </c>
      <c r="N141" s="584">
        <f t="shared" si="79"/>
        <v>244.3451848392219</v>
      </c>
      <c r="O141" s="584">
        <f>+C135+D136+D137+D138+D139+D140+(D141/2)</f>
        <v>0</v>
      </c>
      <c r="P141" s="584">
        <f t="shared" si="80"/>
        <v>0</v>
      </c>
      <c r="Q141" s="584">
        <f t="shared" si="81"/>
        <v>0</v>
      </c>
      <c r="R141" s="584">
        <f t="shared" si="89"/>
        <v>146.5</v>
      </c>
      <c r="S141" s="584">
        <f t="shared" si="104"/>
        <v>146.5</v>
      </c>
      <c r="T141" s="584">
        <f t="shared" si="82"/>
        <v>146.5</v>
      </c>
      <c r="U141" s="584"/>
      <c r="V141" s="584">
        <f t="shared" si="90"/>
        <v>0</v>
      </c>
      <c r="W141" s="584"/>
      <c r="X141" s="584"/>
      <c r="Y141" s="584"/>
      <c r="Z141" s="584"/>
      <c r="AA141" s="584"/>
      <c r="AB141" s="584" t="str">
        <f t="shared" si="91"/>
        <v>pin in groundstacking hole</v>
      </c>
      <c r="AC141" s="656"/>
      <c r="AD141" s="656"/>
      <c r="AE141" s="656"/>
      <c r="AF141" s="571">
        <f t="shared" si="92"/>
        <v>0</v>
      </c>
      <c r="AG141" s="571"/>
      <c r="AH141" s="620">
        <f>SUM(D136:D141)+$C$135</f>
        <v>0</v>
      </c>
      <c r="AI141" s="591"/>
      <c r="AJ141" s="568">
        <f t="shared" si="93"/>
        <v>69.344714800000006</v>
      </c>
      <c r="AK141" s="574">
        <f t="shared" si="83"/>
        <v>0.93571960494171247</v>
      </c>
      <c r="AL141" s="658">
        <f t="shared" si="94"/>
        <v>180.0511663828843</v>
      </c>
      <c r="AM141" s="568">
        <f t="shared" si="95"/>
        <v>50.174479900000001</v>
      </c>
      <c r="AN141" s="577">
        <f t="shared" si="96"/>
        <v>0.76799833627881664</v>
      </c>
      <c r="AO141" s="658">
        <f t="shared" si="97"/>
        <v>146.50336262854705</v>
      </c>
      <c r="AP141" s="578"/>
      <c r="AQ141" s="658">
        <f t="shared" si="98"/>
        <v>-127.5</v>
      </c>
      <c r="AR141" s="580"/>
      <c r="AS141" s="580">
        <f t="shared" si="99"/>
        <v>326.55452901143133</v>
      </c>
      <c r="AT141" s="581">
        <f t="shared" si="106"/>
        <v>-146.50336262854705</v>
      </c>
      <c r="AU141" s="581"/>
      <c r="AV141" s="581">
        <f t="shared" si="105"/>
        <v>146.50336262854705</v>
      </c>
      <c r="AW141" s="583">
        <f t="shared" si="100"/>
        <v>-70.299204801456398</v>
      </c>
      <c r="AX141" s="583">
        <f t="shared" si="101"/>
        <v>-57.200795198543602</v>
      </c>
      <c r="AY141" s="660">
        <f t="shared" si="84"/>
        <v>-165.00897887481767</v>
      </c>
      <c r="AZ141" s="660">
        <f t="shared" si="85"/>
        <v>-174.82274442671755</v>
      </c>
      <c r="BA141" s="585">
        <f t="shared" si="102"/>
        <v>165.00897887481767</v>
      </c>
      <c r="BB141" s="585">
        <f t="shared" si="102"/>
        <v>174.82274442671755</v>
      </c>
      <c r="BC141" s="474">
        <f t="shared" si="86"/>
        <v>0.3</v>
      </c>
      <c r="BN141" s="647"/>
    </row>
    <row r="142" spans="2:66" ht="21" customHeight="1" thickBot="1" x14ac:dyDescent="0.35">
      <c r="B142" s="631">
        <v>8</v>
      </c>
      <c r="C142" s="612"/>
      <c r="D142" s="1907">
        <v>0</v>
      </c>
      <c r="E142" s="632" t="s">
        <v>72</v>
      </c>
      <c r="F142" s="584">
        <f t="shared" si="87"/>
        <v>0.3</v>
      </c>
      <c r="G142" s="584">
        <f t="shared" si="103"/>
        <v>0.3</v>
      </c>
      <c r="H142" s="584">
        <v>190.76</v>
      </c>
      <c r="I142" s="584">
        <v>79.651040199999997</v>
      </c>
      <c r="J142" s="584">
        <f t="shared" si="88"/>
        <v>79.651040199999997</v>
      </c>
      <c r="K142" s="584">
        <f t="shared" si="76"/>
        <v>39.825520099999999</v>
      </c>
      <c r="L142" s="584">
        <f t="shared" si="77"/>
        <v>0.64045183696587837</v>
      </c>
      <c r="M142" s="584">
        <f t="shared" si="78"/>
        <v>122.17259241961095</v>
      </c>
      <c r="N142" s="584">
        <f t="shared" si="79"/>
        <v>244.3451848392219</v>
      </c>
      <c r="O142" s="584">
        <f>+C135+D136+D137+D138+D139+D140+D141+(D142/2)</f>
        <v>0</v>
      </c>
      <c r="P142" s="584">
        <f t="shared" si="80"/>
        <v>0</v>
      </c>
      <c r="Q142" s="584">
        <f t="shared" si="81"/>
        <v>0</v>
      </c>
      <c r="R142" s="584">
        <f t="shared" si="89"/>
        <v>146.5</v>
      </c>
      <c r="S142" s="584">
        <f t="shared" si="104"/>
        <v>146.5</v>
      </c>
      <c r="T142" s="584">
        <f t="shared" si="82"/>
        <v>146.5</v>
      </c>
      <c r="U142" s="584"/>
      <c r="V142" s="584">
        <f t="shared" si="90"/>
        <v>0</v>
      </c>
      <c r="W142" s="584"/>
      <c r="X142" s="584"/>
      <c r="Y142" s="584"/>
      <c r="Z142" s="584"/>
      <c r="AA142" s="584"/>
      <c r="AB142" s="584" t="str">
        <f t="shared" si="91"/>
        <v>pin in groundstacking hole</v>
      </c>
      <c r="AC142" s="656"/>
      <c r="AD142" s="656"/>
      <c r="AE142" s="656"/>
      <c r="AF142" s="571">
        <f t="shared" si="92"/>
        <v>0</v>
      </c>
      <c r="AG142" s="571"/>
      <c r="AH142" s="620">
        <f>SUM(D136:D142)+$C$135</f>
        <v>0</v>
      </c>
      <c r="AI142" s="591"/>
      <c r="AJ142" s="568">
        <f t="shared" si="93"/>
        <v>69.344714800000006</v>
      </c>
      <c r="AK142" s="574">
        <f t="shared" si="83"/>
        <v>0.93571960494171247</v>
      </c>
      <c r="AL142" s="658">
        <f t="shared" si="94"/>
        <v>180.0511663828843</v>
      </c>
      <c r="AM142" s="568">
        <f t="shared" si="95"/>
        <v>50.174479900000001</v>
      </c>
      <c r="AN142" s="577">
        <f t="shared" si="96"/>
        <v>0.76799833627881664</v>
      </c>
      <c r="AO142" s="658">
        <f t="shared" si="97"/>
        <v>146.50336262854705</v>
      </c>
      <c r="AP142" s="578"/>
      <c r="AQ142" s="658">
        <f t="shared" si="98"/>
        <v>-153</v>
      </c>
      <c r="AR142" s="580"/>
      <c r="AS142" s="580">
        <f t="shared" si="99"/>
        <v>326.55452901143133</v>
      </c>
      <c r="AT142" s="581">
        <f t="shared" si="106"/>
        <v>-146.50336262854705</v>
      </c>
      <c r="AU142" s="581"/>
      <c r="AV142" s="581">
        <f t="shared" si="105"/>
        <v>146.50336262854705</v>
      </c>
      <c r="AW142" s="583">
        <f t="shared" si="100"/>
        <v>-84.35904576174768</v>
      </c>
      <c r="AX142" s="583">
        <f t="shared" si="101"/>
        <v>-68.64095423825232</v>
      </c>
      <c r="AY142" s="660">
        <f t="shared" si="84"/>
        <v>-137.50748239568139</v>
      </c>
      <c r="AZ142" s="660">
        <f t="shared" si="85"/>
        <v>-145.68562035559796</v>
      </c>
      <c r="BA142" s="585">
        <f t="shared" si="102"/>
        <v>137.50748239568139</v>
      </c>
      <c r="BB142" s="585">
        <f t="shared" si="102"/>
        <v>145.68562035559796</v>
      </c>
      <c r="BC142" s="474">
        <f t="shared" si="86"/>
        <v>0.3</v>
      </c>
      <c r="BN142" s="647"/>
    </row>
    <row r="143" spans="2:66" ht="21" customHeight="1" thickBot="1" x14ac:dyDescent="0.35">
      <c r="B143" s="631">
        <v>9</v>
      </c>
      <c r="C143" s="612"/>
      <c r="D143" s="1907">
        <v>0</v>
      </c>
      <c r="E143" s="632" t="s">
        <v>72</v>
      </c>
      <c r="F143" s="584">
        <f t="shared" si="87"/>
        <v>0.3</v>
      </c>
      <c r="G143" s="584">
        <f t="shared" si="103"/>
        <v>0.3</v>
      </c>
      <c r="H143" s="584">
        <v>190.76</v>
      </c>
      <c r="I143" s="584">
        <v>79.651040199999997</v>
      </c>
      <c r="J143" s="584">
        <f t="shared" si="88"/>
        <v>79.651040199999997</v>
      </c>
      <c r="K143" s="584">
        <f t="shared" si="76"/>
        <v>39.825520099999999</v>
      </c>
      <c r="L143" s="584">
        <f t="shared" si="77"/>
        <v>0.64045183696587837</v>
      </c>
      <c r="M143" s="584">
        <f t="shared" si="78"/>
        <v>122.17259241961095</v>
      </c>
      <c r="N143" s="584">
        <f t="shared" si="79"/>
        <v>244.3451848392219</v>
      </c>
      <c r="O143" s="584">
        <f>+C135+D136+D137+D138+D139+D140+D141+D142+(D143/2)</f>
        <v>0</v>
      </c>
      <c r="P143" s="584">
        <f t="shared" si="80"/>
        <v>0</v>
      </c>
      <c r="Q143" s="584">
        <f t="shared" si="81"/>
        <v>0</v>
      </c>
      <c r="R143" s="584">
        <f t="shared" si="89"/>
        <v>146.5</v>
      </c>
      <c r="S143" s="584">
        <f t="shared" si="104"/>
        <v>146.5</v>
      </c>
      <c r="T143" s="584">
        <f t="shared" si="82"/>
        <v>146.5</v>
      </c>
      <c r="U143" s="584"/>
      <c r="V143" s="584">
        <f t="shared" si="90"/>
        <v>0</v>
      </c>
      <c r="W143" s="584"/>
      <c r="X143" s="584"/>
      <c r="Y143" s="584"/>
      <c r="Z143" s="584"/>
      <c r="AA143" s="584"/>
      <c r="AB143" s="584" t="str">
        <f t="shared" si="91"/>
        <v>pin in groundstacking hole</v>
      </c>
      <c r="AC143" s="656"/>
      <c r="AD143" s="656"/>
      <c r="AE143" s="656"/>
      <c r="AF143" s="571">
        <f t="shared" si="92"/>
        <v>0</v>
      </c>
      <c r="AG143" s="571"/>
      <c r="AH143" s="620">
        <f>SUM(D136:D143)+$C$135</f>
        <v>0</v>
      </c>
      <c r="AI143" s="591"/>
      <c r="AJ143" s="568">
        <f t="shared" si="93"/>
        <v>69.344714800000006</v>
      </c>
      <c r="AK143" s="574">
        <f t="shared" si="83"/>
        <v>0.93571960494171247</v>
      </c>
      <c r="AL143" s="658">
        <f t="shared" si="94"/>
        <v>180.0511663828843</v>
      </c>
      <c r="AM143" s="568">
        <f t="shared" si="95"/>
        <v>50.174479900000001</v>
      </c>
      <c r="AN143" s="577">
        <f t="shared" si="96"/>
        <v>0.76799833627881664</v>
      </c>
      <c r="AO143" s="658">
        <f t="shared" si="97"/>
        <v>146.50336262854705</v>
      </c>
      <c r="AP143" s="578"/>
      <c r="AQ143" s="658">
        <f t="shared" si="98"/>
        <v>-178.5</v>
      </c>
      <c r="AR143" s="580"/>
      <c r="AS143" s="580">
        <f t="shared" si="99"/>
        <v>326.55452901143133</v>
      </c>
      <c r="AT143" s="581">
        <f t="shared" si="106"/>
        <v>-146.50336262854705</v>
      </c>
      <c r="AU143" s="581"/>
      <c r="AV143" s="581">
        <f t="shared" si="105"/>
        <v>146.50336262854705</v>
      </c>
      <c r="AW143" s="583">
        <f t="shared" si="100"/>
        <v>-98.418886722038962</v>
      </c>
      <c r="AX143" s="583">
        <f t="shared" si="101"/>
        <v>-80.081113277961038</v>
      </c>
      <c r="AY143" s="660">
        <f t="shared" si="84"/>
        <v>-117.86355633915548</v>
      </c>
      <c r="AZ143" s="660">
        <f t="shared" si="85"/>
        <v>-124.87338887622683</v>
      </c>
      <c r="BA143" s="585">
        <f t="shared" si="102"/>
        <v>117.86355633915548</v>
      </c>
      <c r="BB143" s="585">
        <f t="shared" si="102"/>
        <v>124.87338887622683</v>
      </c>
      <c r="BC143" s="474">
        <f t="shared" si="86"/>
        <v>0.3</v>
      </c>
    </row>
    <row r="144" spans="2:66" ht="21" customHeight="1" thickBot="1" x14ac:dyDescent="0.35">
      <c r="B144" s="631">
        <v>10</v>
      </c>
      <c r="C144" s="612"/>
      <c r="D144" s="1907">
        <v>0</v>
      </c>
      <c r="E144" s="632" t="s">
        <v>72</v>
      </c>
      <c r="F144" s="584">
        <f t="shared" si="87"/>
        <v>0.3</v>
      </c>
      <c r="G144" s="584">
        <f t="shared" si="103"/>
        <v>0.3</v>
      </c>
      <c r="H144" s="584">
        <v>190.76</v>
      </c>
      <c r="I144" s="584">
        <v>79.651040199999997</v>
      </c>
      <c r="J144" s="584">
        <f t="shared" si="88"/>
        <v>79.651040199999997</v>
      </c>
      <c r="K144" s="584">
        <f t="shared" si="76"/>
        <v>39.825520099999999</v>
      </c>
      <c r="L144" s="584">
        <f t="shared" si="77"/>
        <v>0.64045183696587837</v>
      </c>
      <c r="M144" s="584">
        <f t="shared" si="78"/>
        <v>122.17259241961095</v>
      </c>
      <c r="N144" s="584">
        <f t="shared" si="79"/>
        <v>244.3451848392219</v>
      </c>
      <c r="O144" s="584">
        <f>+C135+D136+D137+D138+D139+D140+D141+D142+D143+(D144/2)</f>
        <v>0</v>
      </c>
      <c r="P144" s="584">
        <f t="shared" si="80"/>
        <v>0</v>
      </c>
      <c r="Q144" s="584">
        <f t="shared" si="81"/>
        <v>0</v>
      </c>
      <c r="R144" s="584">
        <f t="shared" si="89"/>
        <v>146.5</v>
      </c>
      <c r="S144" s="584">
        <f t="shared" si="104"/>
        <v>146.5</v>
      </c>
      <c r="T144" s="584">
        <f t="shared" si="82"/>
        <v>146.5</v>
      </c>
      <c r="U144" s="584"/>
      <c r="V144" s="584">
        <f t="shared" si="90"/>
        <v>0</v>
      </c>
      <c r="W144" s="584"/>
      <c r="X144" s="584"/>
      <c r="Y144" s="584"/>
      <c r="Z144" s="584"/>
      <c r="AA144" s="584"/>
      <c r="AB144" s="584" t="str">
        <f t="shared" si="91"/>
        <v>pin in groundstacking hole</v>
      </c>
      <c r="AC144" s="656"/>
      <c r="AD144" s="656"/>
      <c r="AE144" s="656"/>
      <c r="AF144" s="571">
        <f t="shared" si="92"/>
        <v>0</v>
      </c>
      <c r="AG144" s="571"/>
      <c r="AH144" s="620">
        <f>SUM(D136:D144)+$C$135</f>
        <v>0</v>
      </c>
      <c r="AI144" s="591"/>
      <c r="AJ144" s="568">
        <f t="shared" si="93"/>
        <v>69.344714800000006</v>
      </c>
      <c r="AK144" s="574">
        <f t="shared" si="83"/>
        <v>0.93571960494171247</v>
      </c>
      <c r="AL144" s="658">
        <f t="shared" si="94"/>
        <v>180.0511663828843</v>
      </c>
      <c r="AM144" s="568">
        <f t="shared" si="95"/>
        <v>50.174479900000001</v>
      </c>
      <c r="AN144" s="577">
        <f t="shared" si="96"/>
        <v>0.76799833627881664</v>
      </c>
      <c r="AO144" s="658">
        <f t="shared" si="97"/>
        <v>146.50336262854705</v>
      </c>
      <c r="AP144" s="578"/>
      <c r="AQ144" s="658">
        <f t="shared" si="98"/>
        <v>-204</v>
      </c>
      <c r="AR144" s="580"/>
      <c r="AS144" s="580">
        <f t="shared" si="99"/>
        <v>326.55452901143133</v>
      </c>
      <c r="AT144" s="581">
        <f t="shared" si="106"/>
        <v>-146.50336262854705</v>
      </c>
      <c r="AU144" s="581"/>
      <c r="AV144" s="581">
        <f t="shared" si="105"/>
        <v>146.50336262854705</v>
      </c>
      <c r="AW144" s="583">
        <f t="shared" si="100"/>
        <v>-112.47872768233023</v>
      </c>
      <c r="AX144" s="583">
        <f t="shared" si="101"/>
        <v>-91.521272317669769</v>
      </c>
      <c r="AY144" s="660">
        <f t="shared" si="84"/>
        <v>-103.13061179676106</v>
      </c>
      <c r="AZ144" s="660">
        <f t="shared" si="85"/>
        <v>-109.26421526669846</v>
      </c>
      <c r="BA144" s="585">
        <f t="shared" si="102"/>
        <v>103.13061179676106</v>
      </c>
      <c r="BB144" s="585">
        <f t="shared" si="102"/>
        <v>109.26421526669846</v>
      </c>
      <c r="BC144" s="474">
        <f t="shared" si="86"/>
        <v>0.3</v>
      </c>
    </row>
    <row r="145" spans="2:55" ht="21" customHeight="1" thickBot="1" x14ac:dyDescent="0.35">
      <c r="B145" s="631">
        <v>11</v>
      </c>
      <c r="C145" s="612"/>
      <c r="D145" s="1907">
        <v>0</v>
      </c>
      <c r="E145" s="632" t="s">
        <v>72</v>
      </c>
      <c r="F145" s="584">
        <f t="shared" si="87"/>
        <v>0.3</v>
      </c>
      <c r="G145" s="584">
        <f t="shared" si="103"/>
        <v>0.3</v>
      </c>
      <c r="H145" s="584">
        <v>190.76</v>
      </c>
      <c r="I145" s="584">
        <v>79.651040199999997</v>
      </c>
      <c r="J145" s="584">
        <f t="shared" si="88"/>
        <v>79.651040199999997</v>
      </c>
      <c r="K145" s="584">
        <f t="shared" si="76"/>
        <v>39.825520099999999</v>
      </c>
      <c r="L145" s="584">
        <f t="shared" si="77"/>
        <v>0.64045183696587837</v>
      </c>
      <c r="M145" s="584">
        <f t="shared" si="78"/>
        <v>122.17259241961095</v>
      </c>
      <c r="N145" s="584">
        <f t="shared" si="79"/>
        <v>244.3451848392219</v>
      </c>
      <c r="O145" s="584">
        <f>+C135+D136+D137+D138+D139+D140+D141+D142+D143+D144+(D145/2)</f>
        <v>0</v>
      </c>
      <c r="P145" s="584">
        <f t="shared" si="80"/>
        <v>0</v>
      </c>
      <c r="Q145" s="584">
        <f t="shared" si="81"/>
        <v>0</v>
      </c>
      <c r="R145" s="584">
        <f t="shared" si="89"/>
        <v>146.5</v>
      </c>
      <c r="S145" s="584">
        <f t="shared" si="104"/>
        <v>146.5</v>
      </c>
      <c r="T145" s="584">
        <f t="shared" si="82"/>
        <v>146.5</v>
      </c>
      <c r="U145" s="584"/>
      <c r="V145" s="584">
        <f t="shared" si="90"/>
        <v>0</v>
      </c>
      <c r="W145" s="584"/>
      <c r="X145" s="584"/>
      <c r="Y145" s="584"/>
      <c r="Z145" s="584"/>
      <c r="AA145" s="584"/>
      <c r="AB145" s="584" t="str">
        <f t="shared" si="91"/>
        <v>pin in groundstacking hole</v>
      </c>
      <c r="AC145" s="656"/>
      <c r="AD145" s="656"/>
      <c r="AE145" s="656"/>
      <c r="AF145" s="571">
        <f t="shared" si="92"/>
        <v>0</v>
      </c>
      <c r="AG145" s="571"/>
      <c r="AH145" s="620">
        <f>SUM(D136:D145)+$C$135</f>
        <v>0</v>
      </c>
      <c r="AI145" s="591"/>
      <c r="AJ145" s="568">
        <f t="shared" si="93"/>
        <v>69.344714800000006</v>
      </c>
      <c r="AK145" s="574">
        <f t="shared" si="83"/>
        <v>0.93571960494171247</v>
      </c>
      <c r="AL145" s="658">
        <f t="shared" si="94"/>
        <v>180.0511663828843</v>
      </c>
      <c r="AM145" s="568">
        <f t="shared" si="95"/>
        <v>50.174479900000001</v>
      </c>
      <c r="AN145" s="577">
        <f t="shared" si="96"/>
        <v>0.76799833627881664</v>
      </c>
      <c r="AO145" s="658">
        <f t="shared" si="97"/>
        <v>146.50336262854705</v>
      </c>
      <c r="AP145" s="578"/>
      <c r="AQ145" s="658">
        <f t="shared" si="98"/>
        <v>-229.5</v>
      </c>
      <c r="AR145" s="580"/>
      <c r="AS145" s="580">
        <f t="shared" si="99"/>
        <v>326.55452901143133</v>
      </c>
      <c r="AT145" s="581">
        <f t="shared" si="106"/>
        <v>-146.50336262854705</v>
      </c>
      <c r="AU145" s="581"/>
      <c r="AV145" s="581">
        <f t="shared" si="105"/>
        <v>146.50336262854705</v>
      </c>
      <c r="AW145" s="583">
        <f t="shared" si="100"/>
        <v>-126.53856864262151</v>
      </c>
      <c r="AX145" s="583">
        <f t="shared" si="101"/>
        <v>-102.96143135737849</v>
      </c>
      <c r="AY145" s="660">
        <f t="shared" si="84"/>
        <v>-91.671654930454267</v>
      </c>
      <c r="AZ145" s="660">
        <f t="shared" si="85"/>
        <v>-97.12374690373197</v>
      </c>
      <c r="BA145" s="585">
        <f t="shared" si="102"/>
        <v>91.671654930454267</v>
      </c>
      <c r="BB145" s="585">
        <f t="shared" si="102"/>
        <v>97.12374690373197</v>
      </c>
      <c r="BC145" s="474">
        <f t="shared" si="86"/>
        <v>0.3</v>
      </c>
    </row>
    <row r="146" spans="2:55" ht="21" customHeight="1" thickBot="1" x14ac:dyDescent="0.35">
      <c r="B146" s="631">
        <v>12</v>
      </c>
      <c r="C146" s="612"/>
      <c r="D146" s="1907">
        <v>0</v>
      </c>
      <c r="E146" s="632" t="s">
        <v>72</v>
      </c>
      <c r="F146" s="584">
        <f t="shared" si="87"/>
        <v>0.3</v>
      </c>
      <c r="G146" s="584">
        <f t="shared" si="103"/>
        <v>0.3</v>
      </c>
      <c r="H146" s="584">
        <v>190.76</v>
      </c>
      <c r="I146" s="584">
        <v>79.651040199999997</v>
      </c>
      <c r="J146" s="584">
        <f t="shared" si="88"/>
        <v>79.651040199999997</v>
      </c>
      <c r="K146" s="584">
        <f t="shared" si="76"/>
        <v>39.825520099999999</v>
      </c>
      <c r="L146" s="584">
        <f t="shared" si="77"/>
        <v>0.64045183696587837</v>
      </c>
      <c r="M146" s="584">
        <f t="shared" si="78"/>
        <v>122.17259241961095</v>
      </c>
      <c r="N146" s="584">
        <f t="shared" si="79"/>
        <v>244.3451848392219</v>
      </c>
      <c r="O146" s="584">
        <f>+C135+D136+D137+D138+D139+D140+D141+D142+D143+D144+D145+(D146/2)</f>
        <v>0</v>
      </c>
      <c r="P146" s="584">
        <f t="shared" si="80"/>
        <v>0</v>
      </c>
      <c r="Q146" s="584">
        <f t="shared" si="81"/>
        <v>0</v>
      </c>
      <c r="R146" s="584">
        <f t="shared" si="89"/>
        <v>146.5</v>
      </c>
      <c r="S146" s="584">
        <f t="shared" si="104"/>
        <v>146.5</v>
      </c>
      <c r="T146" s="584">
        <f t="shared" si="82"/>
        <v>146.5</v>
      </c>
      <c r="U146" s="584"/>
      <c r="V146" s="584">
        <f t="shared" si="90"/>
        <v>0</v>
      </c>
      <c r="W146" s="584"/>
      <c r="X146" s="584"/>
      <c r="Y146" s="584"/>
      <c r="Z146" s="584"/>
      <c r="AA146" s="584"/>
      <c r="AB146" s="584" t="str">
        <f t="shared" si="91"/>
        <v>pin in groundstacking hole</v>
      </c>
      <c r="AC146" s="656"/>
      <c r="AD146" s="656"/>
      <c r="AE146" s="656"/>
      <c r="AF146" s="571">
        <f t="shared" si="92"/>
        <v>0</v>
      </c>
      <c r="AG146" s="571"/>
      <c r="AH146" s="620">
        <f>SUM(D136:D146)+$C$135</f>
        <v>0</v>
      </c>
      <c r="AI146" s="591"/>
      <c r="AJ146" s="568">
        <f t="shared" si="93"/>
        <v>69.344714800000006</v>
      </c>
      <c r="AK146" s="574">
        <f t="shared" si="83"/>
        <v>0.93571960494171247</v>
      </c>
      <c r="AL146" s="658">
        <f t="shared" si="94"/>
        <v>180.0511663828843</v>
      </c>
      <c r="AM146" s="568">
        <f t="shared" si="95"/>
        <v>50.174479900000001</v>
      </c>
      <c r="AN146" s="577">
        <f t="shared" si="96"/>
        <v>0.76799833627881664</v>
      </c>
      <c r="AO146" s="658">
        <f t="shared" si="97"/>
        <v>146.50336262854705</v>
      </c>
      <c r="AP146" s="578"/>
      <c r="AQ146" s="658">
        <f t="shared" si="98"/>
        <v>-255</v>
      </c>
      <c r="AR146" s="580"/>
      <c r="AS146" s="580">
        <f t="shared" si="99"/>
        <v>326.55452901143133</v>
      </c>
      <c r="AT146" s="581">
        <f t="shared" si="106"/>
        <v>-146.50336262854705</v>
      </c>
      <c r="AU146" s="581"/>
      <c r="AV146" s="581">
        <f t="shared" si="105"/>
        <v>146.50336262854705</v>
      </c>
      <c r="AW146" s="583">
        <f t="shared" si="100"/>
        <v>-140.5984096029128</v>
      </c>
      <c r="AX146" s="583">
        <f t="shared" si="101"/>
        <v>-114.4015903970872</v>
      </c>
      <c r="AY146" s="660">
        <f t="shared" si="84"/>
        <v>-82.504489437408836</v>
      </c>
      <c r="AZ146" s="660">
        <f t="shared" si="85"/>
        <v>-87.411372213358774</v>
      </c>
      <c r="BA146" s="585">
        <f t="shared" si="102"/>
        <v>82.504489437408836</v>
      </c>
      <c r="BB146" s="585">
        <f t="shared" si="102"/>
        <v>87.411372213358774</v>
      </c>
      <c r="BC146" s="474">
        <f t="shared" si="86"/>
        <v>0.3</v>
      </c>
    </row>
    <row r="147" spans="2:55" ht="21" customHeight="1" thickBot="1" x14ac:dyDescent="0.35">
      <c r="B147" s="631">
        <v>13</v>
      </c>
      <c r="C147" s="612"/>
      <c r="D147" s="1907">
        <v>0</v>
      </c>
      <c r="E147" s="632" t="s">
        <v>72</v>
      </c>
      <c r="F147" s="584">
        <f t="shared" si="87"/>
        <v>0.3</v>
      </c>
      <c r="G147" s="584">
        <f t="shared" si="103"/>
        <v>0.3</v>
      </c>
      <c r="H147" s="584">
        <v>190.76</v>
      </c>
      <c r="I147" s="584">
        <v>79.651040199999997</v>
      </c>
      <c r="J147" s="584">
        <f t="shared" si="88"/>
        <v>79.651040199999997</v>
      </c>
      <c r="K147" s="584">
        <f t="shared" si="76"/>
        <v>39.825520099999999</v>
      </c>
      <c r="L147" s="584">
        <f t="shared" si="77"/>
        <v>0.64045183696587837</v>
      </c>
      <c r="M147" s="584">
        <f t="shared" si="78"/>
        <v>122.17259241961095</v>
      </c>
      <c r="N147" s="584">
        <f t="shared" si="79"/>
        <v>244.3451848392219</v>
      </c>
      <c r="O147" s="584">
        <f>+C135+SUM(D136:D147)</f>
        <v>0</v>
      </c>
      <c r="P147" s="584">
        <f t="shared" si="80"/>
        <v>0</v>
      </c>
      <c r="Q147" s="584">
        <f t="shared" si="81"/>
        <v>0</v>
      </c>
      <c r="R147" s="584">
        <f t="shared" si="89"/>
        <v>146.5</v>
      </c>
      <c r="S147" s="584">
        <f t="shared" si="104"/>
        <v>146.5</v>
      </c>
      <c r="T147" s="584">
        <f t="shared" si="82"/>
        <v>146.5</v>
      </c>
      <c r="U147" s="584"/>
      <c r="V147" s="584">
        <f t="shared" si="90"/>
        <v>0</v>
      </c>
      <c r="W147" s="584"/>
      <c r="X147" s="584"/>
      <c r="Y147" s="584"/>
      <c r="Z147" s="584"/>
      <c r="AA147" s="584"/>
      <c r="AB147" s="584" t="str">
        <f t="shared" si="91"/>
        <v>pin in groundstacking hole</v>
      </c>
      <c r="AC147" s="656"/>
      <c r="AD147" s="656"/>
      <c r="AE147" s="656"/>
      <c r="AF147" s="571">
        <f t="shared" si="92"/>
        <v>0</v>
      </c>
      <c r="AG147" s="571"/>
      <c r="AH147" s="620">
        <f>SUM(D136:D147)+$C$135</f>
        <v>0</v>
      </c>
      <c r="AI147" s="591"/>
      <c r="AJ147" s="568">
        <f t="shared" si="93"/>
        <v>69.344714800000006</v>
      </c>
      <c r="AK147" s="574">
        <f t="shared" si="83"/>
        <v>0.93571960494171247</v>
      </c>
      <c r="AL147" s="658">
        <f t="shared" si="94"/>
        <v>180.0511663828843</v>
      </c>
      <c r="AM147" s="568">
        <f t="shared" si="95"/>
        <v>50.174479900000001</v>
      </c>
      <c r="AN147" s="577">
        <f t="shared" si="96"/>
        <v>0.76799833627881664</v>
      </c>
      <c r="AO147" s="658">
        <f t="shared" si="97"/>
        <v>146.50336262854705</v>
      </c>
      <c r="AP147" s="578"/>
      <c r="AQ147" s="658">
        <f t="shared" si="98"/>
        <v>-280.5</v>
      </c>
      <c r="AR147" s="580"/>
      <c r="AS147" s="580">
        <f t="shared" si="99"/>
        <v>326.55452901143133</v>
      </c>
      <c r="AT147" s="581">
        <f t="shared" si="106"/>
        <v>-146.50336262854705</v>
      </c>
      <c r="AU147" s="581"/>
      <c r="AV147" s="581">
        <f t="shared" si="105"/>
        <v>146.50336262854705</v>
      </c>
      <c r="AW147" s="583">
        <f t="shared" si="100"/>
        <v>-154.65825056320406</v>
      </c>
      <c r="AX147" s="583">
        <f t="shared" si="101"/>
        <v>-125.84174943679592</v>
      </c>
      <c r="AY147" s="660">
        <f t="shared" si="84"/>
        <v>-75.004081306735316</v>
      </c>
      <c r="AZ147" s="660">
        <f t="shared" si="85"/>
        <v>-79.464883830326158</v>
      </c>
      <c r="BA147" s="585">
        <f t="shared" si="102"/>
        <v>75.004081306735316</v>
      </c>
      <c r="BB147" s="585">
        <f t="shared" si="102"/>
        <v>79.464883830326158</v>
      </c>
      <c r="BC147" s="474">
        <f t="shared" si="86"/>
        <v>0.3</v>
      </c>
    </row>
    <row r="148" spans="2:55" ht="21" customHeight="1" thickBot="1" x14ac:dyDescent="0.35">
      <c r="B148" s="631">
        <v>14</v>
      </c>
      <c r="C148" s="612"/>
      <c r="D148" s="1907">
        <v>0</v>
      </c>
      <c r="E148" s="632" t="s">
        <v>72</v>
      </c>
      <c r="F148" s="584">
        <f t="shared" si="87"/>
        <v>0.3</v>
      </c>
      <c r="G148" s="584">
        <f t="shared" si="103"/>
        <v>0.3</v>
      </c>
      <c r="H148" s="584">
        <v>190.76</v>
      </c>
      <c r="I148" s="584">
        <v>79.651040199999997</v>
      </c>
      <c r="J148" s="584">
        <f t="shared" si="88"/>
        <v>79.651040199999997</v>
      </c>
      <c r="K148" s="584">
        <f t="shared" si="76"/>
        <v>39.825520099999999</v>
      </c>
      <c r="L148" s="584">
        <f t="shared" si="77"/>
        <v>0.64045183696587837</v>
      </c>
      <c r="M148" s="584">
        <f t="shared" si="78"/>
        <v>122.17259241961095</v>
      </c>
      <c r="N148" s="584">
        <f t="shared" si="79"/>
        <v>244.3451848392219</v>
      </c>
      <c r="O148" s="584">
        <f>+C135+SUM(D136:D148)</f>
        <v>0</v>
      </c>
      <c r="P148" s="584">
        <f t="shared" si="80"/>
        <v>0</v>
      </c>
      <c r="Q148" s="584">
        <f t="shared" si="81"/>
        <v>0</v>
      </c>
      <c r="R148" s="584">
        <f t="shared" si="89"/>
        <v>146.5</v>
      </c>
      <c r="S148" s="584">
        <f t="shared" si="104"/>
        <v>146.5</v>
      </c>
      <c r="T148" s="584">
        <f t="shared" si="82"/>
        <v>146.5</v>
      </c>
      <c r="U148" s="584"/>
      <c r="V148" s="584">
        <f t="shared" si="90"/>
        <v>0</v>
      </c>
      <c r="W148" s="584"/>
      <c r="X148" s="584"/>
      <c r="Y148" s="584"/>
      <c r="Z148" s="584"/>
      <c r="AA148" s="584"/>
      <c r="AB148" s="584" t="str">
        <f t="shared" si="91"/>
        <v>pin in groundstacking hole</v>
      </c>
      <c r="AC148" s="656"/>
      <c r="AD148" s="656"/>
      <c r="AE148" s="656"/>
      <c r="AF148" s="571">
        <f t="shared" si="92"/>
        <v>0</v>
      </c>
      <c r="AG148" s="571"/>
      <c r="AH148" s="620">
        <f>SUM(D136:D148)+$C$135</f>
        <v>0</v>
      </c>
      <c r="AI148" s="591"/>
      <c r="AJ148" s="568">
        <f t="shared" si="93"/>
        <v>69.344714800000006</v>
      </c>
      <c r="AK148" s="574">
        <f t="shared" si="83"/>
        <v>0.93571960494171247</v>
      </c>
      <c r="AL148" s="658">
        <f t="shared" si="94"/>
        <v>180.0511663828843</v>
      </c>
      <c r="AM148" s="568">
        <f t="shared" si="95"/>
        <v>50.174479900000001</v>
      </c>
      <c r="AN148" s="577">
        <f t="shared" si="96"/>
        <v>0.76799833627881664</v>
      </c>
      <c r="AO148" s="658">
        <f t="shared" si="97"/>
        <v>146.50336262854705</v>
      </c>
      <c r="AP148" s="578"/>
      <c r="AQ148" s="658">
        <f t="shared" si="98"/>
        <v>-306</v>
      </c>
      <c r="AR148" s="580"/>
      <c r="AS148" s="580">
        <f t="shared" si="99"/>
        <v>326.55452901143133</v>
      </c>
      <c r="AT148" s="581">
        <f t="shared" si="106"/>
        <v>-146.50336262854705</v>
      </c>
      <c r="AU148" s="581"/>
      <c r="AV148" s="581">
        <f t="shared" si="105"/>
        <v>146.50336262854705</v>
      </c>
      <c r="AW148" s="583">
        <f t="shared" si="100"/>
        <v>-168.71809152349536</v>
      </c>
      <c r="AX148" s="583">
        <f t="shared" si="101"/>
        <v>-137.28190847650464</v>
      </c>
      <c r="AY148" s="660">
        <f t="shared" si="84"/>
        <v>-68.753741197840696</v>
      </c>
      <c r="AZ148" s="660">
        <f t="shared" si="85"/>
        <v>-72.842810177798981</v>
      </c>
      <c r="BA148" s="585">
        <f t="shared" si="102"/>
        <v>68.753741197840696</v>
      </c>
      <c r="BB148" s="585">
        <f t="shared" si="102"/>
        <v>72.842810177798981</v>
      </c>
      <c r="BC148" s="474">
        <f t="shared" si="86"/>
        <v>0.3</v>
      </c>
    </row>
    <row r="149" spans="2:55" ht="21" customHeight="1" thickBot="1" x14ac:dyDescent="0.35">
      <c r="B149" s="631">
        <v>15</v>
      </c>
      <c r="C149" s="612"/>
      <c r="D149" s="1907">
        <v>0</v>
      </c>
      <c r="E149" s="632" t="s">
        <v>72</v>
      </c>
      <c r="F149" s="584">
        <f t="shared" si="87"/>
        <v>0.3</v>
      </c>
      <c r="G149" s="584">
        <f t="shared" si="103"/>
        <v>0.3</v>
      </c>
      <c r="H149" s="584">
        <v>190.76</v>
      </c>
      <c r="I149" s="584">
        <v>79.651040199999997</v>
      </c>
      <c r="J149" s="584">
        <f t="shared" si="88"/>
        <v>79.651040199999997</v>
      </c>
      <c r="K149" s="584">
        <f t="shared" si="76"/>
        <v>39.825520099999999</v>
      </c>
      <c r="L149" s="584">
        <f t="shared" si="77"/>
        <v>0.64045183696587837</v>
      </c>
      <c r="M149" s="584">
        <f t="shared" si="78"/>
        <v>122.17259241961095</v>
      </c>
      <c r="N149" s="584">
        <f t="shared" si="79"/>
        <v>244.3451848392219</v>
      </c>
      <c r="O149" s="584">
        <f>+C135+SUM(D136:D149)</f>
        <v>0</v>
      </c>
      <c r="P149" s="584">
        <f t="shared" si="80"/>
        <v>0</v>
      </c>
      <c r="Q149" s="584">
        <f t="shared" si="81"/>
        <v>0</v>
      </c>
      <c r="R149" s="584">
        <f t="shared" si="89"/>
        <v>146.5</v>
      </c>
      <c r="S149" s="584">
        <f t="shared" si="104"/>
        <v>146.5</v>
      </c>
      <c r="T149" s="584">
        <f t="shared" si="82"/>
        <v>146.5</v>
      </c>
      <c r="U149" s="584"/>
      <c r="V149" s="584">
        <f t="shared" si="90"/>
        <v>0</v>
      </c>
      <c r="W149" s="584"/>
      <c r="X149" s="584"/>
      <c r="Y149" s="584"/>
      <c r="Z149" s="584"/>
      <c r="AA149" s="584"/>
      <c r="AB149" s="584" t="str">
        <f t="shared" si="91"/>
        <v>pin in groundstacking hole</v>
      </c>
      <c r="AC149" s="656"/>
      <c r="AD149" s="656"/>
      <c r="AE149" s="656"/>
      <c r="AF149" s="571">
        <f t="shared" si="92"/>
        <v>0</v>
      </c>
      <c r="AG149" s="571"/>
      <c r="AH149" s="620">
        <f>SUM(D136:D149)+$C$135</f>
        <v>0</v>
      </c>
      <c r="AI149" s="591"/>
      <c r="AJ149" s="568">
        <f t="shared" si="93"/>
        <v>69.344714800000006</v>
      </c>
      <c r="AK149" s="574">
        <f t="shared" si="83"/>
        <v>0.93571960494171247</v>
      </c>
      <c r="AL149" s="658">
        <f t="shared" si="94"/>
        <v>180.0511663828843</v>
      </c>
      <c r="AM149" s="568">
        <f t="shared" si="95"/>
        <v>50.174479900000001</v>
      </c>
      <c r="AN149" s="577">
        <f t="shared" si="96"/>
        <v>0.76799833627881664</v>
      </c>
      <c r="AO149" s="658">
        <f t="shared" si="97"/>
        <v>146.50336262854705</v>
      </c>
      <c r="AP149" s="578"/>
      <c r="AQ149" s="658">
        <f t="shared" si="98"/>
        <v>-331.5</v>
      </c>
      <c r="AR149" s="580"/>
      <c r="AS149" s="580">
        <f t="shared" si="99"/>
        <v>326.55452901143133</v>
      </c>
      <c r="AT149" s="581">
        <f t="shared" si="106"/>
        <v>-146.50336262854705</v>
      </c>
      <c r="AU149" s="581"/>
      <c r="AV149" s="581">
        <f t="shared" si="105"/>
        <v>146.50336262854705</v>
      </c>
      <c r="AW149" s="583">
        <f t="shared" si="100"/>
        <v>-182.77793248378663</v>
      </c>
      <c r="AX149" s="583">
        <f t="shared" si="101"/>
        <v>-148.72206751621337</v>
      </c>
      <c r="AY149" s="660">
        <f t="shared" si="84"/>
        <v>-63.464991874929879</v>
      </c>
      <c r="AZ149" s="660">
        <f t="shared" si="85"/>
        <v>-67.239517087199047</v>
      </c>
      <c r="BA149" s="585">
        <f t="shared" si="102"/>
        <v>63.464991874929879</v>
      </c>
      <c r="BB149" s="585">
        <f t="shared" si="102"/>
        <v>67.239517087199047</v>
      </c>
      <c r="BC149" s="474">
        <f t="shared" si="86"/>
        <v>0.3</v>
      </c>
    </row>
    <row r="150" spans="2:55" ht="21" customHeight="1" thickBot="1" x14ac:dyDescent="0.35">
      <c r="B150" s="631">
        <v>16</v>
      </c>
      <c r="C150" s="612"/>
      <c r="D150" s="1907">
        <v>0</v>
      </c>
      <c r="E150" s="632" t="s">
        <v>72</v>
      </c>
      <c r="F150" s="584">
        <f t="shared" si="87"/>
        <v>0.3</v>
      </c>
      <c r="G150" s="584">
        <f t="shared" si="103"/>
        <v>0.3</v>
      </c>
      <c r="H150" s="584">
        <v>190.76</v>
      </c>
      <c r="I150" s="584">
        <v>79.651040199999997</v>
      </c>
      <c r="J150" s="584">
        <f t="shared" si="88"/>
        <v>79.651040199999997</v>
      </c>
      <c r="K150" s="584">
        <f t="shared" si="76"/>
        <v>39.825520099999999</v>
      </c>
      <c r="L150" s="584">
        <f t="shared" si="77"/>
        <v>0.64045183696587837</v>
      </c>
      <c r="M150" s="584">
        <f t="shared" si="78"/>
        <v>122.17259241961095</v>
      </c>
      <c r="N150" s="584">
        <f t="shared" si="79"/>
        <v>244.3451848392219</v>
      </c>
      <c r="O150" s="584">
        <f>+C135+SUM(D136:D150)</f>
        <v>0</v>
      </c>
      <c r="P150" s="584">
        <f t="shared" si="80"/>
        <v>0</v>
      </c>
      <c r="Q150" s="584">
        <f t="shared" si="81"/>
        <v>0</v>
      </c>
      <c r="R150" s="584">
        <f t="shared" si="89"/>
        <v>146.5</v>
      </c>
      <c r="S150" s="584">
        <f t="shared" si="104"/>
        <v>146.5</v>
      </c>
      <c r="T150" s="584">
        <f t="shared" si="82"/>
        <v>146.5</v>
      </c>
      <c r="U150" s="584"/>
      <c r="V150" s="584">
        <f t="shared" si="90"/>
        <v>0</v>
      </c>
      <c r="W150" s="584"/>
      <c r="X150" s="584"/>
      <c r="Y150" s="584"/>
      <c r="Z150" s="584"/>
      <c r="AA150" s="584"/>
      <c r="AB150" s="584" t="str">
        <f t="shared" si="91"/>
        <v>pin in groundstacking hole</v>
      </c>
      <c r="AC150" s="656"/>
      <c r="AD150" s="656"/>
      <c r="AE150" s="656"/>
      <c r="AF150" s="571">
        <f t="shared" si="92"/>
        <v>0</v>
      </c>
      <c r="AG150" s="571"/>
      <c r="AH150" s="620">
        <f>SUM(D136:D150)+$C$135</f>
        <v>0</v>
      </c>
      <c r="AI150" s="591"/>
      <c r="AJ150" s="568">
        <f t="shared" si="93"/>
        <v>69.344714800000006</v>
      </c>
      <c r="AK150" s="574">
        <f t="shared" si="83"/>
        <v>0.93571960494171247</v>
      </c>
      <c r="AL150" s="658">
        <f t="shared" si="94"/>
        <v>180.0511663828843</v>
      </c>
      <c r="AM150" s="568">
        <f t="shared" si="95"/>
        <v>50.174479900000001</v>
      </c>
      <c r="AN150" s="577">
        <f t="shared" si="96"/>
        <v>0.76799833627881664</v>
      </c>
      <c r="AO150" s="658">
        <f t="shared" si="97"/>
        <v>146.50336262854705</v>
      </c>
      <c r="AP150" s="578"/>
      <c r="AQ150" s="658">
        <f t="shared" si="98"/>
        <v>-357</v>
      </c>
      <c r="AR150" s="580"/>
      <c r="AS150" s="580">
        <f t="shared" si="99"/>
        <v>326.55452901143133</v>
      </c>
      <c r="AT150" s="581">
        <f t="shared" si="106"/>
        <v>-146.50336262854705</v>
      </c>
      <c r="AU150" s="581"/>
      <c r="AV150" s="581">
        <f t="shared" si="105"/>
        <v>146.50336262854705</v>
      </c>
      <c r="AW150" s="583">
        <f t="shared" si="100"/>
        <v>-196.83777344407792</v>
      </c>
      <c r="AX150" s="583">
        <f t="shared" si="101"/>
        <v>-160.16222655592208</v>
      </c>
      <c r="AY150" s="660">
        <f t="shared" si="84"/>
        <v>-58.93177816957774</v>
      </c>
      <c r="AZ150" s="660">
        <f t="shared" si="85"/>
        <v>-62.436694438113413</v>
      </c>
      <c r="BA150" s="585">
        <f t="shared" si="102"/>
        <v>58.93177816957774</v>
      </c>
      <c r="BB150" s="585">
        <f t="shared" si="102"/>
        <v>62.436694438113413</v>
      </c>
      <c r="BC150" s="474">
        <f t="shared" si="86"/>
        <v>0.3</v>
      </c>
    </row>
    <row r="151" spans="2:55" ht="21" customHeight="1" thickBot="1" x14ac:dyDescent="0.35">
      <c r="B151" s="631">
        <v>17</v>
      </c>
      <c r="C151" s="612"/>
      <c r="D151" s="1907">
        <v>0</v>
      </c>
      <c r="E151" s="632" t="s">
        <v>72</v>
      </c>
      <c r="F151" s="584">
        <f t="shared" si="87"/>
        <v>0.3</v>
      </c>
      <c r="G151" s="584">
        <f t="shared" si="103"/>
        <v>0.3</v>
      </c>
      <c r="H151" s="584">
        <v>190.76</v>
      </c>
      <c r="I151" s="584">
        <v>79.651040199999997</v>
      </c>
      <c r="J151" s="584">
        <f t="shared" si="88"/>
        <v>79.651040199999997</v>
      </c>
      <c r="K151" s="584">
        <f t="shared" si="76"/>
        <v>39.825520099999999</v>
      </c>
      <c r="L151" s="584">
        <f t="shared" si="77"/>
        <v>0.64045183696587837</v>
      </c>
      <c r="M151" s="584">
        <f t="shared" si="78"/>
        <v>122.17259241961095</v>
      </c>
      <c r="N151" s="584">
        <f t="shared" si="79"/>
        <v>244.3451848392219</v>
      </c>
      <c r="O151" s="584">
        <f>+C135+SUM(D136:D151)</f>
        <v>0</v>
      </c>
      <c r="P151" s="584">
        <f t="shared" si="80"/>
        <v>0</v>
      </c>
      <c r="Q151" s="584">
        <f t="shared" si="81"/>
        <v>0</v>
      </c>
      <c r="R151" s="584">
        <f t="shared" si="89"/>
        <v>146.5</v>
      </c>
      <c r="S151" s="584">
        <f t="shared" si="104"/>
        <v>146.5</v>
      </c>
      <c r="T151" s="584">
        <f t="shared" si="82"/>
        <v>146.5</v>
      </c>
      <c r="U151" s="584"/>
      <c r="V151" s="584">
        <f t="shared" si="90"/>
        <v>0</v>
      </c>
      <c r="W151" s="584"/>
      <c r="X151" s="584"/>
      <c r="Y151" s="584"/>
      <c r="Z151" s="584"/>
      <c r="AA151" s="584"/>
      <c r="AB151" s="584" t="str">
        <f t="shared" si="91"/>
        <v>pin in groundstacking hole</v>
      </c>
      <c r="AC151" s="656"/>
      <c r="AD151" s="656"/>
      <c r="AE151" s="656"/>
      <c r="AF151" s="571">
        <f t="shared" si="92"/>
        <v>0</v>
      </c>
      <c r="AG151" s="571"/>
      <c r="AH151" s="620">
        <f>SUM(D136:D151)+$C$135</f>
        <v>0</v>
      </c>
      <c r="AI151" s="591"/>
      <c r="AJ151" s="568">
        <f t="shared" si="93"/>
        <v>69.344714800000006</v>
      </c>
      <c r="AK151" s="574">
        <f t="shared" si="83"/>
        <v>0.93571960494171247</v>
      </c>
      <c r="AL151" s="658">
        <f t="shared" si="94"/>
        <v>180.0511663828843</v>
      </c>
      <c r="AM151" s="568">
        <f t="shared" si="95"/>
        <v>50.174479900000001</v>
      </c>
      <c r="AN151" s="577">
        <f t="shared" si="96"/>
        <v>0.76799833627881664</v>
      </c>
      <c r="AO151" s="658">
        <f t="shared" si="97"/>
        <v>146.50336262854705</v>
      </c>
      <c r="AP151" s="578"/>
      <c r="AQ151" s="658">
        <f t="shared" si="98"/>
        <v>-382.5</v>
      </c>
      <c r="AR151" s="580"/>
      <c r="AS151" s="580">
        <f t="shared" si="99"/>
        <v>326.55452901143133</v>
      </c>
      <c r="AT151" s="581">
        <f t="shared" si="106"/>
        <v>-146.50336262854705</v>
      </c>
      <c r="AU151" s="581"/>
      <c r="AV151" s="581">
        <f t="shared" si="105"/>
        <v>146.50336262854705</v>
      </c>
      <c r="AW151" s="583">
        <f t="shared" si="100"/>
        <v>-210.89761440436919</v>
      </c>
      <c r="AX151" s="583">
        <f t="shared" si="101"/>
        <v>-171.60238559563081</v>
      </c>
      <c r="AY151" s="660">
        <f t="shared" si="84"/>
        <v>-55.002992958272557</v>
      </c>
      <c r="AZ151" s="660">
        <f t="shared" si="85"/>
        <v>-58.27424814223918</v>
      </c>
      <c r="BA151" s="585">
        <f t="shared" si="102"/>
        <v>55.002992958272557</v>
      </c>
      <c r="BB151" s="585">
        <f t="shared" si="102"/>
        <v>58.27424814223918</v>
      </c>
      <c r="BC151" s="474">
        <f t="shared" si="86"/>
        <v>0.3</v>
      </c>
    </row>
    <row r="152" spans="2:55" ht="21" customHeight="1" thickBot="1" x14ac:dyDescent="0.35">
      <c r="B152" s="631">
        <v>18</v>
      </c>
      <c r="C152" s="612"/>
      <c r="D152" s="1907">
        <v>0</v>
      </c>
      <c r="E152" s="632" t="s">
        <v>72</v>
      </c>
      <c r="F152" s="584">
        <f t="shared" si="87"/>
        <v>0.3</v>
      </c>
      <c r="G152" s="584">
        <f t="shared" si="103"/>
        <v>0.3</v>
      </c>
      <c r="H152" s="584">
        <v>190.76</v>
      </c>
      <c r="I152" s="584">
        <v>79.651040199999997</v>
      </c>
      <c r="J152" s="584">
        <f t="shared" si="88"/>
        <v>79.651040199999997</v>
      </c>
      <c r="K152" s="584">
        <f t="shared" si="76"/>
        <v>39.825520099999999</v>
      </c>
      <c r="L152" s="584">
        <f t="shared" si="77"/>
        <v>0.64045183696587837</v>
      </c>
      <c r="M152" s="584">
        <f t="shared" si="78"/>
        <v>122.17259241961095</v>
      </c>
      <c r="N152" s="584">
        <f t="shared" si="79"/>
        <v>244.3451848392219</v>
      </c>
      <c r="O152" s="584">
        <f>+C135+SUM(D136:D152)</f>
        <v>0</v>
      </c>
      <c r="P152" s="584">
        <f t="shared" si="80"/>
        <v>0</v>
      </c>
      <c r="Q152" s="584">
        <f t="shared" si="81"/>
        <v>0</v>
      </c>
      <c r="R152" s="584">
        <f t="shared" si="89"/>
        <v>146.5</v>
      </c>
      <c r="S152" s="584">
        <f t="shared" si="104"/>
        <v>146.5</v>
      </c>
      <c r="T152" s="584">
        <f t="shared" si="82"/>
        <v>146.5</v>
      </c>
      <c r="U152" s="584"/>
      <c r="V152" s="584">
        <f t="shared" si="90"/>
        <v>0</v>
      </c>
      <c r="W152" s="584"/>
      <c r="X152" s="584"/>
      <c r="Y152" s="584"/>
      <c r="Z152" s="584"/>
      <c r="AA152" s="584"/>
      <c r="AB152" s="584" t="str">
        <f t="shared" si="91"/>
        <v>pin in groundstacking hole</v>
      </c>
      <c r="AC152" s="656"/>
      <c r="AD152" s="656"/>
      <c r="AE152" s="656"/>
      <c r="AF152" s="571">
        <f t="shared" si="92"/>
        <v>0</v>
      </c>
      <c r="AG152" s="571"/>
      <c r="AH152" s="620">
        <f>SUM(D136:D152)+$C$135</f>
        <v>0</v>
      </c>
      <c r="AI152" s="591"/>
      <c r="AJ152" s="568">
        <f t="shared" si="93"/>
        <v>69.344714800000006</v>
      </c>
      <c r="AK152" s="574">
        <f t="shared" si="83"/>
        <v>0.93571960494171247</v>
      </c>
      <c r="AL152" s="658">
        <f t="shared" si="94"/>
        <v>180.0511663828843</v>
      </c>
      <c r="AM152" s="568">
        <f t="shared" si="95"/>
        <v>50.174479900000001</v>
      </c>
      <c r="AN152" s="577">
        <f t="shared" si="96"/>
        <v>0.76799833627881664</v>
      </c>
      <c r="AO152" s="658">
        <f t="shared" si="97"/>
        <v>146.50336262854705</v>
      </c>
      <c r="AP152" s="578"/>
      <c r="AQ152" s="658">
        <f t="shared" si="98"/>
        <v>-408</v>
      </c>
      <c r="AR152" s="580"/>
      <c r="AS152" s="580">
        <f t="shared" si="99"/>
        <v>326.55452901143133</v>
      </c>
      <c r="AT152" s="581">
        <f t="shared" si="106"/>
        <v>-146.50336262854705</v>
      </c>
      <c r="AU152" s="581"/>
      <c r="AV152" s="581">
        <f t="shared" si="105"/>
        <v>146.50336262854705</v>
      </c>
      <c r="AW152" s="583">
        <f t="shared" si="100"/>
        <v>-224.95745536466046</v>
      </c>
      <c r="AX152" s="583">
        <f t="shared" si="101"/>
        <v>-183.04254463533954</v>
      </c>
      <c r="AY152" s="660">
        <f t="shared" si="84"/>
        <v>-51.565305898380529</v>
      </c>
      <c r="AZ152" s="660">
        <f t="shared" si="85"/>
        <v>-54.632107633349229</v>
      </c>
      <c r="BA152" s="585">
        <f t="shared" si="102"/>
        <v>51.565305898380529</v>
      </c>
      <c r="BB152" s="585">
        <f t="shared" si="102"/>
        <v>54.632107633349229</v>
      </c>
      <c r="BC152" s="474">
        <f t="shared" si="86"/>
        <v>0.3</v>
      </c>
    </row>
    <row r="153" spans="2:55" ht="21" customHeight="1" thickBot="1" x14ac:dyDescent="0.35">
      <c r="B153" s="631">
        <v>19</v>
      </c>
      <c r="C153" s="612"/>
      <c r="D153" s="1907">
        <v>0</v>
      </c>
      <c r="E153" s="632" t="s">
        <v>72</v>
      </c>
      <c r="F153" s="584">
        <f t="shared" si="87"/>
        <v>0.3</v>
      </c>
      <c r="G153" s="584">
        <f t="shared" si="103"/>
        <v>0.3</v>
      </c>
      <c r="H153" s="584">
        <v>190.76</v>
      </c>
      <c r="I153" s="584">
        <v>79.651040199999997</v>
      </c>
      <c r="J153" s="584">
        <f t="shared" si="88"/>
        <v>79.651040199999997</v>
      </c>
      <c r="K153" s="584">
        <f t="shared" si="76"/>
        <v>39.825520099999999</v>
      </c>
      <c r="L153" s="584">
        <f t="shared" si="77"/>
        <v>0.64045183696587837</v>
      </c>
      <c r="M153" s="584">
        <f t="shared" si="78"/>
        <v>122.17259241961095</v>
      </c>
      <c r="N153" s="584">
        <f t="shared" si="79"/>
        <v>244.3451848392219</v>
      </c>
      <c r="O153" s="584">
        <f>+C135+SUM(D136:D153)</f>
        <v>0</v>
      </c>
      <c r="P153" s="584">
        <f t="shared" si="80"/>
        <v>0</v>
      </c>
      <c r="Q153" s="584">
        <f t="shared" si="81"/>
        <v>0</v>
      </c>
      <c r="R153" s="584">
        <f t="shared" si="89"/>
        <v>146.5</v>
      </c>
      <c r="S153" s="584">
        <f t="shared" si="104"/>
        <v>146.5</v>
      </c>
      <c r="T153" s="584">
        <f t="shared" si="82"/>
        <v>146.5</v>
      </c>
      <c r="U153" s="584"/>
      <c r="V153" s="584">
        <f t="shared" si="90"/>
        <v>0</v>
      </c>
      <c r="W153" s="584"/>
      <c r="X153" s="584"/>
      <c r="Y153" s="584"/>
      <c r="Z153" s="584"/>
      <c r="AA153" s="584"/>
      <c r="AB153" s="584" t="str">
        <f t="shared" si="91"/>
        <v>pin in groundstacking hole</v>
      </c>
      <c r="AC153" s="656"/>
      <c r="AD153" s="656"/>
      <c r="AE153" s="656"/>
      <c r="AF153" s="571">
        <f t="shared" si="92"/>
        <v>0</v>
      </c>
      <c r="AG153" s="571"/>
      <c r="AH153" s="620">
        <f>SUM(D136:D153)+$C$135</f>
        <v>0</v>
      </c>
      <c r="AI153" s="591"/>
      <c r="AJ153" s="568">
        <f t="shared" si="93"/>
        <v>69.344714800000006</v>
      </c>
      <c r="AK153" s="574">
        <f t="shared" si="83"/>
        <v>0.93571960494171247</v>
      </c>
      <c r="AL153" s="658">
        <f t="shared" si="94"/>
        <v>180.0511663828843</v>
      </c>
      <c r="AM153" s="568">
        <f t="shared" si="95"/>
        <v>50.174479900000001</v>
      </c>
      <c r="AN153" s="577">
        <f t="shared" si="96"/>
        <v>0.76799833627881664</v>
      </c>
      <c r="AO153" s="658">
        <f t="shared" si="97"/>
        <v>146.50336262854705</v>
      </c>
      <c r="AP153" s="578"/>
      <c r="AQ153" s="658">
        <f t="shared" si="98"/>
        <v>-433.5</v>
      </c>
      <c r="AR153" s="580"/>
      <c r="AS153" s="580">
        <f t="shared" si="99"/>
        <v>326.55452901143133</v>
      </c>
      <c r="AT153" s="581">
        <f t="shared" si="106"/>
        <v>-146.50336262854705</v>
      </c>
      <c r="AU153" s="581"/>
      <c r="AV153" s="581">
        <f t="shared" si="105"/>
        <v>146.50336262854705</v>
      </c>
      <c r="AW153" s="583">
        <f t="shared" si="100"/>
        <v>-239.01729632495176</v>
      </c>
      <c r="AX153" s="583">
        <f t="shared" si="101"/>
        <v>-194.48270367504824</v>
      </c>
      <c r="AY153" s="660">
        <f t="shared" si="84"/>
        <v>-48.532052610240491</v>
      </c>
      <c r="AZ153" s="660">
        <f t="shared" si="85"/>
        <v>-51.418454243152219</v>
      </c>
      <c r="BA153" s="585">
        <f t="shared" si="102"/>
        <v>48.532052610240491</v>
      </c>
      <c r="BB153" s="585">
        <f t="shared" si="102"/>
        <v>51.418454243152219</v>
      </c>
      <c r="BC153" s="474">
        <f t="shared" si="86"/>
        <v>0.3</v>
      </c>
    </row>
    <row r="154" spans="2:55" ht="21" customHeight="1" thickBot="1" x14ac:dyDescent="0.35">
      <c r="B154" s="631">
        <v>20</v>
      </c>
      <c r="C154" s="612"/>
      <c r="D154" s="1907">
        <v>0</v>
      </c>
      <c r="E154" s="632" t="s">
        <v>72</v>
      </c>
      <c r="F154" s="584">
        <f t="shared" si="87"/>
        <v>0.3</v>
      </c>
      <c r="G154" s="584">
        <f t="shared" si="103"/>
        <v>0.3</v>
      </c>
      <c r="H154" s="584">
        <v>190.76</v>
      </c>
      <c r="I154" s="584">
        <v>79.651040199999997</v>
      </c>
      <c r="J154" s="584">
        <f t="shared" si="88"/>
        <v>79.651040199999997</v>
      </c>
      <c r="K154" s="584">
        <f t="shared" si="76"/>
        <v>39.825520099999999</v>
      </c>
      <c r="L154" s="584">
        <f t="shared" si="77"/>
        <v>0.64045183696587837</v>
      </c>
      <c r="M154" s="584">
        <f t="shared" si="78"/>
        <v>122.17259241961095</v>
      </c>
      <c r="N154" s="584">
        <f t="shared" si="79"/>
        <v>244.3451848392219</v>
      </c>
      <c r="O154" s="584">
        <f>+C135+SUM(D136:D154)</f>
        <v>0</v>
      </c>
      <c r="P154" s="584">
        <f t="shared" si="80"/>
        <v>0</v>
      </c>
      <c r="Q154" s="584">
        <f t="shared" si="81"/>
        <v>0</v>
      </c>
      <c r="R154" s="584">
        <f t="shared" si="89"/>
        <v>146.5</v>
      </c>
      <c r="S154" s="584">
        <f t="shared" si="104"/>
        <v>146.5</v>
      </c>
      <c r="T154" s="584">
        <f t="shared" si="82"/>
        <v>146.5</v>
      </c>
      <c r="U154" s="584"/>
      <c r="V154" s="584">
        <f t="shared" si="90"/>
        <v>0</v>
      </c>
      <c r="W154" s="584"/>
      <c r="X154" s="584"/>
      <c r="Y154" s="584"/>
      <c r="Z154" s="584"/>
      <c r="AA154" s="584"/>
      <c r="AB154" s="584" t="str">
        <f t="shared" si="91"/>
        <v>pin in groundstacking hole</v>
      </c>
      <c r="AC154" s="656"/>
      <c r="AD154" s="656"/>
      <c r="AE154" s="656"/>
      <c r="AF154" s="571">
        <f t="shared" si="92"/>
        <v>0</v>
      </c>
      <c r="AG154" s="571"/>
      <c r="AH154" s="620">
        <f>SUM(D136:D154)+$C$135</f>
        <v>0</v>
      </c>
      <c r="AI154" s="591"/>
      <c r="AJ154" s="568">
        <f t="shared" si="93"/>
        <v>69.344714800000006</v>
      </c>
      <c r="AK154" s="574">
        <f t="shared" si="83"/>
        <v>0.93571960494171247</v>
      </c>
      <c r="AL154" s="658">
        <f t="shared" si="94"/>
        <v>180.0511663828843</v>
      </c>
      <c r="AM154" s="568">
        <f t="shared" si="95"/>
        <v>50.174479900000001</v>
      </c>
      <c r="AN154" s="577">
        <f t="shared" si="96"/>
        <v>0.76799833627881664</v>
      </c>
      <c r="AO154" s="658">
        <f t="shared" si="97"/>
        <v>146.50336262854705</v>
      </c>
      <c r="AP154" s="578"/>
      <c r="AQ154" s="658">
        <f t="shared" si="98"/>
        <v>-459</v>
      </c>
      <c r="AR154" s="580"/>
      <c r="AS154" s="580">
        <f t="shared" si="99"/>
        <v>326.55452901143133</v>
      </c>
      <c r="AT154" s="581">
        <f t="shared" si="106"/>
        <v>-146.50336262854705</v>
      </c>
      <c r="AU154" s="581"/>
      <c r="AV154" s="581">
        <f t="shared" si="105"/>
        <v>146.50336262854705</v>
      </c>
      <c r="AW154" s="583">
        <f t="shared" si="100"/>
        <v>-253.07713728524303</v>
      </c>
      <c r="AX154" s="583">
        <f t="shared" si="101"/>
        <v>-205.92286271475697</v>
      </c>
      <c r="AY154" s="660">
        <f t="shared" si="84"/>
        <v>-45.835827465227133</v>
      </c>
      <c r="AZ154" s="660">
        <f t="shared" si="85"/>
        <v>-48.561873451865985</v>
      </c>
      <c r="BA154" s="585">
        <f t="shared" si="102"/>
        <v>45.835827465227133</v>
      </c>
      <c r="BB154" s="585">
        <f t="shared" si="102"/>
        <v>48.561873451865985</v>
      </c>
      <c r="BC154" s="474">
        <f t="shared" si="86"/>
        <v>0.3</v>
      </c>
    </row>
    <row r="155" spans="2:55" ht="21" customHeight="1" thickBot="1" x14ac:dyDescent="0.35">
      <c r="B155" s="631">
        <v>21</v>
      </c>
      <c r="C155" s="612"/>
      <c r="D155" s="1907">
        <v>0</v>
      </c>
      <c r="E155" s="632" t="s">
        <v>72</v>
      </c>
      <c r="F155" s="584">
        <f t="shared" si="87"/>
        <v>0.3</v>
      </c>
      <c r="G155" s="584">
        <f t="shared" si="103"/>
        <v>0.3</v>
      </c>
      <c r="H155" s="584">
        <v>190.76</v>
      </c>
      <c r="I155" s="584">
        <v>79.651040199999997</v>
      </c>
      <c r="J155" s="584">
        <f t="shared" si="88"/>
        <v>79.651040199999997</v>
      </c>
      <c r="K155" s="584">
        <f t="shared" si="76"/>
        <v>39.825520099999999</v>
      </c>
      <c r="L155" s="584">
        <f t="shared" si="77"/>
        <v>0.64045183696587837</v>
      </c>
      <c r="M155" s="584">
        <f t="shared" si="78"/>
        <v>122.17259241961095</v>
      </c>
      <c r="N155" s="584">
        <f t="shared" si="79"/>
        <v>244.3451848392219</v>
      </c>
      <c r="O155" s="584">
        <f>+C135+SUM(D136:D155)</f>
        <v>0</v>
      </c>
      <c r="P155" s="584">
        <f t="shared" si="80"/>
        <v>0</v>
      </c>
      <c r="Q155" s="584">
        <f t="shared" si="81"/>
        <v>0</v>
      </c>
      <c r="R155" s="584">
        <f t="shared" si="89"/>
        <v>146.5</v>
      </c>
      <c r="S155" s="584">
        <f t="shared" si="104"/>
        <v>146.5</v>
      </c>
      <c r="T155" s="584">
        <f t="shared" si="82"/>
        <v>146.5</v>
      </c>
      <c r="U155" s="584"/>
      <c r="V155" s="584">
        <f t="shared" si="90"/>
        <v>0</v>
      </c>
      <c r="W155" s="584"/>
      <c r="X155" s="584"/>
      <c r="Y155" s="584"/>
      <c r="Z155" s="584"/>
      <c r="AA155" s="584"/>
      <c r="AB155" s="584" t="str">
        <f t="shared" si="91"/>
        <v>pin in groundstacking hole</v>
      </c>
      <c r="AC155" s="656"/>
      <c r="AD155" s="656"/>
      <c r="AE155" s="656"/>
      <c r="AF155" s="571">
        <f t="shared" si="92"/>
        <v>0</v>
      </c>
      <c r="AG155" s="571"/>
      <c r="AH155" s="620">
        <f>SUM(D136:D155)+$C$135</f>
        <v>0</v>
      </c>
      <c r="AI155" s="591"/>
      <c r="AJ155" s="568">
        <f t="shared" si="93"/>
        <v>69.344714800000006</v>
      </c>
      <c r="AK155" s="574">
        <f t="shared" si="83"/>
        <v>0.93571960494171247</v>
      </c>
      <c r="AL155" s="658">
        <f t="shared" si="94"/>
        <v>180.0511663828843</v>
      </c>
      <c r="AM155" s="568">
        <f t="shared" si="95"/>
        <v>50.174479900000001</v>
      </c>
      <c r="AN155" s="577">
        <f t="shared" si="96"/>
        <v>0.76799833627881664</v>
      </c>
      <c r="AO155" s="658">
        <f t="shared" si="97"/>
        <v>146.50336262854705</v>
      </c>
      <c r="AP155" s="578"/>
      <c r="AQ155" s="658">
        <f t="shared" si="98"/>
        <v>-484.5</v>
      </c>
      <c r="AR155" s="580"/>
      <c r="AS155" s="580">
        <f t="shared" si="99"/>
        <v>326.55452901143133</v>
      </c>
      <c r="AT155" s="581">
        <f t="shared" si="106"/>
        <v>-146.50336262854705</v>
      </c>
      <c r="AU155" s="581"/>
      <c r="AV155" s="581">
        <f t="shared" si="105"/>
        <v>146.50336262854705</v>
      </c>
      <c r="AW155" s="583">
        <f t="shared" si="100"/>
        <v>-267.13697824553429</v>
      </c>
      <c r="AX155" s="583">
        <f t="shared" si="101"/>
        <v>-217.36302175446571</v>
      </c>
      <c r="AY155" s="660">
        <f t="shared" si="84"/>
        <v>-43.423415493373078</v>
      </c>
      <c r="AZ155" s="660">
        <f t="shared" si="85"/>
        <v>-46.005985375451978</v>
      </c>
      <c r="BA155" s="585">
        <f t="shared" si="102"/>
        <v>43.423415493373078</v>
      </c>
      <c r="BB155" s="585">
        <f t="shared" si="102"/>
        <v>46.005985375451978</v>
      </c>
      <c r="BC155" s="474">
        <f t="shared" si="86"/>
        <v>0.3</v>
      </c>
    </row>
    <row r="156" spans="2:55" ht="21" customHeight="1" thickBot="1" x14ac:dyDescent="0.35">
      <c r="B156" s="631">
        <v>22</v>
      </c>
      <c r="C156" s="612"/>
      <c r="D156" s="1907">
        <v>0</v>
      </c>
      <c r="E156" s="632" t="s">
        <v>72</v>
      </c>
      <c r="F156" s="584">
        <f t="shared" si="87"/>
        <v>0.3</v>
      </c>
      <c r="G156" s="584">
        <f t="shared" si="103"/>
        <v>0.3</v>
      </c>
      <c r="H156" s="584">
        <v>190.76</v>
      </c>
      <c r="I156" s="584">
        <v>79.651040199999997</v>
      </c>
      <c r="J156" s="584">
        <f t="shared" si="88"/>
        <v>79.651040199999997</v>
      </c>
      <c r="K156" s="584">
        <f t="shared" si="76"/>
        <v>39.825520099999999</v>
      </c>
      <c r="L156" s="584">
        <f t="shared" si="77"/>
        <v>0.64045183696587837</v>
      </c>
      <c r="M156" s="584">
        <f t="shared" si="78"/>
        <v>122.17259241961095</v>
      </c>
      <c r="N156" s="584">
        <f t="shared" si="79"/>
        <v>244.3451848392219</v>
      </c>
      <c r="O156" s="584">
        <f>+C135+SUM(D136:D156)</f>
        <v>0</v>
      </c>
      <c r="P156" s="584">
        <f t="shared" si="80"/>
        <v>0</v>
      </c>
      <c r="Q156" s="584">
        <f t="shared" si="81"/>
        <v>0</v>
      </c>
      <c r="R156" s="584">
        <f t="shared" si="89"/>
        <v>146.5</v>
      </c>
      <c r="S156" s="584">
        <f t="shared" si="104"/>
        <v>146.5</v>
      </c>
      <c r="T156" s="584">
        <f t="shared" si="82"/>
        <v>146.5</v>
      </c>
      <c r="U156" s="584"/>
      <c r="V156" s="584">
        <f t="shared" si="90"/>
        <v>0</v>
      </c>
      <c r="W156" s="584"/>
      <c r="X156" s="584"/>
      <c r="Y156" s="584"/>
      <c r="Z156" s="584"/>
      <c r="AA156" s="584"/>
      <c r="AB156" s="584" t="str">
        <f t="shared" si="91"/>
        <v>pin in groundstacking hole</v>
      </c>
      <c r="AC156" s="656"/>
      <c r="AD156" s="656"/>
      <c r="AE156" s="656"/>
      <c r="AF156" s="571">
        <f t="shared" si="92"/>
        <v>0</v>
      </c>
      <c r="AG156" s="571"/>
      <c r="AH156" s="620">
        <f>SUM(D136:D156)+$C$135</f>
        <v>0</v>
      </c>
      <c r="AI156" s="591"/>
      <c r="AJ156" s="568">
        <f t="shared" si="93"/>
        <v>69.344714800000006</v>
      </c>
      <c r="AK156" s="574">
        <f t="shared" si="83"/>
        <v>0.93571960494171247</v>
      </c>
      <c r="AL156" s="658">
        <f t="shared" si="94"/>
        <v>180.0511663828843</v>
      </c>
      <c r="AM156" s="568">
        <f t="shared" si="95"/>
        <v>50.174479900000001</v>
      </c>
      <c r="AN156" s="577">
        <f t="shared" si="96"/>
        <v>0.76799833627881664</v>
      </c>
      <c r="AO156" s="658">
        <f t="shared" si="97"/>
        <v>146.50336262854705</v>
      </c>
      <c r="AP156" s="578"/>
      <c r="AQ156" s="658">
        <f t="shared" si="98"/>
        <v>-510</v>
      </c>
      <c r="AR156" s="580"/>
      <c r="AS156" s="580">
        <f t="shared" si="99"/>
        <v>326.55452901143133</v>
      </c>
      <c r="AT156" s="581">
        <f t="shared" si="106"/>
        <v>-146.50336262854705</v>
      </c>
      <c r="AU156" s="581"/>
      <c r="AV156" s="581">
        <f t="shared" si="105"/>
        <v>146.50336262854705</v>
      </c>
      <c r="AW156" s="583">
        <f t="shared" si="100"/>
        <v>-281.19681920582559</v>
      </c>
      <c r="AX156" s="583">
        <f t="shared" si="101"/>
        <v>-228.80318079417441</v>
      </c>
      <c r="AY156" s="660">
        <f t="shared" si="84"/>
        <v>-41.252244718704418</v>
      </c>
      <c r="AZ156" s="660">
        <f t="shared" si="85"/>
        <v>-43.705686106679387</v>
      </c>
      <c r="BA156" s="585">
        <f t="shared" si="102"/>
        <v>41.252244718704418</v>
      </c>
      <c r="BB156" s="585">
        <f t="shared" si="102"/>
        <v>43.705686106679387</v>
      </c>
      <c r="BC156" s="474">
        <f t="shared" si="86"/>
        <v>0.3</v>
      </c>
    </row>
    <row r="157" spans="2:55" ht="21" customHeight="1" thickBot="1" x14ac:dyDescent="0.35">
      <c r="B157" s="631">
        <v>23</v>
      </c>
      <c r="C157" s="612"/>
      <c r="D157" s="1907">
        <v>0</v>
      </c>
      <c r="E157" s="632" t="s">
        <v>72</v>
      </c>
      <c r="F157" s="584">
        <f t="shared" si="87"/>
        <v>0.3</v>
      </c>
      <c r="G157" s="584">
        <f t="shared" si="103"/>
        <v>0.3</v>
      </c>
      <c r="H157" s="584">
        <v>190.76</v>
      </c>
      <c r="I157" s="584">
        <v>79.651040199999997</v>
      </c>
      <c r="J157" s="584">
        <f t="shared" si="88"/>
        <v>79.651040199999997</v>
      </c>
      <c r="K157" s="584">
        <f t="shared" si="76"/>
        <v>39.825520099999999</v>
      </c>
      <c r="L157" s="584">
        <f t="shared" si="77"/>
        <v>0.64045183696587837</v>
      </c>
      <c r="M157" s="584">
        <f t="shared" si="78"/>
        <v>122.17259241961095</v>
      </c>
      <c r="N157" s="584">
        <f t="shared" si="79"/>
        <v>244.3451848392219</v>
      </c>
      <c r="O157" s="584">
        <f>+C135+SUM(D136:D157)</f>
        <v>0</v>
      </c>
      <c r="P157" s="584">
        <f t="shared" si="80"/>
        <v>0</v>
      </c>
      <c r="Q157" s="584">
        <f t="shared" si="81"/>
        <v>0</v>
      </c>
      <c r="R157" s="584">
        <f t="shared" si="89"/>
        <v>146.5</v>
      </c>
      <c r="S157" s="584">
        <f t="shared" si="104"/>
        <v>146.5</v>
      </c>
      <c r="T157" s="584">
        <f t="shared" si="82"/>
        <v>146.5</v>
      </c>
      <c r="U157" s="584"/>
      <c r="V157" s="584">
        <f t="shared" si="90"/>
        <v>0</v>
      </c>
      <c r="W157" s="584"/>
      <c r="X157" s="584"/>
      <c r="Y157" s="584"/>
      <c r="Z157" s="584"/>
      <c r="AA157" s="584"/>
      <c r="AB157" s="584" t="str">
        <f t="shared" si="91"/>
        <v>pin in groundstacking hole</v>
      </c>
      <c r="AC157" s="656"/>
      <c r="AD157" s="656"/>
      <c r="AE157" s="656"/>
      <c r="AF157" s="571">
        <f t="shared" si="92"/>
        <v>0</v>
      </c>
      <c r="AG157" s="571"/>
      <c r="AH157" s="620">
        <f>SUM(D136:D157)+$C$135</f>
        <v>0</v>
      </c>
      <c r="AI157" s="591"/>
      <c r="AJ157" s="568">
        <f t="shared" si="93"/>
        <v>69.344714800000006</v>
      </c>
      <c r="AK157" s="574">
        <f t="shared" si="83"/>
        <v>0.93571960494171247</v>
      </c>
      <c r="AL157" s="658">
        <f t="shared" si="94"/>
        <v>180.0511663828843</v>
      </c>
      <c r="AM157" s="568">
        <f t="shared" si="95"/>
        <v>50.174479900000001</v>
      </c>
      <c r="AN157" s="577">
        <f t="shared" si="96"/>
        <v>0.76799833627881664</v>
      </c>
      <c r="AO157" s="658">
        <f t="shared" si="97"/>
        <v>146.50336262854705</v>
      </c>
      <c r="AP157" s="578"/>
      <c r="AQ157" s="658">
        <f t="shared" si="98"/>
        <v>-535.5</v>
      </c>
      <c r="AR157" s="580"/>
      <c r="AS157" s="580">
        <f t="shared" si="99"/>
        <v>326.55452901143133</v>
      </c>
      <c r="AT157" s="581">
        <f t="shared" si="106"/>
        <v>-146.50336262854705</v>
      </c>
      <c r="AU157" s="581"/>
      <c r="AV157" s="581">
        <f t="shared" si="105"/>
        <v>146.50336262854705</v>
      </c>
      <c r="AW157" s="583">
        <f t="shared" si="100"/>
        <v>-295.25666016611689</v>
      </c>
      <c r="AX157" s="583">
        <f t="shared" si="101"/>
        <v>-240.24333983388314</v>
      </c>
      <c r="AY157" s="660">
        <f t="shared" si="84"/>
        <v>-39.287852113051827</v>
      </c>
      <c r="AZ157" s="660">
        <f t="shared" si="85"/>
        <v>-41.624462958742271</v>
      </c>
      <c r="BA157" s="585">
        <f t="shared" si="102"/>
        <v>39.287852113051827</v>
      </c>
      <c r="BB157" s="585">
        <f t="shared" si="102"/>
        <v>41.624462958742271</v>
      </c>
      <c r="BC157" s="474">
        <f t="shared" si="86"/>
        <v>0.3</v>
      </c>
    </row>
    <row r="158" spans="2:55" ht="21" customHeight="1" thickBot="1" x14ac:dyDescent="0.35">
      <c r="B158" s="631">
        <v>24</v>
      </c>
      <c r="C158" s="612"/>
      <c r="D158" s="1907">
        <v>0</v>
      </c>
      <c r="E158" s="632" t="s">
        <v>72</v>
      </c>
      <c r="F158" s="584">
        <f t="shared" si="87"/>
        <v>0.3</v>
      </c>
      <c r="G158" s="584">
        <f t="shared" si="103"/>
        <v>0.3</v>
      </c>
      <c r="H158" s="584">
        <v>190.76</v>
      </c>
      <c r="I158" s="584">
        <v>79.651040199999997</v>
      </c>
      <c r="J158" s="584">
        <f t="shared" si="88"/>
        <v>79.651040199999997</v>
      </c>
      <c r="K158" s="584">
        <f t="shared" si="76"/>
        <v>39.825520099999999</v>
      </c>
      <c r="L158" s="584">
        <f t="shared" si="77"/>
        <v>0.64045183696587837</v>
      </c>
      <c r="M158" s="584">
        <f t="shared" si="78"/>
        <v>122.17259241961095</v>
      </c>
      <c r="N158" s="584">
        <f t="shared" si="79"/>
        <v>244.3451848392219</v>
      </c>
      <c r="O158" s="584">
        <f>+C135+SUM(D136:D158)</f>
        <v>0</v>
      </c>
      <c r="P158" s="584">
        <f t="shared" si="80"/>
        <v>0</v>
      </c>
      <c r="Q158" s="584">
        <f t="shared" si="81"/>
        <v>0</v>
      </c>
      <c r="R158" s="584">
        <f t="shared" si="89"/>
        <v>146.5</v>
      </c>
      <c r="S158" s="584">
        <f t="shared" si="104"/>
        <v>146.5</v>
      </c>
      <c r="T158" s="584">
        <f t="shared" si="82"/>
        <v>146.5</v>
      </c>
      <c r="U158" s="584"/>
      <c r="V158" s="584">
        <f t="shared" si="90"/>
        <v>0</v>
      </c>
      <c r="W158" s="584"/>
      <c r="X158" s="584"/>
      <c r="Y158" s="584"/>
      <c r="Z158" s="584"/>
      <c r="AA158" s="584"/>
      <c r="AB158" s="584" t="str">
        <f t="shared" si="91"/>
        <v>pin in groundstacking hole</v>
      </c>
      <c r="AC158" s="656"/>
      <c r="AD158" s="656"/>
      <c r="AE158" s="656"/>
      <c r="AF158" s="571">
        <f t="shared" si="92"/>
        <v>0</v>
      </c>
      <c r="AG158" s="571"/>
      <c r="AH158" s="620">
        <f>SUM(D136:D158)+$C$135</f>
        <v>0</v>
      </c>
      <c r="AI158" s="591"/>
      <c r="AJ158" s="568">
        <f t="shared" si="93"/>
        <v>69.344714800000006</v>
      </c>
      <c r="AK158" s="574">
        <f t="shared" si="83"/>
        <v>0.93571960494171247</v>
      </c>
      <c r="AL158" s="658">
        <f t="shared" si="94"/>
        <v>180.0511663828843</v>
      </c>
      <c r="AM158" s="568">
        <f t="shared" si="95"/>
        <v>50.174479900000001</v>
      </c>
      <c r="AN158" s="577">
        <f t="shared" si="96"/>
        <v>0.76799833627881664</v>
      </c>
      <c r="AO158" s="658">
        <f t="shared" si="97"/>
        <v>146.50336262854705</v>
      </c>
      <c r="AP158" s="626"/>
      <c r="AQ158" s="658">
        <f>25.5*($B$132-B157)</f>
        <v>-561</v>
      </c>
      <c r="AR158" s="580"/>
      <c r="AS158" s="580">
        <f t="shared" si="99"/>
        <v>326.55452901143133</v>
      </c>
      <c r="AT158" s="581">
        <f t="shared" si="106"/>
        <v>-146.50336262854705</v>
      </c>
      <c r="AU158" s="581"/>
      <c r="AV158" s="581">
        <f t="shared" si="105"/>
        <v>146.50336262854705</v>
      </c>
      <c r="AW158" s="583">
        <f t="shared" si="100"/>
        <v>-309.31650112640813</v>
      </c>
      <c r="AX158" s="583">
        <f t="shared" si="101"/>
        <v>-251.68349887359184</v>
      </c>
      <c r="AY158" s="660">
        <f t="shared" si="84"/>
        <v>-37.502040653367658</v>
      </c>
      <c r="AZ158" s="660">
        <f t="shared" si="85"/>
        <v>-39.732441915163079</v>
      </c>
      <c r="BA158" s="585">
        <f t="shared" si="102"/>
        <v>37.502040653367658</v>
      </c>
      <c r="BB158" s="585">
        <f t="shared" si="102"/>
        <v>39.732441915163079</v>
      </c>
      <c r="BC158" s="474">
        <f t="shared" si="86"/>
        <v>0.3</v>
      </c>
    </row>
    <row r="176" spans="67:92" x14ac:dyDescent="0.3">
      <c r="BO176" s="661"/>
      <c r="BP176" s="661"/>
      <c r="BQ176" s="661"/>
      <c r="BR176" s="661"/>
      <c r="BS176" s="661"/>
      <c r="BT176" s="661"/>
      <c r="BU176" s="2065"/>
      <c r="BV176" s="2065"/>
      <c r="BW176" s="2065"/>
      <c r="BX176" s="478"/>
      <c r="BY176" s="506"/>
      <c r="BZ176" s="506"/>
      <c r="CA176" s="506"/>
      <c r="CB176" s="506"/>
      <c r="CC176" s="506"/>
      <c r="CD176" s="506"/>
      <c r="CE176" s="506"/>
      <c r="CF176" s="506"/>
      <c r="CG176" s="506"/>
      <c r="CH176" s="506"/>
      <c r="CI176" s="506"/>
      <c r="CJ176" s="506"/>
      <c r="CK176" s="506"/>
      <c r="CL176" s="506"/>
      <c r="CM176" s="506"/>
      <c r="CN176" s="506"/>
    </row>
    <row r="177" spans="67:92" x14ac:dyDescent="0.3">
      <c r="BO177" s="506"/>
      <c r="BP177" s="506"/>
      <c r="BQ177" s="506"/>
      <c r="BR177" s="506"/>
      <c r="BS177" s="506"/>
      <c r="BT177" s="506"/>
      <c r="BU177" s="662"/>
      <c r="BV177" s="506"/>
      <c r="BW177" s="506"/>
      <c r="BX177" s="506"/>
      <c r="BY177" s="506"/>
      <c r="BZ177" s="506"/>
      <c r="CA177" s="506"/>
      <c r="CB177" s="506"/>
      <c r="CC177" s="506"/>
      <c r="CD177" s="506"/>
      <c r="CE177" s="506"/>
      <c r="CF177" s="506"/>
      <c r="CG177" s="506"/>
      <c r="CH177" s="662"/>
      <c r="CI177" s="506"/>
      <c r="CJ177" s="506"/>
      <c r="CK177" s="506"/>
      <c r="CL177" s="506"/>
      <c r="CM177" s="506"/>
      <c r="CN177" s="506"/>
    </row>
    <row r="178" spans="67:92" x14ac:dyDescent="0.3">
      <c r="BO178" s="663"/>
      <c r="BP178" s="663"/>
      <c r="BQ178" s="663"/>
      <c r="BR178" s="663"/>
      <c r="BS178" s="663"/>
      <c r="BT178" s="663"/>
      <c r="BU178" s="2066"/>
      <c r="BV178" s="2066"/>
      <c r="BW178" s="506"/>
      <c r="BX178" s="506"/>
      <c r="BY178" s="506"/>
      <c r="BZ178" s="506"/>
      <c r="CA178" s="506"/>
      <c r="CB178" s="506"/>
      <c r="CC178" s="506"/>
      <c r="CD178" s="506"/>
      <c r="CE178" s="506"/>
      <c r="CF178" s="506"/>
      <c r="CG178" s="2061"/>
      <c r="CH178" s="2061"/>
      <c r="CI178" s="506"/>
      <c r="CJ178" s="506"/>
      <c r="CK178" s="506"/>
      <c r="CL178" s="506"/>
      <c r="CM178" s="506"/>
      <c r="CN178" s="506"/>
    </row>
    <row r="179" spans="67:92" x14ac:dyDescent="0.3">
      <c r="BO179" s="506"/>
      <c r="BP179" s="506"/>
      <c r="BQ179" s="506"/>
      <c r="BR179" s="506"/>
      <c r="BS179" s="506"/>
      <c r="BT179" s="506"/>
      <c r="BU179" s="506"/>
      <c r="BV179" s="506"/>
      <c r="BW179" s="506"/>
      <c r="BX179" s="506"/>
      <c r="BY179" s="506"/>
      <c r="BZ179" s="506"/>
      <c r="CA179" s="506"/>
      <c r="CB179" s="506"/>
      <c r="CC179" s="506"/>
      <c r="CD179" s="506"/>
      <c r="CE179" s="506"/>
      <c r="CF179" s="506"/>
      <c r="CG179" s="506"/>
      <c r="CH179" s="506"/>
      <c r="CI179" s="506"/>
      <c r="CJ179" s="506"/>
      <c r="CK179" s="506"/>
      <c r="CL179" s="506"/>
      <c r="CM179" s="506"/>
      <c r="CN179" s="506"/>
    </row>
    <row r="180" spans="67:92" x14ac:dyDescent="0.3">
      <c r="BO180" s="506"/>
      <c r="BP180" s="506"/>
      <c r="BQ180" s="506"/>
      <c r="BR180" s="506"/>
      <c r="BS180" s="506"/>
      <c r="BT180" s="506"/>
      <c r="BU180" s="506"/>
      <c r="BV180" s="506"/>
      <c r="BW180" s="506"/>
      <c r="BX180" s="506"/>
      <c r="BY180" s="506"/>
      <c r="BZ180" s="506"/>
      <c r="CA180" s="506"/>
      <c r="CB180" s="506"/>
      <c r="CC180" s="506"/>
      <c r="CD180" s="506"/>
      <c r="CE180" s="506"/>
      <c r="CF180" s="506"/>
      <c r="CG180" s="506"/>
      <c r="CH180" s="506"/>
      <c r="CI180" s="506"/>
      <c r="CJ180" s="506"/>
      <c r="CK180" s="506"/>
      <c r="CL180" s="506"/>
      <c r="CM180" s="506"/>
      <c r="CN180" s="506"/>
    </row>
    <row r="181" spans="67:92" x14ac:dyDescent="0.3">
      <c r="BO181" s="506"/>
      <c r="BP181" s="506"/>
      <c r="BQ181" s="506"/>
      <c r="BR181" s="506"/>
      <c r="BS181" s="506"/>
      <c r="BT181" s="506"/>
      <c r="BU181" s="506"/>
      <c r="BV181" s="506"/>
      <c r="BW181" s="506"/>
      <c r="BX181" s="506"/>
      <c r="BY181" s="506"/>
      <c r="BZ181" s="506"/>
      <c r="CA181" s="506"/>
      <c r="CB181" s="506"/>
      <c r="CC181" s="506"/>
      <c r="CD181" s="506"/>
      <c r="CE181" s="506"/>
      <c r="CF181" s="506"/>
      <c r="CG181" s="506"/>
      <c r="CH181" s="506"/>
      <c r="CI181" s="506"/>
      <c r="CJ181" s="506"/>
      <c r="CK181" s="506"/>
      <c r="CL181" s="506"/>
      <c r="CM181" s="506"/>
      <c r="CN181" s="506"/>
    </row>
    <row r="182" spans="67:92" x14ac:dyDescent="0.3">
      <c r="BO182" s="506"/>
      <c r="BP182" s="506"/>
      <c r="BQ182" s="506"/>
      <c r="BR182" s="506"/>
      <c r="BS182" s="506"/>
      <c r="BT182" s="506"/>
      <c r="BU182" s="506"/>
      <c r="BV182" s="506"/>
      <c r="BW182" s="506"/>
      <c r="BX182" s="506"/>
      <c r="BY182" s="506"/>
      <c r="BZ182" s="506"/>
      <c r="CA182" s="506"/>
      <c r="CB182" s="506"/>
      <c r="CC182" s="506"/>
      <c r="CD182" s="506"/>
      <c r="CE182" s="506"/>
      <c r="CF182" s="506"/>
      <c r="CG182" s="506"/>
      <c r="CH182" s="506"/>
      <c r="CI182" s="506"/>
      <c r="CJ182" s="506"/>
      <c r="CK182" s="506"/>
      <c r="CL182" s="506"/>
      <c r="CM182" s="506"/>
      <c r="CN182" s="506"/>
    </row>
    <row r="183" spans="67:92" x14ac:dyDescent="0.3">
      <c r="BO183" s="506"/>
      <c r="BP183" s="506"/>
      <c r="BQ183" s="506"/>
      <c r="BR183" s="506"/>
      <c r="BS183" s="506"/>
      <c r="BT183" s="506"/>
      <c r="BU183" s="506"/>
      <c r="BV183" s="506"/>
      <c r="BW183" s="506"/>
      <c r="BX183" s="506"/>
      <c r="BY183" s="506"/>
      <c r="BZ183" s="506"/>
      <c r="CA183" s="506"/>
      <c r="CB183" s="506"/>
      <c r="CC183" s="506"/>
      <c r="CD183" s="506"/>
      <c r="CE183" s="506"/>
      <c r="CF183" s="506"/>
      <c r="CG183" s="506"/>
      <c r="CH183" s="506"/>
      <c r="CI183" s="506"/>
      <c r="CJ183" s="506"/>
      <c r="CK183" s="506"/>
      <c r="CL183" s="506"/>
      <c r="CM183" s="506"/>
      <c r="CN183" s="506"/>
    </row>
    <row r="184" spans="67:92" x14ac:dyDescent="0.3">
      <c r="BO184" s="506"/>
      <c r="BP184" s="506"/>
      <c r="BQ184" s="506"/>
      <c r="BR184" s="506"/>
      <c r="BS184" s="506"/>
      <c r="BT184" s="506"/>
      <c r="BU184" s="506"/>
      <c r="BV184" s="506"/>
      <c r="BW184" s="506"/>
      <c r="BX184" s="506"/>
      <c r="BY184" s="506"/>
      <c r="BZ184" s="506"/>
      <c r="CA184" s="506"/>
      <c r="CB184" s="506"/>
      <c r="CC184" s="506"/>
      <c r="CD184" s="506"/>
      <c r="CE184" s="506"/>
      <c r="CF184" s="506"/>
      <c r="CG184" s="506"/>
      <c r="CH184" s="506"/>
      <c r="CI184" s="506"/>
      <c r="CJ184" s="506"/>
      <c r="CK184" s="506"/>
      <c r="CL184" s="506"/>
      <c r="CM184" s="506"/>
      <c r="CN184" s="506"/>
    </row>
    <row r="185" spans="67:92" x14ac:dyDescent="0.3">
      <c r="BO185" s="506"/>
      <c r="BP185" s="506"/>
      <c r="BQ185" s="506"/>
      <c r="BR185" s="506"/>
      <c r="BS185" s="506"/>
      <c r="BT185" s="506"/>
      <c r="BU185" s="506"/>
      <c r="BV185" s="506"/>
      <c r="BW185" s="506"/>
      <c r="BX185" s="506"/>
      <c r="BY185" s="506"/>
      <c r="BZ185" s="506"/>
      <c r="CA185" s="506"/>
      <c r="CB185" s="506"/>
      <c r="CC185" s="506"/>
      <c r="CD185" s="506"/>
      <c r="CE185" s="506"/>
      <c r="CF185" s="506"/>
      <c r="CG185" s="506"/>
      <c r="CH185" s="506"/>
      <c r="CI185" s="506"/>
      <c r="CJ185" s="506"/>
      <c r="CK185" s="506"/>
      <c r="CL185" s="506"/>
      <c r="CM185" s="506"/>
      <c r="CN185" s="506"/>
    </row>
    <row r="186" spans="67:92" x14ac:dyDescent="0.3">
      <c r="BO186" s="506"/>
      <c r="BP186" s="506"/>
      <c r="BQ186" s="506"/>
      <c r="BR186" s="506"/>
      <c r="BS186" s="506"/>
      <c r="BT186" s="506"/>
      <c r="BU186" s="506"/>
      <c r="BV186" s="506"/>
      <c r="BW186" s="506"/>
      <c r="BX186" s="506"/>
      <c r="BY186" s="506"/>
      <c r="BZ186" s="506"/>
      <c r="CA186" s="506"/>
      <c r="CB186" s="506"/>
      <c r="CC186" s="506"/>
      <c r="CD186" s="506"/>
      <c r="CE186" s="506"/>
      <c r="CF186" s="506"/>
      <c r="CG186" s="506"/>
      <c r="CH186" s="506"/>
      <c r="CI186" s="506"/>
      <c r="CJ186" s="506"/>
      <c r="CK186" s="506"/>
      <c r="CL186" s="506"/>
      <c r="CM186" s="506"/>
      <c r="CN186" s="506"/>
    </row>
    <row r="187" spans="67:92" x14ac:dyDescent="0.3">
      <c r="BO187" s="506"/>
      <c r="BP187" s="506"/>
      <c r="BQ187" s="506"/>
      <c r="BR187" s="506"/>
      <c r="BS187" s="506"/>
      <c r="BT187" s="506"/>
      <c r="BU187" s="506"/>
      <c r="BV187" s="506"/>
      <c r="BW187" s="506"/>
      <c r="BX187" s="506"/>
      <c r="BY187" s="506"/>
      <c r="BZ187" s="506"/>
      <c r="CA187" s="506"/>
      <c r="CB187" s="506"/>
      <c r="CC187" s="506"/>
      <c r="CD187" s="506"/>
      <c r="CE187" s="506"/>
      <c r="CF187" s="506"/>
      <c r="CG187" s="506"/>
      <c r="CH187" s="506"/>
      <c r="CI187" s="506"/>
      <c r="CJ187" s="506"/>
      <c r="CK187" s="506"/>
      <c r="CL187" s="506"/>
      <c r="CM187" s="506"/>
      <c r="CN187" s="506"/>
    </row>
    <row r="188" spans="67:92" x14ac:dyDescent="0.3">
      <c r="BO188" s="506"/>
      <c r="BP188" s="506"/>
      <c r="BQ188" s="506"/>
      <c r="BR188" s="506"/>
      <c r="BS188" s="506"/>
      <c r="BT188" s="506"/>
      <c r="BU188" s="506"/>
      <c r="BV188" s="506"/>
      <c r="BW188" s="506"/>
      <c r="BX188" s="506"/>
      <c r="BY188" s="506"/>
      <c r="BZ188" s="506"/>
      <c r="CA188" s="506"/>
      <c r="CB188" s="506"/>
      <c r="CC188" s="506"/>
      <c r="CD188" s="506"/>
      <c r="CE188" s="506"/>
      <c r="CF188" s="506"/>
      <c r="CG188" s="506"/>
      <c r="CH188" s="506"/>
      <c r="CI188" s="506"/>
      <c r="CJ188" s="506"/>
      <c r="CK188" s="506"/>
      <c r="CL188" s="506"/>
      <c r="CM188" s="506"/>
      <c r="CN188" s="506"/>
    </row>
    <row r="189" spans="67:92" x14ac:dyDescent="0.3">
      <c r="BO189" s="506"/>
      <c r="BP189" s="506"/>
      <c r="BQ189" s="506"/>
      <c r="BR189" s="506"/>
      <c r="BS189" s="506"/>
      <c r="BT189" s="506"/>
      <c r="BU189" s="506"/>
      <c r="BV189" s="506"/>
      <c r="BW189" s="506"/>
      <c r="BX189" s="506"/>
      <c r="BY189" s="506"/>
      <c r="BZ189" s="506"/>
      <c r="CA189" s="506"/>
      <c r="CB189" s="506"/>
      <c r="CC189" s="506"/>
      <c r="CD189" s="506"/>
      <c r="CE189" s="506"/>
      <c r="CF189" s="506"/>
      <c r="CG189" s="506"/>
      <c r="CH189" s="506"/>
      <c r="CI189" s="506"/>
      <c r="CJ189" s="506"/>
      <c r="CK189" s="506"/>
      <c r="CL189" s="506"/>
      <c r="CM189" s="506"/>
      <c r="CN189" s="506"/>
    </row>
    <row r="190" spans="67:92" x14ac:dyDescent="0.3">
      <c r="BO190" s="506"/>
      <c r="BP190" s="506"/>
      <c r="BQ190" s="506"/>
      <c r="BR190" s="506"/>
      <c r="BS190" s="506"/>
      <c r="BT190" s="506"/>
      <c r="BU190" s="506"/>
      <c r="BV190" s="506"/>
      <c r="BW190" s="506"/>
      <c r="BX190" s="506"/>
      <c r="BY190" s="506"/>
      <c r="BZ190" s="506"/>
      <c r="CA190" s="506"/>
      <c r="CB190" s="506"/>
      <c r="CC190" s="506"/>
      <c r="CD190" s="506"/>
      <c r="CE190" s="506"/>
      <c r="CF190" s="506"/>
      <c r="CG190" s="506"/>
      <c r="CH190" s="506"/>
      <c r="CI190" s="506"/>
      <c r="CJ190" s="506"/>
      <c r="CK190" s="506"/>
      <c r="CL190" s="506"/>
      <c r="CM190" s="506"/>
      <c r="CN190" s="506"/>
    </row>
    <row r="191" spans="67:92" x14ac:dyDescent="0.3">
      <c r="BO191" s="506"/>
      <c r="BP191" s="506"/>
      <c r="BQ191" s="506"/>
      <c r="BR191" s="506"/>
      <c r="BS191" s="506"/>
      <c r="BT191" s="506"/>
      <c r="BU191" s="506"/>
      <c r="BV191" s="506"/>
      <c r="BW191" s="506"/>
      <c r="BX191" s="506"/>
      <c r="BY191" s="506"/>
      <c r="BZ191" s="506"/>
      <c r="CA191" s="506"/>
      <c r="CB191" s="506"/>
      <c r="CC191" s="506"/>
      <c r="CD191" s="506"/>
      <c r="CE191" s="506"/>
      <c r="CF191" s="506"/>
      <c r="CG191" s="506"/>
      <c r="CH191" s="506"/>
      <c r="CI191" s="506"/>
      <c r="CJ191" s="506"/>
      <c r="CK191" s="506"/>
      <c r="CL191" s="506"/>
      <c r="CM191" s="506"/>
      <c r="CN191" s="506"/>
    </row>
    <row r="192" spans="67:92" x14ac:dyDescent="0.3">
      <c r="BO192" s="506"/>
      <c r="BP192" s="506"/>
      <c r="BQ192" s="506"/>
      <c r="BR192" s="506"/>
      <c r="BS192" s="506"/>
      <c r="BT192" s="506"/>
      <c r="BU192" s="506"/>
      <c r="BV192" s="506"/>
      <c r="BW192" s="506"/>
      <c r="BX192" s="506"/>
      <c r="BY192" s="506"/>
      <c r="BZ192" s="506"/>
      <c r="CA192" s="506"/>
      <c r="CB192" s="506"/>
      <c r="CC192" s="506"/>
      <c r="CD192" s="506"/>
      <c r="CE192" s="506"/>
      <c r="CF192" s="506"/>
      <c r="CG192" s="506"/>
      <c r="CH192" s="506"/>
      <c r="CI192" s="506"/>
      <c r="CJ192" s="506"/>
      <c r="CK192" s="506"/>
      <c r="CL192" s="506"/>
      <c r="CM192" s="506"/>
      <c r="CN192" s="506"/>
    </row>
    <row r="193" spans="67:92" x14ac:dyDescent="0.3">
      <c r="BO193" s="506"/>
      <c r="BP193" s="506"/>
      <c r="BQ193" s="506"/>
      <c r="BR193" s="506"/>
      <c r="BS193" s="506"/>
      <c r="BT193" s="506"/>
      <c r="BU193" s="506"/>
      <c r="BV193" s="506"/>
      <c r="BW193" s="516"/>
      <c r="BX193" s="516"/>
      <c r="BY193" s="516"/>
      <c r="BZ193" s="516"/>
      <c r="CA193" s="516"/>
      <c r="CB193" s="516"/>
      <c r="CC193" s="506"/>
      <c r="CD193" s="506"/>
      <c r="CE193" s="506"/>
      <c r="CF193" s="506"/>
      <c r="CG193" s="506"/>
      <c r="CH193" s="506"/>
      <c r="CI193" s="506"/>
      <c r="CJ193" s="506"/>
      <c r="CK193" s="506"/>
      <c r="CL193" s="506"/>
      <c r="CM193" s="506"/>
      <c r="CN193" s="506"/>
    </row>
    <row r="194" spans="67:92" x14ac:dyDescent="0.3">
      <c r="BO194" s="506"/>
      <c r="BP194" s="506"/>
      <c r="BQ194" s="506"/>
      <c r="BR194" s="506"/>
      <c r="BS194" s="506"/>
      <c r="BT194" s="506"/>
      <c r="BU194" s="506"/>
      <c r="BV194" s="506"/>
      <c r="BW194" s="516"/>
      <c r="BX194" s="516"/>
      <c r="BY194" s="516"/>
      <c r="BZ194" s="516"/>
      <c r="CA194" s="516"/>
      <c r="CB194" s="516"/>
      <c r="CC194" s="506"/>
      <c r="CD194" s="506"/>
      <c r="CE194" s="506"/>
      <c r="CF194" s="506"/>
      <c r="CG194" s="506"/>
      <c r="CH194" s="506"/>
      <c r="CI194" s="506"/>
      <c r="CJ194" s="506"/>
      <c r="CK194" s="506"/>
      <c r="CL194" s="506"/>
      <c r="CM194" s="506"/>
      <c r="CN194" s="506"/>
    </row>
    <row r="195" spans="67:92" x14ac:dyDescent="0.3">
      <c r="BO195" s="478"/>
      <c r="BP195" s="506"/>
      <c r="BQ195" s="478"/>
      <c r="BR195" s="506"/>
      <c r="BS195" s="478"/>
      <c r="BT195" s="506"/>
      <c r="BU195" s="506"/>
      <c r="BV195" s="506"/>
      <c r="BW195" s="516"/>
      <c r="BX195" s="516"/>
      <c r="BY195" s="516"/>
      <c r="BZ195" s="516"/>
      <c r="CA195" s="516"/>
      <c r="CB195" s="516"/>
      <c r="CC195" s="506"/>
      <c r="CD195" s="506"/>
      <c r="CE195" s="506"/>
      <c r="CF195" s="506"/>
      <c r="CG195" s="506"/>
      <c r="CH195" s="506"/>
      <c r="CI195" s="506"/>
      <c r="CJ195" s="506"/>
      <c r="CK195" s="506"/>
      <c r="CL195" s="506"/>
      <c r="CM195" s="506"/>
      <c r="CN195" s="506"/>
    </row>
    <row r="196" spans="67:92" x14ac:dyDescent="0.3">
      <c r="BO196" s="478"/>
      <c r="BP196" s="506"/>
      <c r="BQ196" s="506"/>
      <c r="BR196" s="506"/>
      <c r="BS196" s="478"/>
      <c r="BT196" s="506"/>
      <c r="BU196" s="506"/>
      <c r="BV196" s="506"/>
      <c r="BW196" s="516"/>
      <c r="BX196" s="516"/>
      <c r="BY196" s="516"/>
      <c r="BZ196" s="516"/>
      <c r="CA196" s="516"/>
      <c r="CB196" s="516"/>
      <c r="CC196" s="506"/>
      <c r="CD196" s="506"/>
      <c r="CE196" s="506"/>
      <c r="CF196" s="506"/>
      <c r="CG196" s="506"/>
      <c r="CH196" s="506"/>
      <c r="CI196" s="506"/>
      <c r="CJ196" s="506"/>
      <c r="CK196" s="506"/>
      <c r="CL196" s="506"/>
      <c r="CM196" s="506"/>
      <c r="CN196" s="506"/>
    </row>
    <row r="197" spans="67:92" x14ac:dyDescent="0.3">
      <c r="BO197" s="478"/>
      <c r="BP197" s="503"/>
      <c r="BQ197" s="503"/>
      <c r="BR197" s="503"/>
      <c r="BS197" s="503"/>
      <c r="BT197" s="503"/>
      <c r="BU197" s="503"/>
      <c r="BV197" s="503"/>
      <c r="BW197" s="503"/>
      <c r="BX197" s="503"/>
      <c r="BY197" s="503"/>
      <c r="BZ197" s="503"/>
      <c r="CA197" s="503"/>
      <c r="CB197" s="503"/>
      <c r="CC197" s="503"/>
      <c r="CD197" s="503"/>
      <c r="CE197" s="503"/>
      <c r="CF197" s="503"/>
      <c r="CG197" s="503"/>
      <c r="CH197" s="503"/>
      <c r="CI197" s="503"/>
      <c r="CJ197" s="503"/>
      <c r="CK197" s="503"/>
      <c r="CL197" s="503"/>
      <c r="CM197" s="503"/>
      <c r="CN197" s="506"/>
    </row>
    <row r="198" spans="67:92" x14ac:dyDescent="0.3">
      <c r="BO198" s="478"/>
      <c r="BP198" s="506"/>
      <c r="BQ198" s="506"/>
      <c r="BR198" s="506"/>
      <c r="BS198" s="506"/>
      <c r="BT198" s="506"/>
      <c r="BU198" s="506"/>
      <c r="BV198" s="506"/>
      <c r="BW198" s="506"/>
      <c r="BX198" s="506"/>
      <c r="BY198" s="506"/>
      <c r="BZ198" s="506"/>
      <c r="CA198" s="506"/>
      <c r="CB198" s="506"/>
      <c r="CC198" s="506"/>
      <c r="CD198" s="506"/>
      <c r="CE198" s="506"/>
      <c r="CF198" s="506"/>
      <c r="CG198" s="506"/>
      <c r="CH198" s="506"/>
      <c r="CI198" s="506"/>
      <c r="CJ198" s="506"/>
      <c r="CK198" s="506"/>
      <c r="CL198" s="506"/>
      <c r="CM198" s="506"/>
      <c r="CN198" s="506"/>
    </row>
    <row r="199" spans="67:92" x14ac:dyDescent="0.3">
      <c r="BO199" s="520"/>
      <c r="BP199" s="664"/>
      <c r="BQ199" s="664"/>
      <c r="BR199" s="664"/>
      <c r="BS199" s="664"/>
      <c r="BT199" s="664"/>
      <c r="BU199" s="664"/>
      <c r="BV199" s="664"/>
      <c r="BW199" s="664"/>
      <c r="BX199" s="664"/>
      <c r="BY199" s="664"/>
      <c r="BZ199" s="664"/>
      <c r="CA199" s="664"/>
      <c r="CB199" s="664"/>
      <c r="CC199" s="664"/>
      <c r="CD199" s="664"/>
      <c r="CE199" s="664"/>
      <c r="CF199" s="664"/>
      <c r="CG199" s="664"/>
      <c r="CH199" s="664"/>
      <c r="CI199" s="664"/>
      <c r="CJ199" s="664"/>
      <c r="CK199" s="664"/>
      <c r="CL199" s="664"/>
      <c r="CM199" s="664"/>
      <c r="CN199" s="506"/>
    </row>
    <row r="200" spans="67:92" x14ac:dyDescent="0.3">
      <c r="BO200" s="478"/>
      <c r="BP200" s="519"/>
      <c r="BQ200" s="519"/>
      <c r="BR200" s="519"/>
      <c r="BS200" s="519"/>
      <c r="BT200" s="519"/>
      <c r="BU200" s="519"/>
      <c r="BV200" s="519"/>
      <c r="BW200" s="519"/>
      <c r="BX200" s="519"/>
      <c r="BY200" s="519"/>
      <c r="BZ200" s="519"/>
      <c r="CA200" s="519"/>
      <c r="CB200" s="519"/>
      <c r="CC200" s="519"/>
      <c r="CD200" s="519"/>
      <c r="CE200" s="519"/>
      <c r="CF200" s="519"/>
      <c r="CG200" s="519"/>
      <c r="CH200" s="519"/>
      <c r="CI200" s="519"/>
      <c r="CJ200" s="519"/>
      <c r="CK200" s="519"/>
      <c r="CL200" s="519"/>
      <c r="CM200" s="519"/>
      <c r="CN200" s="506"/>
    </row>
    <row r="201" spans="67:92" x14ac:dyDescent="0.3">
      <c r="BO201" s="506"/>
      <c r="BP201" s="506"/>
      <c r="BQ201" s="506"/>
      <c r="BR201" s="506"/>
      <c r="BS201" s="506"/>
      <c r="BT201" s="506"/>
      <c r="BU201" s="506"/>
      <c r="BV201" s="506"/>
      <c r="BW201" s="506"/>
      <c r="BX201" s="506"/>
      <c r="BY201" s="506"/>
      <c r="BZ201" s="506"/>
      <c r="CA201" s="506"/>
      <c r="CB201" s="506"/>
      <c r="CC201" s="506"/>
      <c r="CD201" s="506"/>
      <c r="CE201" s="506"/>
      <c r="CF201" s="506"/>
      <c r="CG201" s="506"/>
      <c r="CH201" s="506"/>
      <c r="CI201" s="506"/>
      <c r="CJ201" s="506"/>
      <c r="CK201" s="506"/>
      <c r="CL201" s="506"/>
      <c r="CM201" s="506"/>
      <c r="CN201" s="506"/>
    </row>
    <row r="202" spans="67:92" x14ac:dyDescent="0.3">
      <c r="BO202" s="506"/>
      <c r="BP202" s="665"/>
      <c r="BQ202" s="665"/>
      <c r="BR202" s="665"/>
      <c r="BS202" s="665"/>
      <c r="BT202" s="665"/>
      <c r="BU202" s="665"/>
      <c r="BV202" s="478"/>
      <c r="BW202" s="478"/>
      <c r="BX202" s="478"/>
      <c r="BY202" s="478"/>
      <c r="BZ202" s="478"/>
      <c r="CA202" s="665"/>
      <c r="CB202" s="665"/>
      <c r="CC202" s="665"/>
      <c r="CD202" s="478"/>
      <c r="CE202" s="478"/>
      <c r="CF202" s="478"/>
      <c r="CG202" s="478"/>
      <c r="CH202" s="478"/>
      <c r="CI202" s="478"/>
      <c r="CJ202" s="478"/>
      <c r="CK202" s="478"/>
      <c r="CL202" s="478"/>
      <c r="CM202" s="478"/>
      <c r="CN202" s="506"/>
    </row>
    <row r="203" spans="67:92" x14ac:dyDescent="0.3">
      <c r="BO203" s="506"/>
      <c r="BP203" s="665"/>
      <c r="BQ203" s="665"/>
      <c r="BR203" s="665"/>
      <c r="BS203" s="665"/>
      <c r="BT203" s="665"/>
      <c r="BU203" s="665"/>
      <c r="BV203" s="506"/>
      <c r="BW203" s="506"/>
      <c r="BX203" s="506"/>
      <c r="BY203" s="506"/>
      <c r="BZ203" s="665"/>
      <c r="CA203" s="665"/>
      <c r="CB203" s="665"/>
      <c r="CC203" s="665"/>
      <c r="CD203" s="506"/>
      <c r="CE203" s="506"/>
      <c r="CF203" s="506"/>
      <c r="CG203" s="506"/>
      <c r="CH203" s="665"/>
      <c r="CI203" s="665"/>
      <c r="CJ203" s="665"/>
      <c r="CK203" s="665"/>
      <c r="CL203" s="665"/>
      <c r="CM203" s="665"/>
      <c r="CN203" s="506"/>
    </row>
    <row r="204" spans="67:92" x14ac:dyDescent="0.3">
      <c r="BO204" s="506"/>
      <c r="BP204" s="506"/>
      <c r="BQ204" s="506"/>
      <c r="BR204" s="506"/>
      <c r="BS204" s="506"/>
      <c r="BT204" s="506"/>
      <c r="BU204" s="506"/>
      <c r="BV204" s="506"/>
      <c r="BW204" s="506"/>
      <c r="BX204" s="506"/>
      <c r="BY204" s="506"/>
      <c r="BZ204" s="506"/>
      <c r="CA204" s="506"/>
      <c r="CB204" s="506"/>
      <c r="CC204" s="506"/>
      <c r="CD204" s="506"/>
      <c r="CE204" s="506"/>
      <c r="CF204" s="506"/>
      <c r="CG204" s="506"/>
      <c r="CH204" s="506"/>
      <c r="CI204" s="506"/>
      <c r="CJ204" s="506"/>
      <c r="CK204" s="506"/>
      <c r="CL204" s="506"/>
      <c r="CM204" s="506"/>
      <c r="CN204" s="506"/>
    </row>
    <row r="205" spans="67:92" x14ac:dyDescent="0.3">
      <c r="BO205" s="506"/>
      <c r="BP205" s="506"/>
      <c r="BQ205" s="506"/>
      <c r="BR205" s="506"/>
      <c r="BS205" s="506"/>
      <c r="BT205" s="506"/>
      <c r="BU205" s="506"/>
      <c r="BV205" s="506"/>
      <c r="BW205" s="506"/>
      <c r="BX205" s="506"/>
      <c r="BY205" s="506"/>
      <c r="BZ205" s="506"/>
      <c r="CA205" s="506"/>
      <c r="CB205" s="506"/>
      <c r="CC205" s="506"/>
      <c r="CD205" s="506"/>
      <c r="CE205" s="506"/>
      <c r="CF205" s="506"/>
      <c r="CG205" s="506"/>
      <c r="CH205" s="506"/>
      <c r="CI205" s="506"/>
      <c r="CJ205" s="506"/>
      <c r="CK205" s="506"/>
      <c r="CL205" s="506"/>
      <c r="CM205" s="506"/>
      <c r="CN205" s="506"/>
    </row>
  </sheetData>
  <sheetProtection algorithmName="SHA-512" hashValue="M7zh/2TXuF8EHKkSvatWSzX6kLIPCH9pueudYgfk13uqOtddzMdyy1PAfTqTt8VAsfGOka0sI5WqaHlWLgEPIg==" saltValue="++92QCaz8+asK1Do59KC8Q==" spinCount="100000" sheet="1" objects="1" scenarios="1"/>
  <protectedRanges>
    <protectedRange sqref="B73 B76 B97 D100:D123 D135:D158 B132" name="Range1"/>
  </protectedRanges>
  <mergeCells count="22">
    <mergeCell ref="B57:E57"/>
    <mergeCell ref="CG39:CH39"/>
    <mergeCell ref="BU39:BV39"/>
    <mergeCell ref="BU6:BV6"/>
    <mergeCell ref="CL6:CM6"/>
    <mergeCell ref="BP1:BQ1"/>
    <mergeCell ref="CI2:CM3"/>
    <mergeCell ref="BP38:BT39"/>
    <mergeCell ref="CI38:CM39"/>
    <mergeCell ref="CI53:CM53"/>
    <mergeCell ref="CG3:CH3"/>
    <mergeCell ref="BP3:BQ3"/>
    <mergeCell ref="CG178:CH178"/>
    <mergeCell ref="B70:B72"/>
    <mergeCell ref="W74:AA74"/>
    <mergeCell ref="W94:AA94"/>
    <mergeCell ref="BA97:BB97"/>
    <mergeCell ref="B127:B128"/>
    <mergeCell ref="BA132:BB132"/>
    <mergeCell ref="BU176:BW176"/>
    <mergeCell ref="BU178:BV178"/>
    <mergeCell ref="BA75:BB75"/>
  </mergeCells>
  <conditionalFormatting sqref="E53 B53 D35:F35 AB40:AE62 U40:U62 AF23:AG27 BG7:BN8 U2 U6:U11 V37:AA39 D28:E28">
    <cfRule type="cellIs" dxfId="74" priority="75" stopIfTrue="1" operator="between">
      <formula>"OVERLOAD"</formula>
      <formula>"OVERLOAD"</formula>
    </cfRule>
  </conditionalFormatting>
  <conditionalFormatting sqref="BU61:CH68 BP55:BT57 BV58:BZ58 BU55:BU58 BV55:CM57 CD58:CH58 BP199:CM200">
    <cfRule type="cellIs" dxfId="73" priority="74" stopIfTrue="1" operator="equal">
      <formula>FALSE</formula>
    </cfRule>
  </conditionalFormatting>
  <conditionalFormatting sqref="BU53:CH53 BP35:CM36 BP197:CM197">
    <cfRule type="cellIs" dxfId="72" priority="3" stopIfTrue="1" operator="equal">
      <formula>0</formula>
    </cfRule>
  </conditionalFormatting>
  <conditionalFormatting sqref="BK100:BK123 BN132:BN142">
    <cfRule type="cellIs" dxfId="71" priority="72" stopIfTrue="1" operator="equal">
      <formula>FALSE</formula>
    </cfRule>
  </conditionalFormatting>
  <conditionalFormatting sqref="D70:G71">
    <cfRule type="cellIs" dxfId="70" priority="71" stopIfTrue="1" operator="equal">
      <formula>"change the angle of frame or of cabinets"</formula>
    </cfRule>
  </conditionalFormatting>
  <conditionalFormatting sqref="E73:G73">
    <cfRule type="cellIs" dxfId="69" priority="70" stopIfTrue="1" operator="equal">
      <formula>"USE EXBAR 12 AT THE BACK"</formula>
    </cfRule>
  </conditionalFormatting>
  <conditionalFormatting sqref="E72:G72">
    <cfRule type="cellIs" dxfId="68" priority="69" stopIfTrue="1" operator="equal">
      <formula>"USE EXBAR 12 AT THE FRONT"</formula>
    </cfRule>
  </conditionalFormatting>
  <conditionalFormatting sqref="B135:B158">
    <cfRule type="cellIs" dxfId="67" priority="68" stopIfTrue="1" operator="greaterThan">
      <formula>$B$132</formula>
    </cfRule>
  </conditionalFormatting>
  <conditionalFormatting sqref="B79:V79 AB79">
    <cfRule type="expression" dxfId="66" priority="67" stopIfTrue="1">
      <formula>$B$76&lt;1</formula>
    </cfRule>
  </conditionalFormatting>
  <conditionalFormatting sqref="B80:AB80 BA80:BB80">
    <cfRule type="expression" dxfId="65" priority="66" stopIfTrue="1">
      <formula>$B$76&lt;2</formula>
    </cfRule>
  </conditionalFormatting>
  <conditionalFormatting sqref="AY81:BB81 B81:AB81">
    <cfRule type="expression" dxfId="64" priority="65" stopIfTrue="1">
      <formula>$B$76&lt;3</formula>
    </cfRule>
  </conditionalFormatting>
  <conditionalFormatting sqref="AY82:BB82 B82:AB82">
    <cfRule type="expression" dxfId="63" priority="64" stopIfTrue="1">
      <formula>$B$76&lt;4</formula>
    </cfRule>
  </conditionalFormatting>
  <conditionalFormatting sqref="AY83:BB83 B83:AB83">
    <cfRule type="expression" dxfId="62" priority="63" stopIfTrue="1">
      <formula>$B$76&lt;5</formula>
    </cfRule>
  </conditionalFormatting>
  <conditionalFormatting sqref="AY84:BB84 B84:AB84">
    <cfRule type="expression" dxfId="61" priority="62" stopIfTrue="1">
      <formula>$B$76&lt;6</formula>
    </cfRule>
  </conditionalFormatting>
  <conditionalFormatting sqref="AY85:BB85 B85:AB85">
    <cfRule type="expression" dxfId="60" priority="61" stopIfTrue="1">
      <formula>$B$76&lt;7</formula>
    </cfRule>
  </conditionalFormatting>
  <conditionalFormatting sqref="AY86:BB86 B86:AB86">
    <cfRule type="expression" dxfId="59" priority="60" stopIfTrue="1">
      <formula>$B$76&lt;8</formula>
    </cfRule>
  </conditionalFormatting>
  <conditionalFormatting sqref="AY87:BB87 B87:AB87">
    <cfRule type="expression" dxfId="58" priority="59" stopIfTrue="1">
      <formula>$B$76&lt;9</formula>
    </cfRule>
  </conditionalFormatting>
  <conditionalFormatting sqref="AY88:BB88 B88:AB88">
    <cfRule type="expression" dxfId="57" priority="58" stopIfTrue="1">
      <formula>$B$76&lt;10</formula>
    </cfRule>
  </conditionalFormatting>
  <conditionalFormatting sqref="AY89:BB89 B89:AB89">
    <cfRule type="expression" dxfId="56" priority="57" stopIfTrue="1">
      <formula>$B$76&lt;11</formula>
    </cfRule>
  </conditionalFormatting>
  <conditionalFormatting sqref="AY90:BB90 B90:AB90">
    <cfRule type="expression" dxfId="55" priority="7" stopIfTrue="1">
      <formula>$B$76&lt;12</formula>
    </cfRule>
  </conditionalFormatting>
  <conditionalFormatting sqref="B100:B123">
    <cfRule type="cellIs" dxfId="54" priority="56" stopIfTrue="1" operator="greaterThan">
      <formula>$B$97</formula>
    </cfRule>
  </conditionalFormatting>
  <conditionalFormatting sqref="AB100 AY100:BB100 D100:G100 G135">
    <cfRule type="expression" dxfId="53" priority="55" stopIfTrue="1">
      <formula>$B$97&lt;1</formula>
    </cfRule>
  </conditionalFormatting>
  <conditionalFormatting sqref="AB101 AY101:BB101 D101:G101 G136:G158">
    <cfRule type="expression" dxfId="52" priority="54" stopIfTrue="1">
      <formula>$B$97&lt;2</formula>
    </cfRule>
  </conditionalFormatting>
  <conditionalFormatting sqref="AB102 AY102:BB102 D102:G102">
    <cfRule type="expression" dxfId="51" priority="53" stopIfTrue="1">
      <formula>$B$97&lt;3</formula>
    </cfRule>
  </conditionalFormatting>
  <conditionalFormatting sqref="AB103 AY103:BB103 D103:G103">
    <cfRule type="expression" dxfId="50" priority="52" stopIfTrue="1">
      <formula>$B$97&lt;4</formula>
    </cfRule>
  </conditionalFormatting>
  <conditionalFormatting sqref="AB104 AY104:BB104 D104:G104">
    <cfRule type="expression" dxfId="49" priority="51" stopIfTrue="1">
      <formula>$B$97&lt;5</formula>
    </cfRule>
  </conditionalFormatting>
  <conditionalFormatting sqref="AB105 AY105:BB105 D105:G105">
    <cfRule type="expression" dxfId="48" priority="50">
      <formula>$B$97&lt;6</formula>
    </cfRule>
  </conditionalFormatting>
  <conditionalFormatting sqref="AB106 AY106:BB106 D106:G106">
    <cfRule type="expression" dxfId="47" priority="49">
      <formula>$B$97&lt;7</formula>
    </cfRule>
  </conditionalFormatting>
  <conditionalFormatting sqref="AB107 AY107:BB107 D107:G107">
    <cfRule type="expression" dxfId="46" priority="48">
      <formula>$B$97&lt;8</formula>
    </cfRule>
  </conditionalFormatting>
  <conditionalFormatting sqref="AB108 AY108:BB108 D108:G108">
    <cfRule type="expression" dxfId="45" priority="47">
      <formula>$B$97&lt;9</formula>
    </cfRule>
  </conditionalFormatting>
  <conditionalFormatting sqref="AB109 AY109:BB109 D109:G109">
    <cfRule type="expression" dxfId="44" priority="46">
      <formula>$B$97&lt;10</formula>
    </cfRule>
  </conditionalFormatting>
  <conditionalFormatting sqref="AB110 AY110:BB110 D110:G110">
    <cfRule type="expression" dxfId="43" priority="45">
      <formula>$B$97&lt;11</formula>
    </cfRule>
  </conditionalFormatting>
  <conditionalFormatting sqref="AB111 AY111:BB111 D111:G111">
    <cfRule type="expression" dxfId="42" priority="44">
      <formula>$B$97&lt;12</formula>
    </cfRule>
  </conditionalFormatting>
  <conditionalFormatting sqref="AB112 AY112:BB112 D112:G112">
    <cfRule type="expression" dxfId="41" priority="43">
      <formula>$B$97&lt;13</formula>
    </cfRule>
  </conditionalFormatting>
  <conditionalFormatting sqref="AB113 AY113:BB113 D113:G113">
    <cfRule type="expression" dxfId="40" priority="42">
      <formula>$B$97&lt;14</formula>
    </cfRule>
  </conditionalFormatting>
  <conditionalFormatting sqref="AB114 AY114:BB114 D114:G114">
    <cfRule type="expression" dxfId="39" priority="41">
      <formula>$B$97&lt;15</formula>
    </cfRule>
  </conditionalFormatting>
  <conditionalFormatting sqref="AB115 AY115:BB115 D115:G115">
    <cfRule type="expression" dxfId="38" priority="40">
      <formula>$B$97&lt;16</formula>
    </cfRule>
  </conditionalFormatting>
  <conditionalFormatting sqref="AB116 AY116:BB116 D116:G116">
    <cfRule type="expression" dxfId="37" priority="39">
      <formula>$B$97&lt;17</formula>
    </cfRule>
  </conditionalFormatting>
  <conditionalFormatting sqref="AB117 AY117:BB117 D117:G117">
    <cfRule type="expression" dxfId="36" priority="38">
      <formula>$B$97&lt;18</formula>
    </cfRule>
  </conditionalFormatting>
  <conditionalFormatting sqref="AB118 AY118:BB118 D118:G118">
    <cfRule type="expression" dxfId="35" priority="37">
      <formula>$B$97&lt;19</formula>
    </cfRule>
  </conditionalFormatting>
  <conditionalFormatting sqref="AB119 AY119:BB119 D119:G119">
    <cfRule type="expression" dxfId="34" priority="36">
      <formula>$B$97&lt;20</formula>
    </cfRule>
  </conditionalFormatting>
  <conditionalFormatting sqref="AB120 AY120:BB120 D120:G120">
    <cfRule type="expression" dxfId="33" priority="35">
      <formula>$B$97&lt;21</formula>
    </cfRule>
  </conditionalFormatting>
  <conditionalFormatting sqref="AB121 AY121:BB121 D121:G121">
    <cfRule type="expression" dxfId="32" priority="34">
      <formula>$B$97&lt;22</formula>
    </cfRule>
  </conditionalFormatting>
  <conditionalFormatting sqref="AB122 AY122:BB122 D122:G122">
    <cfRule type="expression" dxfId="31" priority="33">
      <formula>$B$97&lt;23</formula>
    </cfRule>
  </conditionalFormatting>
  <conditionalFormatting sqref="AB123 AY123:BB123 D123:G123">
    <cfRule type="expression" dxfId="30" priority="32">
      <formula>$B$97&lt;24</formula>
    </cfRule>
  </conditionalFormatting>
  <conditionalFormatting sqref="AY135:BB135 AZ136:AZ158 D135:AE135">
    <cfRule type="expression" dxfId="29" priority="31" stopIfTrue="1">
      <formula>$B$132&lt;1</formula>
    </cfRule>
  </conditionalFormatting>
  <conditionalFormatting sqref="AY136:BB136 D136:E136 E137:E158 F136:AE158">
    <cfRule type="expression" dxfId="28" priority="30" stopIfTrue="1">
      <formula>$B$132&lt;2</formula>
    </cfRule>
  </conditionalFormatting>
  <conditionalFormatting sqref="AY137:BB137 D137:AE137">
    <cfRule type="expression" dxfId="27" priority="29" stopIfTrue="1">
      <formula>$B$132&lt;3</formula>
    </cfRule>
  </conditionalFormatting>
  <conditionalFormatting sqref="AY138:BB138 D138:AE138">
    <cfRule type="expression" dxfId="26" priority="28" stopIfTrue="1">
      <formula>$B$132&lt;4</formula>
    </cfRule>
  </conditionalFormatting>
  <conditionalFormatting sqref="AY139:BB139 D139:AE139">
    <cfRule type="expression" dxfId="25" priority="27" stopIfTrue="1">
      <formula>$B$132&lt;5</formula>
    </cfRule>
  </conditionalFormatting>
  <conditionalFormatting sqref="AY140:BB140 D140:AE140">
    <cfRule type="expression" dxfId="24" priority="26">
      <formula>$B$132&lt;6</formula>
    </cfRule>
  </conditionalFormatting>
  <conditionalFormatting sqref="AY141:BB141 D141:AE141">
    <cfRule type="expression" dxfId="23" priority="25">
      <formula>$B$132&lt;7</formula>
    </cfRule>
  </conditionalFormatting>
  <conditionalFormatting sqref="AY142:BB142 D142:AE142">
    <cfRule type="expression" dxfId="22" priority="24">
      <formula>$B$132&lt;8</formula>
    </cfRule>
  </conditionalFormatting>
  <conditionalFormatting sqref="AY143:BB143 D143:AE143">
    <cfRule type="expression" dxfId="21" priority="23">
      <formula>$B$132&lt;9</formula>
    </cfRule>
  </conditionalFormatting>
  <conditionalFormatting sqref="AY144:BB144 D144:AE144">
    <cfRule type="expression" dxfId="20" priority="22">
      <formula>$B$132&lt;10</formula>
    </cfRule>
  </conditionalFormatting>
  <conditionalFormatting sqref="AY145:BB145 D145:AE145">
    <cfRule type="expression" dxfId="19" priority="21">
      <formula>$B$132&lt;11</formula>
    </cfRule>
  </conditionalFormatting>
  <conditionalFormatting sqref="AY146:BB146 D146:AE146">
    <cfRule type="expression" dxfId="18" priority="20">
      <formula>$B$132&lt;12</formula>
    </cfRule>
  </conditionalFormatting>
  <conditionalFormatting sqref="AY147:BB147 D147:AE147">
    <cfRule type="expression" dxfId="17" priority="19">
      <formula>$B$132&lt;13</formula>
    </cfRule>
  </conditionalFormatting>
  <conditionalFormatting sqref="AY148:BB148 D148:AE148">
    <cfRule type="expression" dxfId="16" priority="18">
      <formula>$B$132&lt;14</formula>
    </cfRule>
  </conditionalFormatting>
  <conditionalFormatting sqref="AY149:BB149 D149:AE149">
    <cfRule type="expression" dxfId="15" priority="17">
      <formula>$B$132&lt;15</formula>
    </cfRule>
  </conditionalFormatting>
  <conditionalFormatting sqref="AY150:BB150 D150:AE150">
    <cfRule type="expression" dxfId="14" priority="16">
      <formula>$B$132&lt;16</formula>
    </cfRule>
  </conditionalFormatting>
  <conditionalFormatting sqref="AY151:BB151 D151:AE151">
    <cfRule type="expression" dxfId="13" priority="15">
      <formula>$B$132&lt;17</formula>
    </cfRule>
  </conditionalFormatting>
  <conditionalFormatting sqref="AY152:BB152 D152:AE152">
    <cfRule type="expression" dxfId="12" priority="14">
      <formula>$B$132&lt;18</formula>
    </cfRule>
  </conditionalFormatting>
  <conditionalFormatting sqref="AY153:BB153 D153:AE153">
    <cfRule type="expression" dxfId="11" priority="13">
      <formula>$B$132&lt;19</formula>
    </cfRule>
  </conditionalFormatting>
  <conditionalFormatting sqref="AY154:BB154 D154:AE154">
    <cfRule type="expression" dxfId="10" priority="12">
      <formula>$B$132&lt;20</formula>
    </cfRule>
  </conditionalFormatting>
  <conditionalFormatting sqref="AY155:BB155 D155:AE155">
    <cfRule type="expression" dxfId="9" priority="11">
      <formula>$B$132&lt;21</formula>
    </cfRule>
  </conditionalFormatting>
  <conditionalFormatting sqref="AY156:BB156 D156:AE156">
    <cfRule type="expression" dxfId="8" priority="10">
      <formula>$B$132&lt;22</formula>
    </cfRule>
  </conditionalFormatting>
  <conditionalFormatting sqref="AY157:BB157 D157:AE157">
    <cfRule type="expression" dxfId="7" priority="9">
      <formula>$B$132&lt;23</formula>
    </cfRule>
  </conditionalFormatting>
  <conditionalFormatting sqref="AY158:BB158 D158:AE158">
    <cfRule type="expression" dxfId="6" priority="8">
      <formula>$B$132&lt;24</formula>
    </cfRule>
  </conditionalFormatting>
  <conditionalFormatting sqref="D135:D158 D100:D123">
    <cfRule type="cellIs" dxfId="5" priority="6" stopIfTrue="1" operator="notEqual">
      <formula>0</formula>
    </cfRule>
  </conditionalFormatting>
  <conditionalFormatting sqref="D73">
    <cfRule type="cellIs" dxfId="4" priority="4" stopIfTrue="1" operator="equal">
      <formula>"USE EXBAR 12 AT THE BACK"</formula>
    </cfRule>
  </conditionalFormatting>
  <conditionalFormatting sqref="D72">
    <cfRule type="cellIs" dxfId="3" priority="5" stopIfTrue="1" operator="equal">
      <formula>"USE EXBAR 12 AT THE FRONT"</formula>
    </cfRule>
  </conditionalFormatting>
  <conditionalFormatting sqref="BP36:CM36 BU53:CH53">
    <cfRule type="expression" dxfId="2" priority="2">
      <formula>$B$73=0</formula>
    </cfRule>
    <cfRule type="expression" dxfId="1" priority="73">
      <formula>$B$73=0</formula>
    </cfRule>
  </conditionalFormatting>
  <conditionalFormatting sqref="E53 B53 B68 D68:E68">
    <cfRule type="expression" dxfId="0" priority="1">
      <formula>$BM$39=0</formula>
    </cfRule>
  </conditionalFormatting>
  <dataValidations count="8">
    <dataValidation type="decimal" allowBlank="1" showInputMessage="1" showErrorMessage="1" sqref="B73" xr:uid="{00000000-0002-0000-1000-000000000000}">
      <formula1>-89.9</formula1>
      <formula2>89.9</formula2>
    </dataValidation>
    <dataValidation type="decimal" allowBlank="1" showInputMessage="1" showErrorMessage="1" sqref="D135 F135" xr:uid="{00000000-0002-0000-1000-000001000000}">
      <formula1>0</formula1>
      <formula2>6</formula2>
    </dataValidation>
    <dataValidation type="decimal" allowBlank="1" showInputMessage="1" showErrorMessage="1" sqref="D136:D158 F136:F158" xr:uid="{00000000-0002-0000-1000-000002000000}">
      <formula1>0</formula1>
      <formula2>12</formula2>
    </dataValidation>
    <dataValidation type="whole" allowBlank="1" showInputMessage="1" showErrorMessage="1" errorTitle="Coda Audio" error="You have entered a wrong angle!" promptTitle="Coda Audio" prompt="enter the angle of frame FR128 from 0 deg up to 4 deg" sqref="B129" xr:uid="{00000000-0002-0000-1000-000003000000}">
      <formula1>0</formula1>
      <formula2>4</formula2>
    </dataValidation>
    <dataValidation type="decimal" allowBlank="1" showInputMessage="1" showErrorMessage="1" sqref="D79:G79 G135 D100 F100:G100" xr:uid="{00000000-0002-0000-1000-000004000000}">
      <formula1>0</formula1>
      <formula2>4</formula2>
    </dataValidation>
    <dataValidation type="decimal" allowBlank="1" showInputMessage="1" showErrorMessage="1" sqref="G80:G90 G136:G158 F102:F123 G101:G123 D80:E90 F81:F90 D101:D123" xr:uid="{00000000-0002-0000-1000-000005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76" xr:uid="{00000000-0002-0000-1000-000006000000}">
      <formula1>1</formula1>
      <formula2>12</formula2>
    </dataValidation>
    <dataValidation type="whole" allowBlank="1" showInputMessage="1" showErrorMessage="1" errorTitle="Coda Audio" error="YOU HAVE ENTERED A WRONG NUMBER OF CABINETS" promptTitle="Coda Audio" prompt="ENTER THE NUMBER OF CABINETS FROM 1 UP TO 24" sqref="B97 B132" xr:uid="{00000000-0002-0000-1000-000007000000}">
      <formula1>1</formula1>
      <formula2>24</formula2>
    </dataValidation>
  </dataValidations>
  <pageMargins left="0.7" right="0.7" top="0.75" bottom="0.75" header="0.3" footer="0.3"/>
  <pageSetup orientation="portrait" horizontalDpi="0" verticalDpi="0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17</vt:i4>
      </vt:variant>
    </vt:vector>
  </HeadingPairs>
  <TitlesOfParts>
    <vt:vector size="17" baseType="lpstr">
      <vt:lpstr>ViRAY+FR VR</vt:lpstr>
      <vt:lpstr>ViRAY+FRT-VR</vt:lpstr>
      <vt:lpstr>ViRAY+FR-AR</vt:lpstr>
      <vt:lpstr>ViRAY+FRT-AR</vt:lpstr>
      <vt:lpstr>SCV F</vt:lpstr>
      <vt:lpstr>SCV F+ViRAY</vt:lpstr>
      <vt:lpstr>SCV F+ViRAY+FR AR</vt:lpstr>
      <vt:lpstr>SC2-F+ViRAY+FR AR</vt:lpstr>
      <vt:lpstr>ViRAY+SCV F+ViRAY +FR AR</vt:lpstr>
      <vt:lpstr>ViRAY+SC2-F+ViRAY +FR AR</vt:lpstr>
      <vt:lpstr>ViRAY+SCV F+ViRAY</vt:lpstr>
      <vt:lpstr>SC2-F</vt:lpstr>
      <vt:lpstr>SC2-F+ViRAY</vt:lpstr>
      <vt:lpstr>SC2-F+ViRAY+VR-Link</vt:lpstr>
      <vt:lpstr>ViRAY+SC2-F+ViRAY</vt:lpstr>
      <vt:lpstr> LA 12+ViRAY with FR 120</vt:lpstr>
      <vt:lpstr>SC8 F+ LA 12+ViRAY</vt:lpstr>
    </vt:vector>
  </TitlesOfParts>
  <Company>CODA AUDIO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Stanislav</dc:creator>
  <cp:lastModifiedBy>Edgar Krueger</cp:lastModifiedBy>
  <dcterms:created xsi:type="dcterms:W3CDTF">2009-10-07T12:24:30Z</dcterms:created>
  <dcterms:modified xsi:type="dcterms:W3CDTF">2020-05-08T10:21:37Z</dcterms:modified>
</cp:coreProperties>
</file>